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35" windowWidth="19440" windowHeight="7335" firstSheet="14" activeTab="18"/>
  </bookViews>
  <sheets>
    <sheet name="NTP" sheetId="6" r:id="rId1"/>
    <sheet name="NTP (2)" sheetId="19" r:id="rId2"/>
    <sheet name="pxl" sheetId="14" r:id="rId3"/>
    <sheet name="pxl (2)" sheetId="20" r:id="rId4"/>
    <sheet name="AEON" sheetId="1" r:id="rId5"/>
    <sheet name="AEON (2)" sheetId="21" r:id="rId6"/>
    <sheet name="CANTAVIL" sheetId="4" r:id="rId7"/>
    <sheet name="CANTAVIL)" sheetId="22" r:id="rId8"/>
    <sheet name="qt" sheetId="13" r:id="rId9"/>
    <sheet name="qt (2)" sheetId="23" r:id="rId10"/>
    <sheet name="ch" sheetId="11" r:id="rId11"/>
    <sheet name="ch (2)" sheetId="24" r:id="rId12"/>
    <sheet name="VINCOM Q1" sheetId="5" r:id="rId13"/>
    <sheet name="VINCOM Q1 (2)" sheetId="25" r:id="rId14"/>
    <sheet name="vivo" sheetId="15" r:id="rId15"/>
    <sheet name="vivo (2)" sheetId="26" r:id="rId16"/>
    <sheet name="VUNG TAU" sheetId="9" r:id="rId17"/>
    <sheet name="VUNG TAU (2)" sheetId="27" r:id="rId18"/>
    <sheet name="BIEN HOA" sheetId="7" r:id="rId19"/>
    <sheet name="BIEN HOA (2)" sheetId="28" r:id="rId20"/>
    <sheet name="cm" sheetId="17" r:id="rId21"/>
    <sheet name="cm (2)" sheetId="29" r:id="rId22"/>
    <sheet name="hn" sheetId="12" r:id="rId23"/>
    <sheet name="hn (2)" sheetId="30" r:id="rId24"/>
    <sheet name="TQD" sheetId="31" r:id="rId25"/>
    <sheet name="TQD(2)" sheetId="32" r:id="rId26"/>
    <sheet name="dbns" sheetId="18" r:id="rId27"/>
    <sheet name="dbns LG" sheetId="33" r:id="rId28"/>
    <sheet name="SO LUONG NHAN SU TUYEN DUNG" sheetId="16" r:id="rId29"/>
    <sheet name="gio hoat dong ch" sheetId="10" r:id="rId30"/>
    <sheet name="Sheet2" sheetId="2" r:id="rId31"/>
    <sheet name="Sheet3" sheetId="3" r:id="rId32"/>
  </sheets>
  <calcPr calcId="144525"/>
</workbook>
</file>

<file path=xl/calcChain.xml><?xml version="1.0" encoding="utf-8"?>
<calcChain xmlns="http://schemas.openxmlformats.org/spreadsheetml/2006/main">
  <c r="E40" i="7" l="1"/>
  <c r="E62" i="28"/>
  <c r="L49" i="28"/>
  <c r="B8" i="28"/>
  <c r="B7" i="28"/>
  <c r="O172" i="33" l="1"/>
  <c r="K144" i="33"/>
  <c r="J144" i="33"/>
  <c r="L143" i="33"/>
  <c r="M143" i="33" s="1"/>
  <c r="F143" i="33"/>
  <c r="E143" i="33"/>
  <c r="D143" i="33"/>
  <c r="C143" i="33"/>
  <c r="B143" i="33"/>
  <c r="G143" i="33" s="1"/>
  <c r="N144" i="33" s="1"/>
  <c r="L142" i="33"/>
  <c r="M142" i="33" s="1"/>
  <c r="L141" i="33"/>
  <c r="M141" i="33" s="1"/>
  <c r="M144" i="33" s="1"/>
  <c r="O144" i="33" s="1"/>
  <c r="S178" i="18"/>
  <c r="R178" i="18"/>
  <c r="O178" i="18"/>
  <c r="N178" i="18"/>
  <c r="P177" i="18"/>
  <c r="Q177" i="18" s="1"/>
  <c r="P176" i="18"/>
  <c r="Q176" i="18" s="1"/>
  <c r="P175" i="18"/>
  <c r="Q175" i="18" s="1"/>
  <c r="K177" i="18"/>
  <c r="J177" i="18"/>
  <c r="I177" i="18"/>
  <c r="H177" i="18"/>
  <c r="G177" i="18"/>
  <c r="F177" i="18"/>
  <c r="K193" i="33"/>
  <c r="J193" i="33"/>
  <c r="L192" i="33"/>
  <c r="M192" i="33" s="1"/>
  <c r="L191" i="33"/>
  <c r="M191" i="33" s="1"/>
  <c r="D191" i="33"/>
  <c r="C191" i="33"/>
  <c r="G191" i="33" s="1"/>
  <c r="L190" i="33"/>
  <c r="D190" i="33"/>
  <c r="C190" i="33"/>
  <c r="G190" i="33" s="1"/>
  <c r="L185" i="33"/>
  <c r="N185" i="33" s="1"/>
  <c r="F185" i="33"/>
  <c r="G185" i="33" s="1"/>
  <c r="C185" i="33"/>
  <c r="L184" i="33"/>
  <c r="N184" i="33" s="1"/>
  <c r="F184" i="33"/>
  <c r="G184" i="33" s="1"/>
  <c r="C184" i="33"/>
  <c r="K180" i="33"/>
  <c r="J180" i="33"/>
  <c r="L179" i="33"/>
  <c r="M179" i="33" s="1"/>
  <c r="L178" i="33"/>
  <c r="M178" i="33" s="1"/>
  <c r="D178" i="33"/>
  <c r="C178" i="33"/>
  <c r="G178" i="33" s="1"/>
  <c r="L177" i="33"/>
  <c r="D177" i="33"/>
  <c r="C177" i="33"/>
  <c r="G177" i="33" s="1"/>
  <c r="L173" i="33"/>
  <c r="N173" i="33" s="1"/>
  <c r="F173" i="33"/>
  <c r="G173" i="33" s="1"/>
  <c r="C173" i="33"/>
  <c r="L172" i="33"/>
  <c r="N172" i="33" s="1"/>
  <c r="F172" i="33"/>
  <c r="G172" i="33" s="1"/>
  <c r="C172" i="33"/>
  <c r="K162" i="33"/>
  <c r="J162" i="33"/>
  <c r="L161" i="33"/>
  <c r="M161" i="33" s="1"/>
  <c r="L160" i="33"/>
  <c r="M160" i="33" s="1"/>
  <c r="D160" i="33"/>
  <c r="C160" i="33"/>
  <c r="G160" i="33" s="1"/>
  <c r="L159" i="33"/>
  <c r="D159" i="33"/>
  <c r="C159" i="33"/>
  <c r="G159" i="33" s="1"/>
  <c r="L155" i="33"/>
  <c r="N155" i="33" s="1"/>
  <c r="F155" i="33"/>
  <c r="G155" i="33" s="1"/>
  <c r="C155" i="33"/>
  <c r="L154" i="33"/>
  <c r="N154" i="33" s="1"/>
  <c r="F154" i="33"/>
  <c r="G154" i="33" s="1"/>
  <c r="C154" i="33"/>
  <c r="K137" i="33"/>
  <c r="J137" i="33"/>
  <c r="L136" i="33"/>
  <c r="M136" i="33" s="1"/>
  <c r="L135" i="33"/>
  <c r="M135" i="33" s="1"/>
  <c r="D135" i="33"/>
  <c r="C135" i="33"/>
  <c r="G135" i="33" s="1"/>
  <c r="L134" i="33"/>
  <c r="D134" i="33"/>
  <c r="C134" i="33"/>
  <c r="G134" i="33" s="1"/>
  <c r="M130" i="33"/>
  <c r="L130" i="33"/>
  <c r="G130" i="33"/>
  <c r="C130" i="33"/>
  <c r="M129" i="33"/>
  <c r="L129" i="33"/>
  <c r="F129" i="33"/>
  <c r="G129" i="33" s="1"/>
  <c r="C129" i="33"/>
  <c r="K125" i="33"/>
  <c r="J125" i="33"/>
  <c r="L124" i="33"/>
  <c r="M124" i="33" s="1"/>
  <c r="L123" i="33"/>
  <c r="M123" i="33" s="1"/>
  <c r="D123" i="33"/>
  <c r="C123" i="33"/>
  <c r="G123" i="33" s="1"/>
  <c r="L122" i="33"/>
  <c r="M122" i="33" s="1"/>
  <c r="D122" i="33"/>
  <c r="C122" i="33"/>
  <c r="G122" i="33" s="1"/>
  <c r="N117" i="33"/>
  <c r="F117" i="33"/>
  <c r="G117" i="33" s="1"/>
  <c r="C117" i="33"/>
  <c r="N116" i="33"/>
  <c r="F116" i="33"/>
  <c r="G116" i="33" s="1"/>
  <c r="C116" i="33"/>
  <c r="K104" i="33"/>
  <c r="J104" i="33"/>
  <c r="L103" i="33"/>
  <c r="M103" i="33" s="1"/>
  <c r="L102" i="33"/>
  <c r="M102" i="33" s="1"/>
  <c r="D102" i="33"/>
  <c r="C102" i="33"/>
  <c r="G102" i="33" s="1"/>
  <c r="L101" i="33"/>
  <c r="D101" i="33"/>
  <c r="C101" i="33"/>
  <c r="G101" i="33" s="1"/>
  <c r="M97" i="33"/>
  <c r="L97" i="33"/>
  <c r="F97" i="33"/>
  <c r="G97" i="33" s="1"/>
  <c r="C97" i="33"/>
  <c r="M96" i="33"/>
  <c r="L96" i="33"/>
  <c r="F96" i="33"/>
  <c r="G96" i="33" s="1"/>
  <c r="C96" i="33"/>
  <c r="K92" i="33"/>
  <c r="J92" i="33"/>
  <c r="L91" i="33"/>
  <c r="M91" i="33" s="1"/>
  <c r="L90" i="33"/>
  <c r="M90" i="33" s="1"/>
  <c r="D90" i="33"/>
  <c r="C90" i="33"/>
  <c r="G90" i="33" s="1"/>
  <c r="L89" i="33"/>
  <c r="M89" i="33" s="1"/>
  <c r="D89" i="33"/>
  <c r="C89" i="33"/>
  <c r="G89" i="33" s="1"/>
  <c r="M85" i="33"/>
  <c r="L85" i="33"/>
  <c r="F85" i="33"/>
  <c r="G85" i="33" s="1"/>
  <c r="C85" i="33"/>
  <c r="M84" i="33"/>
  <c r="L84" i="33"/>
  <c r="F84" i="33"/>
  <c r="G84" i="33" s="1"/>
  <c r="E89" i="33" s="1"/>
  <c r="C84" i="33"/>
  <c r="K80" i="33"/>
  <c r="J80" i="33"/>
  <c r="L79" i="33"/>
  <c r="M79" i="33" s="1"/>
  <c r="L78" i="33"/>
  <c r="M78" i="33" s="1"/>
  <c r="D78" i="33"/>
  <c r="C78" i="33"/>
  <c r="G78" i="33" s="1"/>
  <c r="L77" i="33"/>
  <c r="M77" i="33" s="1"/>
  <c r="D77" i="33"/>
  <c r="C77" i="33"/>
  <c r="G77" i="33" s="1"/>
  <c r="M73" i="33"/>
  <c r="L73" i="33"/>
  <c r="F73" i="33"/>
  <c r="G73" i="33" s="1"/>
  <c r="C73" i="33"/>
  <c r="M72" i="33"/>
  <c r="L72" i="33"/>
  <c r="F72" i="33"/>
  <c r="G72" i="33" s="1"/>
  <c r="E77" i="33" s="1"/>
  <c r="C72" i="33"/>
  <c r="K68" i="33"/>
  <c r="J68" i="33"/>
  <c r="L67" i="33"/>
  <c r="M67" i="33" s="1"/>
  <c r="L66" i="33"/>
  <c r="M66" i="33" s="1"/>
  <c r="D66" i="33"/>
  <c r="C66" i="33"/>
  <c r="G66" i="33" s="1"/>
  <c r="L65" i="33"/>
  <c r="D65" i="33"/>
  <c r="C65" i="33"/>
  <c r="G65" i="33" s="1"/>
  <c r="L61" i="33"/>
  <c r="N61" i="33" s="1"/>
  <c r="F61" i="33"/>
  <c r="G61" i="33" s="1"/>
  <c r="C61" i="33"/>
  <c r="L60" i="33"/>
  <c r="N60" i="33" s="1"/>
  <c r="F60" i="33"/>
  <c r="G60" i="33" s="1"/>
  <c r="C60" i="33"/>
  <c r="K48" i="33"/>
  <c r="J48" i="33"/>
  <c r="L47" i="33"/>
  <c r="M47" i="33" s="1"/>
  <c r="L46" i="33"/>
  <c r="M46" i="33" s="1"/>
  <c r="D46" i="33"/>
  <c r="C46" i="33"/>
  <c r="G46" i="33" s="1"/>
  <c r="L45" i="33"/>
  <c r="M45" i="33" s="1"/>
  <c r="D45" i="33"/>
  <c r="C45" i="33"/>
  <c r="G45" i="33" s="1"/>
  <c r="L41" i="33"/>
  <c r="N41" i="33" s="1"/>
  <c r="F41" i="33"/>
  <c r="G41" i="33" s="1"/>
  <c r="E46" i="33" s="1"/>
  <c r="C41" i="33"/>
  <c r="L40" i="33"/>
  <c r="N40" i="33" s="1"/>
  <c r="F40" i="33"/>
  <c r="G40" i="33" s="1"/>
  <c r="E45" i="33" s="1"/>
  <c r="C40" i="33"/>
  <c r="K36" i="33"/>
  <c r="J36" i="33"/>
  <c r="L35" i="33"/>
  <c r="M35" i="33" s="1"/>
  <c r="L34" i="33"/>
  <c r="M34" i="33" s="1"/>
  <c r="D34" i="33"/>
  <c r="C34" i="33"/>
  <c r="G34" i="33" s="1"/>
  <c r="L33" i="33"/>
  <c r="D33" i="33"/>
  <c r="C33" i="33"/>
  <c r="G33" i="33" s="1"/>
  <c r="M29" i="33"/>
  <c r="L29" i="33"/>
  <c r="F29" i="33"/>
  <c r="G29" i="33" s="1"/>
  <c r="C29" i="33"/>
  <c r="M28" i="33"/>
  <c r="L28" i="33"/>
  <c r="F28" i="33"/>
  <c r="G28" i="33" s="1"/>
  <c r="C28" i="33"/>
  <c r="K24" i="33"/>
  <c r="J24" i="33"/>
  <c r="L23" i="33"/>
  <c r="M23" i="33" s="1"/>
  <c r="L22" i="33"/>
  <c r="M22" i="33" s="1"/>
  <c r="D22" i="33"/>
  <c r="C22" i="33"/>
  <c r="G22" i="33" s="1"/>
  <c r="L21" i="33"/>
  <c r="D21" i="33"/>
  <c r="C21" i="33"/>
  <c r="G21" i="33" s="1"/>
  <c r="M17" i="33"/>
  <c r="L17" i="33"/>
  <c r="F17" i="33"/>
  <c r="G17" i="33" s="1"/>
  <c r="C17" i="33"/>
  <c r="M16" i="33"/>
  <c r="L16" i="33"/>
  <c r="F16" i="33"/>
  <c r="G16" i="33" s="1"/>
  <c r="C16" i="33"/>
  <c r="K12" i="33"/>
  <c r="J12" i="33"/>
  <c r="L11" i="33"/>
  <c r="M11" i="33" s="1"/>
  <c r="L10" i="33"/>
  <c r="M10" i="33" s="1"/>
  <c r="D10" i="33"/>
  <c r="C10" i="33"/>
  <c r="G10" i="33" s="1"/>
  <c r="L9" i="33"/>
  <c r="M9" i="33" s="1"/>
  <c r="D9" i="33"/>
  <c r="C9" i="33"/>
  <c r="G9" i="33" s="1"/>
  <c r="L5" i="33"/>
  <c r="N5" i="33" s="1"/>
  <c r="F5" i="33"/>
  <c r="G5" i="33" s="1"/>
  <c r="E10" i="33" s="1"/>
  <c r="C5" i="33"/>
  <c r="L4" i="33"/>
  <c r="N4" i="33" s="1"/>
  <c r="F4" i="33"/>
  <c r="G4" i="33" s="1"/>
  <c r="E9" i="33" s="1"/>
  <c r="C4" i="33"/>
  <c r="R138" i="18"/>
  <c r="R137" i="18"/>
  <c r="O146" i="18"/>
  <c r="N146" i="18"/>
  <c r="P145" i="18"/>
  <c r="Q145" i="18" s="1"/>
  <c r="P144" i="18"/>
  <c r="Q144" i="18" s="1"/>
  <c r="H144" i="18"/>
  <c r="G144" i="18"/>
  <c r="K144" i="18" s="1"/>
  <c r="P143" i="18"/>
  <c r="Q143" i="18" s="1"/>
  <c r="H143" i="18"/>
  <c r="G143" i="18"/>
  <c r="K143" i="18" s="1"/>
  <c r="J138" i="18"/>
  <c r="K138" i="18" s="1"/>
  <c r="G138" i="18"/>
  <c r="J137" i="18"/>
  <c r="K137" i="18" s="1"/>
  <c r="I143" i="18" s="1"/>
  <c r="G137" i="18"/>
  <c r="D71" i="31"/>
  <c r="D72" i="31"/>
  <c r="D73" i="31"/>
  <c r="D74" i="31"/>
  <c r="D75" i="31"/>
  <c r="D76" i="31"/>
  <c r="D77" i="31"/>
  <c r="D78" i="31"/>
  <c r="D79" i="31"/>
  <c r="D80" i="31"/>
  <c r="D81" i="31"/>
  <c r="D59" i="31"/>
  <c r="D60" i="31"/>
  <c r="D61" i="31"/>
  <c r="D62" i="31"/>
  <c r="D63" i="31"/>
  <c r="D64" i="31"/>
  <c r="D65" i="31"/>
  <c r="D66" i="31"/>
  <c r="D67" i="31"/>
  <c r="D68" i="31"/>
  <c r="D69" i="31"/>
  <c r="L144" i="33" l="1"/>
  <c r="Q178" i="18"/>
  <c r="P178" i="18"/>
  <c r="L162" i="33"/>
  <c r="N16" i="33"/>
  <c r="N17" i="33"/>
  <c r="L24" i="33"/>
  <c r="O16" i="33" s="1"/>
  <c r="N48" i="33"/>
  <c r="N72" i="33"/>
  <c r="N73" i="33"/>
  <c r="M80" i="33"/>
  <c r="E90" i="33"/>
  <c r="N97" i="33"/>
  <c r="L104" i="33"/>
  <c r="N129" i="33"/>
  <c r="L137" i="33"/>
  <c r="N193" i="33"/>
  <c r="L193" i="33"/>
  <c r="N125" i="33"/>
  <c r="M48" i="33"/>
  <c r="N162" i="33"/>
  <c r="N12" i="33"/>
  <c r="N28" i="33"/>
  <c r="N29" i="33"/>
  <c r="L36" i="33"/>
  <c r="O28" i="33" s="1"/>
  <c r="N68" i="33"/>
  <c r="L68" i="33"/>
  <c r="O60" i="33" s="1"/>
  <c r="E78" i="33"/>
  <c r="N84" i="33"/>
  <c r="N85" i="33"/>
  <c r="M92" i="33"/>
  <c r="M101" i="33"/>
  <c r="N180" i="33"/>
  <c r="L180" i="33"/>
  <c r="M21" i="33"/>
  <c r="M24" i="33" s="1"/>
  <c r="E22" i="33"/>
  <c r="M65" i="33"/>
  <c r="M68" i="33" s="1"/>
  <c r="O68" i="33" s="1"/>
  <c r="N96" i="33"/>
  <c r="E122" i="33"/>
  <c r="L125" i="33"/>
  <c r="E159" i="33"/>
  <c r="E177" i="33"/>
  <c r="E190" i="33"/>
  <c r="M33" i="33"/>
  <c r="M36" i="33" s="1"/>
  <c r="O97" i="33"/>
  <c r="M104" i="33"/>
  <c r="E102" i="33"/>
  <c r="M125" i="33"/>
  <c r="E123" i="33"/>
  <c r="N130" i="33"/>
  <c r="M134" i="33"/>
  <c r="M137" i="33" s="1"/>
  <c r="E135" i="33"/>
  <c r="M159" i="33"/>
  <c r="M162" i="33" s="1"/>
  <c r="O162" i="33" s="1"/>
  <c r="E160" i="33"/>
  <c r="M177" i="33"/>
  <c r="M180" i="33" s="1"/>
  <c r="O180" i="33" s="1"/>
  <c r="E178" i="33"/>
  <c r="M12" i="33"/>
  <c r="O12" i="33" s="1"/>
  <c r="E21" i="33"/>
  <c r="O17" i="33"/>
  <c r="L12" i="33"/>
  <c r="E33" i="33"/>
  <c r="O48" i="33"/>
  <c r="E66" i="33"/>
  <c r="E134" i="33"/>
  <c r="O130" i="33"/>
  <c r="O155" i="33"/>
  <c r="O154" i="33"/>
  <c r="E34" i="33"/>
  <c r="E65" i="33"/>
  <c r="O96" i="33"/>
  <c r="E101" i="33"/>
  <c r="O117" i="33"/>
  <c r="O116" i="33"/>
  <c r="O173" i="33"/>
  <c r="O185" i="33"/>
  <c r="O184" i="33"/>
  <c r="E191" i="33"/>
  <c r="L48" i="33"/>
  <c r="L80" i="33"/>
  <c r="L92" i="33"/>
  <c r="M190" i="33"/>
  <c r="M193" i="33" s="1"/>
  <c r="I144" i="18"/>
  <c r="R146" i="18"/>
  <c r="Q146" i="18"/>
  <c r="S146" i="18" s="1"/>
  <c r="P146" i="18"/>
  <c r="S137" i="18" s="1"/>
  <c r="N36" i="33" l="1"/>
  <c r="O61" i="33"/>
  <c r="O129" i="33"/>
  <c r="N24" i="33"/>
  <c r="O24" i="33" s="1"/>
  <c r="O36" i="33"/>
  <c r="N104" i="33"/>
  <c r="O104" i="33" s="1"/>
  <c r="O193" i="33"/>
  <c r="N137" i="33"/>
  <c r="O137" i="33" s="1"/>
  <c r="O125" i="33"/>
  <c r="O29" i="33"/>
  <c r="N80" i="33"/>
  <c r="O80" i="33" s="1"/>
  <c r="N92" i="33"/>
  <c r="O92" i="33" s="1"/>
  <c r="O73" i="33"/>
  <c r="O72" i="33"/>
  <c r="O84" i="33"/>
  <c r="O85" i="33"/>
  <c r="O41" i="33"/>
  <c r="O40" i="33"/>
  <c r="O5" i="33"/>
  <c r="O4" i="33"/>
  <c r="S138" i="18"/>
  <c r="B36" i="31" l="1"/>
  <c r="B34" i="31"/>
  <c r="F96" i="32"/>
  <c r="A96" i="32"/>
  <c r="J96" i="32" s="1"/>
  <c r="D93" i="32"/>
  <c r="D92" i="32"/>
  <c r="G81" i="32"/>
  <c r="G83" i="32" s="1"/>
  <c r="G84" i="32" s="1"/>
  <c r="G86" i="32" s="1"/>
  <c r="F81" i="32"/>
  <c r="F83" i="32" s="1"/>
  <c r="F84" i="32" s="1"/>
  <c r="F86" i="32" s="1"/>
  <c r="E81" i="32"/>
  <c r="E83" i="32" s="1"/>
  <c r="E84" i="32" s="1"/>
  <c r="E86" i="32" s="1"/>
  <c r="D81" i="32"/>
  <c r="D83" i="32" s="1"/>
  <c r="D84" i="32" s="1"/>
  <c r="D86" i="32" s="1"/>
  <c r="C81" i="32"/>
  <c r="C83" i="32" s="1"/>
  <c r="C84" i="32" s="1"/>
  <c r="C86" i="32" s="1"/>
  <c r="B81" i="32"/>
  <c r="B83" i="32" s="1"/>
  <c r="B84" i="32" s="1"/>
  <c r="B86" i="32" s="1"/>
  <c r="G74" i="32"/>
  <c r="G76" i="32" s="1"/>
  <c r="F74" i="32"/>
  <c r="F76" i="32" s="1"/>
  <c r="E74" i="32"/>
  <c r="E76" i="32" s="1"/>
  <c r="D74" i="32"/>
  <c r="D76" i="32" s="1"/>
  <c r="C74" i="32"/>
  <c r="C76" i="32" s="1"/>
  <c r="B74" i="32"/>
  <c r="B76" i="32" s="1"/>
  <c r="G72" i="32"/>
  <c r="G77" i="32" s="1"/>
  <c r="G79" i="32" s="1"/>
  <c r="F72" i="32"/>
  <c r="F77" i="32" s="1"/>
  <c r="F79" i="32" s="1"/>
  <c r="E72" i="32"/>
  <c r="E77" i="32" s="1"/>
  <c r="E79" i="32" s="1"/>
  <c r="D72" i="32"/>
  <c r="D77" i="32" s="1"/>
  <c r="D79" i="32" s="1"/>
  <c r="C72" i="32"/>
  <c r="C77" i="32" s="1"/>
  <c r="C79" i="32" s="1"/>
  <c r="B72" i="32"/>
  <c r="B77" i="32" s="1"/>
  <c r="B79" i="32" s="1"/>
  <c r="F63" i="32"/>
  <c r="B63" i="32"/>
  <c r="C57" i="32"/>
  <c r="D53" i="32"/>
  <c r="D52" i="32"/>
  <c r="D51" i="32"/>
  <c r="D57" i="32" s="1"/>
  <c r="E63" i="32" s="1"/>
  <c r="G63" i="32" s="1"/>
  <c r="D50" i="32"/>
  <c r="N49" i="32"/>
  <c r="L49" i="32"/>
  <c r="K49" i="32"/>
  <c r="F49" i="32"/>
  <c r="C48" i="32"/>
  <c r="D45" i="32"/>
  <c r="F44" i="32"/>
  <c r="D42" i="32"/>
  <c r="D48" i="32" s="1"/>
  <c r="E61" i="32" s="1"/>
  <c r="G61" i="32" s="1"/>
  <c r="D41" i="32"/>
  <c r="P37" i="32"/>
  <c r="N37" i="32"/>
  <c r="L37" i="32"/>
  <c r="J37" i="32"/>
  <c r="H37" i="32"/>
  <c r="F37" i="32"/>
  <c r="D37" i="32"/>
  <c r="B37" i="32"/>
  <c r="Q36" i="32"/>
  <c r="P36" i="32"/>
  <c r="O36" i="32"/>
  <c r="O37" i="32" s="1"/>
  <c r="N36" i="32"/>
  <c r="M36" i="32"/>
  <c r="M37" i="32" s="1"/>
  <c r="L36" i="32"/>
  <c r="K36" i="32"/>
  <c r="K37" i="32" s="1"/>
  <c r="J36" i="32"/>
  <c r="I36" i="32"/>
  <c r="I37" i="32" s="1"/>
  <c r="H36" i="32"/>
  <c r="G36" i="32"/>
  <c r="G37" i="32" s="1"/>
  <c r="F36" i="32"/>
  <c r="E36" i="32"/>
  <c r="E37" i="32" s="1"/>
  <c r="D36" i="32"/>
  <c r="C36" i="32"/>
  <c r="C37" i="32" s="1"/>
  <c r="B36" i="32"/>
  <c r="R36" i="32" s="1"/>
  <c r="P27" i="32"/>
  <c r="O27" i="32"/>
  <c r="N27" i="32"/>
  <c r="M27" i="32"/>
  <c r="L27" i="32"/>
  <c r="K27" i="32"/>
  <c r="J27" i="32"/>
  <c r="I27" i="32"/>
  <c r="H27" i="32"/>
  <c r="G27" i="32"/>
  <c r="F27" i="32"/>
  <c r="E27" i="32"/>
  <c r="D27" i="32"/>
  <c r="C27" i="32"/>
  <c r="B27" i="32"/>
  <c r="R27" i="32" s="1"/>
  <c r="R26" i="32"/>
  <c r="Q24" i="32"/>
  <c r="Q25" i="32" s="1"/>
  <c r="P24" i="32"/>
  <c r="P25" i="32" s="1"/>
  <c r="O24" i="32"/>
  <c r="O25" i="32" s="1"/>
  <c r="N24" i="32"/>
  <c r="N25" i="32" s="1"/>
  <c r="M24" i="32"/>
  <c r="M25" i="32" s="1"/>
  <c r="L24" i="32"/>
  <c r="L25" i="32" s="1"/>
  <c r="K24" i="32"/>
  <c r="K25" i="32" s="1"/>
  <c r="J24" i="32"/>
  <c r="J25" i="32" s="1"/>
  <c r="I24" i="32"/>
  <c r="I25" i="32" s="1"/>
  <c r="H24" i="32"/>
  <c r="H25" i="32" s="1"/>
  <c r="G24" i="32"/>
  <c r="G25" i="32" s="1"/>
  <c r="F24" i="32"/>
  <c r="F25" i="32" s="1"/>
  <c r="E24" i="32"/>
  <c r="E25" i="32" s="1"/>
  <c r="D24" i="32"/>
  <c r="D25" i="32" s="1"/>
  <c r="C24" i="32"/>
  <c r="C25" i="32" s="1"/>
  <c r="B24" i="32"/>
  <c r="B25" i="32" s="1"/>
  <c r="P19" i="32"/>
  <c r="N19" i="32"/>
  <c r="L19" i="32"/>
  <c r="J19" i="32"/>
  <c r="H19" i="32"/>
  <c r="F19" i="32"/>
  <c r="D19" i="32"/>
  <c r="B19" i="32"/>
  <c r="R19" i="32" s="1"/>
  <c r="Q18" i="32"/>
  <c r="Q19" i="32" s="1"/>
  <c r="P18" i="32"/>
  <c r="O18" i="32"/>
  <c r="O19" i="32" s="1"/>
  <c r="N18" i="32"/>
  <c r="M18" i="32"/>
  <c r="M19" i="32" s="1"/>
  <c r="L18" i="32"/>
  <c r="K18" i="32"/>
  <c r="K19" i="32" s="1"/>
  <c r="J18" i="32"/>
  <c r="I18" i="32"/>
  <c r="I19" i="32" s="1"/>
  <c r="H18" i="32"/>
  <c r="G18" i="32"/>
  <c r="G19" i="32" s="1"/>
  <c r="F18" i="32"/>
  <c r="E18" i="32"/>
  <c r="E19" i="32" s="1"/>
  <c r="D18" i="32"/>
  <c r="C18" i="32"/>
  <c r="C19" i="32" s="1"/>
  <c r="B18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R10" i="32" s="1"/>
  <c r="R9" i="32"/>
  <c r="Q7" i="32"/>
  <c r="Q8" i="32" s="1"/>
  <c r="P7" i="32"/>
  <c r="P8" i="32" s="1"/>
  <c r="O7" i="32"/>
  <c r="O8" i="32" s="1"/>
  <c r="N7" i="32"/>
  <c r="N8" i="32" s="1"/>
  <c r="M7" i="32"/>
  <c r="M8" i="32" s="1"/>
  <c r="L7" i="32"/>
  <c r="L8" i="32" s="1"/>
  <c r="K7" i="32"/>
  <c r="K8" i="32" s="1"/>
  <c r="J7" i="32"/>
  <c r="J8" i="32" s="1"/>
  <c r="I7" i="32"/>
  <c r="I8" i="32" s="1"/>
  <c r="H7" i="32"/>
  <c r="H8" i="32" s="1"/>
  <c r="G7" i="32"/>
  <c r="G8" i="32" s="1"/>
  <c r="F7" i="32"/>
  <c r="F8" i="32" s="1"/>
  <c r="E7" i="32"/>
  <c r="E8" i="32" s="1"/>
  <c r="D7" i="32"/>
  <c r="D8" i="32" s="1"/>
  <c r="C7" i="32"/>
  <c r="C8" i="32" s="1"/>
  <c r="B7" i="32"/>
  <c r="B8" i="32" s="1"/>
  <c r="F84" i="31"/>
  <c r="A84" i="31"/>
  <c r="J84" i="31" s="1"/>
  <c r="C52" i="31"/>
  <c r="D50" i="31"/>
  <c r="D49" i="31"/>
  <c r="D48" i="31"/>
  <c r="D47" i="31"/>
  <c r="D52" i="31" s="1"/>
  <c r="E36" i="31" s="1"/>
  <c r="G36" i="31" s="1"/>
  <c r="N46" i="31"/>
  <c r="L46" i="31"/>
  <c r="F46" i="31"/>
  <c r="C45" i="31"/>
  <c r="F43" i="31"/>
  <c r="K46" i="31" s="1"/>
  <c r="D43" i="31"/>
  <c r="D41" i="31"/>
  <c r="D40" i="31"/>
  <c r="D45" i="31" s="1"/>
  <c r="E34" i="31" s="1"/>
  <c r="G34" i="31" s="1"/>
  <c r="F36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B30" i="31"/>
  <c r="R30" i="31" s="1"/>
  <c r="R23" i="31"/>
  <c r="R22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R16" i="31" s="1"/>
  <c r="R9" i="31"/>
  <c r="R8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R7" i="31" s="1"/>
  <c r="C179" i="18"/>
  <c r="R25" i="32" l="1"/>
  <c r="S27" i="32" s="1"/>
  <c r="R8" i="32"/>
  <c r="S10" i="32" s="1"/>
  <c r="R21" i="31"/>
  <c r="R37" i="32"/>
  <c r="R18" i="32"/>
  <c r="C288" i="18"/>
  <c r="C274" i="18"/>
  <c r="R27" i="30"/>
  <c r="R28" i="30"/>
  <c r="D33" i="30"/>
  <c r="E33" i="30"/>
  <c r="F33" i="30"/>
  <c r="G33" i="30"/>
  <c r="H33" i="30"/>
  <c r="I33" i="30"/>
  <c r="J33" i="30"/>
  <c r="K33" i="30"/>
  <c r="L33" i="30"/>
  <c r="M33" i="30"/>
  <c r="N33" i="30"/>
  <c r="O33" i="30"/>
  <c r="P33" i="30"/>
  <c r="Q33" i="30"/>
  <c r="B33" i="30"/>
  <c r="B34" i="30"/>
  <c r="C33" i="30"/>
  <c r="R32" i="30"/>
  <c r="R31" i="30"/>
  <c r="R30" i="30"/>
  <c r="R29" i="30"/>
  <c r="B34" i="12"/>
  <c r="C34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B33" i="12"/>
  <c r="R54" i="12"/>
  <c r="R55" i="12"/>
  <c r="R49" i="30"/>
  <c r="R50" i="30"/>
  <c r="R51" i="30"/>
  <c r="R52" i="30"/>
  <c r="R53" i="30"/>
  <c r="B54" i="30"/>
  <c r="B13" i="30"/>
  <c r="R55" i="30"/>
  <c r="R35" i="30"/>
  <c r="R13" i="30"/>
  <c r="R14" i="30"/>
  <c r="S37" i="32" l="1"/>
  <c r="S19" i="32"/>
  <c r="R35" i="12"/>
  <c r="R13" i="12"/>
  <c r="R14" i="12"/>
  <c r="F127" i="30"/>
  <c r="A127" i="30"/>
  <c r="J127" i="30" s="1"/>
  <c r="D123" i="30"/>
  <c r="D122" i="30"/>
  <c r="D121" i="30"/>
  <c r="D120" i="30"/>
  <c r="D119" i="30"/>
  <c r="D118" i="30"/>
  <c r="D115" i="30"/>
  <c r="D114" i="30"/>
  <c r="D113" i="30"/>
  <c r="D112" i="30"/>
  <c r="D111" i="30"/>
  <c r="D110" i="30"/>
  <c r="C103" i="30"/>
  <c r="D102" i="30"/>
  <c r="D100" i="30"/>
  <c r="D99" i="30"/>
  <c r="D97" i="30"/>
  <c r="D96" i="30"/>
  <c r="D95" i="30"/>
  <c r="D94" i="30"/>
  <c r="D103" i="30" s="1"/>
  <c r="E75" i="30" s="1"/>
  <c r="G75" i="30" s="1"/>
  <c r="N93" i="30"/>
  <c r="M93" i="30"/>
  <c r="L93" i="30"/>
  <c r="F93" i="30"/>
  <c r="C92" i="30"/>
  <c r="D89" i="30"/>
  <c r="D88" i="30"/>
  <c r="F86" i="30"/>
  <c r="K93" i="30" s="1"/>
  <c r="D84" i="30"/>
  <c r="D83" i="30"/>
  <c r="D92" i="30" s="1"/>
  <c r="E73" i="30" s="1"/>
  <c r="G73" i="30" s="1"/>
  <c r="C79" i="30"/>
  <c r="C78" i="30"/>
  <c r="F75" i="30"/>
  <c r="B75" i="30"/>
  <c r="B73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R68" i="30" s="1"/>
  <c r="R56" i="30"/>
  <c r="Q53" i="30"/>
  <c r="Q54" i="30" s="1"/>
  <c r="P53" i="30"/>
  <c r="P54" i="30" s="1"/>
  <c r="O53" i="30"/>
  <c r="O54" i="30" s="1"/>
  <c r="N53" i="30"/>
  <c r="N54" i="30" s="1"/>
  <c r="M53" i="30"/>
  <c r="M54" i="30" s="1"/>
  <c r="L53" i="30"/>
  <c r="L54" i="30" s="1"/>
  <c r="K53" i="30"/>
  <c r="K54" i="30" s="1"/>
  <c r="J53" i="30"/>
  <c r="J54" i="30" s="1"/>
  <c r="I53" i="30"/>
  <c r="I54" i="30" s="1"/>
  <c r="H53" i="30"/>
  <c r="H54" i="30" s="1"/>
  <c r="G53" i="30"/>
  <c r="G54" i="30" s="1"/>
  <c r="F53" i="30"/>
  <c r="F54" i="30" s="1"/>
  <c r="E53" i="30"/>
  <c r="E54" i="30" s="1"/>
  <c r="D53" i="30"/>
  <c r="D54" i="30" s="1"/>
  <c r="C53" i="30"/>
  <c r="C54" i="30" s="1"/>
  <c r="B53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R46" i="30" s="1"/>
  <c r="R36" i="30"/>
  <c r="Q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R34" i="30" s="1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R24" i="30" s="1"/>
  <c r="R15" i="30"/>
  <c r="Q12" i="30"/>
  <c r="Q13" i="30" s="1"/>
  <c r="P12" i="30"/>
  <c r="P13" i="30" s="1"/>
  <c r="O12" i="30"/>
  <c r="O13" i="30" s="1"/>
  <c r="N12" i="30"/>
  <c r="N13" i="30" s="1"/>
  <c r="M12" i="30"/>
  <c r="M13" i="30" s="1"/>
  <c r="L12" i="30"/>
  <c r="L13" i="30" s="1"/>
  <c r="K12" i="30"/>
  <c r="K13" i="30" s="1"/>
  <c r="J12" i="30"/>
  <c r="J13" i="30" s="1"/>
  <c r="I12" i="30"/>
  <c r="I13" i="30" s="1"/>
  <c r="H12" i="30"/>
  <c r="H13" i="30" s="1"/>
  <c r="G12" i="30"/>
  <c r="G13" i="30" s="1"/>
  <c r="F12" i="30"/>
  <c r="F13" i="30" s="1"/>
  <c r="E12" i="30"/>
  <c r="E13" i="30" s="1"/>
  <c r="D12" i="30"/>
  <c r="D13" i="30" s="1"/>
  <c r="C12" i="30"/>
  <c r="C13" i="30" s="1"/>
  <c r="B12" i="30"/>
  <c r="O253" i="18"/>
  <c r="N253" i="18"/>
  <c r="P252" i="18"/>
  <c r="Q252" i="18" s="1"/>
  <c r="P251" i="18"/>
  <c r="Q251" i="18" s="1"/>
  <c r="H251" i="18"/>
  <c r="G251" i="18"/>
  <c r="K251" i="18" s="1"/>
  <c r="P250" i="18"/>
  <c r="Q250" i="18" s="1"/>
  <c r="H250" i="18"/>
  <c r="G250" i="18"/>
  <c r="K250" i="18" s="1"/>
  <c r="P245" i="18"/>
  <c r="R245" i="18" s="1"/>
  <c r="J245" i="18"/>
  <c r="K245" i="18" s="1"/>
  <c r="G245" i="18"/>
  <c r="P244" i="18"/>
  <c r="R244" i="18" s="1"/>
  <c r="J244" i="18"/>
  <c r="K244" i="18" s="1"/>
  <c r="G244" i="18"/>
  <c r="Q110" i="18"/>
  <c r="Q109" i="18"/>
  <c r="J110" i="18"/>
  <c r="K110" i="18" s="1"/>
  <c r="J109" i="18"/>
  <c r="R40" i="17"/>
  <c r="R41" i="17"/>
  <c r="R16" i="17"/>
  <c r="R17" i="17"/>
  <c r="G73" i="29"/>
  <c r="F73" i="29"/>
  <c r="E73" i="29"/>
  <c r="D73" i="29"/>
  <c r="C73" i="29"/>
  <c r="B73" i="29"/>
  <c r="G69" i="29"/>
  <c r="G74" i="29" s="1"/>
  <c r="G76" i="29" s="1"/>
  <c r="F69" i="29"/>
  <c r="F74" i="29" s="1"/>
  <c r="F76" i="29" s="1"/>
  <c r="E69" i="29"/>
  <c r="E74" i="29" s="1"/>
  <c r="E76" i="29" s="1"/>
  <c r="D69" i="29"/>
  <c r="D74" i="29" s="1"/>
  <c r="D76" i="29" s="1"/>
  <c r="C69" i="29"/>
  <c r="C74" i="29" s="1"/>
  <c r="C76" i="29" s="1"/>
  <c r="B69" i="29"/>
  <c r="B74" i="29" s="1"/>
  <c r="B76" i="29" s="1"/>
  <c r="R40" i="29"/>
  <c r="R41" i="29"/>
  <c r="R16" i="29"/>
  <c r="R17" i="29"/>
  <c r="B7" i="17"/>
  <c r="F121" i="29"/>
  <c r="A121" i="29"/>
  <c r="J121" i="29" s="1"/>
  <c r="D118" i="29"/>
  <c r="D117" i="29"/>
  <c r="E117" i="29" s="1"/>
  <c r="D116" i="29"/>
  <c r="D113" i="29"/>
  <c r="D112" i="29"/>
  <c r="E112" i="29" s="1"/>
  <c r="D111" i="29"/>
  <c r="C104" i="29"/>
  <c r="D101" i="29"/>
  <c r="D100" i="29"/>
  <c r="D99" i="29"/>
  <c r="D97" i="29"/>
  <c r="D96" i="29"/>
  <c r="D95" i="29"/>
  <c r="D94" i="29"/>
  <c r="D104" i="29" s="1"/>
  <c r="E60" i="29" s="1"/>
  <c r="G60" i="29" s="1"/>
  <c r="C92" i="29"/>
  <c r="N90" i="29"/>
  <c r="M90" i="29"/>
  <c r="L90" i="29"/>
  <c r="F90" i="29"/>
  <c r="D88" i="29"/>
  <c r="F87" i="29"/>
  <c r="K90" i="29" s="1"/>
  <c r="D87" i="29"/>
  <c r="D85" i="29"/>
  <c r="D84" i="29"/>
  <c r="D92" i="29" s="1"/>
  <c r="E58" i="29" s="1"/>
  <c r="G58" i="29" s="1"/>
  <c r="B60" i="29"/>
  <c r="B58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C54" i="29"/>
  <c r="B54" i="29"/>
  <c r="R54" i="29" s="1"/>
  <c r="R42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B39" i="29"/>
  <c r="Q37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D37" i="29"/>
  <c r="C37" i="29"/>
  <c r="B37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B35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Q31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C31" i="29"/>
  <c r="B31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B27" i="29"/>
  <c r="R27" i="29" s="1"/>
  <c r="R18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Q7" i="29"/>
  <c r="Q16" i="29" s="1"/>
  <c r="P7" i="29"/>
  <c r="P16" i="29" s="1"/>
  <c r="O7" i="29"/>
  <c r="O16" i="29" s="1"/>
  <c r="N7" i="29"/>
  <c r="N16" i="29" s="1"/>
  <c r="M7" i="29"/>
  <c r="M16" i="29" s="1"/>
  <c r="L7" i="29"/>
  <c r="L16" i="29" s="1"/>
  <c r="K7" i="29"/>
  <c r="K16" i="29" s="1"/>
  <c r="J7" i="29"/>
  <c r="J16" i="29" s="1"/>
  <c r="I7" i="29"/>
  <c r="I16" i="29" s="1"/>
  <c r="H7" i="29"/>
  <c r="H16" i="29" s="1"/>
  <c r="G7" i="29"/>
  <c r="G16" i="29" s="1"/>
  <c r="F7" i="29"/>
  <c r="F16" i="29" s="1"/>
  <c r="E7" i="29"/>
  <c r="E16" i="29" s="1"/>
  <c r="D7" i="29"/>
  <c r="D16" i="29" s="1"/>
  <c r="C7" i="29"/>
  <c r="C16" i="29" s="1"/>
  <c r="B7" i="29"/>
  <c r="B16" i="29" s="1"/>
  <c r="O117" i="18"/>
  <c r="N117" i="18"/>
  <c r="P116" i="18"/>
  <c r="Q116" i="18" s="1"/>
  <c r="P115" i="18"/>
  <c r="Q115" i="18" s="1"/>
  <c r="H115" i="18"/>
  <c r="G115" i="18"/>
  <c r="K115" i="18" s="1"/>
  <c r="P114" i="18"/>
  <c r="Q114" i="18" s="1"/>
  <c r="H114" i="18"/>
  <c r="G114" i="18"/>
  <c r="K114" i="18" s="1"/>
  <c r="P110" i="18"/>
  <c r="G110" i="18"/>
  <c r="P109" i="18"/>
  <c r="R109" i="18" s="1"/>
  <c r="K109" i="18"/>
  <c r="G109" i="18"/>
  <c r="Q24" i="7"/>
  <c r="Q25" i="7"/>
  <c r="Q7" i="7"/>
  <c r="Q8" i="7"/>
  <c r="F104" i="28"/>
  <c r="A104" i="28"/>
  <c r="J104" i="28" s="1"/>
  <c r="D100" i="28"/>
  <c r="D99" i="28"/>
  <c r="D98" i="28"/>
  <c r="D97" i="28"/>
  <c r="D96" i="28"/>
  <c r="D95" i="28"/>
  <c r="D92" i="28"/>
  <c r="D91" i="28"/>
  <c r="D90" i="28"/>
  <c r="D89" i="28"/>
  <c r="D88" i="28"/>
  <c r="D87" i="28"/>
  <c r="G75" i="28"/>
  <c r="G77" i="28" s="1"/>
  <c r="F75" i="28"/>
  <c r="F77" i="28" s="1"/>
  <c r="E75" i="28"/>
  <c r="E77" i="28" s="1"/>
  <c r="D75" i="28"/>
  <c r="D77" i="28" s="1"/>
  <c r="C75" i="28"/>
  <c r="C77" i="28" s="1"/>
  <c r="B75" i="28"/>
  <c r="B77" i="28" s="1"/>
  <c r="G73" i="28"/>
  <c r="G78" i="28" s="1"/>
  <c r="G80" i="28" s="1"/>
  <c r="F73" i="28"/>
  <c r="F78" i="28" s="1"/>
  <c r="F80" i="28" s="1"/>
  <c r="E73" i="28"/>
  <c r="E78" i="28" s="1"/>
  <c r="E80" i="28" s="1"/>
  <c r="D73" i="28"/>
  <c r="D78" i="28" s="1"/>
  <c r="D80" i="28" s="1"/>
  <c r="C73" i="28"/>
  <c r="C78" i="28" s="1"/>
  <c r="C80" i="28" s="1"/>
  <c r="B73" i="28"/>
  <c r="B78" i="28" s="1"/>
  <c r="B80" i="28" s="1"/>
  <c r="F64" i="28"/>
  <c r="B64" i="28"/>
  <c r="B62" i="28"/>
  <c r="C58" i="28"/>
  <c r="D56" i="28"/>
  <c r="D55" i="28"/>
  <c r="D54" i="28"/>
  <c r="D53" i="28"/>
  <c r="D52" i="28"/>
  <c r="D58" i="28" s="1"/>
  <c r="E64" i="28" s="1"/>
  <c r="G64" i="28" s="1"/>
  <c r="D51" i="28"/>
  <c r="N49" i="28"/>
  <c r="K49" i="28"/>
  <c r="F49" i="28"/>
  <c r="C49" i="28"/>
  <c r="D46" i="28"/>
  <c r="F45" i="28"/>
  <c r="D43" i="28"/>
  <c r="D49" i="28" s="1"/>
  <c r="G62" i="28" s="1"/>
  <c r="D42" i="28"/>
  <c r="P37" i="28"/>
  <c r="O37" i="28"/>
  <c r="O38" i="28" s="1"/>
  <c r="N37" i="28"/>
  <c r="N38" i="28" s="1"/>
  <c r="M37" i="28"/>
  <c r="M38" i="28" s="1"/>
  <c r="L37" i="28"/>
  <c r="L38" i="28" s="1"/>
  <c r="K37" i="28"/>
  <c r="K38" i="28" s="1"/>
  <c r="J37" i="28"/>
  <c r="J38" i="28" s="1"/>
  <c r="I37" i="28"/>
  <c r="I38" i="28" s="1"/>
  <c r="H37" i="28"/>
  <c r="H38" i="28" s="1"/>
  <c r="G37" i="28"/>
  <c r="G38" i="28" s="1"/>
  <c r="F37" i="28"/>
  <c r="F38" i="28" s="1"/>
  <c r="E37" i="28"/>
  <c r="E38" i="28" s="1"/>
  <c r="D37" i="28"/>
  <c r="D38" i="28" s="1"/>
  <c r="C37" i="28"/>
  <c r="C38" i="28" s="1"/>
  <c r="B37" i="28"/>
  <c r="Q37" i="28" s="1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Q28" i="28" s="1"/>
  <c r="Q27" i="28"/>
  <c r="P25" i="28"/>
  <c r="P26" i="28" s="1"/>
  <c r="O25" i="28"/>
  <c r="O26" i="28" s="1"/>
  <c r="N25" i="28"/>
  <c r="N26" i="28" s="1"/>
  <c r="M25" i="28"/>
  <c r="M26" i="28" s="1"/>
  <c r="L25" i="28"/>
  <c r="L26" i="28" s="1"/>
  <c r="K25" i="28"/>
  <c r="K26" i="28" s="1"/>
  <c r="J25" i="28"/>
  <c r="J26" i="28" s="1"/>
  <c r="I25" i="28"/>
  <c r="I26" i="28" s="1"/>
  <c r="H25" i="28"/>
  <c r="H26" i="28" s="1"/>
  <c r="G25" i="28"/>
  <c r="G26" i="28" s="1"/>
  <c r="F25" i="28"/>
  <c r="F26" i="28" s="1"/>
  <c r="E25" i="28"/>
  <c r="E26" i="28" s="1"/>
  <c r="D25" i="28"/>
  <c r="D26" i="28" s="1"/>
  <c r="C25" i="28"/>
  <c r="C26" i="28" s="1"/>
  <c r="B25" i="28"/>
  <c r="B26" i="28" s="1"/>
  <c r="Q26" i="28" s="1"/>
  <c r="P18" i="28"/>
  <c r="O18" i="28"/>
  <c r="O19" i="28" s="1"/>
  <c r="N18" i="28"/>
  <c r="N19" i="28" s="1"/>
  <c r="M18" i="28"/>
  <c r="M19" i="28" s="1"/>
  <c r="L18" i="28"/>
  <c r="L19" i="28" s="1"/>
  <c r="K18" i="28"/>
  <c r="K19" i="28" s="1"/>
  <c r="J18" i="28"/>
  <c r="J19" i="28" s="1"/>
  <c r="I18" i="28"/>
  <c r="I19" i="28" s="1"/>
  <c r="H18" i="28"/>
  <c r="H19" i="28" s="1"/>
  <c r="G18" i="28"/>
  <c r="G19" i="28" s="1"/>
  <c r="F18" i="28"/>
  <c r="F19" i="28" s="1"/>
  <c r="E18" i="28"/>
  <c r="E19" i="28" s="1"/>
  <c r="D18" i="28"/>
  <c r="D19" i="28" s="1"/>
  <c r="C18" i="28"/>
  <c r="C19" i="28" s="1"/>
  <c r="B18" i="28"/>
  <c r="Q18" i="28" s="1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Q10" i="28" s="1"/>
  <c r="Q9" i="28"/>
  <c r="P7" i="28"/>
  <c r="P8" i="28" s="1"/>
  <c r="O7" i="28"/>
  <c r="O8" i="28" s="1"/>
  <c r="N7" i="28"/>
  <c r="N8" i="28" s="1"/>
  <c r="M7" i="28"/>
  <c r="M8" i="28" s="1"/>
  <c r="L7" i="28"/>
  <c r="L8" i="28" s="1"/>
  <c r="K7" i="28"/>
  <c r="K8" i="28" s="1"/>
  <c r="J7" i="28"/>
  <c r="J8" i="28" s="1"/>
  <c r="I7" i="28"/>
  <c r="I8" i="28" s="1"/>
  <c r="H7" i="28"/>
  <c r="H8" i="28" s="1"/>
  <c r="G7" i="28"/>
  <c r="G8" i="28" s="1"/>
  <c r="F7" i="28"/>
  <c r="F8" i="28" s="1"/>
  <c r="E7" i="28"/>
  <c r="E8" i="28" s="1"/>
  <c r="D7" i="28"/>
  <c r="D8" i="28" s="1"/>
  <c r="C7" i="28"/>
  <c r="C8" i="28" s="1"/>
  <c r="O237" i="18"/>
  <c r="N237" i="18"/>
  <c r="P236" i="18"/>
  <c r="Q236" i="18" s="1"/>
  <c r="P235" i="18"/>
  <c r="Q235" i="18" s="1"/>
  <c r="H235" i="18"/>
  <c r="G235" i="18"/>
  <c r="K235" i="18" s="1"/>
  <c r="P234" i="18"/>
  <c r="Q234" i="18" s="1"/>
  <c r="H234" i="18"/>
  <c r="G234" i="18"/>
  <c r="K234" i="18" s="1"/>
  <c r="P230" i="18"/>
  <c r="R230" i="18" s="1"/>
  <c r="J230" i="18"/>
  <c r="K230" i="18" s="1"/>
  <c r="I235" i="18" s="1"/>
  <c r="G230" i="18"/>
  <c r="P229" i="18"/>
  <c r="R229" i="18" s="1"/>
  <c r="J229" i="18"/>
  <c r="K229" i="18" s="1"/>
  <c r="I234" i="18" s="1"/>
  <c r="G229" i="18"/>
  <c r="J214" i="18"/>
  <c r="K214" i="18" s="1"/>
  <c r="J213" i="18"/>
  <c r="Q36" i="9"/>
  <c r="Q37" i="9"/>
  <c r="Q14" i="9"/>
  <c r="Q15" i="9"/>
  <c r="F127" i="27"/>
  <c r="A127" i="27"/>
  <c r="J127" i="27" s="1"/>
  <c r="D123" i="27"/>
  <c r="D122" i="27"/>
  <c r="D121" i="27"/>
  <c r="D120" i="27"/>
  <c r="D119" i="27"/>
  <c r="D118" i="27"/>
  <c r="D115" i="27"/>
  <c r="D114" i="27"/>
  <c r="D113" i="27"/>
  <c r="D112" i="27"/>
  <c r="D111" i="27"/>
  <c r="D110" i="27"/>
  <c r="G98" i="27"/>
  <c r="G100" i="27" s="1"/>
  <c r="F98" i="27"/>
  <c r="F100" i="27" s="1"/>
  <c r="E98" i="27"/>
  <c r="E100" i="27" s="1"/>
  <c r="D98" i="27"/>
  <c r="D100" i="27" s="1"/>
  <c r="C98" i="27"/>
  <c r="C100" i="27" s="1"/>
  <c r="B98" i="27"/>
  <c r="B100" i="27" s="1"/>
  <c r="G96" i="27"/>
  <c r="G101" i="27" s="1"/>
  <c r="G103" i="27" s="1"/>
  <c r="F96" i="27"/>
  <c r="F101" i="27" s="1"/>
  <c r="F103" i="27" s="1"/>
  <c r="E96" i="27"/>
  <c r="E101" i="27" s="1"/>
  <c r="E103" i="27" s="1"/>
  <c r="D96" i="27"/>
  <c r="D101" i="27" s="1"/>
  <c r="D103" i="27" s="1"/>
  <c r="C96" i="27"/>
  <c r="C101" i="27" s="1"/>
  <c r="C103" i="27" s="1"/>
  <c r="B96" i="27"/>
  <c r="B101" i="27" s="1"/>
  <c r="B103" i="27" s="1"/>
  <c r="C87" i="27"/>
  <c r="C86" i="27"/>
  <c r="F83" i="27"/>
  <c r="B83" i="27"/>
  <c r="B81" i="27"/>
  <c r="C77" i="27"/>
  <c r="D75" i="27"/>
  <c r="D71" i="27"/>
  <c r="D70" i="27"/>
  <c r="D69" i="27"/>
  <c r="D68" i="27"/>
  <c r="D77" i="27" s="1"/>
  <c r="E83" i="27" s="1"/>
  <c r="G83" i="27" s="1"/>
  <c r="N67" i="27"/>
  <c r="L67" i="27"/>
  <c r="F67" i="27"/>
  <c r="C66" i="27"/>
  <c r="D63" i="27"/>
  <c r="F62" i="27"/>
  <c r="K67" i="27" s="1"/>
  <c r="D60" i="27"/>
  <c r="D59" i="27"/>
  <c r="D66" i="27" s="1"/>
  <c r="E81" i="27" s="1"/>
  <c r="G81" i="27" s="1"/>
  <c r="P55" i="27"/>
  <c r="P56" i="27" s="1"/>
  <c r="O55" i="27"/>
  <c r="O56" i="27" s="1"/>
  <c r="N55" i="27"/>
  <c r="N56" i="27" s="1"/>
  <c r="M55" i="27"/>
  <c r="M56" i="27" s="1"/>
  <c r="L55" i="27"/>
  <c r="L56" i="27" s="1"/>
  <c r="K55" i="27"/>
  <c r="K56" i="27" s="1"/>
  <c r="J55" i="27"/>
  <c r="J56" i="27" s="1"/>
  <c r="I55" i="27"/>
  <c r="I56" i="27" s="1"/>
  <c r="H55" i="27"/>
  <c r="H56" i="27" s="1"/>
  <c r="G55" i="27"/>
  <c r="G56" i="27" s="1"/>
  <c r="F55" i="27"/>
  <c r="F56" i="27" s="1"/>
  <c r="E55" i="27"/>
  <c r="E56" i="27" s="1"/>
  <c r="D55" i="27"/>
  <c r="D56" i="27" s="1"/>
  <c r="C55" i="27"/>
  <c r="C56" i="27" s="1"/>
  <c r="B55" i="27"/>
  <c r="Q55" i="27" s="1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Q43" i="27" s="1"/>
  <c r="Q42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P31" i="27"/>
  <c r="P40" i="27" s="1"/>
  <c r="P41" i="27" s="1"/>
  <c r="O31" i="27"/>
  <c r="O40" i="27" s="1"/>
  <c r="O41" i="27" s="1"/>
  <c r="N31" i="27"/>
  <c r="N40" i="27" s="1"/>
  <c r="N41" i="27" s="1"/>
  <c r="M31" i="27"/>
  <c r="M40" i="27" s="1"/>
  <c r="M41" i="27" s="1"/>
  <c r="L31" i="27"/>
  <c r="L40" i="27" s="1"/>
  <c r="L41" i="27" s="1"/>
  <c r="K31" i="27"/>
  <c r="K40" i="27" s="1"/>
  <c r="K41" i="27" s="1"/>
  <c r="J31" i="27"/>
  <c r="J40" i="27" s="1"/>
  <c r="J41" i="27" s="1"/>
  <c r="I31" i="27"/>
  <c r="I40" i="27" s="1"/>
  <c r="I41" i="27" s="1"/>
  <c r="H31" i="27"/>
  <c r="H40" i="27" s="1"/>
  <c r="H41" i="27" s="1"/>
  <c r="G31" i="27"/>
  <c r="G40" i="27" s="1"/>
  <c r="G41" i="27" s="1"/>
  <c r="F31" i="27"/>
  <c r="F40" i="27" s="1"/>
  <c r="F41" i="27" s="1"/>
  <c r="E31" i="27"/>
  <c r="E40" i="27" s="1"/>
  <c r="E41" i="27" s="1"/>
  <c r="D31" i="27"/>
  <c r="D40" i="27" s="1"/>
  <c r="D41" i="27" s="1"/>
  <c r="C31" i="27"/>
  <c r="C40" i="27" s="1"/>
  <c r="C41" i="27" s="1"/>
  <c r="B31" i="27"/>
  <c r="B40" i="27" s="1"/>
  <c r="B41" i="27" s="1"/>
  <c r="Q41" i="27" s="1"/>
  <c r="P26" i="27"/>
  <c r="P27" i="27" s="1"/>
  <c r="O26" i="27"/>
  <c r="O27" i="27" s="1"/>
  <c r="N26" i="27"/>
  <c r="N27" i="27" s="1"/>
  <c r="M26" i="27"/>
  <c r="M27" i="27" s="1"/>
  <c r="L26" i="27"/>
  <c r="L27" i="27" s="1"/>
  <c r="K26" i="27"/>
  <c r="K27" i="27" s="1"/>
  <c r="J26" i="27"/>
  <c r="J27" i="27" s="1"/>
  <c r="I26" i="27"/>
  <c r="I27" i="27" s="1"/>
  <c r="H26" i="27"/>
  <c r="H27" i="27" s="1"/>
  <c r="G26" i="27"/>
  <c r="G27" i="27" s="1"/>
  <c r="F26" i="27"/>
  <c r="F27" i="27" s="1"/>
  <c r="E26" i="27"/>
  <c r="E27" i="27" s="1"/>
  <c r="D26" i="27"/>
  <c r="D27" i="27" s="1"/>
  <c r="C26" i="27"/>
  <c r="C27" i="27" s="1"/>
  <c r="B26" i="27"/>
  <c r="B27" i="27" s="1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Q18" i="27" s="1"/>
  <c r="Q17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P6" i="27"/>
  <c r="P15" i="27" s="1"/>
  <c r="P16" i="27" s="1"/>
  <c r="O6" i="27"/>
  <c r="O15" i="27" s="1"/>
  <c r="O16" i="27" s="1"/>
  <c r="N6" i="27"/>
  <c r="N15" i="27" s="1"/>
  <c r="N16" i="27" s="1"/>
  <c r="M6" i="27"/>
  <c r="M15" i="27" s="1"/>
  <c r="M16" i="27" s="1"/>
  <c r="L6" i="27"/>
  <c r="L15" i="27" s="1"/>
  <c r="L16" i="27" s="1"/>
  <c r="K6" i="27"/>
  <c r="K15" i="27" s="1"/>
  <c r="K16" i="27" s="1"/>
  <c r="J6" i="27"/>
  <c r="J15" i="27" s="1"/>
  <c r="J16" i="27" s="1"/>
  <c r="I6" i="27"/>
  <c r="I15" i="27" s="1"/>
  <c r="I16" i="27" s="1"/>
  <c r="H6" i="27"/>
  <c r="H15" i="27" s="1"/>
  <c r="H16" i="27" s="1"/>
  <c r="G6" i="27"/>
  <c r="G15" i="27" s="1"/>
  <c r="G16" i="27" s="1"/>
  <c r="F6" i="27"/>
  <c r="F15" i="27" s="1"/>
  <c r="F16" i="27" s="1"/>
  <c r="E6" i="27"/>
  <c r="E15" i="27" s="1"/>
  <c r="E16" i="27" s="1"/>
  <c r="D6" i="27"/>
  <c r="D15" i="27" s="1"/>
  <c r="D16" i="27" s="1"/>
  <c r="C6" i="27"/>
  <c r="C15" i="27" s="1"/>
  <c r="C16" i="27" s="1"/>
  <c r="B6" i="27"/>
  <c r="B15" i="27" s="1"/>
  <c r="B16" i="27" s="1"/>
  <c r="Q16" i="27" s="1"/>
  <c r="O221" i="18"/>
  <c r="N221" i="18"/>
  <c r="P220" i="18"/>
  <c r="Q220" i="18" s="1"/>
  <c r="P219" i="18"/>
  <c r="Q219" i="18" s="1"/>
  <c r="H219" i="18"/>
  <c r="G219" i="18"/>
  <c r="K219" i="18" s="1"/>
  <c r="P218" i="18"/>
  <c r="Q218" i="18" s="1"/>
  <c r="H218" i="18"/>
  <c r="G218" i="18"/>
  <c r="K218" i="18" s="1"/>
  <c r="P214" i="18"/>
  <c r="G214" i="18"/>
  <c r="P213" i="18"/>
  <c r="K213" i="18"/>
  <c r="I218" i="18" s="1"/>
  <c r="G213" i="18"/>
  <c r="Q86" i="18"/>
  <c r="Q85" i="18"/>
  <c r="J86" i="18"/>
  <c r="J85" i="18"/>
  <c r="R42" i="15"/>
  <c r="R43" i="15"/>
  <c r="R16" i="15"/>
  <c r="R17" i="15"/>
  <c r="F124" i="26"/>
  <c r="A124" i="26"/>
  <c r="J124" i="26" s="1"/>
  <c r="D121" i="26"/>
  <c r="D120" i="26"/>
  <c r="E120" i="26" s="1"/>
  <c r="D119" i="26"/>
  <c r="D117" i="26"/>
  <c r="D116" i="26"/>
  <c r="E116" i="26" s="1"/>
  <c r="D115" i="26"/>
  <c r="G103" i="26"/>
  <c r="G105" i="26" s="1"/>
  <c r="F103" i="26"/>
  <c r="F105" i="26" s="1"/>
  <c r="E103" i="26"/>
  <c r="E105" i="26" s="1"/>
  <c r="D103" i="26"/>
  <c r="D105" i="26" s="1"/>
  <c r="C103" i="26"/>
  <c r="C105" i="26" s="1"/>
  <c r="B103" i="26"/>
  <c r="B105" i="26" s="1"/>
  <c r="G101" i="26"/>
  <c r="G106" i="26" s="1"/>
  <c r="G108" i="26" s="1"/>
  <c r="F101" i="26"/>
  <c r="F106" i="26" s="1"/>
  <c r="F108" i="26" s="1"/>
  <c r="E101" i="26"/>
  <c r="E106" i="26" s="1"/>
  <c r="E108" i="26" s="1"/>
  <c r="D101" i="26"/>
  <c r="D106" i="26" s="1"/>
  <c r="D108" i="26" s="1"/>
  <c r="C101" i="26"/>
  <c r="C106" i="26" s="1"/>
  <c r="C108" i="26" s="1"/>
  <c r="B101" i="26"/>
  <c r="B106" i="26" s="1"/>
  <c r="B108" i="26" s="1"/>
  <c r="B92" i="26"/>
  <c r="B90" i="26"/>
  <c r="C86" i="26"/>
  <c r="D84" i="26"/>
  <c r="D83" i="26"/>
  <c r="D82" i="26"/>
  <c r="D81" i="26"/>
  <c r="D79" i="26"/>
  <c r="D78" i="26"/>
  <c r="D77" i="26"/>
  <c r="D76" i="26"/>
  <c r="D75" i="26"/>
  <c r="D74" i="26"/>
  <c r="D86" i="26" s="1"/>
  <c r="E92" i="26" s="1"/>
  <c r="G92" i="26" s="1"/>
  <c r="N72" i="26"/>
  <c r="M72" i="26"/>
  <c r="L72" i="26"/>
  <c r="F72" i="26"/>
  <c r="K72" i="26" s="1"/>
  <c r="C72" i="26"/>
  <c r="D69" i="26"/>
  <c r="D68" i="26"/>
  <c r="F66" i="26"/>
  <c r="D65" i="26"/>
  <c r="D64" i="26"/>
  <c r="D63" i="26"/>
  <c r="D72" i="26" s="1"/>
  <c r="E90" i="26" s="1"/>
  <c r="G90" i="26" s="1"/>
  <c r="Q58" i="26"/>
  <c r="Q59" i="26" s="1"/>
  <c r="P58" i="26"/>
  <c r="P59" i="26" s="1"/>
  <c r="O58" i="26"/>
  <c r="O59" i="26" s="1"/>
  <c r="N58" i="26"/>
  <c r="N59" i="26" s="1"/>
  <c r="M58" i="26"/>
  <c r="M59" i="26" s="1"/>
  <c r="L58" i="26"/>
  <c r="L59" i="26" s="1"/>
  <c r="K58" i="26"/>
  <c r="K59" i="26" s="1"/>
  <c r="J58" i="26"/>
  <c r="J59" i="26" s="1"/>
  <c r="I58" i="26"/>
  <c r="I59" i="26" s="1"/>
  <c r="H58" i="26"/>
  <c r="H59" i="26" s="1"/>
  <c r="G58" i="26"/>
  <c r="G59" i="26" s="1"/>
  <c r="F58" i="26"/>
  <c r="F59" i="26" s="1"/>
  <c r="E58" i="26"/>
  <c r="E59" i="26" s="1"/>
  <c r="D58" i="26"/>
  <c r="D59" i="26" s="1"/>
  <c r="C58" i="26"/>
  <c r="C59" i="26" s="1"/>
  <c r="B58" i="26"/>
  <c r="R58" i="26" s="1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R44" i="26" s="1"/>
  <c r="R43" i="26"/>
  <c r="Q41" i="26"/>
  <c r="Q42" i="26" s="1"/>
  <c r="P41" i="26"/>
  <c r="P42" i="26" s="1"/>
  <c r="O41" i="26"/>
  <c r="O42" i="26" s="1"/>
  <c r="N41" i="26"/>
  <c r="N42" i="26" s="1"/>
  <c r="M41" i="26"/>
  <c r="M42" i="26" s="1"/>
  <c r="L41" i="26"/>
  <c r="L42" i="26" s="1"/>
  <c r="K41" i="26"/>
  <c r="K42" i="26" s="1"/>
  <c r="J41" i="26"/>
  <c r="J42" i="26" s="1"/>
  <c r="I41" i="26"/>
  <c r="I42" i="26" s="1"/>
  <c r="H41" i="26"/>
  <c r="H42" i="26" s="1"/>
  <c r="G41" i="26"/>
  <c r="G42" i="26" s="1"/>
  <c r="F41" i="26"/>
  <c r="F42" i="26" s="1"/>
  <c r="E41" i="26"/>
  <c r="E42" i="26" s="1"/>
  <c r="C41" i="26"/>
  <c r="C42" i="26" s="1"/>
  <c r="B41" i="26"/>
  <c r="B42" i="26" s="1"/>
  <c r="R42" i="26" s="1"/>
  <c r="D40" i="26"/>
  <c r="D41" i="26" s="1"/>
  <c r="D42" i="26" s="1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37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B33" i="26"/>
  <c r="Q28" i="26"/>
  <c r="Q29" i="26" s="1"/>
  <c r="P28" i="26"/>
  <c r="P29" i="26" s="1"/>
  <c r="O28" i="26"/>
  <c r="O29" i="26" s="1"/>
  <c r="N28" i="26"/>
  <c r="N29" i="26" s="1"/>
  <c r="M28" i="26"/>
  <c r="M29" i="26" s="1"/>
  <c r="L28" i="26"/>
  <c r="L29" i="26" s="1"/>
  <c r="K28" i="26"/>
  <c r="K29" i="26" s="1"/>
  <c r="J28" i="26"/>
  <c r="J29" i="26" s="1"/>
  <c r="I28" i="26"/>
  <c r="I29" i="26" s="1"/>
  <c r="H28" i="26"/>
  <c r="H29" i="26" s="1"/>
  <c r="G28" i="26"/>
  <c r="G29" i="26" s="1"/>
  <c r="F28" i="26"/>
  <c r="F29" i="26" s="1"/>
  <c r="E28" i="26"/>
  <c r="E29" i="26" s="1"/>
  <c r="D28" i="26"/>
  <c r="D29" i="26" s="1"/>
  <c r="C28" i="26"/>
  <c r="C29" i="26" s="1"/>
  <c r="B28" i="26"/>
  <c r="R28" i="26" s="1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R18" i="26" s="1"/>
  <c r="R17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Q7" i="26"/>
  <c r="Q16" i="26" s="1"/>
  <c r="P7" i="26"/>
  <c r="P16" i="26" s="1"/>
  <c r="O7" i="26"/>
  <c r="O16" i="26" s="1"/>
  <c r="N7" i="26"/>
  <c r="N16" i="26" s="1"/>
  <c r="M7" i="26"/>
  <c r="M16" i="26" s="1"/>
  <c r="L7" i="26"/>
  <c r="L16" i="26" s="1"/>
  <c r="K7" i="26"/>
  <c r="K16" i="26" s="1"/>
  <c r="J7" i="26"/>
  <c r="J16" i="26" s="1"/>
  <c r="I7" i="26"/>
  <c r="I16" i="26" s="1"/>
  <c r="H7" i="26"/>
  <c r="H16" i="26" s="1"/>
  <c r="G7" i="26"/>
  <c r="G16" i="26" s="1"/>
  <c r="F7" i="26"/>
  <c r="F16" i="26" s="1"/>
  <c r="E7" i="26"/>
  <c r="E16" i="26" s="1"/>
  <c r="D7" i="26"/>
  <c r="D16" i="26" s="1"/>
  <c r="C7" i="26"/>
  <c r="C16" i="26" s="1"/>
  <c r="B7" i="26"/>
  <c r="B16" i="26" s="1"/>
  <c r="R16" i="26" s="1"/>
  <c r="O93" i="18"/>
  <c r="N93" i="18"/>
  <c r="P92" i="18"/>
  <c r="Q92" i="18" s="1"/>
  <c r="P91" i="18"/>
  <c r="Q91" i="18" s="1"/>
  <c r="H91" i="18"/>
  <c r="G91" i="18"/>
  <c r="K91" i="18" s="1"/>
  <c r="P90" i="18"/>
  <c r="Q90" i="18" s="1"/>
  <c r="H90" i="18"/>
  <c r="G90" i="18"/>
  <c r="K90" i="18" s="1"/>
  <c r="P86" i="18"/>
  <c r="K86" i="18"/>
  <c r="I91" i="18" s="1"/>
  <c r="G86" i="18"/>
  <c r="P85" i="18"/>
  <c r="R85" i="18" s="1"/>
  <c r="K85" i="18"/>
  <c r="I90" i="18" s="1"/>
  <c r="G85" i="18"/>
  <c r="C94" i="18"/>
  <c r="C80" i="18"/>
  <c r="J72" i="18"/>
  <c r="J71" i="18"/>
  <c r="K71" i="18" s="1"/>
  <c r="R24" i="5"/>
  <c r="R25" i="5"/>
  <c r="R7" i="5"/>
  <c r="R8" i="5"/>
  <c r="F99" i="25"/>
  <c r="J99" i="25" s="1"/>
  <c r="A99" i="25"/>
  <c r="D96" i="25"/>
  <c r="D95" i="25"/>
  <c r="G84" i="25"/>
  <c r="G86" i="25" s="1"/>
  <c r="F84" i="25"/>
  <c r="F86" i="25" s="1"/>
  <c r="E84" i="25"/>
  <c r="E86" i="25" s="1"/>
  <c r="D84" i="25"/>
  <c r="D86" i="25" s="1"/>
  <c r="C84" i="25"/>
  <c r="C86" i="25" s="1"/>
  <c r="B84" i="25"/>
  <c r="B86" i="25" s="1"/>
  <c r="G82" i="25"/>
  <c r="G87" i="25" s="1"/>
  <c r="G89" i="25" s="1"/>
  <c r="F82" i="25"/>
  <c r="F87" i="25" s="1"/>
  <c r="F89" i="25" s="1"/>
  <c r="E82" i="25"/>
  <c r="E87" i="25" s="1"/>
  <c r="E89" i="25" s="1"/>
  <c r="D82" i="25"/>
  <c r="D87" i="25" s="1"/>
  <c r="D89" i="25" s="1"/>
  <c r="C82" i="25"/>
  <c r="C87" i="25" s="1"/>
  <c r="C89" i="25" s="1"/>
  <c r="B82" i="25"/>
  <c r="B87" i="25" s="1"/>
  <c r="B89" i="25" s="1"/>
  <c r="F73" i="25"/>
  <c r="B73" i="25"/>
  <c r="B71" i="25"/>
  <c r="C67" i="25"/>
  <c r="D64" i="25"/>
  <c r="D63" i="25"/>
  <c r="D62" i="25"/>
  <c r="D61" i="25"/>
  <c r="D60" i="25"/>
  <c r="D59" i="25"/>
  <c r="D58" i="25"/>
  <c r="D67" i="25" s="1"/>
  <c r="E73" i="25" s="1"/>
  <c r="G73" i="25" s="1"/>
  <c r="N56" i="25"/>
  <c r="M56" i="25"/>
  <c r="L56" i="25"/>
  <c r="F56" i="25"/>
  <c r="C56" i="25"/>
  <c r="F52" i="25"/>
  <c r="K56" i="25" s="1"/>
  <c r="D48" i="25"/>
  <c r="D47" i="25"/>
  <c r="D56" i="25" s="1"/>
  <c r="E71" i="25" s="1"/>
  <c r="G71" i="25" s="1"/>
  <c r="Q43" i="25"/>
  <c r="P43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B43" i="25"/>
  <c r="R43" i="25" s="1"/>
  <c r="Q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B41" i="25"/>
  <c r="R41" i="25" s="1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R30" i="25" s="1"/>
  <c r="R29" i="25"/>
  <c r="Q27" i="25"/>
  <c r="Q28" i="25" s="1"/>
  <c r="P27" i="25"/>
  <c r="P28" i="25" s="1"/>
  <c r="O27" i="25"/>
  <c r="O28" i="25" s="1"/>
  <c r="N27" i="25"/>
  <c r="N28" i="25" s="1"/>
  <c r="M27" i="25"/>
  <c r="M28" i="25" s="1"/>
  <c r="L27" i="25"/>
  <c r="L28" i="25" s="1"/>
  <c r="K27" i="25"/>
  <c r="K28" i="25" s="1"/>
  <c r="J27" i="25"/>
  <c r="J28" i="25" s="1"/>
  <c r="I27" i="25"/>
  <c r="I28" i="25" s="1"/>
  <c r="H27" i="25"/>
  <c r="H28" i="25" s="1"/>
  <c r="G27" i="25"/>
  <c r="G28" i="25" s="1"/>
  <c r="F27" i="25"/>
  <c r="F28" i="25" s="1"/>
  <c r="E27" i="25"/>
  <c r="E28" i="25" s="1"/>
  <c r="D27" i="25"/>
  <c r="D28" i="25" s="1"/>
  <c r="C27" i="25"/>
  <c r="C28" i="25" s="1"/>
  <c r="B27" i="25"/>
  <c r="B28" i="25" s="1"/>
  <c r="Q20" i="25"/>
  <c r="Q21" i="25" s="1"/>
  <c r="P20" i="25"/>
  <c r="P21" i="25" s="1"/>
  <c r="O20" i="25"/>
  <c r="O21" i="25" s="1"/>
  <c r="N20" i="25"/>
  <c r="N21" i="25" s="1"/>
  <c r="M20" i="25"/>
  <c r="M21" i="25" s="1"/>
  <c r="L20" i="25"/>
  <c r="L21" i="25" s="1"/>
  <c r="K20" i="25"/>
  <c r="K21" i="25" s="1"/>
  <c r="J20" i="25"/>
  <c r="J21" i="25" s="1"/>
  <c r="I20" i="25"/>
  <c r="I21" i="25" s="1"/>
  <c r="H20" i="25"/>
  <c r="H21" i="25" s="1"/>
  <c r="G20" i="25"/>
  <c r="G21" i="25" s="1"/>
  <c r="F20" i="25"/>
  <c r="F21" i="25" s="1"/>
  <c r="E20" i="25"/>
  <c r="E21" i="25" s="1"/>
  <c r="D20" i="25"/>
  <c r="D21" i="25" s="1"/>
  <c r="C20" i="25"/>
  <c r="C21" i="25" s="1"/>
  <c r="B20" i="25"/>
  <c r="B21" i="25" s="1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R10" i="25" s="1"/>
  <c r="R9" i="25"/>
  <c r="Q7" i="25"/>
  <c r="Q8" i="25" s="1"/>
  <c r="P7" i="25"/>
  <c r="P8" i="25" s="1"/>
  <c r="O7" i="25"/>
  <c r="O8" i="25" s="1"/>
  <c r="N7" i="25"/>
  <c r="N8" i="25" s="1"/>
  <c r="M7" i="25"/>
  <c r="M8" i="25" s="1"/>
  <c r="L7" i="25"/>
  <c r="L8" i="25" s="1"/>
  <c r="K7" i="25"/>
  <c r="K8" i="25" s="1"/>
  <c r="J7" i="25"/>
  <c r="J8" i="25" s="1"/>
  <c r="I7" i="25"/>
  <c r="I8" i="25" s="1"/>
  <c r="H7" i="25"/>
  <c r="H8" i="25" s="1"/>
  <c r="G7" i="25"/>
  <c r="G8" i="25" s="1"/>
  <c r="F7" i="25"/>
  <c r="F8" i="25" s="1"/>
  <c r="E7" i="25"/>
  <c r="E8" i="25" s="1"/>
  <c r="D7" i="25"/>
  <c r="D8" i="25" s="1"/>
  <c r="C7" i="25"/>
  <c r="C8" i="25" s="1"/>
  <c r="B7" i="25"/>
  <c r="B8" i="25" s="1"/>
  <c r="R8" i="25" s="1"/>
  <c r="O79" i="18"/>
  <c r="N79" i="18"/>
  <c r="P78" i="18"/>
  <c r="Q78" i="18" s="1"/>
  <c r="P77" i="18"/>
  <c r="Q77" i="18" s="1"/>
  <c r="H77" i="18"/>
  <c r="G77" i="18"/>
  <c r="K77" i="18" s="1"/>
  <c r="P76" i="18"/>
  <c r="Q76" i="18" s="1"/>
  <c r="H76" i="18"/>
  <c r="G76" i="18"/>
  <c r="K76" i="18" s="1"/>
  <c r="P72" i="18"/>
  <c r="R72" i="18" s="1"/>
  <c r="K72" i="18"/>
  <c r="I77" i="18" s="1"/>
  <c r="G72" i="18"/>
  <c r="P71" i="18"/>
  <c r="R71" i="18" s="1"/>
  <c r="G71" i="18"/>
  <c r="J58" i="18"/>
  <c r="K58" i="18" s="1"/>
  <c r="J57" i="18"/>
  <c r="K57" i="18" s="1"/>
  <c r="R21" i="11"/>
  <c r="R22" i="11"/>
  <c r="R7" i="11"/>
  <c r="R8" i="11"/>
  <c r="R9" i="11"/>
  <c r="O65" i="18"/>
  <c r="N65" i="18"/>
  <c r="P64" i="18"/>
  <c r="Q64" i="18" s="1"/>
  <c r="P63" i="18"/>
  <c r="Q63" i="18" s="1"/>
  <c r="H63" i="18"/>
  <c r="G63" i="18"/>
  <c r="K63" i="18" s="1"/>
  <c r="P62" i="18"/>
  <c r="Q62" i="18" s="1"/>
  <c r="H62" i="18"/>
  <c r="G62" i="18"/>
  <c r="K62" i="18" s="1"/>
  <c r="P58" i="18"/>
  <c r="G58" i="18"/>
  <c r="P57" i="18"/>
  <c r="G57" i="18"/>
  <c r="F96" i="24"/>
  <c r="A96" i="24"/>
  <c r="J96" i="24" s="1"/>
  <c r="D93" i="24"/>
  <c r="D92" i="24"/>
  <c r="G81" i="24"/>
  <c r="G83" i="24" s="1"/>
  <c r="G84" i="24" s="1"/>
  <c r="G86" i="24" s="1"/>
  <c r="F81" i="24"/>
  <c r="F83" i="24" s="1"/>
  <c r="F84" i="24" s="1"/>
  <c r="F86" i="24" s="1"/>
  <c r="E81" i="24"/>
  <c r="E83" i="24" s="1"/>
  <c r="E84" i="24" s="1"/>
  <c r="E86" i="24" s="1"/>
  <c r="D81" i="24"/>
  <c r="D83" i="24" s="1"/>
  <c r="D84" i="24" s="1"/>
  <c r="D86" i="24" s="1"/>
  <c r="C81" i="24"/>
  <c r="C83" i="24" s="1"/>
  <c r="C84" i="24" s="1"/>
  <c r="C86" i="24" s="1"/>
  <c r="B81" i="24"/>
  <c r="B83" i="24" s="1"/>
  <c r="B84" i="24" s="1"/>
  <c r="B86" i="24" s="1"/>
  <c r="G74" i="24"/>
  <c r="G76" i="24" s="1"/>
  <c r="F74" i="24"/>
  <c r="F76" i="24" s="1"/>
  <c r="E74" i="24"/>
  <c r="E76" i="24" s="1"/>
  <c r="D74" i="24"/>
  <c r="D76" i="24" s="1"/>
  <c r="C74" i="24"/>
  <c r="C76" i="24" s="1"/>
  <c r="B74" i="24"/>
  <c r="B76" i="24" s="1"/>
  <c r="G72" i="24"/>
  <c r="G77" i="24" s="1"/>
  <c r="G79" i="24" s="1"/>
  <c r="F72" i="24"/>
  <c r="F77" i="24" s="1"/>
  <c r="F79" i="24" s="1"/>
  <c r="E72" i="24"/>
  <c r="E77" i="24" s="1"/>
  <c r="E79" i="24" s="1"/>
  <c r="D72" i="24"/>
  <c r="D77" i="24" s="1"/>
  <c r="D79" i="24" s="1"/>
  <c r="C72" i="24"/>
  <c r="C77" i="24" s="1"/>
  <c r="C79" i="24" s="1"/>
  <c r="B72" i="24"/>
  <c r="B77" i="24" s="1"/>
  <c r="B79" i="24" s="1"/>
  <c r="F63" i="24"/>
  <c r="B63" i="24"/>
  <c r="C57" i="24"/>
  <c r="D53" i="24"/>
  <c r="D52" i="24"/>
  <c r="D51" i="24"/>
  <c r="D50" i="24"/>
  <c r="D57" i="24" s="1"/>
  <c r="E63" i="24" s="1"/>
  <c r="G63" i="24" s="1"/>
  <c r="N49" i="24"/>
  <c r="L49" i="24"/>
  <c r="F49" i="24"/>
  <c r="C48" i="24"/>
  <c r="D45" i="24"/>
  <c r="F44" i="24"/>
  <c r="K49" i="24" s="1"/>
  <c r="D42" i="24"/>
  <c r="D41" i="24"/>
  <c r="D48" i="24" s="1"/>
  <c r="E61" i="24" s="1"/>
  <c r="G61" i="24" s="1"/>
  <c r="O37" i="24"/>
  <c r="M37" i="24"/>
  <c r="K37" i="24"/>
  <c r="I37" i="24"/>
  <c r="G37" i="24"/>
  <c r="E37" i="24"/>
  <c r="C37" i="24"/>
  <c r="Q36" i="24"/>
  <c r="P36" i="24"/>
  <c r="P37" i="24" s="1"/>
  <c r="O36" i="24"/>
  <c r="N36" i="24"/>
  <c r="N37" i="24" s="1"/>
  <c r="M36" i="24"/>
  <c r="L36" i="24"/>
  <c r="L37" i="24" s="1"/>
  <c r="K36" i="24"/>
  <c r="J36" i="24"/>
  <c r="J37" i="24" s="1"/>
  <c r="I36" i="24"/>
  <c r="H36" i="24"/>
  <c r="H37" i="24" s="1"/>
  <c r="G36" i="24"/>
  <c r="F36" i="24"/>
  <c r="F37" i="24" s="1"/>
  <c r="E36" i="24"/>
  <c r="D36" i="24"/>
  <c r="D37" i="24" s="1"/>
  <c r="C36" i="24"/>
  <c r="B36" i="24"/>
  <c r="R36" i="24" s="1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R27" i="24" s="1"/>
  <c r="B27" i="24"/>
  <c r="R26" i="24"/>
  <c r="Q24" i="24"/>
  <c r="Q25" i="24" s="1"/>
  <c r="P24" i="24"/>
  <c r="P25" i="24" s="1"/>
  <c r="O24" i="24"/>
  <c r="O25" i="24" s="1"/>
  <c r="N24" i="24"/>
  <c r="N25" i="24" s="1"/>
  <c r="M24" i="24"/>
  <c r="M25" i="24" s="1"/>
  <c r="L24" i="24"/>
  <c r="L25" i="24" s="1"/>
  <c r="K24" i="24"/>
  <c r="K25" i="24" s="1"/>
  <c r="J24" i="24"/>
  <c r="J25" i="24" s="1"/>
  <c r="I24" i="24"/>
  <c r="I25" i="24" s="1"/>
  <c r="H24" i="24"/>
  <c r="H25" i="24" s="1"/>
  <c r="G24" i="24"/>
  <c r="G25" i="24" s="1"/>
  <c r="F24" i="24"/>
  <c r="F25" i="24" s="1"/>
  <c r="E24" i="24"/>
  <c r="E25" i="24" s="1"/>
  <c r="D24" i="24"/>
  <c r="D25" i="24" s="1"/>
  <c r="C24" i="24"/>
  <c r="C25" i="24" s="1"/>
  <c r="B24" i="24"/>
  <c r="B25" i="24" s="1"/>
  <c r="R25" i="24" s="1"/>
  <c r="Q19" i="24"/>
  <c r="O19" i="24"/>
  <c r="M19" i="24"/>
  <c r="K19" i="24"/>
  <c r="I19" i="24"/>
  <c r="G19" i="24"/>
  <c r="E19" i="24"/>
  <c r="C19" i="24"/>
  <c r="Q18" i="24"/>
  <c r="P18" i="24"/>
  <c r="P19" i="24" s="1"/>
  <c r="O18" i="24"/>
  <c r="N18" i="24"/>
  <c r="N19" i="24" s="1"/>
  <c r="M18" i="24"/>
  <c r="L18" i="24"/>
  <c r="L19" i="24" s="1"/>
  <c r="K18" i="24"/>
  <c r="J18" i="24"/>
  <c r="J19" i="24" s="1"/>
  <c r="I18" i="24"/>
  <c r="H18" i="24"/>
  <c r="H19" i="24" s="1"/>
  <c r="G18" i="24"/>
  <c r="F18" i="24"/>
  <c r="F19" i="24" s="1"/>
  <c r="E18" i="24"/>
  <c r="D18" i="24"/>
  <c r="D19" i="24" s="1"/>
  <c r="C18" i="24"/>
  <c r="B18" i="24"/>
  <c r="R18" i="24" s="1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R10" i="24" s="1"/>
  <c r="B10" i="24"/>
  <c r="R9" i="24"/>
  <c r="Q7" i="24"/>
  <c r="Q8" i="24" s="1"/>
  <c r="P7" i="24"/>
  <c r="P8" i="24" s="1"/>
  <c r="O7" i="24"/>
  <c r="O8" i="24" s="1"/>
  <c r="N7" i="24"/>
  <c r="N8" i="24" s="1"/>
  <c r="M7" i="24"/>
  <c r="M8" i="24" s="1"/>
  <c r="L7" i="24"/>
  <c r="L8" i="24" s="1"/>
  <c r="K7" i="24"/>
  <c r="K8" i="24" s="1"/>
  <c r="J7" i="24"/>
  <c r="J8" i="24" s="1"/>
  <c r="I7" i="24"/>
  <c r="I8" i="24" s="1"/>
  <c r="H7" i="24"/>
  <c r="H8" i="24" s="1"/>
  <c r="G7" i="24"/>
  <c r="G8" i="24" s="1"/>
  <c r="F7" i="24"/>
  <c r="F8" i="24" s="1"/>
  <c r="E7" i="24"/>
  <c r="E8" i="24" s="1"/>
  <c r="D7" i="24"/>
  <c r="D8" i="24" s="1"/>
  <c r="C7" i="24"/>
  <c r="C8" i="24" s="1"/>
  <c r="B7" i="24"/>
  <c r="B8" i="24" s="1"/>
  <c r="R8" i="24" s="1"/>
  <c r="I63" i="18" l="1"/>
  <c r="I114" i="18"/>
  <c r="I76" i="18"/>
  <c r="I115" i="18"/>
  <c r="I62" i="18"/>
  <c r="I219" i="18"/>
  <c r="R86" i="18"/>
  <c r="R93" i="18" s="1"/>
  <c r="Q237" i="18"/>
  <c r="Q253" i="18"/>
  <c r="R54" i="30"/>
  <c r="R253" i="18"/>
  <c r="I250" i="18"/>
  <c r="S253" i="18"/>
  <c r="I251" i="18"/>
  <c r="P253" i="18"/>
  <c r="R110" i="18"/>
  <c r="R117" i="18" s="1"/>
  <c r="Q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B40" i="29"/>
  <c r="Q117" i="18"/>
  <c r="P117" i="18"/>
  <c r="R237" i="18"/>
  <c r="R28" i="28"/>
  <c r="Q8" i="28"/>
  <c r="R10" i="28" s="1"/>
  <c r="B19" i="28"/>
  <c r="Q19" i="28" s="1"/>
  <c r="R19" i="28" s="1"/>
  <c r="B38" i="28"/>
  <c r="Q38" i="28" s="1"/>
  <c r="R38" i="28" s="1"/>
  <c r="P237" i="18"/>
  <c r="R213" i="18"/>
  <c r="R214" i="18"/>
  <c r="Q27" i="27"/>
  <c r="R27" i="27" s="1"/>
  <c r="R18" i="27"/>
  <c r="R43" i="27"/>
  <c r="Q26" i="27"/>
  <c r="B56" i="27"/>
  <c r="Q56" i="27" s="1"/>
  <c r="R56" i="27" s="1"/>
  <c r="Q221" i="18"/>
  <c r="P221" i="18"/>
  <c r="S44" i="26"/>
  <c r="S18" i="26"/>
  <c r="B29" i="26"/>
  <c r="R29" i="26" s="1"/>
  <c r="S29" i="26" s="1"/>
  <c r="B59" i="26"/>
  <c r="R59" i="26" s="1"/>
  <c r="S59" i="26" s="1"/>
  <c r="Q93" i="18"/>
  <c r="P93" i="18"/>
  <c r="R79" i="18"/>
  <c r="S10" i="25"/>
  <c r="R21" i="25"/>
  <c r="S21" i="25" s="1"/>
  <c r="R28" i="25"/>
  <c r="S30" i="25"/>
  <c r="R20" i="25"/>
  <c r="Q79" i="18"/>
  <c r="S79" i="18" s="1"/>
  <c r="P79" i="18"/>
  <c r="S71" i="18" s="1"/>
  <c r="R57" i="18"/>
  <c r="R58" i="18"/>
  <c r="Q65" i="18"/>
  <c r="P65" i="18"/>
  <c r="S27" i="24"/>
  <c r="S10" i="24"/>
  <c r="B19" i="24"/>
  <c r="R19" i="24" s="1"/>
  <c r="S19" i="24" s="1"/>
  <c r="B37" i="24"/>
  <c r="R37" i="24" s="1"/>
  <c r="S37" i="24" s="1"/>
  <c r="S237" i="18" l="1"/>
  <c r="S245" i="18"/>
  <c r="S244" i="18"/>
  <c r="S117" i="18"/>
  <c r="S110" i="18"/>
  <c r="S109" i="18"/>
  <c r="S93" i="18"/>
  <c r="S230" i="18"/>
  <c r="S229" i="18"/>
  <c r="R221" i="18"/>
  <c r="S221" i="18" s="1"/>
  <c r="S214" i="18"/>
  <c r="S213" i="18"/>
  <c r="S57" i="18"/>
  <c r="S86" i="18"/>
  <c r="S85" i="18"/>
  <c r="S72" i="18"/>
  <c r="R65" i="18"/>
  <c r="S65" i="18" s="1"/>
  <c r="S58" i="18"/>
  <c r="Q40" i="18" l="1"/>
  <c r="Q39" i="18"/>
  <c r="Q125" i="18"/>
  <c r="Q124" i="18"/>
  <c r="J40" i="18"/>
  <c r="J39" i="18"/>
  <c r="K39" i="18" s="1"/>
  <c r="R35" i="13"/>
  <c r="R36" i="13"/>
  <c r="R14" i="13"/>
  <c r="R15" i="13"/>
  <c r="C49" i="18"/>
  <c r="O47" i="18"/>
  <c r="N47" i="18"/>
  <c r="P46" i="18"/>
  <c r="Q46" i="18" s="1"/>
  <c r="P45" i="18"/>
  <c r="Q45" i="18" s="1"/>
  <c r="H45" i="18"/>
  <c r="G45" i="18"/>
  <c r="K45" i="18" s="1"/>
  <c r="P44" i="18"/>
  <c r="Q44" i="18" s="1"/>
  <c r="H44" i="18"/>
  <c r="G44" i="18"/>
  <c r="K44" i="18" s="1"/>
  <c r="P40" i="18"/>
  <c r="R40" i="18" s="1"/>
  <c r="K40" i="18"/>
  <c r="I45" i="18" s="1"/>
  <c r="G40" i="18"/>
  <c r="P39" i="18"/>
  <c r="G39" i="18"/>
  <c r="F117" i="23"/>
  <c r="A117" i="23"/>
  <c r="J117" i="23" s="1"/>
  <c r="D114" i="23"/>
  <c r="D113" i="23"/>
  <c r="D112" i="23"/>
  <c r="E112" i="23" s="1"/>
  <c r="D111" i="23"/>
  <c r="D109" i="23"/>
  <c r="D108" i="23"/>
  <c r="D107" i="23"/>
  <c r="E107" i="23" s="1"/>
  <c r="D106" i="23"/>
  <c r="G94" i="23"/>
  <c r="G96" i="23" s="1"/>
  <c r="G97" i="23" s="1"/>
  <c r="G99" i="23" s="1"/>
  <c r="F94" i="23"/>
  <c r="F96" i="23" s="1"/>
  <c r="F97" i="23" s="1"/>
  <c r="F99" i="23" s="1"/>
  <c r="E94" i="23"/>
  <c r="E96" i="23" s="1"/>
  <c r="E97" i="23" s="1"/>
  <c r="E99" i="23" s="1"/>
  <c r="D94" i="23"/>
  <c r="D96" i="23" s="1"/>
  <c r="D97" i="23" s="1"/>
  <c r="D99" i="23" s="1"/>
  <c r="C94" i="23"/>
  <c r="C96" i="23" s="1"/>
  <c r="C97" i="23" s="1"/>
  <c r="C99" i="23" s="1"/>
  <c r="B94" i="23"/>
  <c r="B96" i="23" s="1"/>
  <c r="B97" i="23" s="1"/>
  <c r="B99" i="23" s="1"/>
  <c r="G87" i="23"/>
  <c r="G89" i="23" s="1"/>
  <c r="F87" i="23"/>
  <c r="F89" i="23" s="1"/>
  <c r="E87" i="23"/>
  <c r="E89" i="23" s="1"/>
  <c r="D87" i="23"/>
  <c r="D89" i="23" s="1"/>
  <c r="C87" i="23"/>
  <c r="C89" i="23" s="1"/>
  <c r="B87" i="23"/>
  <c r="B89" i="23" s="1"/>
  <c r="G85" i="23"/>
  <c r="G90" i="23" s="1"/>
  <c r="G92" i="23" s="1"/>
  <c r="F85" i="23"/>
  <c r="F90" i="23" s="1"/>
  <c r="F92" i="23" s="1"/>
  <c r="E85" i="23"/>
  <c r="E90" i="23" s="1"/>
  <c r="E92" i="23" s="1"/>
  <c r="D85" i="23"/>
  <c r="D90" i="23" s="1"/>
  <c r="D92" i="23" s="1"/>
  <c r="C85" i="23"/>
  <c r="C90" i="23" s="1"/>
  <c r="C92" i="23" s="1"/>
  <c r="B85" i="23"/>
  <c r="B90" i="23" s="1"/>
  <c r="B92" i="23" s="1"/>
  <c r="B76" i="23"/>
  <c r="B74" i="23"/>
  <c r="C70" i="23"/>
  <c r="D67" i="23"/>
  <c r="D66" i="23"/>
  <c r="D65" i="23"/>
  <c r="D64" i="23"/>
  <c r="D63" i="23"/>
  <c r="D70" i="23" s="1"/>
  <c r="E76" i="23" s="1"/>
  <c r="G76" i="23" s="1"/>
  <c r="N61" i="23"/>
  <c r="M61" i="23"/>
  <c r="L61" i="23"/>
  <c r="F61" i="23"/>
  <c r="K61" i="23" s="1"/>
  <c r="C61" i="23"/>
  <c r="F58" i="23"/>
  <c r="D58" i="23"/>
  <c r="D55" i="23"/>
  <c r="D61" i="23" s="1"/>
  <c r="E74" i="23" s="1"/>
  <c r="G74" i="23" s="1"/>
  <c r="Q49" i="23"/>
  <c r="Q50" i="23" s="1"/>
  <c r="P49" i="23"/>
  <c r="P50" i="23" s="1"/>
  <c r="O49" i="23"/>
  <c r="O50" i="23" s="1"/>
  <c r="N49" i="23"/>
  <c r="N50" i="23" s="1"/>
  <c r="M49" i="23"/>
  <c r="M50" i="23" s="1"/>
  <c r="L49" i="23"/>
  <c r="L50" i="23" s="1"/>
  <c r="K49" i="23"/>
  <c r="K50" i="23" s="1"/>
  <c r="J49" i="23"/>
  <c r="J50" i="23" s="1"/>
  <c r="I49" i="23"/>
  <c r="I50" i="23" s="1"/>
  <c r="H49" i="23"/>
  <c r="H50" i="23" s="1"/>
  <c r="G49" i="23"/>
  <c r="G50" i="23" s="1"/>
  <c r="F49" i="23"/>
  <c r="F50" i="23" s="1"/>
  <c r="E49" i="23"/>
  <c r="E50" i="23" s="1"/>
  <c r="D49" i="23"/>
  <c r="D50" i="23" s="1"/>
  <c r="C49" i="23"/>
  <c r="C50" i="23" s="1"/>
  <c r="B49" i="23"/>
  <c r="R49" i="23" s="1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B40" i="23"/>
  <c r="R40" i="23" s="1"/>
  <c r="R39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Q34" i="23"/>
  <c r="Q37" i="23" s="1"/>
  <c r="Q38" i="23" s="1"/>
  <c r="P34" i="23"/>
  <c r="P37" i="23" s="1"/>
  <c r="P38" i="23" s="1"/>
  <c r="O34" i="23"/>
  <c r="O37" i="23" s="1"/>
  <c r="O38" i="23" s="1"/>
  <c r="N34" i="23"/>
  <c r="N37" i="23" s="1"/>
  <c r="N38" i="23" s="1"/>
  <c r="M34" i="23"/>
  <c r="M37" i="23" s="1"/>
  <c r="M38" i="23" s="1"/>
  <c r="L34" i="23"/>
  <c r="L37" i="23" s="1"/>
  <c r="L38" i="23" s="1"/>
  <c r="K34" i="23"/>
  <c r="K37" i="23" s="1"/>
  <c r="K38" i="23" s="1"/>
  <c r="J34" i="23"/>
  <c r="J37" i="23" s="1"/>
  <c r="J38" i="23" s="1"/>
  <c r="I34" i="23"/>
  <c r="I37" i="23" s="1"/>
  <c r="I38" i="23" s="1"/>
  <c r="H34" i="23"/>
  <c r="H37" i="23" s="1"/>
  <c r="H38" i="23" s="1"/>
  <c r="G34" i="23"/>
  <c r="G37" i="23" s="1"/>
  <c r="G38" i="23" s="1"/>
  <c r="F34" i="23"/>
  <c r="F37" i="23" s="1"/>
  <c r="F38" i="23" s="1"/>
  <c r="E34" i="23"/>
  <c r="E37" i="23" s="1"/>
  <c r="E38" i="23" s="1"/>
  <c r="D34" i="23"/>
  <c r="D37" i="23" s="1"/>
  <c r="D38" i="23" s="1"/>
  <c r="C34" i="23"/>
  <c r="C37" i="23" s="1"/>
  <c r="C38" i="23" s="1"/>
  <c r="B34" i="23"/>
  <c r="B37" i="23" s="1"/>
  <c r="B38" i="23" s="1"/>
  <c r="R38" i="23" s="1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B32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Q25" i="23"/>
  <c r="Q26" i="23" s="1"/>
  <c r="P25" i="23"/>
  <c r="P26" i="23" s="1"/>
  <c r="O25" i="23"/>
  <c r="O26" i="23" s="1"/>
  <c r="N25" i="23"/>
  <c r="N26" i="23" s="1"/>
  <c r="M25" i="23"/>
  <c r="M26" i="23" s="1"/>
  <c r="L25" i="23"/>
  <c r="L26" i="23" s="1"/>
  <c r="K25" i="23"/>
  <c r="K26" i="23" s="1"/>
  <c r="J25" i="23"/>
  <c r="J26" i="23" s="1"/>
  <c r="I25" i="23"/>
  <c r="I26" i="23" s="1"/>
  <c r="H25" i="23"/>
  <c r="H26" i="23" s="1"/>
  <c r="G25" i="23"/>
  <c r="G26" i="23" s="1"/>
  <c r="F25" i="23"/>
  <c r="F26" i="23" s="1"/>
  <c r="E25" i="23"/>
  <c r="E26" i="23" s="1"/>
  <c r="D25" i="23"/>
  <c r="D26" i="23" s="1"/>
  <c r="C25" i="23"/>
  <c r="C26" i="23" s="1"/>
  <c r="B25" i="23"/>
  <c r="R25" i="23" s="1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R17" i="23" s="1"/>
  <c r="R16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Q7" i="23"/>
  <c r="Q14" i="23" s="1"/>
  <c r="Q15" i="23" s="1"/>
  <c r="P7" i="23"/>
  <c r="P14" i="23" s="1"/>
  <c r="P15" i="23" s="1"/>
  <c r="O7" i="23"/>
  <c r="O14" i="23" s="1"/>
  <c r="O15" i="23" s="1"/>
  <c r="N7" i="23"/>
  <c r="N14" i="23" s="1"/>
  <c r="N15" i="23" s="1"/>
  <c r="M7" i="23"/>
  <c r="M14" i="23" s="1"/>
  <c r="M15" i="23" s="1"/>
  <c r="L7" i="23"/>
  <c r="L14" i="23" s="1"/>
  <c r="L15" i="23" s="1"/>
  <c r="K7" i="23"/>
  <c r="K14" i="23" s="1"/>
  <c r="K15" i="23" s="1"/>
  <c r="J7" i="23"/>
  <c r="J14" i="23" s="1"/>
  <c r="J15" i="23" s="1"/>
  <c r="I7" i="23"/>
  <c r="I14" i="23" s="1"/>
  <c r="I15" i="23" s="1"/>
  <c r="H7" i="23"/>
  <c r="H14" i="23" s="1"/>
  <c r="H15" i="23" s="1"/>
  <c r="G7" i="23"/>
  <c r="G14" i="23" s="1"/>
  <c r="G15" i="23" s="1"/>
  <c r="F7" i="23"/>
  <c r="F14" i="23" s="1"/>
  <c r="F15" i="23" s="1"/>
  <c r="E7" i="23"/>
  <c r="E14" i="23" s="1"/>
  <c r="E15" i="23" s="1"/>
  <c r="D7" i="23"/>
  <c r="D14" i="23" s="1"/>
  <c r="D15" i="23" s="1"/>
  <c r="C7" i="23"/>
  <c r="C14" i="23" s="1"/>
  <c r="C15" i="23" s="1"/>
  <c r="B7" i="23"/>
  <c r="B14" i="23" s="1"/>
  <c r="B15" i="23" s="1"/>
  <c r="R15" i="23" s="1"/>
  <c r="Q24" i="18"/>
  <c r="Q23" i="18"/>
  <c r="C34" i="18"/>
  <c r="J24" i="18"/>
  <c r="J23" i="18"/>
  <c r="S39" i="4"/>
  <c r="S40" i="4"/>
  <c r="S16" i="4"/>
  <c r="S17" i="4"/>
  <c r="O31" i="18"/>
  <c r="N31" i="18"/>
  <c r="P30" i="18"/>
  <c r="Q30" i="18" s="1"/>
  <c r="P29" i="18"/>
  <c r="Q29" i="18" s="1"/>
  <c r="H29" i="18"/>
  <c r="G29" i="18"/>
  <c r="K29" i="18" s="1"/>
  <c r="P28" i="18"/>
  <c r="Q28" i="18" s="1"/>
  <c r="H28" i="18"/>
  <c r="G28" i="18"/>
  <c r="K28" i="18" s="1"/>
  <c r="P24" i="18"/>
  <c r="K24" i="18"/>
  <c r="I29" i="18" s="1"/>
  <c r="G24" i="18"/>
  <c r="P23" i="18"/>
  <c r="K23" i="18"/>
  <c r="I28" i="18" s="1"/>
  <c r="G23" i="18"/>
  <c r="F111" i="22"/>
  <c r="A111" i="22"/>
  <c r="J111" i="22" s="1"/>
  <c r="D108" i="22"/>
  <c r="D107" i="22"/>
  <c r="G96" i="22"/>
  <c r="G98" i="22" s="1"/>
  <c r="F96" i="22"/>
  <c r="F98" i="22" s="1"/>
  <c r="E96" i="22"/>
  <c r="E98" i="22" s="1"/>
  <c r="D96" i="22"/>
  <c r="D98" i="22" s="1"/>
  <c r="C96" i="22"/>
  <c r="C98" i="22" s="1"/>
  <c r="B96" i="22"/>
  <c r="B98" i="22" s="1"/>
  <c r="G94" i="22"/>
  <c r="G99" i="22" s="1"/>
  <c r="G101" i="22" s="1"/>
  <c r="F94" i="22"/>
  <c r="F99" i="22" s="1"/>
  <c r="F101" i="22" s="1"/>
  <c r="E94" i="22"/>
  <c r="E99" i="22" s="1"/>
  <c r="E101" i="22" s="1"/>
  <c r="D94" i="22"/>
  <c r="D99" i="22" s="1"/>
  <c r="D101" i="22" s="1"/>
  <c r="C94" i="22"/>
  <c r="C99" i="22" s="1"/>
  <c r="C101" i="22" s="1"/>
  <c r="B94" i="22"/>
  <c r="B99" i="22" s="1"/>
  <c r="B101" i="22" s="1"/>
  <c r="B85" i="22"/>
  <c r="B83" i="22"/>
  <c r="C79" i="22"/>
  <c r="D76" i="22"/>
  <c r="D75" i="22"/>
  <c r="D74" i="22"/>
  <c r="D73" i="22"/>
  <c r="D72" i="22"/>
  <c r="D71" i="22"/>
  <c r="D79" i="22" s="1"/>
  <c r="E85" i="22" s="1"/>
  <c r="G85" i="22" s="1"/>
  <c r="N69" i="22"/>
  <c r="M69" i="22"/>
  <c r="L69" i="22"/>
  <c r="F69" i="22"/>
  <c r="K69" i="22" s="1"/>
  <c r="C69" i="22"/>
  <c r="D66" i="22"/>
  <c r="F64" i="22"/>
  <c r="D63" i="22"/>
  <c r="D62" i="22"/>
  <c r="D61" i="22"/>
  <c r="D69" i="22" s="1"/>
  <c r="E83" i="22" s="1"/>
  <c r="G83" i="22" s="1"/>
  <c r="R56" i="22"/>
  <c r="R57" i="22" s="1"/>
  <c r="Q56" i="22"/>
  <c r="Q57" i="22" s="1"/>
  <c r="P56" i="22"/>
  <c r="P57" i="22" s="1"/>
  <c r="O56" i="22"/>
  <c r="O57" i="22" s="1"/>
  <c r="N56" i="22"/>
  <c r="N57" i="22" s="1"/>
  <c r="M56" i="22"/>
  <c r="M57" i="22" s="1"/>
  <c r="L56" i="22"/>
  <c r="L57" i="22" s="1"/>
  <c r="K56" i="22"/>
  <c r="K57" i="22" s="1"/>
  <c r="J56" i="22"/>
  <c r="J57" i="22" s="1"/>
  <c r="I56" i="22"/>
  <c r="I57" i="22" s="1"/>
  <c r="H56" i="22"/>
  <c r="H57" i="22" s="1"/>
  <c r="G56" i="22"/>
  <c r="G57" i="22" s="1"/>
  <c r="F56" i="22"/>
  <c r="F57" i="22" s="1"/>
  <c r="E56" i="22"/>
  <c r="E57" i="22" s="1"/>
  <c r="D56" i="22"/>
  <c r="D57" i="22" s="1"/>
  <c r="C56" i="22"/>
  <c r="C57" i="22" s="1"/>
  <c r="B56" i="22"/>
  <c r="S56" i="22" s="1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S46" i="22" s="1"/>
  <c r="S45" i="22"/>
  <c r="R40" i="22"/>
  <c r="R43" i="22" s="1"/>
  <c r="R44" i="22" s="1"/>
  <c r="Q40" i="22"/>
  <c r="Q43" i="22" s="1"/>
  <c r="Q44" i="22" s="1"/>
  <c r="P40" i="22"/>
  <c r="P43" i="22" s="1"/>
  <c r="P44" i="22" s="1"/>
  <c r="O40" i="22"/>
  <c r="O43" i="22" s="1"/>
  <c r="O44" i="22" s="1"/>
  <c r="N40" i="22"/>
  <c r="N43" i="22" s="1"/>
  <c r="N44" i="22" s="1"/>
  <c r="M40" i="22"/>
  <c r="M43" i="22" s="1"/>
  <c r="M44" i="22" s="1"/>
  <c r="L40" i="22"/>
  <c r="L43" i="22" s="1"/>
  <c r="L44" i="22" s="1"/>
  <c r="K40" i="22"/>
  <c r="K43" i="22" s="1"/>
  <c r="K44" i="22" s="1"/>
  <c r="J40" i="22"/>
  <c r="J43" i="22" s="1"/>
  <c r="J44" i="22" s="1"/>
  <c r="I40" i="22"/>
  <c r="I43" i="22" s="1"/>
  <c r="I44" i="22" s="1"/>
  <c r="H40" i="22"/>
  <c r="H43" i="22" s="1"/>
  <c r="H44" i="22" s="1"/>
  <c r="G40" i="22"/>
  <c r="G43" i="22" s="1"/>
  <c r="G44" i="22" s="1"/>
  <c r="F40" i="22"/>
  <c r="F43" i="22" s="1"/>
  <c r="F44" i="22" s="1"/>
  <c r="E40" i="22"/>
  <c r="E43" i="22" s="1"/>
  <c r="E44" i="22" s="1"/>
  <c r="D40" i="22"/>
  <c r="D43" i="22" s="1"/>
  <c r="D44" i="22" s="1"/>
  <c r="C40" i="22"/>
  <c r="C43" i="22" s="1"/>
  <c r="C44" i="22" s="1"/>
  <c r="B40" i="22"/>
  <c r="B43" i="22" s="1"/>
  <c r="B44" i="22" s="1"/>
  <c r="S44" i="22" s="1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R29" i="22"/>
  <c r="R30" i="22" s="1"/>
  <c r="Q29" i="22"/>
  <c r="Q30" i="22" s="1"/>
  <c r="P29" i="22"/>
  <c r="P30" i="22" s="1"/>
  <c r="O29" i="22"/>
  <c r="O30" i="22" s="1"/>
  <c r="N29" i="22"/>
  <c r="N30" i="22" s="1"/>
  <c r="M29" i="22"/>
  <c r="M30" i="22" s="1"/>
  <c r="L29" i="22"/>
  <c r="L30" i="22" s="1"/>
  <c r="K29" i="22"/>
  <c r="K30" i="22" s="1"/>
  <c r="J29" i="22"/>
  <c r="J30" i="22" s="1"/>
  <c r="I29" i="22"/>
  <c r="I30" i="22" s="1"/>
  <c r="H29" i="22"/>
  <c r="H30" i="22" s="1"/>
  <c r="G29" i="22"/>
  <c r="G30" i="22" s="1"/>
  <c r="F29" i="22"/>
  <c r="F30" i="22" s="1"/>
  <c r="E29" i="22"/>
  <c r="E30" i="22" s="1"/>
  <c r="D29" i="22"/>
  <c r="D30" i="22" s="1"/>
  <c r="C29" i="22"/>
  <c r="C30" i="22" s="1"/>
  <c r="B29" i="22"/>
  <c r="S29" i="22" s="1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S19" i="22" s="1"/>
  <c r="S18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R7" i="22"/>
  <c r="R16" i="22" s="1"/>
  <c r="R17" i="22" s="1"/>
  <c r="Q7" i="22"/>
  <c r="Q16" i="22" s="1"/>
  <c r="Q17" i="22" s="1"/>
  <c r="P7" i="22"/>
  <c r="P16" i="22" s="1"/>
  <c r="P17" i="22" s="1"/>
  <c r="O7" i="22"/>
  <c r="O16" i="22" s="1"/>
  <c r="O17" i="22" s="1"/>
  <c r="N7" i="22"/>
  <c r="N16" i="22" s="1"/>
  <c r="N17" i="22" s="1"/>
  <c r="M7" i="22"/>
  <c r="M16" i="22" s="1"/>
  <c r="M17" i="22" s="1"/>
  <c r="L7" i="22"/>
  <c r="L16" i="22" s="1"/>
  <c r="L17" i="22" s="1"/>
  <c r="K7" i="22"/>
  <c r="K16" i="22" s="1"/>
  <c r="K17" i="22" s="1"/>
  <c r="J7" i="22"/>
  <c r="J16" i="22" s="1"/>
  <c r="J17" i="22" s="1"/>
  <c r="I7" i="22"/>
  <c r="I16" i="22" s="1"/>
  <c r="I17" i="22" s="1"/>
  <c r="H7" i="22"/>
  <c r="H16" i="22" s="1"/>
  <c r="H17" i="22" s="1"/>
  <c r="G7" i="22"/>
  <c r="G16" i="22" s="1"/>
  <c r="G17" i="22" s="1"/>
  <c r="F7" i="22"/>
  <c r="F16" i="22" s="1"/>
  <c r="F17" i="22" s="1"/>
  <c r="E7" i="22"/>
  <c r="E16" i="22" s="1"/>
  <c r="E17" i="22" s="1"/>
  <c r="D7" i="22"/>
  <c r="D16" i="22" s="1"/>
  <c r="D17" i="22" s="1"/>
  <c r="C7" i="22"/>
  <c r="C16" i="22" s="1"/>
  <c r="C17" i="22" s="1"/>
  <c r="B7" i="22"/>
  <c r="B16" i="22" s="1"/>
  <c r="B17" i="22" s="1"/>
  <c r="S17" i="22" s="1"/>
  <c r="J9" i="18"/>
  <c r="J8" i="18"/>
  <c r="R23" i="1"/>
  <c r="R24" i="1"/>
  <c r="R7" i="1"/>
  <c r="R8" i="1"/>
  <c r="O16" i="18"/>
  <c r="N16" i="18"/>
  <c r="P15" i="18"/>
  <c r="Q15" i="18" s="1"/>
  <c r="P14" i="18"/>
  <c r="Q14" i="18" s="1"/>
  <c r="H14" i="18"/>
  <c r="G14" i="18"/>
  <c r="K14" i="18" s="1"/>
  <c r="P13" i="18"/>
  <c r="Q13" i="18" s="1"/>
  <c r="H13" i="18"/>
  <c r="G13" i="18"/>
  <c r="K13" i="18" s="1"/>
  <c r="P9" i="18"/>
  <c r="R9" i="18" s="1"/>
  <c r="K9" i="18"/>
  <c r="G9" i="18"/>
  <c r="P8" i="18"/>
  <c r="R8" i="18" s="1"/>
  <c r="K8" i="18"/>
  <c r="G8" i="18"/>
  <c r="I44" i="18" l="1"/>
  <c r="R39" i="18"/>
  <c r="R47" i="18" s="1"/>
  <c r="Q47" i="18"/>
  <c r="P47" i="18"/>
  <c r="S17" i="23"/>
  <c r="S40" i="23"/>
  <c r="B26" i="23"/>
  <c r="R26" i="23" s="1"/>
  <c r="S26" i="23" s="1"/>
  <c r="B50" i="23"/>
  <c r="R50" i="23" s="1"/>
  <c r="S50" i="23" s="1"/>
  <c r="R23" i="18"/>
  <c r="R24" i="18"/>
  <c r="P16" i="18"/>
  <c r="S8" i="18" s="1"/>
  <c r="Q31" i="18"/>
  <c r="P31" i="18"/>
  <c r="T19" i="22"/>
  <c r="T46" i="22"/>
  <c r="B30" i="22"/>
  <c r="S30" i="22" s="1"/>
  <c r="T30" i="22" s="1"/>
  <c r="B57" i="22"/>
  <c r="S57" i="22" s="1"/>
  <c r="T57" i="22" s="1"/>
  <c r="Q16" i="18"/>
  <c r="I14" i="18"/>
  <c r="R16" i="18"/>
  <c r="S16" i="18" s="1"/>
  <c r="I13" i="18"/>
  <c r="J102" i="21"/>
  <c r="F102" i="21"/>
  <c r="A102" i="21"/>
  <c r="D99" i="21"/>
  <c r="D98" i="21"/>
  <c r="G87" i="21"/>
  <c r="G89" i="21" s="1"/>
  <c r="G90" i="21" s="1"/>
  <c r="G92" i="21" s="1"/>
  <c r="F87" i="21"/>
  <c r="F89" i="21" s="1"/>
  <c r="F90" i="21" s="1"/>
  <c r="F92" i="21" s="1"/>
  <c r="E87" i="21"/>
  <c r="E89" i="21" s="1"/>
  <c r="E90" i="21" s="1"/>
  <c r="E92" i="21" s="1"/>
  <c r="D87" i="21"/>
  <c r="D89" i="21" s="1"/>
  <c r="D90" i="21" s="1"/>
  <c r="D92" i="21" s="1"/>
  <c r="C87" i="21"/>
  <c r="C89" i="21" s="1"/>
  <c r="C90" i="21" s="1"/>
  <c r="C92" i="21" s="1"/>
  <c r="B87" i="21"/>
  <c r="B89" i="21" s="1"/>
  <c r="B90" i="21" s="1"/>
  <c r="B92" i="21" s="1"/>
  <c r="G80" i="21"/>
  <c r="G82" i="21" s="1"/>
  <c r="F80" i="21"/>
  <c r="F82" i="21" s="1"/>
  <c r="E80" i="21"/>
  <c r="E82" i="21" s="1"/>
  <c r="D80" i="21"/>
  <c r="D82" i="21" s="1"/>
  <c r="C80" i="21"/>
  <c r="C82" i="21" s="1"/>
  <c r="B80" i="21"/>
  <c r="B82" i="21" s="1"/>
  <c r="G78" i="21"/>
  <c r="G83" i="21" s="1"/>
  <c r="G85" i="21" s="1"/>
  <c r="F78" i="21"/>
  <c r="F83" i="21" s="1"/>
  <c r="F85" i="21" s="1"/>
  <c r="E78" i="21"/>
  <c r="E83" i="21" s="1"/>
  <c r="E85" i="21" s="1"/>
  <c r="D78" i="21"/>
  <c r="D83" i="21" s="1"/>
  <c r="D85" i="21" s="1"/>
  <c r="C78" i="21"/>
  <c r="C83" i="21" s="1"/>
  <c r="C85" i="21" s="1"/>
  <c r="B78" i="21"/>
  <c r="B83" i="21" s="1"/>
  <c r="B85" i="21" s="1"/>
  <c r="F69" i="21"/>
  <c r="B69" i="21"/>
  <c r="C63" i="21"/>
  <c r="D61" i="21"/>
  <c r="D60" i="21"/>
  <c r="D59" i="21"/>
  <c r="D58" i="21"/>
  <c r="D57" i="21"/>
  <c r="D56" i="21"/>
  <c r="D55" i="21"/>
  <c r="D63" i="21" s="1"/>
  <c r="E69" i="21" s="1"/>
  <c r="G69" i="21" s="1"/>
  <c r="N53" i="21"/>
  <c r="M53" i="21"/>
  <c r="L53" i="21"/>
  <c r="F53" i="21"/>
  <c r="C53" i="21"/>
  <c r="D50" i="21"/>
  <c r="F48" i="21"/>
  <c r="K53" i="21" s="1"/>
  <c r="D47" i="21"/>
  <c r="D46" i="21"/>
  <c r="D45" i="21"/>
  <c r="D53" i="21" s="1"/>
  <c r="E67" i="21" s="1"/>
  <c r="G67" i="21" s="1"/>
  <c r="Q41" i="21"/>
  <c r="O41" i="21"/>
  <c r="M41" i="21"/>
  <c r="K41" i="21"/>
  <c r="I41" i="21"/>
  <c r="G41" i="21"/>
  <c r="E41" i="21"/>
  <c r="C41" i="21"/>
  <c r="Q40" i="21"/>
  <c r="P40" i="21"/>
  <c r="P41" i="21" s="1"/>
  <c r="O40" i="21"/>
  <c r="N40" i="21"/>
  <c r="N41" i="21" s="1"/>
  <c r="M40" i="21"/>
  <c r="L40" i="21"/>
  <c r="L41" i="21" s="1"/>
  <c r="K40" i="21"/>
  <c r="J40" i="21"/>
  <c r="J41" i="21" s="1"/>
  <c r="I40" i="21"/>
  <c r="H40" i="21"/>
  <c r="H41" i="21" s="1"/>
  <c r="G40" i="21"/>
  <c r="F40" i="21"/>
  <c r="F41" i="21" s="1"/>
  <c r="E40" i="21"/>
  <c r="D40" i="21"/>
  <c r="D41" i="21" s="1"/>
  <c r="C40" i="21"/>
  <c r="B40" i="21"/>
  <c r="R40" i="21" s="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R30" i="21" s="1"/>
  <c r="B30" i="21"/>
  <c r="R29" i="21"/>
  <c r="Q27" i="21"/>
  <c r="Q28" i="21" s="1"/>
  <c r="P27" i="21"/>
  <c r="P28" i="21" s="1"/>
  <c r="O27" i="21"/>
  <c r="O28" i="21" s="1"/>
  <c r="N27" i="21"/>
  <c r="N28" i="21" s="1"/>
  <c r="M27" i="21"/>
  <c r="M28" i="21" s="1"/>
  <c r="L27" i="21"/>
  <c r="L28" i="21" s="1"/>
  <c r="K27" i="21"/>
  <c r="K28" i="21" s="1"/>
  <c r="J27" i="21"/>
  <c r="J28" i="21" s="1"/>
  <c r="I27" i="21"/>
  <c r="I28" i="21" s="1"/>
  <c r="H27" i="21"/>
  <c r="H28" i="21" s="1"/>
  <c r="G27" i="21"/>
  <c r="G28" i="21" s="1"/>
  <c r="F27" i="21"/>
  <c r="F28" i="21" s="1"/>
  <c r="E27" i="21"/>
  <c r="E28" i="21" s="1"/>
  <c r="D27" i="21"/>
  <c r="D28" i="21" s="1"/>
  <c r="C27" i="21"/>
  <c r="C28" i="21" s="1"/>
  <c r="B27" i="21"/>
  <c r="B28" i="21" s="1"/>
  <c r="R28" i="21" s="1"/>
  <c r="Q20" i="21"/>
  <c r="O20" i="21"/>
  <c r="M20" i="21"/>
  <c r="K20" i="21"/>
  <c r="I20" i="21"/>
  <c r="G20" i="21"/>
  <c r="E20" i="21"/>
  <c r="C20" i="21"/>
  <c r="Q19" i="21"/>
  <c r="P19" i="21"/>
  <c r="P20" i="21" s="1"/>
  <c r="O19" i="21"/>
  <c r="N19" i="21"/>
  <c r="N20" i="21" s="1"/>
  <c r="M19" i="21"/>
  <c r="L19" i="21"/>
  <c r="L20" i="21" s="1"/>
  <c r="K19" i="21"/>
  <c r="J19" i="21"/>
  <c r="J20" i="21" s="1"/>
  <c r="I19" i="21"/>
  <c r="H19" i="21"/>
  <c r="H20" i="21" s="1"/>
  <c r="G19" i="21"/>
  <c r="F19" i="21"/>
  <c r="F20" i="21" s="1"/>
  <c r="E19" i="21"/>
  <c r="D19" i="21"/>
  <c r="D20" i="21" s="1"/>
  <c r="C19" i="21"/>
  <c r="B19" i="21"/>
  <c r="R19" i="21" s="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R10" i="21" s="1"/>
  <c r="C10" i="21"/>
  <c r="R9" i="21"/>
  <c r="Q7" i="21"/>
  <c r="Q8" i="21" s="1"/>
  <c r="P7" i="21"/>
  <c r="P8" i="21" s="1"/>
  <c r="O7" i="21"/>
  <c r="O8" i="21" s="1"/>
  <c r="N7" i="21"/>
  <c r="N8" i="21" s="1"/>
  <c r="M7" i="21"/>
  <c r="M8" i="21" s="1"/>
  <c r="L7" i="21"/>
  <c r="L8" i="21" s="1"/>
  <c r="K7" i="21"/>
  <c r="K8" i="21" s="1"/>
  <c r="J7" i="21"/>
  <c r="J8" i="21" s="1"/>
  <c r="I7" i="21"/>
  <c r="I8" i="21" s="1"/>
  <c r="H7" i="21"/>
  <c r="H8" i="21" s="1"/>
  <c r="G7" i="21"/>
  <c r="G8" i="21" s="1"/>
  <c r="F7" i="21"/>
  <c r="F8" i="21" s="1"/>
  <c r="E7" i="21"/>
  <c r="E8" i="21" s="1"/>
  <c r="D7" i="21"/>
  <c r="D8" i="21" s="1"/>
  <c r="C7" i="21"/>
  <c r="C8" i="21" s="1"/>
  <c r="B7" i="21"/>
  <c r="B8" i="21" s="1"/>
  <c r="R8" i="21" s="1"/>
  <c r="D107" i="20"/>
  <c r="D103" i="20"/>
  <c r="Q162" i="18"/>
  <c r="Q161" i="18"/>
  <c r="S9" i="18" l="1"/>
  <c r="S47" i="18"/>
  <c r="R31" i="18"/>
  <c r="S31" i="18" s="1"/>
  <c r="S40" i="18"/>
  <c r="S39" i="18"/>
  <c r="S24" i="18"/>
  <c r="S23" i="18"/>
  <c r="S10" i="21"/>
  <c r="S30" i="21"/>
  <c r="B20" i="21"/>
  <c r="R20" i="21" s="1"/>
  <c r="S20" i="21" s="1"/>
  <c r="B41" i="21"/>
  <c r="R41" i="21" s="1"/>
  <c r="S41" i="21" s="1"/>
  <c r="T24" i="14" l="1"/>
  <c r="T25" i="14"/>
  <c r="T7" i="14"/>
  <c r="T8" i="14"/>
  <c r="G111" i="20"/>
  <c r="A111" i="20"/>
  <c r="K111" i="20" s="1"/>
  <c r="D106" i="20"/>
  <c r="E106" i="20" s="1"/>
  <c r="D102" i="20"/>
  <c r="E102" i="20" s="1"/>
  <c r="G92" i="20"/>
  <c r="G93" i="20" s="1"/>
  <c r="G95" i="20" s="1"/>
  <c r="F92" i="20"/>
  <c r="F93" i="20" s="1"/>
  <c r="F95" i="20" s="1"/>
  <c r="E92" i="20"/>
  <c r="E93" i="20" s="1"/>
  <c r="E95" i="20" s="1"/>
  <c r="D92" i="20"/>
  <c r="D93" i="20" s="1"/>
  <c r="D95" i="20" s="1"/>
  <c r="C92" i="20"/>
  <c r="C93" i="20" s="1"/>
  <c r="C95" i="20" s="1"/>
  <c r="B92" i="20"/>
  <c r="B93" i="20" s="1"/>
  <c r="B95" i="20" s="1"/>
  <c r="G85" i="20"/>
  <c r="F85" i="20"/>
  <c r="E85" i="20"/>
  <c r="D85" i="20"/>
  <c r="C85" i="20"/>
  <c r="B85" i="20"/>
  <c r="G81" i="20"/>
  <c r="G86" i="20" s="1"/>
  <c r="G88" i="20" s="1"/>
  <c r="F81" i="20"/>
  <c r="F86" i="20" s="1"/>
  <c r="F88" i="20" s="1"/>
  <c r="E81" i="20"/>
  <c r="E86" i="20" s="1"/>
  <c r="E88" i="20" s="1"/>
  <c r="D81" i="20"/>
  <c r="D86" i="20" s="1"/>
  <c r="D88" i="20" s="1"/>
  <c r="C81" i="20"/>
  <c r="C86" i="20" s="1"/>
  <c r="C88" i="20" s="1"/>
  <c r="B81" i="20"/>
  <c r="B86" i="20" s="1"/>
  <c r="B88" i="20" s="1"/>
  <c r="B72" i="20"/>
  <c r="B70" i="20"/>
  <c r="C66" i="20"/>
  <c r="D61" i="20"/>
  <c r="D60" i="20"/>
  <c r="D58" i="20"/>
  <c r="D57" i="20"/>
  <c r="D66" i="20" s="1"/>
  <c r="E72" i="20" s="1"/>
  <c r="G72" i="20" s="1"/>
  <c r="C55" i="20"/>
  <c r="N54" i="20"/>
  <c r="M54" i="20"/>
  <c r="L54" i="20"/>
  <c r="F54" i="20"/>
  <c r="K54" i="20" s="1"/>
  <c r="D52" i="20"/>
  <c r="D51" i="20"/>
  <c r="D50" i="20"/>
  <c r="F49" i="20"/>
  <c r="D49" i="20"/>
  <c r="D48" i="20"/>
  <c r="D47" i="20"/>
  <c r="D46" i="20"/>
  <c r="D55" i="20" s="1"/>
  <c r="E70" i="20" s="1"/>
  <c r="G70" i="20" s="1"/>
  <c r="S41" i="20"/>
  <c r="S42" i="20" s="1"/>
  <c r="R41" i="20"/>
  <c r="R42" i="20" s="1"/>
  <c r="Q41" i="20"/>
  <c r="Q42" i="20" s="1"/>
  <c r="P41" i="20"/>
  <c r="P42" i="20" s="1"/>
  <c r="O41" i="20"/>
  <c r="O42" i="20" s="1"/>
  <c r="N41" i="20"/>
  <c r="N42" i="20" s="1"/>
  <c r="M41" i="20"/>
  <c r="M42" i="20" s="1"/>
  <c r="L41" i="20"/>
  <c r="L42" i="20" s="1"/>
  <c r="K41" i="20"/>
  <c r="K42" i="20" s="1"/>
  <c r="J41" i="20"/>
  <c r="J42" i="20" s="1"/>
  <c r="I41" i="20"/>
  <c r="I42" i="20" s="1"/>
  <c r="H41" i="20"/>
  <c r="H42" i="20" s="1"/>
  <c r="G41" i="20"/>
  <c r="G42" i="20" s="1"/>
  <c r="F41" i="20"/>
  <c r="F42" i="20" s="1"/>
  <c r="E41" i="20"/>
  <c r="E42" i="20" s="1"/>
  <c r="D41" i="20"/>
  <c r="D42" i="20" s="1"/>
  <c r="C41" i="20"/>
  <c r="C42" i="20" s="1"/>
  <c r="B41" i="20"/>
  <c r="B42" i="20" s="1"/>
  <c r="T42" i="20" s="1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T30" i="20" s="1"/>
  <c r="T29" i="20"/>
  <c r="S27" i="20"/>
  <c r="S28" i="20" s="1"/>
  <c r="R27" i="20"/>
  <c r="R28" i="20" s="1"/>
  <c r="Q27" i="20"/>
  <c r="Q28" i="20" s="1"/>
  <c r="P27" i="20"/>
  <c r="P28" i="20" s="1"/>
  <c r="O27" i="20"/>
  <c r="O28" i="20" s="1"/>
  <c r="N27" i="20"/>
  <c r="N28" i="20" s="1"/>
  <c r="M27" i="20"/>
  <c r="M28" i="20" s="1"/>
  <c r="L27" i="20"/>
  <c r="L28" i="20" s="1"/>
  <c r="K27" i="20"/>
  <c r="K28" i="20" s="1"/>
  <c r="J27" i="20"/>
  <c r="J28" i="20" s="1"/>
  <c r="I27" i="20"/>
  <c r="I28" i="20" s="1"/>
  <c r="H27" i="20"/>
  <c r="H28" i="20" s="1"/>
  <c r="G27" i="20"/>
  <c r="G28" i="20" s="1"/>
  <c r="F27" i="20"/>
  <c r="F28" i="20" s="1"/>
  <c r="E27" i="20"/>
  <c r="E28" i="20" s="1"/>
  <c r="D27" i="20"/>
  <c r="D28" i="20" s="1"/>
  <c r="C27" i="20"/>
  <c r="C28" i="20" s="1"/>
  <c r="B27" i="20"/>
  <c r="B28" i="20" s="1"/>
  <c r="T28" i="20" s="1"/>
  <c r="S21" i="20"/>
  <c r="S22" i="20" s="1"/>
  <c r="R21" i="20"/>
  <c r="R22" i="20" s="1"/>
  <c r="Q21" i="20"/>
  <c r="Q22" i="20" s="1"/>
  <c r="P21" i="20"/>
  <c r="P22" i="20" s="1"/>
  <c r="O21" i="20"/>
  <c r="O22" i="20" s="1"/>
  <c r="N21" i="20"/>
  <c r="N22" i="20" s="1"/>
  <c r="M21" i="20"/>
  <c r="M22" i="20" s="1"/>
  <c r="L21" i="20"/>
  <c r="L22" i="20" s="1"/>
  <c r="K21" i="20"/>
  <c r="K22" i="20" s="1"/>
  <c r="J21" i="20"/>
  <c r="J22" i="20" s="1"/>
  <c r="I21" i="20"/>
  <c r="I22" i="20" s="1"/>
  <c r="H21" i="20"/>
  <c r="H22" i="20" s="1"/>
  <c r="G21" i="20"/>
  <c r="G22" i="20" s="1"/>
  <c r="F21" i="20"/>
  <c r="F22" i="20" s="1"/>
  <c r="E21" i="20"/>
  <c r="E22" i="20" s="1"/>
  <c r="D21" i="20"/>
  <c r="D22" i="20" s="1"/>
  <c r="C21" i="20"/>
  <c r="C22" i="20" s="1"/>
  <c r="B21" i="20"/>
  <c r="B22" i="20" s="1"/>
  <c r="T22" i="20" s="1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T10" i="20" s="1"/>
  <c r="T9" i="20"/>
  <c r="S8" i="20"/>
  <c r="R7" i="20"/>
  <c r="R8" i="20" s="1"/>
  <c r="Q7" i="20"/>
  <c r="Q8" i="20" s="1"/>
  <c r="P7" i="20"/>
  <c r="P8" i="20" s="1"/>
  <c r="O7" i="20"/>
  <c r="O8" i="20" s="1"/>
  <c r="N7" i="20"/>
  <c r="N8" i="20" s="1"/>
  <c r="M7" i="20"/>
  <c r="M8" i="20" s="1"/>
  <c r="L7" i="20"/>
  <c r="L8" i="20" s="1"/>
  <c r="K7" i="20"/>
  <c r="K8" i="20" s="1"/>
  <c r="J7" i="20"/>
  <c r="J8" i="20" s="1"/>
  <c r="I7" i="20"/>
  <c r="I8" i="20" s="1"/>
  <c r="H7" i="20"/>
  <c r="H8" i="20" s="1"/>
  <c r="G7" i="20"/>
  <c r="G8" i="20" s="1"/>
  <c r="F7" i="20"/>
  <c r="F8" i="20" s="1"/>
  <c r="E7" i="20"/>
  <c r="E8" i="20" s="1"/>
  <c r="D7" i="20"/>
  <c r="D8" i="20" s="1"/>
  <c r="C7" i="20"/>
  <c r="C8" i="20" s="1"/>
  <c r="B7" i="20"/>
  <c r="B8" i="20" s="1"/>
  <c r="U42" i="20" l="1"/>
  <c r="T8" i="20"/>
  <c r="U22" i="20" s="1"/>
  <c r="U30" i="20"/>
  <c r="T21" i="20"/>
  <c r="T41" i="20"/>
  <c r="U10" i="20" l="1"/>
  <c r="O169" i="18" l="1"/>
  <c r="N169" i="18"/>
  <c r="P168" i="18"/>
  <c r="Q168" i="18" s="1"/>
  <c r="P167" i="18"/>
  <c r="Q167" i="18" s="1"/>
  <c r="H167" i="18"/>
  <c r="G167" i="18"/>
  <c r="K167" i="18" s="1"/>
  <c r="P166" i="18"/>
  <c r="Q166" i="18" s="1"/>
  <c r="H166" i="18"/>
  <c r="G166" i="18"/>
  <c r="K166" i="18" s="1"/>
  <c r="P162" i="18"/>
  <c r="R162" i="18" s="1"/>
  <c r="K162" i="18"/>
  <c r="I167" i="18" s="1"/>
  <c r="G162" i="18"/>
  <c r="P161" i="18"/>
  <c r="J161" i="18"/>
  <c r="K161" i="18" s="1"/>
  <c r="I166" i="18" s="1"/>
  <c r="G161" i="18"/>
  <c r="P130" i="18"/>
  <c r="Q130" i="18" s="1"/>
  <c r="P131" i="18"/>
  <c r="Q131" i="18" s="1"/>
  <c r="P129" i="18"/>
  <c r="Q129" i="18" s="1"/>
  <c r="P125" i="18"/>
  <c r="P124" i="18"/>
  <c r="Q169" i="18" l="1"/>
  <c r="R161" i="18"/>
  <c r="P169" i="18"/>
  <c r="R125" i="18"/>
  <c r="R124" i="18"/>
  <c r="P132" i="18"/>
  <c r="R132" i="18" l="1"/>
  <c r="R169" i="18"/>
  <c r="S169" i="18" s="1"/>
  <c r="S162" i="18"/>
  <c r="S161" i="18"/>
  <c r="S125" i="18"/>
  <c r="S124" i="18"/>
  <c r="Q132" i="18" l="1"/>
  <c r="S132" i="18" s="1"/>
  <c r="O132" i="18"/>
  <c r="N132" i="18"/>
  <c r="C132" i="18" l="1"/>
  <c r="G130" i="18"/>
  <c r="K130" i="18" s="1"/>
  <c r="H130" i="18"/>
  <c r="H129" i="18"/>
  <c r="G129" i="18"/>
  <c r="K129" i="18" s="1"/>
  <c r="G125" i="18"/>
  <c r="G124" i="18"/>
  <c r="J125" i="18"/>
  <c r="K125" i="18" s="1"/>
  <c r="J124" i="18"/>
  <c r="K124" i="18" s="1"/>
  <c r="S22" i="6"/>
  <c r="S23" i="6"/>
  <c r="S7" i="6"/>
  <c r="S8" i="6"/>
  <c r="F114" i="19"/>
  <c r="A114" i="19"/>
  <c r="J114" i="19" s="1"/>
  <c r="D111" i="19"/>
  <c r="D110" i="19"/>
  <c r="D109" i="19"/>
  <c r="D108" i="19"/>
  <c r="D107" i="19"/>
  <c r="E107" i="19" s="1"/>
  <c r="D106" i="19"/>
  <c r="D103" i="19"/>
  <c r="D102" i="19"/>
  <c r="D101" i="19"/>
  <c r="D100" i="19"/>
  <c r="D99" i="19"/>
  <c r="E99" i="19" s="1"/>
  <c r="D98" i="19"/>
  <c r="G86" i="19"/>
  <c r="G88" i="19" s="1"/>
  <c r="F86" i="19"/>
  <c r="F88" i="19" s="1"/>
  <c r="E86" i="19"/>
  <c r="E88" i="19" s="1"/>
  <c r="D86" i="19"/>
  <c r="D88" i="19" s="1"/>
  <c r="C86" i="19"/>
  <c r="C88" i="19" s="1"/>
  <c r="B86" i="19"/>
  <c r="B88" i="19" s="1"/>
  <c r="G84" i="19"/>
  <c r="G89" i="19" s="1"/>
  <c r="G91" i="19" s="1"/>
  <c r="F84" i="19"/>
  <c r="F89" i="19" s="1"/>
  <c r="F91" i="19" s="1"/>
  <c r="E84" i="19"/>
  <c r="E89" i="19" s="1"/>
  <c r="E91" i="19" s="1"/>
  <c r="D84" i="19"/>
  <c r="D89" i="19" s="1"/>
  <c r="D91" i="19" s="1"/>
  <c r="C84" i="19"/>
  <c r="C89" i="19" s="1"/>
  <c r="C91" i="19" s="1"/>
  <c r="B84" i="19"/>
  <c r="B89" i="19" s="1"/>
  <c r="B91" i="19" s="1"/>
  <c r="F75" i="19"/>
  <c r="B75" i="19"/>
  <c r="B73" i="19"/>
  <c r="C69" i="19"/>
  <c r="D67" i="19"/>
  <c r="D66" i="19"/>
  <c r="D65" i="19"/>
  <c r="D64" i="19"/>
  <c r="D63" i="19"/>
  <c r="D69" i="19" s="1"/>
  <c r="E75" i="19" s="1"/>
  <c r="G75" i="19" s="1"/>
  <c r="D62" i="19"/>
  <c r="N60" i="19"/>
  <c r="L60" i="19"/>
  <c r="K60" i="19"/>
  <c r="F60" i="19"/>
  <c r="C60" i="19"/>
  <c r="D57" i="19"/>
  <c r="F56" i="19"/>
  <c r="D56" i="19"/>
  <c r="D55" i="19"/>
  <c r="D54" i="19"/>
  <c r="D60" i="19" s="1"/>
  <c r="E73" i="19" s="1"/>
  <c r="G73" i="19" s="1"/>
  <c r="D53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S37" i="19" s="1"/>
  <c r="B37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S28" i="19" s="1"/>
  <c r="S27" i="19"/>
  <c r="R26" i="19"/>
  <c r="P26" i="19"/>
  <c r="N26" i="19"/>
  <c r="L26" i="19"/>
  <c r="J26" i="19"/>
  <c r="H26" i="19"/>
  <c r="F26" i="19"/>
  <c r="D26" i="19"/>
  <c r="B26" i="19"/>
  <c r="R25" i="19"/>
  <c r="Q25" i="19"/>
  <c r="Q26" i="19" s="1"/>
  <c r="P25" i="19"/>
  <c r="O25" i="19"/>
  <c r="O26" i="19" s="1"/>
  <c r="N25" i="19"/>
  <c r="M25" i="19"/>
  <c r="M26" i="19" s="1"/>
  <c r="L25" i="19"/>
  <c r="K25" i="19"/>
  <c r="K26" i="19" s="1"/>
  <c r="J25" i="19"/>
  <c r="I25" i="19"/>
  <c r="I26" i="19" s="1"/>
  <c r="H25" i="19"/>
  <c r="G25" i="19"/>
  <c r="G26" i="19" s="1"/>
  <c r="F25" i="19"/>
  <c r="E25" i="19"/>
  <c r="E26" i="19" s="1"/>
  <c r="D25" i="19"/>
  <c r="C25" i="19"/>
  <c r="C26" i="19" s="1"/>
  <c r="B25" i="19"/>
  <c r="R18" i="19"/>
  <c r="Q18" i="19"/>
  <c r="Q19" i="19" s="1"/>
  <c r="P18" i="19"/>
  <c r="P19" i="19" s="1"/>
  <c r="O18" i="19"/>
  <c r="O19" i="19" s="1"/>
  <c r="N18" i="19"/>
  <c r="N19" i="19" s="1"/>
  <c r="M18" i="19"/>
  <c r="M19" i="19" s="1"/>
  <c r="L18" i="19"/>
  <c r="L19" i="19" s="1"/>
  <c r="K18" i="19"/>
  <c r="K19" i="19" s="1"/>
  <c r="J18" i="19"/>
  <c r="J19" i="19" s="1"/>
  <c r="I18" i="19"/>
  <c r="I19" i="19" s="1"/>
  <c r="H18" i="19"/>
  <c r="H19" i="19" s="1"/>
  <c r="G18" i="19"/>
  <c r="G19" i="19" s="1"/>
  <c r="F18" i="19"/>
  <c r="F19" i="19" s="1"/>
  <c r="E18" i="19"/>
  <c r="E19" i="19" s="1"/>
  <c r="D18" i="19"/>
  <c r="D19" i="19" s="1"/>
  <c r="C18" i="19"/>
  <c r="C19" i="19" s="1"/>
  <c r="B18" i="19"/>
  <c r="B19" i="19" s="1"/>
  <c r="S19" i="19" s="1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S10" i="19" s="1"/>
  <c r="S9" i="19"/>
  <c r="R8" i="19"/>
  <c r="P8" i="19"/>
  <c r="N8" i="19"/>
  <c r="L8" i="19"/>
  <c r="J8" i="19"/>
  <c r="H8" i="19"/>
  <c r="F8" i="19"/>
  <c r="D8" i="19"/>
  <c r="B8" i="19"/>
  <c r="R7" i="19"/>
  <c r="Q7" i="19"/>
  <c r="Q8" i="19" s="1"/>
  <c r="P7" i="19"/>
  <c r="O7" i="19"/>
  <c r="O8" i="19" s="1"/>
  <c r="N7" i="19"/>
  <c r="M7" i="19"/>
  <c r="M8" i="19" s="1"/>
  <c r="L7" i="19"/>
  <c r="K7" i="19"/>
  <c r="K8" i="19" s="1"/>
  <c r="J7" i="19"/>
  <c r="I7" i="19"/>
  <c r="I8" i="19" s="1"/>
  <c r="H7" i="19"/>
  <c r="G7" i="19"/>
  <c r="G8" i="19" s="1"/>
  <c r="F7" i="19"/>
  <c r="E7" i="19"/>
  <c r="E8" i="19" s="1"/>
  <c r="D7" i="19"/>
  <c r="C7" i="19"/>
  <c r="C8" i="19" s="1"/>
  <c r="B7" i="19"/>
  <c r="I130" i="18" l="1"/>
  <c r="I129" i="18"/>
  <c r="S8" i="19"/>
  <c r="T19" i="19" s="1"/>
  <c r="S26" i="19"/>
  <c r="T28" i="19" s="1"/>
  <c r="T10" i="19"/>
  <c r="S18" i="19"/>
  <c r="C113" i="18" l="1"/>
  <c r="C119" i="18" s="1"/>
  <c r="C192" i="18"/>
  <c r="C185" i="18"/>
  <c r="C248" i="18"/>
  <c r="C233" i="18"/>
  <c r="C217" i="18"/>
  <c r="C223" i="18" s="1"/>
  <c r="C166" i="18"/>
  <c r="C171" i="18" s="1"/>
  <c r="C139" i="18"/>
  <c r="C196" i="18" l="1"/>
  <c r="C17" i="18"/>
  <c r="C66" i="18"/>
  <c r="C239" i="18"/>
  <c r="C256" i="18"/>
  <c r="E111" i="15"/>
  <c r="D112" i="15"/>
  <c r="D111" i="15"/>
  <c r="D110" i="15"/>
  <c r="D108" i="15"/>
  <c r="D107" i="15"/>
  <c r="E107" i="15" s="1"/>
  <c r="D106" i="15"/>
  <c r="E87" i="6" l="1"/>
  <c r="E79" i="6"/>
  <c r="D89" i="6"/>
  <c r="D90" i="6"/>
  <c r="D91" i="6"/>
  <c r="D82" i="6"/>
  <c r="D83" i="6"/>
  <c r="D86" i="6"/>
  <c r="D78" i="6"/>
  <c r="D88" i="6"/>
  <c r="D87" i="6"/>
  <c r="D81" i="6"/>
  <c r="D80" i="6"/>
  <c r="D79" i="6"/>
  <c r="E83" i="13"/>
  <c r="E78" i="13"/>
  <c r="D84" i="13"/>
  <c r="D85" i="13"/>
  <c r="D80" i="13"/>
  <c r="D83" i="13"/>
  <c r="D82" i="13"/>
  <c r="D79" i="13"/>
  <c r="D78" i="13"/>
  <c r="D77" i="13"/>
  <c r="E272" i="16"/>
  <c r="D272" i="16"/>
  <c r="E101" i="17"/>
  <c r="E96" i="17"/>
  <c r="D102" i="17"/>
  <c r="D97" i="17"/>
  <c r="D101" i="17"/>
  <c r="D100" i="17"/>
  <c r="D96" i="17"/>
  <c r="D95" i="17"/>
  <c r="M74" i="17" l="1"/>
  <c r="N74" i="17"/>
  <c r="L74" i="17"/>
  <c r="E267" i="16"/>
  <c r="D267" i="16"/>
  <c r="F74" i="17"/>
  <c r="B60" i="17"/>
  <c r="B58" i="17"/>
  <c r="C88" i="17"/>
  <c r="D85" i="17"/>
  <c r="D84" i="17"/>
  <c r="D83" i="17"/>
  <c r="D80" i="17"/>
  <c r="D79" i="17"/>
  <c r="C76" i="17"/>
  <c r="D72" i="17"/>
  <c r="D71" i="17"/>
  <c r="D69" i="17"/>
  <c r="E278" i="16" l="1"/>
  <c r="D278" i="16"/>
  <c r="Q54" i="17" l="1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B27" i="17"/>
  <c r="B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I37" i="17"/>
  <c r="J37" i="17"/>
  <c r="F105" i="17"/>
  <c r="A105" i="17"/>
  <c r="D81" i="17"/>
  <c r="D78" i="17"/>
  <c r="F71" i="17"/>
  <c r="K74" i="17" s="1"/>
  <c r="D68" i="17"/>
  <c r="D76" i="17" s="1"/>
  <c r="E58" i="17" s="1"/>
  <c r="R42" i="17"/>
  <c r="Q37" i="17"/>
  <c r="P37" i="17"/>
  <c r="O37" i="17"/>
  <c r="N37" i="17"/>
  <c r="M37" i="17"/>
  <c r="L37" i="17"/>
  <c r="K37" i="17"/>
  <c r="H37" i="17"/>
  <c r="G37" i="17"/>
  <c r="F37" i="17"/>
  <c r="E37" i="17"/>
  <c r="D37" i="17"/>
  <c r="C37" i="17"/>
  <c r="B37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R18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E255" i="16"/>
  <c r="D255" i="16"/>
  <c r="D260" i="16" s="1"/>
  <c r="E250" i="16"/>
  <c r="D250" i="16"/>
  <c r="D243" i="16"/>
  <c r="E238" i="16"/>
  <c r="D238" i="16"/>
  <c r="E233" i="16"/>
  <c r="D233" i="16"/>
  <c r="E226" i="16"/>
  <c r="D226" i="16"/>
  <c r="E222" i="16"/>
  <c r="D222" i="16"/>
  <c r="E216" i="16"/>
  <c r="D216" i="16"/>
  <c r="E206" i="16"/>
  <c r="E210" i="16" s="1"/>
  <c r="D206" i="16"/>
  <c r="D210" i="16" s="1"/>
  <c r="E192" i="16"/>
  <c r="D192" i="16"/>
  <c r="E187" i="16"/>
  <c r="D187" i="16"/>
  <c r="D88" i="17" l="1"/>
  <c r="E60" i="17" s="1"/>
  <c r="J105" i="17"/>
  <c r="R54" i="17"/>
  <c r="B40" i="17"/>
  <c r="D40" i="17"/>
  <c r="F40" i="17"/>
  <c r="H40" i="17"/>
  <c r="L40" i="17"/>
  <c r="N40" i="17"/>
  <c r="P40" i="17"/>
  <c r="J40" i="17"/>
  <c r="C40" i="17"/>
  <c r="E40" i="17"/>
  <c r="G40" i="17"/>
  <c r="I40" i="17"/>
  <c r="K40" i="17"/>
  <c r="M40" i="17"/>
  <c r="O40" i="17"/>
  <c r="Q40" i="17"/>
  <c r="G60" i="17"/>
  <c r="R27" i="17"/>
  <c r="B16" i="17"/>
  <c r="Q16" i="17"/>
  <c r="G16" i="17"/>
  <c r="P16" i="17"/>
  <c r="O16" i="17"/>
  <c r="N16" i="17"/>
  <c r="M16" i="17"/>
  <c r="L16" i="17"/>
  <c r="K16" i="17"/>
  <c r="J16" i="17"/>
  <c r="I16" i="17"/>
  <c r="H16" i="17"/>
  <c r="F16" i="17"/>
  <c r="E16" i="17"/>
  <c r="D16" i="17"/>
  <c r="C16" i="17"/>
  <c r="G58" i="17"/>
  <c r="E260" i="16"/>
  <c r="E243" i="16"/>
  <c r="E200" i="16"/>
  <c r="D200" i="16"/>
  <c r="E174" i="16"/>
  <c r="D174" i="16"/>
  <c r="E169" i="16"/>
  <c r="D169" i="16"/>
  <c r="E156" i="16"/>
  <c r="D156" i="16"/>
  <c r="E180" i="16" l="1"/>
  <c r="D180" i="16"/>
  <c r="E151" i="16" l="1"/>
  <c r="E162" i="16" s="1"/>
  <c r="D151" i="16"/>
  <c r="E139" i="16" l="1"/>
  <c r="D139" i="16"/>
  <c r="E134" i="16"/>
  <c r="D134" i="16"/>
  <c r="D144" i="16" l="1"/>
  <c r="E144" i="16"/>
  <c r="E122" i="16"/>
  <c r="D122" i="16"/>
  <c r="E117" i="16"/>
  <c r="D117" i="16"/>
  <c r="E127" i="16" l="1"/>
  <c r="D127" i="16"/>
  <c r="E105" i="16"/>
  <c r="D105" i="16"/>
  <c r="E100" i="16"/>
  <c r="D100" i="16"/>
  <c r="E87" i="16"/>
  <c r="D87" i="16"/>
  <c r="E82" i="16"/>
  <c r="D82" i="16"/>
  <c r="E69" i="16"/>
  <c r="D69" i="16"/>
  <c r="E64" i="16"/>
  <c r="D64" i="16"/>
  <c r="E110" i="16" l="1"/>
  <c r="D110" i="16"/>
  <c r="E93" i="16"/>
  <c r="D93" i="16"/>
  <c r="E75" i="16"/>
  <c r="D75" i="16"/>
  <c r="E52" i="16" l="1"/>
  <c r="D52" i="16"/>
  <c r="E47" i="16"/>
  <c r="D47" i="16"/>
  <c r="E34" i="16"/>
  <c r="D57" i="16" l="1"/>
  <c r="E57" i="16"/>
  <c r="D34" i="16" l="1"/>
  <c r="C36" i="14" l="1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B36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B19" i="14"/>
  <c r="E29" i="16" l="1"/>
  <c r="E40" i="16" s="1"/>
  <c r="D29" i="16"/>
  <c r="D40" i="16" s="1"/>
  <c r="E20" i="16"/>
  <c r="E22" i="16" s="1"/>
  <c r="D20" i="16"/>
  <c r="D22" i="16" s="1"/>
  <c r="E7" i="16"/>
  <c r="E14" i="16" s="1"/>
  <c r="D7" i="16"/>
  <c r="D14" i="16" s="1"/>
  <c r="K84" i="15" l="1"/>
  <c r="D84" i="15"/>
  <c r="D98" i="15"/>
  <c r="D97" i="15"/>
  <c r="D96" i="15"/>
  <c r="D95" i="15"/>
  <c r="D91" i="15"/>
  <c r="D90" i="15"/>
  <c r="D88" i="15"/>
  <c r="D81" i="15"/>
  <c r="D80" i="15"/>
  <c r="D76" i="15"/>
  <c r="B60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B29" i="15"/>
  <c r="B66" i="15"/>
  <c r="B64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F115" i="15" l="1"/>
  <c r="A115" i="15"/>
  <c r="C100" i="15"/>
  <c r="D89" i="15"/>
  <c r="D87" i="15"/>
  <c r="D86" i="15"/>
  <c r="N84" i="15"/>
  <c r="M84" i="15"/>
  <c r="L84" i="15"/>
  <c r="F84" i="15"/>
  <c r="C84" i="15"/>
  <c r="F77" i="15"/>
  <c r="D75" i="15"/>
  <c r="D74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R44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R18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B16" i="15" s="1"/>
  <c r="B42" i="15" l="1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P16" i="15"/>
  <c r="Q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R29" i="15"/>
  <c r="J115" i="15"/>
  <c r="E64" i="15"/>
  <c r="G64" i="15" s="1"/>
  <c r="R60" i="15"/>
  <c r="D100" i="15"/>
  <c r="E66" i="15" s="1"/>
  <c r="G66" i="15" s="1"/>
  <c r="D66" i="14"/>
  <c r="D59" i="14"/>
  <c r="D60" i="14"/>
  <c r="D61" i="14"/>
  <c r="D62" i="14"/>
  <c r="C66" i="14"/>
  <c r="C56" i="14"/>
  <c r="D49" i="14"/>
  <c r="D50" i="14"/>
  <c r="D51" i="14"/>
  <c r="D52" i="14"/>
  <c r="C42" i="14"/>
  <c r="C40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B24" i="14"/>
  <c r="T9" i="14" l="1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B7" i="14"/>
  <c r="G76" i="14"/>
  <c r="A76" i="14"/>
  <c r="E73" i="14"/>
  <c r="E72" i="14"/>
  <c r="D58" i="14"/>
  <c r="N56" i="14"/>
  <c r="M56" i="14"/>
  <c r="L56" i="14"/>
  <c r="F56" i="14"/>
  <c r="F51" i="14"/>
  <c r="D48" i="14"/>
  <c r="D56" i="14" s="1"/>
  <c r="T26" i="14"/>
  <c r="K56" i="14" l="1"/>
  <c r="F42" i="14"/>
  <c r="H42" i="14" s="1"/>
  <c r="T19" i="14"/>
  <c r="T36" i="14"/>
  <c r="K76" i="14"/>
  <c r="A88" i="13"/>
  <c r="C71" i="13" l="1"/>
  <c r="D68" i="13"/>
  <c r="D66" i="13"/>
  <c r="D60" i="13"/>
  <c r="D58" i="13"/>
  <c r="B51" i="13"/>
  <c r="B49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R45" i="13" s="1"/>
  <c r="R16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B24" i="13"/>
  <c r="B34" i="13"/>
  <c r="B32" i="13"/>
  <c r="B30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F88" i="13"/>
  <c r="J88" i="13" s="1"/>
  <c r="D67" i="13"/>
  <c r="D65" i="13"/>
  <c r="D71" i="13" s="1"/>
  <c r="N63" i="13"/>
  <c r="M63" i="13"/>
  <c r="L63" i="13"/>
  <c r="F63" i="13"/>
  <c r="C63" i="13"/>
  <c r="F60" i="13"/>
  <c r="K63" i="13" s="1"/>
  <c r="D57" i="13"/>
  <c r="D63" i="13" s="1"/>
  <c r="R37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Q7" i="13"/>
  <c r="Q14" i="13" s="1"/>
  <c r="P7" i="13"/>
  <c r="P14" i="13" s="1"/>
  <c r="O7" i="13"/>
  <c r="O14" i="13" s="1"/>
  <c r="N7" i="13"/>
  <c r="N14" i="13" s="1"/>
  <c r="M7" i="13"/>
  <c r="M14" i="13" s="1"/>
  <c r="L7" i="13"/>
  <c r="L14" i="13" s="1"/>
  <c r="K7" i="13"/>
  <c r="K14" i="13" s="1"/>
  <c r="J7" i="13"/>
  <c r="J14" i="13" s="1"/>
  <c r="I7" i="13"/>
  <c r="I14" i="13" s="1"/>
  <c r="H7" i="13"/>
  <c r="H14" i="13" s="1"/>
  <c r="G7" i="13"/>
  <c r="G14" i="13" s="1"/>
  <c r="F7" i="13"/>
  <c r="F14" i="13" s="1"/>
  <c r="E7" i="13"/>
  <c r="E14" i="13" s="1"/>
  <c r="D7" i="13"/>
  <c r="D14" i="13" s="1"/>
  <c r="C7" i="13"/>
  <c r="C14" i="13" s="1"/>
  <c r="B7" i="13"/>
  <c r="B14" i="13" s="1"/>
  <c r="R24" i="13" l="1"/>
  <c r="B35" i="13"/>
  <c r="D35" i="13"/>
  <c r="F35" i="13"/>
  <c r="H35" i="13"/>
  <c r="J35" i="13"/>
  <c r="L35" i="13"/>
  <c r="N35" i="13"/>
  <c r="P35" i="13"/>
  <c r="C35" i="13"/>
  <c r="E35" i="13"/>
  <c r="G35" i="13"/>
  <c r="I35" i="13"/>
  <c r="K35" i="13"/>
  <c r="M35" i="13"/>
  <c r="O35" i="13"/>
  <c r="Q35" i="13"/>
  <c r="E49" i="13"/>
  <c r="G49" i="13" s="1"/>
  <c r="E51" i="13"/>
  <c r="G51" i="13" s="1"/>
  <c r="R68" i="12"/>
  <c r="B75" i="12"/>
  <c r="B73" i="12"/>
  <c r="A127" i="12"/>
  <c r="K93" i="12"/>
  <c r="M93" i="12"/>
  <c r="L93" i="12"/>
  <c r="D103" i="12"/>
  <c r="C103" i="12"/>
  <c r="E75" i="12"/>
  <c r="E73" i="12"/>
  <c r="C92" i="12"/>
  <c r="D95" i="12"/>
  <c r="D100" i="12"/>
  <c r="D99" i="12"/>
  <c r="D89" i="12"/>
  <c r="D88" i="12"/>
  <c r="D84" i="12"/>
  <c r="F127" i="12"/>
  <c r="J127" i="12" s="1"/>
  <c r="D123" i="12"/>
  <c r="D122" i="12"/>
  <c r="D121" i="12"/>
  <c r="D120" i="12"/>
  <c r="D119" i="12"/>
  <c r="D118" i="12"/>
  <c r="D115" i="12"/>
  <c r="D114" i="12"/>
  <c r="D113" i="12"/>
  <c r="D112" i="12"/>
  <c r="D111" i="12"/>
  <c r="D110" i="12"/>
  <c r="D102" i="12"/>
  <c r="D97" i="12"/>
  <c r="D96" i="12"/>
  <c r="D94" i="12"/>
  <c r="N93" i="12"/>
  <c r="F93" i="12"/>
  <c r="F86" i="12"/>
  <c r="D83" i="12"/>
  <c r="D92" i="12" s="1"/>
  <c r="F75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B68" i="12"/>
  <c r="R5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B46" i="12"/>
  <c r="R36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B24" i="12"/>
  <c r="R15" i="12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B49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B26" i="4"/>
  <c r="B12" i="12"/>
  <c r="B13" i="12" s="1"/>
  <c r="C53" i="12"/>
  <c r="C54" i="12" s="1"/>
  <c r="D53" i="12"/>
  <c r="D54" i="12" s="1"/>
  <c r="E53" i="12"/>
  <c r="E54" i="12" s="1"/>
  <c r="F53" i="12"/>
  <c r="F54" i="12" s="1"/>
  <c r="G53" i="12"/>
  <c r="G54" i="12" s="1"/>
  <c r="H53" i="12"/>
  <c r="H54" i="12" s="1"/>
  <c r="I53" i="12"/>
  <c r="I54" i="12" s="1"/>
  <c r="J53" i="12"/>
  <c r="J54" i="12" s="1"/>
  <c r="K53" i="12"/>
  <c r="K54" i="12" s="1"/>
  <c r="L53" i="12"/>
  <c r="L54" i="12" s="1"/>
  <c r="M53" i="12"/>
  <c r="M54" i="12" s="1"/>
  <c r="N53" i="12"/>
  <c r="N54" i="12" s="1"/>
  <c r="O53" i="12"/>
  <c r="O54" i="12" s="1"/>
  <c r="P53" i="12"/>
  <c r="P54" i="12" s="1"/>
  <c r="Q53" i="12"/>
  <c r="Q54" i="12" s="1"/>
  <c r="B53" i="12"/>
  <c r="B54" i="12" s="1"/>
  <c r="E54" i="9"/>
  <c r="E52" i="9"/>
  <c r="F80" i="1"/>
  <c r="A80" i="1"/>
  <c r="J86" i="4"/>
  <c r="F86" i="4"/>
  <c r="A86" i="4"/>
  <c r="F81" i="5"/>
  <c r="A81" i="5"/>
  <c r="A62" i="11"/>
  <c r="J62" i="11" s="1"/>
  <c r="F94" i="6"/>
  <c r="J94" i="6" s="1"/>
  <c r="A94" i="6"/>
  <c r="J89" i="7"/>
  <c r="F89" i="7"/>
  <c r="A89" i="7"/>
  <c r="F101" i="9"/>
  <c r="J101" i="9" s="1"/>
  <c r="A101" i="9"/>
  <c r="D77" i="9"/>
  <c r="C77" i="9"/>
  <c r="D76" i="9"/>
  <c r="D65" i="9"/>
  <c r="D63" i="9"/>
  <c r="D97" i="9"/>
  <c r="D96" i="9"/>
  <c r="D95" i="9"/>
  <c r="D94" i="9"/>
  <c r="D93" i="9"/>
  <c r="D92" i="9"/>
  <c r="D89" i="9"/>
  <c r="D88" i="9"/>
  <c r="D87" i="9"/>
  <c r="D86" i="9"/>
  <c r="D85" i="9"/>
  <c r="D84" i="9"/>
  <c r="D75" i="9"/>
  <c r="D73" i="9"/>
  <c r="D72" i="9"/>
  <c r="D71" i="9"/>
  <c r="D70" i="9"/>
  <c r="N69" i="9"/>
  <c r="L69" i="9"/>
  <c r="F69" i="9"/>
  <c r="C68" i="9"/>
  <c r="F65" i="9"/>
  <c r="D62" i="9"/>
  <c r="D68" i="9" s="1"/>
  <c r="F54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B48" i="9"/>
  <c r="Q38" i="9"/>
  <c r="Q16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D80" i="7"/>
  <c r="D81" i="7"/>
  <c r="D82" i="7"/>
  <c r="D83" i="7"/>
  <c r="D84" i="7"/>
  <c r="D85" i="7"/>
  <c r="D72" i="7"/>
  <c r="D73" i="7"/>
  <c r="D74" i="7"/>
  <c r="D75" i="7"/>
  <c r="D76" i="7"/>
  <c r="D77" i="7"/>
  <c r="R46" i="12" l="1"/>
  <c r="R24" i="12"/>
  <c r="K69" i="9"/>
  <c r="Q48" i="9"/>
  <c r="Q23" i="9"/>
  <c r="C66" i="7" l="1"/>
  <c r="D64" i="7"/>
  <c r="D60" i="7"/>
  <c r="C57" i="7"/>
  <c r="F42" i="7"/>
  <c r="D54" i="7"/>
  <c r="D51" i="7"/>
  <c r="D62" i="7"/>
  <c r="D61" i="7"/>
  <c r="D59" i="7"/>
  <c r="N57" i="7"/>
  <c r="L57" i="7"/>
  <c r="F57" i="7"/>
  <c r="F53" i="7"/>
  <c r="D50" i="7"/>
  <c r="D57" i="7" s="1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B35" i="7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D12" i="12"/>
  <c r="D13" i="12" s="1"/>
  <c r="E12" i="12"/>
  <c r="E13" i="12" s="1"/>
  <c r="F12" i="12"/>
  <c r="F13" i="12" s="1"/>
  <c r="G12" i="12"/>
  <c r="G13" i="12" s="1"/>
  <c r="H12" i="12"/>
  <c r="H13" i="12" s="1"/>
  <c r="I12" i="12"/>
  <c r="I13" i="12" s="1"/>
  <c r="J12" i="12"/>
  <c r="J13" i="12" s="1"/>
  <c r="K12" i="12"/>
  <c r="K13" i="12" s="1"/>
  <c r="L12" i="12"/>
  <c r="L13" i="12" s="1"/>
  <c r="M12" i="12"/>
  <c r="M13" i="12" s="1"/>
  <c r="N12" i="12"/>
  <c r="N13" i="12" s="1"/>
  <c r="O12" i="12"/>
  <c r="O13" i="12" s="1"/>
  <c r="P12" i="12"/>
  <c r="P13" i="12" s="1"/>
  <c r="Q12" i="12"/>
  <c r="Q13" i="12" s="1"/>
  <c r="C12" i="12"/>
  <c r="C13" i="12" s="1"/>
  <c r="C79" i="12"/>
  <c r="C78" i="12"/>
  <c r="G75" i="12"/>
  <c r="G73" i="12"/>
  <c r="Q26" i="7"/>
  <c r="R34" i="12" l="1"/>
  <c r="K57" i="7"/>
  <c r="D66" i="7"/>
  <c r="E42" i="7" s="1"/>
  <c r="Q35" i="7"/>
  <c r="Q9" i="7"/>
  <c r="P17" i="7" l="1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C72" i="6"/>
  <c r="D70" i="6"/>
  <c r="D67" i="6"/>
  <c r="C64" i="6"/>
  <c r="D61" i="6"/>
  <c r="D66" i="6"/>
  <c r="D68" i="6"/>
  <c r="D69" i="6"/>
  <c r="D72" i="6" s="1"/>
  <c r="E39" i="6" s="1"/>
  <c r="F39" i="6"/>
  <c r="N64" i="6"/>
  <c r="L64" i="6"/>
  <c r="F64" i="6"/>
  <c r="F61" i="6"/>
  <c r="D58" i="6"/>
  <c r="D64" i="6" s="1"/>
  <c r="E37" i="6" s="1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S24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B16" i="6"/>
  <c r="S16" i="6" s="1"/>
  <c r="S9" i="6"/>
  <c r="C45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1" i="11"/>
  <c r="F62" i="11"/>
  <c r="D59" i="11"/>
  <c r="D58" i="11"/>
  <c r="C52" i="11"/>
  <c r="D50" i="11"/>
  <c r="D49" i="11"/>
  <c r="D48" i="11"/>
  <c r="D47" i="11"/>
  <c r="D52" i="11" s="1"/>
  <c r="E36" i="11" s="1"/>
  <c r="N46" i="11"/>
  <c r="L46" i="11"/>
  <c r="F46" i="11"/>
  <c r="F43" i="11"/>
  <c r="D43" i="11"/>
  <c r="D41" i="11"/>
  <c r="D40" i="11"/>
  <c r="D45" i="11" s="1"/>
  <c r="F36" i="11"/>
  <c r="B36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R23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R16" i="11" s="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D67" i="5"/>
  <c r="D64" i="5"/>
  <c r="D65" i="5"/>
  <c r="D66" i="5"/>
  <c r="O37" i="5"/>
  <c r="P37" i="5"/>
  <c r="Q37" i="5"/>
  <c r="C37" i="5"/>
  <c r="D37" i="5"/>
  <c r="E37" i="5"/>
  <c r="F37" i="5"/>
  <c r="G37" i="5"/>
  <c r="H37" i="5"/>
  <c r="I37" i="5"/>
  <c r="J37" i="5"/>
  <c r="K37" i="5"/>
  <c r="L37" i="5"/>
  <c r="M37" i="5"/>
  <c r="N37" i="5"/>
  <c r="B37" i="5"/>
  <c r="R37" i="5" s="1"/>
  <c r="C61" i="5"/>
  <c r="R26" i="5"/>
  <c r="L61" i="1"/>
  <c r="M61" i="1"/>
  <c r="N61" i="1"/>
  <c r="F58" i="1"/>
  <c r="K61" i="1" s="1"/>
  <c r="L69" i="4"/>
  <c r="M69" i="4"/>
  <c r="N69" i="4"/>
  <c r="K69" i="4"/>
  <c r="F66" i="4"/>
  <c r="N61" i="5"/>
  <c r="L61" i="5"/>
  <c r="M61" i="5"/>
  <c r="F58" i="5"/>
  <c r="D58" i="5"/>
  <c r="F44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R9" i="5"/>
  <c r="J81" i="5"/>
  <c r="D78" i="5"/>
  <c r="D77" i="5"/>
  <c r="C72" i="5"/>
  <c r="D63" i="5"/>
  <c r="D72" i="5" s="1"/>
  <c r="E44" i="5" s="1"/>
  <c r="F61" i="5"/>
  <c r="D53" i="5"/>
  <c r="D61" i="5" s="1"/>
  <c r="E42" i="5" s="1"/>
  <c r="J80" i="1"/>
  <c r="D83" i="4"/>
  <c r="D82" i="4"/>
  <c r="F69" i="4"/>
  <c r="C77" i="4"/>
  <c r="D77" i="4"/>
  <c r="E55" i="4" s="1"/>
  <c r="G55" i="4" s="1"/>
  <c r="C69" i="4"/>
  <c r="C71" i="1"/>
  <c r="S49" i="4"/>
  <c r="S18" i="4"/>
  <c r="F61" i="1"/>
  <c r="C61" i="1"/>
  <c r="D74" i="4"/>
  <c r="D73" i="4"/>
  <c r="D72" i="4"/>
  <c r="D71" i="4"/>
  <c r="D64" i="4"/>
  <c r="D63" i="4"/>
  <c r="S41" i="4"/>
  <c r="D77" i="1"/>
  <c r="D76" i="1"/>
  <c r="K61" i="5" l="1"/>
  <c r="K64" i="6"/>
  <c r="Q17" i="7"/>
  <c r="S32" i="6"/>
  <c r="R30" i="11"/>
  <c r="K46" i="11"/>
  <c r="G36" i="11"/>
  <c r="E34" i="11"/>
  <c r="G34" i="11" s="1"/>
  <c r="R18" i="5"/>
  <c r="D69" i="4"/>
  <c r="E53" i="4" s="1"/>
  <c r="S26" i="4"/>
  <c r="F40" i="1" l="1"/>
  <c r="D66" i="1"/>
  <c r="D64" i="1"/>
  <c r="D6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D63" i="1"/>
  <c r="R2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6" i="1"/>
  <c r="D58" i="1"/>
  <c r="R9" i="1"/>
  <c r="D56" i="1"/>
  <c r="D55" i="1"/>
  <c r="B42" i="7"/>
  <c r="G42" i="7" s="1"/>
  <c r="B40" i="7"/>
  <c r="G40" i="7" s="1"/>
  <c r="B39" i="6"/>
  <c r="G39" i="6" s="1"/>
  <c r="B37" i="6"/>
  <c r="G37" i="6" s="1"/>
  <c r="B44" i="5"/>
  <c r="G44" i="5" s="1"/>
  <c r="B42" i="5"/>
  <c r="G42" i="5" s="1"/>
  <c r="B55" i="4"/>
  <c r="B53" i="4"/>
  <c r="G53" i="4" s="1"/>
  <c r="D61" i="1" l="1"/>
  <c r="D71" i="1"/>
  <c r="E40" i="1" s="1"/>
  <c r="R16" i="1"/>
  <c r="R34" i="1"/>
  <c r="E38" i="1"/>
  <c r="G38" i="1" s="1"/>
  <c r="B54" i="9"/>
  <c r="G54" i="9" s="1"/>
  <c r="B52" i="9"/>
  <c r="G52" i="9" s="1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C58" i="9"/>
  <c r="C57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P27" i="9"/>
  <c r="P36" i="9" s="1"/>
  <c r="O27" i="9"/>
  <c r="O36" i="9" s="1"/>
  <c r="N27" i="9"/>
  <c r="N36" i="9" s="1"/>
  <c r="M27" i="9"/>
  <c r="M36" i="9" s="1"/>
  <c r="L27" i="9"/>
  <c r="L36" i="9" s="1"/>
  <c r="K27" i="9"/>
  <c r="K36" i="9" s="1"/>
  <c r="J27" i="9"/>
  <c r="J36" i="9" s="1"/>
  <c r="I27" i="9"/>
  <c r="I36" i="9" s="1"/>
  <c r="H27" i="9"/>
  <c r="H36" i="9" s="1"/>
  <c r="G27" i="9"/>
  <c r="G36" i="9" s="1"/>
  <c r="F27" i="9"/>
  <c r="F36" i="9" s="1"/>
  <c r="E27" i="9"/>
  <c r="E36" i="9" s="1"/>
  <c r="D27" i="9"/>
  <c r="D36" i="9" s="1"/>
  <c r="C27" i="9"/>
  <c r="C36" i="9" s="1"/>
  <c r="B27" i="9"/>
  <c r="B36" i="9" s="1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B14" i="9" s="1"/>
  <c r="C46" i="7"/>
  <c r="C45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B22" i="6"/>
  <c r="B7" i="6"/>
  <c r="C43" i="6"/>
  <c r="C4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C49" i="5"/>
  <c r="C48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B32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B9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B30" i="4"/>
  <c r="B7" i="4"/>
  <c r="B16" i="4" s="1"/>
  <c r="C7" i="4"/>
  <c r="C16" i="4" s="1"/>
  <c r="R7" i="4"/>
  <c r="R16" i="4" s="1"/>
  <c r="Q7" i="4"/>
  <c r="Q16" i="4" s="1"/>
  <c r="P7" i="4"/>
  <c r="P16" i="4" s="1"/>
  <c r="O7" i="4"/>
  <c r="O16" i="4" s="1"/>
  <c r="N7" i="4"/>
  <c r="N16" i="4" s="1"/>
  <c r="M7" i="4"/>
  <c r="M16" i="4" s="1"/>
  <c r="L7" i="4"/>
  <c r="L16" i="4" s="1"/>
  <c r="K7" i="4"/>
  <c r="K16" i="4" s="1"/>
  <c r="J7" i="4"/>
  <c r="J16" i="4" s="1"/>
  <c r="I7" i="4"/>
  <c r="I16" i="4" s="1"/>
  <c r="H7" i="4"/>
  <c r="H16" i="4" s="1"/>
  <c r="G7" i="4"/>
  <c r="G16" i="4" s="1"/>
  <c r="F7" i="4"/>
  <c r="F16" i="4" s="1"/>
  <c r="E7" i="4"/>
  <c r="E16" i="4" s="1"/>
  <c r="D7" i="4"/>
  <c r="D16" i="4" s="1"/>
  <c r="B40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7" i="1"/>
  <c r="B23" i="1"/>
  <c r="G40" i="1" l="1"/>
  <c r="B39" i="4"/>
  <c r="C39" i="4"/>
  <c r="E39" i="4"/>
  <c r="G39" i="4"/>
  <c r="I39" i="4"/>
  <c r="K39" i="4"/>
  <c r="M39" i="4"/>
  <c r="O39" i="4"/>
  <c r="Q39" i="4"/>
  <c r="D39" i="4"/>
  <c r="F39" i="4"/>
  <c r="H39" i="4"/>
  <c r="J39" i="4"/>
  <c r="L39" i="4"/>
  <c r="N39" i="4"/>
  <c r="P39" i="4"/>
  <c r="R39" i="4"/>
  <c r="C14" i="9"/>
  <c r="E14" i="9"/>
  <c r="G14" i="9"/>
  <c r="I14" i="9"/>
  <c r="K14" i="9"/>
  <c r="M14" i="9"/>
  <c r="O14" i="9"/>
  <c r="D14" i="9"/>
  <c r="F14" i="9"/>
  <c r="H14" i="9"/>
  <c r="J14" i="9"/>
  <c r="L14" i="9"/>
  <c r="N14" i="9"/>
  <c r="P14" i="9"/>
  <c r="F40" i="14"/>
  <c r="H40" i="14" s="1"/>
  <c r="D162" i="16"/>
</calcChain>
</file>

<file path=xl/sharedStrings.xml><?xml version="1.0" encoding="utf-8"?>
<sst xmlns="http://schemas.openxmlformats.org/spreadsheetml/2006/main" count="6335" uniqueCount="451">
  <si>
    <t>NGÀY THƯỜNG</t>
  </si>
  <si>
    <t>(THỨ 2 - 6)</t>
  </si>
  <si>
    <t>NGÀY CUỐI TUẦN</t>
  </si>
  <si>
    <t>(THỨ 7 - CN)</t>
  </si>
  <si>
    <t>8H-9H</t>
  </si>
  <si>
    <t>9H-10H</t>
  </si>
  <si>
    <t>10H-11H</t>
  </si>
  <si>
    <t>11H-12H</t>
  </si>
  <si>
    <t>12H-13H</t>
  </si>
  <si>
    <t>13H-14H</t>
  </si>
  <si>
    <t>14H-15H</t>
  </si>
  <si>
    <t>15H-16H</t>
  </si>
  <si>
    <t>16H-17H</t>
  </si>
  <si>
    <t>17H-18H</t>
  </si>
  <si>
    <t>18H-19H</t>
  </si>
  <si>
    <t>19H-20H</t>
  </si>
  <si>
    <t>20H-21H</t>
  </si>
  <si>
    <t>21H-22H</t>
  </si>
  <si>
    <t>22H-23H</t>
  </si>
  <si>
    <t>T7</t>
  </si>
  <si>
    <t>CN</t>
  </si>
  <si>
    <t>7H-8H</t>
  </si>
  <si>
    <t>GIỜ HOẠT ĐỘNG</t>
  </si>
  <si>
    <t>10H - 22H</t>
  </si>
  <si>
    <t>H</t>
  </si>
  <si>
    <t>9H - 22H</t>
  </si>
  <si>
    <t>SỐ NHÂN SỰ</t>
  </si>
  <si>
    <t>SỐ GIỜ</t>
  </si>
  <si>
    <t>(THỨ 2 - 6) - 0404-0804</t>
  </si>
  <si>
    <t>6H-7H</t>
  </si>
  <si>
    <t>(THỨ 7 - CN) - 0904-1004</t>
  </si>
  <si>
    <t>(THỨ 2 - 6) - 1104-1504</t>
  </si>
  <si>
    <t>(THỨ 7 - CN) - 1604-1704</t>
  </si>
  <si>
    <t>(THỨ 2 - 6) - 1804-2204</t>
  </si>
  <si>
    <t>(THỨ 7 - CN) - 2304-2404</t>
  </si>
  <si>
    <t>(THỨ 2 - 6) - 2504-2904</t>
  </si>
  <si>
    <t>(THỨ 7 - CN) - 3004-0105</t>
  </si>
  <si>
    <t>(THỨ 2 - 6) - 0205-0605</t>
  </si>
  <si>
    <t>(THỨ 7) - 0705</t>
  </si>
  <si>
    <t>(CN) - 0805</t>
  </si>
  <si>
    <t>TRUNG BÌNH</t>
  </si>
  <si>
    <t>(THỨ 7 - CN) - 0705-0805</t>
  </si>
  <si>
    <t>8H - 22H</t>
  </si>
  <si>
    <t>AEON</t>
  </si>
  <si>
    <t>CM</t>
  </si>
  <si>
    <t>VIVO</t>
  </si>
  <si>
    <t>CT</t>
  </si>
  <si>
    <t>6H - 22H</t>
  </si>
  <si>
    <t>TQD</t>
  </si>
  <si>
    <t>6H30 - 22H</t>
  </si>
  <si>
    <t>PXL</t>
  </si>
  <si>
    <t>6H - 23H</t>
  </si>
  <si>
    <t>CANTAVIL</t>
  </si>
  <si>
    <t>7H - 22H30</t>
  </si>
  <si>
    <t>NTP</t>
  </si>
  <si>
    <t>VINCOM</t>
  </si>
  <si>
    <t>7H40 - 22H</t>
  </si>
  <si>
    <t>BIÊN HÒA</t>
  </si>
  <si>
    <t>CỘNG HÒA</t>
  </si>
  <si>
    <t>VŨNG TÀU</t>
  </si>
  <si>
    <t>SỐ NHÂN SỰ CẦN CÓ</t>
  </si>
  <si>
    <t>SỐ H NHÂN SỰ LÀM</t>
  </si>
  <si>
    <t>8H - 16H</t>
  </si>
  <si>
    <t>14H30 - 22H30</t>
  </si>
  <si>
    <t>1-5 NG</t>
  </si>
  <si>
    <t>17H30 - 22H30</t>
  </si>
  <si>
    <t>TC</t>
  </si>
  <si>
    <t>Full time</t>
  </si>
  <si>
    <t>Part time</t>
  </si>
  <si>
    <t>5 - 25NG</t>
  </si>
  <si>
    <t>&gt;25NG - 35NG</t>
  </si>
  <si>
    <t>&gt;35NG - 45NG</t>
  </si>
  <si>
    <t>NHÂN SỰ BÁN HÀNG</t>
  </si>
  <si>
    <t>9H -17H</t>
  </si>
  <si>
    <t>SỐ LƯỢT KHÁCH</t>
  </si>
  <si>
    <t>PHÂN BỔ NHÂN SỰ THỰC TẾ</t>
  </si>
  <si>
    <t>NGƯỜI</t>
  </si>
  <si>
    <t>13H - 21H</t>
  </si>
  <si>
    <t>7H - 15H</t>
  </si>
  <si>
    <t>8H -16H</t>
  </si>
  <si>
    <t>SỐ BÁNH SẢN XUẤT</t>
  </si>
  <si>
    <t>SỐ BÁN</t>
  </si>
  <si>
    <t>SỐ HỦY</t>
  </si>
  <si>
    <t>ĐỊNH BIÊN NHÂN SỰ BÁN HÀNG</t>
  </si>
  <si>
    <t>ĐỊNH BIÊN NHÂN SỰ BẾP</t>
  </si>
  <si>
    <t>6H - 14H</t>
  </si>
  <si>
    <t>14H - 22H</t>
  </si>
  <si>
    <t>NHÂN SỰ OFF</t>
  </si>
  <si>
    <t>NHÂN SỰ QLY</t>
  </si>
  <si>
    <t>Hiện tại</t>
  </si>
  <si>
    <t>QL</t>
  </si>
  <si>
    <t>Bổ sung</t>
  </si>
  <si>
    <t>NHÂN SỰ OFF/ PUDDING</t>
  </si>
  <si>
    <t>DƯ</t>
  </si>
  <si>
    <t>3 NGUOI</t>
  </si>
  <si>
    <t>4 NGUOI</t>
  </si>
  <si>
    <t>QT</t>
  </si>
  <si>
    <t>7H - 22H</t>
  </si>
  <si>
    <t>7H30 - 22H</t>
  </si>
  <si>
    <t>5 - 6 NGUOI</t>
  </si>
  <si>
    <t>DRY CAKE, TOAST, PUDDING</t>
  </si>
  <si>
    <t>OFF</t>
  </si>
  <si>
    <t>BỔ SUNG</t>
  </si>
  <si>
    <t>NHÂN SỰ CẦN CÓ</t>
  </si>
  <si>
    <t>&lt;250C</t>
  </si>
  <si>
    <t>&gt;250C- 550C</t>
  </si>
  <si>
    <t>2 NGUOI</t>
  </si>
  <si>
    <t xml:space="preserve">CUỐI TUẦN TĂNG CA LÀM THÊM &gt;550C </t>
  </si>
  <si>
    <t>7H40 - 15H40</t>
  </si>
  <si>
    <t>11H - 19H</t>
  </si>
  <si>
    <t>12H - 20H</t>
  </si>
  <si>
    <t>8H - 14H</t>
  </si>
  <si>
    <t>18H00 - 22H00</t>
  </si>
  <si>
    <t>1 FT + 1 PT</t>
  </si>
  <si>
    <t>Cần có</t>
  </si>
  <si>
    <t>9H - 15H</t>
  </si>
  <si>
    <t>10H - 18H</t>
  </si>
  <si>
    <t>18H - 22H</t>
  </si>
  <si>
    <t>17H00 - 22H00</t>
  </si>
  <si>
    <t>dư 1 pt chuyển về Aeon</t>
  </si>
  <si>
    <t xml:space="preserve">tuyển thêm 3 full time </t>
  </si>
  <si>
    <t>hoặc điều động dung aeon về pico, tuyển cho aeon 1 full time</t>
  </si>
  <si>
    <t>15H - 21H</t>
  </si>
  <si>
    <t xml:space="preserve">9H - 15H </t>
  </si>
  <si>
    <t xml:space="preserve">7H - 13H </t>
  </si>
  <si>
    <t>16H - 22H</t>
  </si>
  <si>
    <t xml:space="preserve">tuyển thêm 1 full time </t>
  </si>
  <si>
    <t xml:space="preserve">9H - 13H </t>
  </si>
  <si>
    <t>Chuyển 01 nv về Bình Tân</t>
  </si>
  <si>
    <t>(THỨ 2 - 6) - 2504</t>
  </si>
  <si>
    <t>(THỨ 2 - 6) - 2604</t>
  </si>
  <si>
    <t>(THỨ 2 - 6) - 2704</t>
  </si>
  <si>
    <t>(THỨ 2 - 6) - 2804</t>
  </si>
  <si>
    <t>(THỨ 2 - 6) - 2904</t>
  </si>
  <si>
    <t>(THỨ 7 - CN) - 3004</t>
  </si>
  <si>
    <t>(THỨ 7 - CN) - 0105</t>
  </si>
  <si>
    <t>(THỨ 2 - 6) - 0205</t>
  </si>
  <si>
    <t>(THỨ 2 - 6) - 0305</t>
  </si>
  <si>
    <t>(THỨ 2 - 6) - 0405</t>
  </si>
  <si>
    <t>(THỨ 2 - 6) - 0505</t>
  </si>
  <si>
    <t>(THỨ 2 - 6) - 0605</t>
  </si>
  <si>
    <t>(THỨ 7 - CN) - 0705</t>
  </si>
  <si>
    <t>(THỨ 7 - CN) - 0805</t>
  </si>
  <si>
    <t xml:space="preserve">      - Bun, sw, pizza</t>
  </si>
  <si>
    <t xml:space="preserve">      - Toast</t>
  </si>
  <si>
    <t xml:space="preserve">      - Whole cake</t>
  </si>
  <si>
    <t xml:space="preserve">      - Slice cake</t>
  </si>
  <si>
    <t xml:space="preserve">      - Dry cake</t>
  </si>
  <si>
    <t xml:space="preserve">      - Pudding</t>
  </si>
  <si>
    <t>dư</t>
  </si>
  <si>
    <t xml:space="preserve">9H - 17H </t>
  </si>
  <si>
    <t>FT+PT</t>
  </si>
  <si>
    <t>CUỐI</t>
  </si>
  <si>
    <t>TUẦN</t>
  </si>
  <si>
    <t>Cuối tuần tăng ca</t>
  </si>
  <si>
    <t>cuối tuần tăng ca</t>
  </si>
  <si>
    <t>tuyển thêm 1 FT</t>
  </si>
  <si>
    <t>7H - 8H</t>
  </si>
  <si>
    <t>NGÀY LỄ - TẾT</t>
  </si>
  <si>
    <t>8H - 16H - PUDDING</t>
  </si>
  <si>
    <t>10H - 18H - ĐÓNG GÓI</t>
  </si>
  <si>
    <t>17H - 22H</t>
  </si>
  <si>
    <t xml:space="preserve">8H - 14H </t>
  </si>
  <si>
    <t>NHÂN SỰ OFF - LE</t>
  </si>
  <si>
    <t>2FT</t>
  </si>
  <si>
    <t>3 CAKE + 6 BUN + 1 QL</t>
  </si>
  <si>
    <t>TUYỂN 1 BUN + 1 CAKE</t>
  </si>
  <si>
    <t>8H30 - 22H30</t>
  </si>
  <si>
    <t>HN</t>
  </si>
  <si>
    <t xml:space="preserve">tuyển thêm 1 part time </t>
  </si>
  <si>
    <t>Mỹ nhân có đề xuất: Ngọc có nguyện vọng xin làm Part time thêm</t>
  </si>
  <si>
    <t>10H - 18H - GÓI BÁNH</t>
  </si>
  <si>
    <t>10H - 18H - GÓI BÁNH/ OFF</t>
  </si>
  <si>
    <t>Bổ sung thêm 02 FT</t>
  </si>
  <si>
    <t>6H - 7H</t>
  </si>
  <si>
    <t>10H - 18H - CẮT TOAST</t>
  </si>
  <si>
    <t>(THỨ 7) - 23/04</t>
  </si>
  <si>
    <t>(CN) - 24/04</t>
  </si>
  <si>
    <t>23H - 0H</t>
  </si>
  <si>
    <t>10H - 18H - CẮT TOAST/ OFF</t>
  </si>
  <si>
    <t>Đề xuất quản lý bếp</t>
  </si>
  <si>
    <t>9H - 13H</t>
  </si>
  <si>
    <t>10H - 14H</t>
  </si>
  <si>
    <t>1 FT + 4PT</t>
  </si>
  <si>
    <t>Tuyển 3 FT + 2PT</t>
  </si>
  <si>
    <t>STT</t>
  </si>
  <si>
    <t>VỊ TRÍ</t>
  </si>
  <si>
    <t>BỘ PHẬN</t>
  </si>
  <si>
    <t>SỐ LƯỢNG</t>
  </si>
  <si>
    <t>Quản lý Cửa hàng</t>
  </si>
  <si>
    <t>Tổng Quản lý</t>
  </si>
  <si>
    <t>Phó Quản lý</t>
  </si>
  <si>
    <t>Bán hàng</t>
  </si>
  <si>
    <t>Nhân viên bán hàng</t>
  </si>
  <si>
    <t>Tổ trưởng bếp</t>
  </si>
  <si>
    <t>Bếp</t>
  </si>
  <si>
    <t>Phó Bếp Cake</t>
  </si>
  <si>
    <t>Bếp Cake</t>
  </si>
  <si>
    <t>Nhân viên Bếp Cake</t>
  </si>
  <si>
    <t>Nhân viên Bếp Bun</t>
  </si>
  <si>
    <t>Bếp Bun</t>
  </si>
  <si>
    <t>TỔNG CỘNG</t>
  </si>
  <si>
    <t>Hiện có</t>
  </si>
  <si>
    <t>Cần tuyển</t>
  </si>
  <si>
    <t>FT</t>
  </si>
  <si>
    <t>PT</t>
  </si>
  <si>
    <t>Part Time</t>
  </si>
  <si>
    <t>Full Time (S-C)</t>
  </si>
  <si>
    <t>Part Time (S-C)</t>
  </si>
  <si>
    <t>Ngọc FT xin làm thêm ca PT</t>
  </si>
  <si>
    <t>Ghi chú</t>
  </si>
  <si>
    <t>Full Time (S-C-OFF)</t>
  </si>
  <si>
    <t>Thử thách 1 NV Bếp, tuyển 1 NVL Bếp</t>
  </si>
  <si>
    <t>1 FT qua lại PXL &amp; TQD</t>
  </si>
  <si>
    <t>1- SỐ LƯỢNG NHÂN SỰ TUYỂN DỤNG NGUYỄN TRI PHƯƠNG</t>
  </si>
  <si>
    <t>2- SỐ LƯỢNG NHÂN SỰ TUYỂN DỤNG TRẦN QUANG DIỆU</t>
  </si>
  <si>
    <t>3- SỐ LƯỢNG NHÂN SỰ TUYỂN DỤNG PHAN XÍCH LONG</t>
  </si>
  <si>
    <t xml:space="preserve">Part Time (S-C) </t>
  </si>
  <si>
    <t>6H - 10H</t>
  </si>
  <si>
    <t>6H - 14H - Đơn hàng</t>
  </si>
  <si>
    <t>14H - 22H - Đơn hàng</t>
  </si>
  <si>
    <t xml:space="preserve">18H - 22H </t>
  </si>
  <si>
    <t>1 Nhân viên Trần Quang Diệu sắp xếp qua lại</t>
  </si>
  <si>
    <t>Cắt toast/ OFF/ Đơn hàng</t>
  </si>
  <si>
    <t>Mixing</t>
  </si>
  <si>
    <t>Table</t>
  </si>
  <si>
    <t>Oven</t>
  </si>
  <si>
    <t>Topping</t>
  </si>
  <si>
    <t>Đêm</t>
  </si>
  <si>
    <t>4- SỐ LƯỢNG NHÂN SỰ TUYỂN DỤNG AEON TÂN PHÚ</t>
  </si>
  <si>
    <t>Điều động Dung về Pico, Quỳnh về Aeon</t>
  </si>
  <si>
    <t>Tuyển 2 PT</t>
  </si>
  <si>
    <t xml:space="preserve">1 Mixing/ 1 Table/ 1 Oven thay phiên nhau </t>
  </si>
  <si>
    <t>Xin nghỉ</t>
  </si>
  <si>
    <t>Chuyển qua Aeon Bình Tân</t>
  </si>
  <si>
    <t xml:space="preserve">1 Mixing + 1 Table thay phiên nhau </t>
  </si>
  <si>
    <t>5- SỐ LƯỢNG NHÂN SỰ TUYỂN DỤNG CANTAVIL</t>
  </si>
  <si>
    <t>OFF/ Pudding</t>
  </si>
  <si>
    <t>Dư 2 PT</t>
  </si>
  <si>
    <t>Pudding</t>
  </si>
  <si>
    <t>6- SỐ LƯỢNG NHÂN SỰ TUYỂN DỤNG QUANG TRUNG</t>
  </si>
  <si>
    <t>OFF/ Đóng gói</t>
  </si>
  <si>
    <t>Dry Cake</t>
  </si>
  <si>
    <t xml:space="preserve">1Dry Cake/ 1 Topping/ 1 Oven thay phiên nhau </t>
  </si>
  <si>
    <t>7- SỐ LƯỢNG NHÂN SỰ TUYỂN DỤNG CỘNG HÒA</t>
  </si>
  <si>
    <t xml:space="preserve">1 Mixing/ 1 Topping/ 1 Table thay phiên nhau </t>
  </si>
  <si>
    <t>8- SỐ LƯỢNG NHÂN SỰ TUYỂN DỤNG VINCOM Q1</t>
  </si>
  <si>
    <t xml:space="preserve">1 Mixing thay phiên nhau </t>
  </si>
  <si>
    <t xml:space="preserve">1 Table thay phiên nhau </t>
  </si>
  <si>
    <t>Điều chuyển Hiền về SG Center</t>
  </si>
  <si>
    <t>9- SỐ LƯỢNG NHÂN SỰ TUYỂN DỤNG VIVO</t>
  </si>
  <si>
    <t>10- SỐ LƯỢNG NHÂN SỰ TUYỂN DỤNG VŨNG TÀU</t>
  </si>
  <si>
    <t>có 1 trưởng ca</t>
  </si>
  <si>
    <t>Cake</t>
  </si>
  <si>
    <t xml:space="preserve">1 Table/ Oven/ Topping/ Cake thay phiên nhau </t>
  </si>
  <si>
    <t xml:space="preserve">1 Mixing/ Oven/ Topping/ Cake thay phiên nhau </t>
  </si>
  <si>
    <t xml:space="preserve">1 Mixing/ Table/ Topping/ Cake thay phiên nhau </t>
  </si>
  <si>
    <t xml:space="preserve">1 Mixing/ Table/ Oven/ Cake thay phiên nhau </t>
  </si>
  <si>
    <t>11- SỐ LƯỢNG NHÂN SỰ TUYỂN DỤNG BIÊN HÒA</t>
  </si>
  <si>
    <t>Bảo, Nhân đang thử thách trưởng ca</t>
  </si>
  <si>
    <t>11- SỐ LƯỢNG NHÂN SỰ TUYỂN DỤNG HÀ NỘI</t>
  </si>
  <si>
    <t>Nhân</t>
  </si>
  <si>
    <t>12- SỐ LƯỢNG NHÂN SỰ TUYỂN DỤNG TRẦN QUANG DIỆU</t>
  </si>
  <si>
    <t>Xem xét thử thách 1 NV vị trí QL</t>
  </si>
  <si>
    <t>13- SỐ LƯỢNG NHÂN SỰ TUYỂN DỤNG BẾP TRUNG TÂM</t>
  </si>
  <si>
    <t>Trưởng bộ phận</t>
  </si>
  <si>
    <t>Văn phòng/ Đóng gói</t>
  </si>
  <si>
    <t>Admin BTT</t>
  </si>
  <si>
    <t>Đóng gói</t>
  </si>
  <si>
    <t>Thủ kho</t>
  </si>
  <si>
    <t>Nhân viên Bếp Nhân</t>
  </si>
  <si>
    <t>Bếp Nhân</t>
  </si>
  <si>
    <t>Nhân viên Bếp Mixing</t>
  </si>
  <si>
    <t>Bếp Mixing</t>
  </si>
  <si>
    <t>Cake Việt</t>
  </si>
  <si>
    <t>Cake Sin</t>
  </si>
  <si>
    <t>Thợ nướng bánh bông lan</t>
  </si>
  <si>
    <t>14- SỐ LƯỢNG NHÂN SỰ TUYỂN DỤNG AEON BÌNH TÂN</t>
  </si>
  <si>
    <t>Thử thách Văn Cường - Vivo</t>
  </si>
  <si>
    <t>15- SỐ LƯỢNG NHÂN SỰ TUYỂN DỤNG SÀI GÒN CENTRE</t>
  </si>
  <si>
    <t xml:space="preserve">1 Mixing/ Table/ Oven thay phiên nhau </t>
  </si>
  <si>
    <t>Thay phiên nhau</t>
  </si>
  <si>
    <t>17H - 21H</t>
  </si>
  <si>
    <t>1FT+2PT</t>
  </si>
  <si>
    <t>QLCH</t>
  </si>
  <si>
    <t>16- SỐ LƯỢNG NHÂN SỰ TUYỂN DỤNG CRESCENT MALL</t>
  </si>
  <si>
    <t>Tuyển 2 FT + 1PT</t>
  </si>
  <si>
    <t>Part time CT</t>
  </si>
  <si>
    <t xml:space="preserve">      - Dry cake CM</t>
  </si>
  <si>
    <t xml:space="preserve">      - Dry cake VIVO</t>
  </si>
  <si>
    <t>có 1 TT trưởng ca</t>
  </si>
  <si>
    <t>PT Cuối tuần</t>
  </si>
  <si>
    <t xml:space="preserve">      - Dry cake QT</t>
  </si>
  <si>
    <t xml:space="preserve">      - Dry cake Aeon</t>
  </si>
  <si>
    <t xml:space="preserve">      - Dry cake CH</t>
  </si>
  <si>
    <t>Danh xin nghỉ cuối tháng 5/2016</t>
  </si>
  <si>
    <t xml:space="preserve">      - Dry cake TQD</t>
  </si>
  <si>
    <t xml:space="preserve">      - Dry cake Q2</t>
  </si>
  <si>
    <t xml:space="preserve">      - Dry cake PXL</t>
  </si>
  <si>
    <t xml:space="preserve">      - Dry cake VC</t>
  </si>
  <si>
    <t xml:space="preserve">      - Dry cake NTP</t>
  </si>
  <si>
    <t xml:space="preserve">      - Toast - CM</t>
  </si>
  <si>
    <t>Projected Hourly Sales</t>
  </si>
  <si>
    <t>Projected Manning Guide Hours</t>
  </si>
  <si>
    <t>Projected Labour $$$ (18k/1h)</t>
  </si>
  <si>
    <t>Bổ sung thêm 2 FT</t>
  </si>
  <si>
    <t>10H - 18H - OFF</t>
  </si>
  <si>
    <t>Ideal Staff Strength</t>
  </si>
  <si>
    <t xml:space="preserve">Daily Average Sales </t>
  </si>
  <si>
    <t>&lt; 20,000,000</t>
  </si>
  <si>
    <t>&gt; 20,000,000</t>
  </si>
  <si>
    <t>&gt; 30,000,000</t>
  </si>
  <si>
    <t>&gt; 40,000,000</t>
  </si>
  <si>
    <t>&gt; 50,000,000</t>
  </si>
  <si>
    <t>&gt; 60,000,000</t>
  </si>
  <si>
    <t>Cashier</t>
  </si>
  <si>
    <t>Packer</t>
  </si>
  <si>
    <t>Stock up</t>
  </si>
  <si>
    <t>Other</t>
  </si>
  <si>
    <t xml:space="preserve">Total Staff </t>
  </si>
  <si>
    <t>Total Business Hours</t>
  </si>
  <si>
    <t>Opening &amp; Closing Duties</t>
  </si>
  <si>
    <t>Number of shift required per day</t>
  </si>
  <si>
    <t>Number of staff required per day</t>
  </si>
  <si>
    <t>Ideal staff strength</t>
  </si>
  <si>
    <t>Lý giải</t>
  </si>
  <si>
    <t xml:space="preserve">Ngày thường </t>
  </si>
  <si>
    <t>Ngày cuối tuần</t>
  </si>
  <si>
    <t>Lượt khách</t>
  </si>
  <si>
    <t>Doanh thu</t>
  </si>
  <si>
    <t>Giờ làm việc</t>
  </si>
  <si>
    <t>Tổng giờ 1 ngày</t>
  </si>
  <si>
    <t>Tổng giờ 1 tuần</t>
  </si>
  <si>
    <t>Giờ hoạt động</t>
  </si>
  <si>
    <t>1 ngày</t>
  </si>
  <si>
    <t>1 giờ</t>
  </si>
  <si>
    <t>Số nhân sự</t>
  </si>
  <si>
    <t>Số giờ làm việc</t>
  </si>
  <si>
    <t>Tổng giờ tuần</t>
  </si>
  <si>
    <t>BÁN HÀNG</t>
  </si>
  <si>
    <t>1 tuần</t>
  </si>
  <si>
    <t xml:space="preserve">Trung bình số người </t>
  </si>
  <si>
    <t>trong ca làm việc</t>
  </si>
  <si>
    <t>Loại</t>
  </si>
  <si>
    <t>Bun</t>
  </si>
  <si>
    <t>Dry cake</t>
  </si>
  <si>
    <t>Trưởng thu ngân</t>
  </si>
  <si>
    <t>Phó Bếp Bun</t>
  </si>
  <si>
    <t>Nhân viên Đóng gói &amp; Giao nhận</t>
  </si>
  <si>
    <t xml:space="preserve">Bình quân lương </t>
  </si>
  <si>
    <t>1 nhân viên</t>
  </si>
  <si>
    <t>Tỷ lệ chiếm</t>
  </si>
  <si>
    <t>%</t>
  </si>
  <si>
    <t>THỐNG KÊ</t>
  </si>
  <si>
    <t>Khác</t>
  </si>
  <si>
    <t>Tổng cộng</t>
  </si>
  <si>
    <t>1 nhân viên 1h</t>
  </si>
  <si>
    <t>Bình quân Doanh thu</t>
  </si>
  <si>
    <t xml:space="preserve">Bình quân </t>
  </si>
  <si>
    <t>DT 1 tuần</t>
  </si>
  <si>
    <t>Tỷ lệ % lương</t>
  </si>
  <si>
    <t>Tỷ lệ</t>
  </si>
  <si>
    <t>% lương</t>
  </si>
  <si>
    <t>Nhân sự QL</t>
  </si>
  <si>
    <t>Bổ sung thêm 02 FT + 1 PT</t>
  </si>
  <si>
    <t>Total Business Hours (weekend)</t>
  </si>
  <si>
    <t xml:space="preserve">      - Bun, sw, pizza TQD</t>
  </si>
  <si>
    <t>Toast</t>
  </si>
  <si>
    <t>Nhân viên cắt Toast</t>
  </si>
  <si>
    <t>11H - 15H</t>
  </si>
  <si>
    <t>16H - 22H30</t>
  </si>
  <si>
    <t>15H - 19H</t>
  </si>
  <si>
    <t>Bổ sung thêm 1 FT + 2PT</t>
  </si>
  <si>
    <t>thay phiên</t>
  </si>
  <si>
    <t>7H - 11H</t>
  </si>
  <si>
    <t>8H - 16H - PUDDING/ OFF</t>
  </si>
  <si>
    <t>ĐỦ</t>
  </si>
  <si>
    <t>Nhân viên Pudding</t>
  </si>
  <si>
    <t>1FT+1PT</t>
  </si>
  <si>
    <t>Bổ sung thêm 03 FT</t>
  </si>
  <si>
    <t>Nhân viên đóng gói</t>
  </si>
  <si>
    <t>Thay phiên</t>
  </si>
  <si>
    <t>CH</t>
  </si>
  <si>
    <t>17H00 - 21H00</t>
  </si>
  <si>
    <t xml:space="preserve">tuyển thêm 4 full time </t>
  </si>
  <si>
    <t>VC Q1</t>
  </si>
  <si>
    <t>16H - 20H</t>
  </si>
  <si>
    <t>1 PT</t>
  </si>
  <si>
    <t>Chuyển Hiền về SG Centre</t>
  </si>
  <si>
    <t>16H - 21H</t>
  </si>
  <si>
    <t>13H - 17H</t>
  </si>
  <si>
    <t>4PT</t>
  </si>
  <si>
    <t>Tuyển 1 FT + 2PT</t>
  </si>
  <si>
    <t>GHI CHÚ: TUYỂN 2 NHÂN SỰ BÁN HÀNG CUỐI TUẦN</t>
  </si>
  <si>
    <r>
      <rPr>
        <b/>
        <sz val="12"/>
        <color theme="0"/>
        <rFont val="Times New Roman"/>
        <family val="1"/>
      </rPr>
      <t>GHI CHÚ:</t>
    </r>
    <r>
      <rPr>
        <b/>
        <sz val="12"/>
        <color theme="1"/>
        <rFont val="Times New Roman"/>
        <family val="1"/>
      </rPr>
      <t xml:space="preserve"> BẾP TĂNG CA CUỐI TUẦN</t>
    </r>
  </si>
  <si>
    <t>VT</t>
  </si>
  <si>
    <t>8H - 12H</t>
  </si>
  <si>
    <t>1FT + 2PT</t>
  </si>
  <si>
    <t>GHI CHÚ: TUYỂN 1 NHÂN SỰ BÁN HÀNG CUỐI TUẦN</t>
  </si>
  <si>
    <t>Bun + Cake</t>
  </si>
  <si>
    <t>BH</t>
  </si>
  <si>
    <t>1- ĐỊNH BIÊN NHÂN SỰ AEON TÂN PHÚ</t>
  </si>
  <si>
    <t>2- ĐỊNH BIÊN NHÂN SỰ CANTAVIL</t>
  </si>
  <si>
    <t>3- ĐỊNH BIÊN NHÂN SỰ QUANG TRUNG</t>
  </si>
  <si>
    <t>4- ĐỊNH BIÊN NHÂN SỰ CỘNG HÒA</t>
  </si>
  <si>
    <t>5- ĐỊNH BIÊN NHÂN SỰ VINCOM Q1</t>
  </si>
  <si>
    <t>6- ĐỊNH BIÊN NHÂN SỰ VIVO</t>
  </si>
  <si>
    <t>8- ĐỊNH BIÊN NHÂN SỰ NGUYỄN TRI PHƯƠNG</t>
  </si>
  <si>
    <t>9- ĐỊNH BIÊN NHÂN SỰ TRẦN QUANG DIỆU</t>
  </si>
  <si>
    <t>10- ĐỊNH BIÊN NHÂN SỰ PHAN XÍCH LONG</t>
  </si>
  <si>
    <t>7- ĐỊNH BIÊN NHÂN SỰ CRESCENT MALL</t>
  </si>
  <si>
    <t>11- ĐỊNH BIÊN NHÂN SỰ BẾP TRUNG TÂM</t>
  </si>
  <si>
    <t>Phân bánh</t>
  </si>
  <si>
    <t>Số lượng SX</t>
  </si>
  <si>
    <t>Whole Cake</t>
  </si>
  <si>
    <t>Slice Cake</t>
  </si>
  <si>
    <t>Ngày thường</t>
  </si>
  <si>
    <t>Nhân viên Bếp bánh</t>
  </si>
  <si>
    <t>Nhân viên Bếp bánh (Cake)</t>
  </si>
  <si>
    <t>Nhân viên Bếp bánh (Bun)</t>
  </si>
  <si>
    <t>Nhân viên Bếp bánh (Bun+Toast)</t>
  </si>
  <si>
    <t>Trợ lý BTT</t>
  </si>
  <si>
    <t>Trợ lý theo dõi Đơn hàng</t>
  </si>
  <si>
    <t>QLCH PXL</t>
  </si>
  <si>
    <t>Nhân viên chịu trách nhiệm Đơn hàng</t>
  </si>
  <si>
    <t>Nhân viên Bếp bánh (Đơn hàng)</t>
  </si>
  <si>
    <t>10'- ĐỊNH BIÊN NHÂN SỰ LÀM ĐƠN HÀNG</t>
  </si>
  <si>
    <t>12- ĐỊNH BIÊN NHÂN SỰ VŨNG TÀU</t>
  </si>
  <si>
    <t>13- ĐỊNH BIÊN NHÂN SỰ BIÊN HÒA</t>
  </si>
  <si>
    <t>14- ĐỊNH BIÊN NHÂN SỰ HÀ NỘI</t>
  </si>
  <si>
    <t>Nhân viên Bếp Bánh</t>
  </si>
  <si>
    <t>15-  ĐỊNH BIÊN NHÂN SỰ AEON BÌNH TÂN</t>
  </si>
  <si>
    <t>Quản lý Cửa hàng/ Phó Quản lý</t>
  </si>
  <si>
    <t>16-  ĐỊNH BIÊN NHÂN SỰ SÀI GÒN CENTRE</t>
  </si>
  <si>
    <t>CÔNG TY CỒ PHẦN BÌNH MINH TOÀN CẦU</t>
  </si>
  <si>
    <t>ĐỊNH BIÊN NHÂN SỰ TẠI CÁC CỬA HÀNG</t>
  </si>
  <si>
    <t>NGƯỜI LẬP</t>
  </si>
  <si>
    <t>GIÁM ĐỐC</t>
  </si>
  <si>
    <t>PHÒNG ĐIỀU HÀNH</t>
  </si>
  <si>
    <t xml:space="preserve">      - Trung thu</t>
  </si>
  <si>
    <t xml:space="preserve">      - Nước pha chế</t>
  </si>
  <si>
    <t xml:space="preserve">      - Nước chai/ lon</t>
  </si>
  <si>
    <t xml:space="preserve">      - Hàng hóa</t>
  </si>
  <si>
    <t xml:space="preserve">      - DT ngoài </t>
  </si>
  <si>
    <t>GHI CHÚ: 1 NHÂN SỰ BÁN HÀNG LUÂN PHIÊN LÀM VIỆC TẠI TQD &amp; PXL</t>
  </si>
  <si>
    <t>Thái An</t>
  </si>
  <si>
    <t>Gia đình</t>
  </si>
  <si>
    <t>Bình quân 1th</t>
  </si>
  <si>
    <t>KS</t>
  </si>
  <si>
    <t>Pouyeun</t>
  </si>
  <si>
    <t>Café Bene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</si>
</sst>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0.0_);[Red]\(#,##0.0\)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20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b/>
      <sz val="1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3" fillId="0" borderId="1" xfId="0" applyFont="1" applyBorder="1"/>
    <xf numFmtId="0" fontId="1" fillId="0" borderId="0" xfId="0" applyFont="1" applyFill="1" applyBorder="1"/>
    <xf numFmtId="0" fontId="2" fillId="3" borderId="1" xfId="0" applyFont="1" applyFill="1" applyBorder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2" fillId="0" borderId="0" xfId="0" applyFont="1"/>
    <xf numFmtId="0" fontId="4" fillId="4" borderId="0" xfId="0" applyFont="1" applyFill="1"/>
    <xf numFmtId="0" fontId="1" fillId="4" borderId="0" xfId="0" applyFont="1" applyFill="1"/>
    <xf numFmtId="0" fontId="3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3" fillId="2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right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1" fillId="0" borderId="1" xfId="0" applyFont="1" applyBorder="1" applyAlignment="1">
      <alignment horizontal="left"/>
    </xf>
    <xf numFmtId="3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1" fillId="0" borderId="1" xfId="6" applyNumberFormat="1" applyFont="1" applyBorder="1"/>
    <xf numFmtId="164" fontId="1" fillId="0" borderId="0" xfId="6" applyNumberFormat="1" applyFont="1"/>
    <xf numFmtId="164" fontId="1" fillId="2" borderId="1" xfId="6" applyNumberFormat="1" applyFont="1" applyFill="1" applyBorder="1"/>
    <xf numFmtId="3" fontId="2" fillId="3" borderId="1" xfId="0" applyNumberFormat="1" applyFont="1" applyFill="1" applyBorder="1"/>
    <xf numFmtId="3" fontId="1" fillId="0" borderId="1" xfId="0" applyNumberFormat="1" applyFont="1" applyFill="1" applyBorder="1"/>
    <xf numFmtId="10" fontId="1" fillId="0" borderId="0" xfId="7" applyNumberFormat="1" applyFont="1"/>
    <xf numFmtId="0" fontId="1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8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1" fillId="0" borderId="1" xfId="6" applyNumberFormat="1" applyFont="1" applyBorder="1" applyAlignment="1">
      <alignment horizontal="center"/>
    </xf>
    <xf numFmtId="10" fontId="2" fillId="0" borderId="1" xfId="7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64" fontId="1" fillId="0" borderId="1" xfId="0" applyNumberFormat="1" applyFont="1" applyBorder="1"/>
    <xf numFmtId="164" fontId="2" fillId="0" borderId="1" xfId="6" applyNumberFormat="1" applyFont="1" applyBorder="1"/>
    <xf numFmtId="164" fontId="2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6" fontId="1" fillId="0" borderId="1" xfId="0" applyNumberFormat="1" applyFont="1" applyBorder="1"/>
    <xf numFmtId="164" fontId="2" fillId="3" borderId="1" xfId="6" applyNumberFormat="1" applyFont="1" applyFill="1" applyBorder="1"/>
    <xf numFmtId="9" fontId="1" fillId="0" borderId="0" xfId="7" applyFont="1"/>
    <xf numFmtId="164" fontId="0" fillId="0" borderId="0" xfId="6" applyNumberFormat="1" applyFont="1" applyAlignment="1">
      <alignment horizontal="center"/>
    </xf>
    <xf numFmtId="3" fontId="1" fillId="0" borderId="1" xfId="0" applyNumberFormat="1" applyFont="1" applyBorder="1"/>
    <xf numFmtId="3" fontId="1" fillId="2" borderId="1" xfId="0" applyNumberFormat="1" applyFont="1" applyFill="1" applyBorder="1"/>
    <xf numFmtId="0" fontId="1" fillId="3" borderId="1" xfId="0" applyFont="1" applyFill="1" applyBorder="1"/>
    <xf numFmtId="3" fontId="2" fillId="0" borderId="0" xfId="0" applyNumberFormat="1" applyFont="1"/>
    <xf numFmtId="0" fontId="1" fillId="5" borderId="0" xfId="0" applyFont="1" applyFill="1"/>
    <xf numFmtId="0" fontId="0" fillId="0" borderId="0" xfId="0" applyBorder="1"/>
    <xf numFmtId="165" fontId="0" fillId="0" borderId="0" xfId="0" applyNumberFormat="1" applyBorder="1" applyAlignment="1">
      <alignment horizontal="center"/>
    </xf>
    <xf numFmtId="164" fontId="6" fillId="0" borderId="1" xfId="6" applyNumberFormat="1" applyFont="1" applyBorder="1"/>
    <xf numFmtId="0" fontId="2" fillId="0" borderId="2" xfId="0" applyFont="1" applyBorder="1" applyAlignment="1"/>
    <xf numFmtId="0" fontId="2" fillId="0" borderId="5" xfId="0" applyFont="1" applyBorder="1" applyAlignment="1"/>
    <xf numFmtId="0" fontId="2" fillId="0" borderId="3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0" fontId="2" fillId="0" borderId="0" xfId="7" applyNumberFormat="1" applyFont="1" applyBorder="1"/>
    <xf numFmtId="164" fontId="2" fillId="0" borderId="0" xfId="6" applyNumberFormat="1" applyFont="1" applyBorder="1"/>
    <xf numFmtId="164" fontId="2" fillId="0" borderId="0" xfId="0" applyNumberFormat="1" applyFont="1" applyBorder="1"/>
    <xf numFmtId="164" fontId="2" fillId="0" borderId="1" xfId="6" applyNumberFormat="1" applyFont="1" applyBorder="1" applyAlignment="1"/>
    <xf numFmtId="0" fontId="1" fillId="0" borderId="3" xfId="0" applyFont="1" applyBorder="1"/>
    <xf numFmtId="0" fontId="2" fillId="3" borderId="0" xfId="0" applyFont="1" applyFill="1"/>
    <xf numFmtId="0" fontId="1" fillId="3" borderId="0" xfId="0" applyFont="1" applyFill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8">
    <cellStyle name="Comma" xfId="6" builtinId="3"/>
    <cellStyle name="Normal" xfId="0" builtinId="0"/>
    <cellStyle name="Normal 2" xfId="1"/>
    <cellStyle name="Normal 2 2" xfId="2"/>
    <cellStyle name="Normal 3" xfId="3"/>
    <cellStyle name="Normal 3 2" xfId="4"/>
    <cellStyle name="Normal 3 3" xfId="5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96</xdr:row>
      <xdr:rowOff>0</xdr:rowOff>
    </xdr:from>
    <xdr:to>
      <xdr:col>7</xdr:col>
      <xdr:colOff>238125</xdr:colOff>
      <xdr:row>114</xdr:row>
      <xdr:rowOff>47625</xdr:rowOff>
    </xdr:to>
    <xdr:grpSp>
      <xdr:nvGrpSpPr>
        <xdr:cNvPr id="3" name="Group 2"/>
        <xdr:cNvGrpSpPr/>
      </xdr:nvGrpSpPr>
      <xdr:grpSpPr>
        <a:xfrm>
          <a:off x="2905125" y="19450050"/>
          <a:ext cx="3829050" cy="3648075"/>
          <a:chOff x="2905125" y="16849725"/>
          <a:chExt cx="3829050" cy="3648075"/>
        </a:xfrm>
      </xdr:grpSpPr>
      <xdr:sp macro="" textlink="">
        <xdr:nvSpPr>
          <xdr:cNvPr id="2" name="Rectangle 1"/>
          <xdr:cNvSpPr/>
        </xdr:nvSpPr>
        <xdr:spPr>
          <a:xfrm>
            <a:off x="4190999" y="16849725"/>
            <a:ext cx="1276351" cy="59055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500" b="1">
                <a:latin typeface="Times New Roman" panose="02020603050405020304" pitchFamily="18" charset="0"/>
                <a:cs typeface="Times New Roman" panose="02020603050405020304" pitchFamily="18" charset="0"/>
              </a:rPr>
              <a:t>01 QLCH</a:t>
            </a:r>
          </a:p>
          <a:p>
            <a:pPr algn="ctr"/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(Mỹ</a:t>
            </a:r>
            <a:r>
              <a:rPr lang="en-US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Nhân)</a:t>
            </a:r>
            <a:endParaRPr lang="en-US" sz="12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0" name="Straight Connector 9"/>
          <xdr:cNvCxnSpPr>
            <a:stCxn id="2" idx="2"/>
          </xdr:cNvCxnSpPr>
        </xdr:nvCxnSpPr>
        <xdr:spPr>
          <a:xfrm>
            <a:off x="4829175" y="17440275"/>
            <a:ext cx="0" cy="20955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3552825" y="17640300"/>
            <a:ext cx="2543175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Straight Arrow Connector 15"/>
          <xdr:cNvCxnSpPr/>
        </xdr:nvCxnSpPr>
        <xdr:spPr>
          <a:xfrm>
            <a:off x="3552825" y="17630775"/>
            <a:ext cx="0" cy="219075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Straight Arrow Connector 16"/>
          <xdr:cNvCxnSpPr/>
        </xdr:nvCxnSpPr>
        <xdr:spPr>
          <a:xfrm>
            <a:off x="6096000" y="17630775"/>
            <a:ext cx="0" cy="219075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" name="Rectangle 17"/>
          <xdr:cNvSpPr/>
        </xdr:nvSpPr>
        <xdr:spPr>
          <a:xfrm>
            <a:off x="2914649" y="17859375"/>
            <a:ext cx="1276351" cy="59055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500" b="1">
                <a:latin typeface="Times New Roman" panose="02020603050405020304" pitchFamily="18" charset="0"/>
                <a:cs typeface="Times New Roman" panose="02020603050405020304" pitchFamily="18" charset="0"/>
              </a:rPr>
              <a:t>01 Phó</a:t>
            </a:r>
            <a:r>
              <a:rPr lang="en-US" sz="15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QL</a:t>
            </a:r>
            <a:endParaRPr lang="en-US" sz="15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(Mỹ</a:t>
            </a:r>
            <a:r>
              <a:rPr lang="en-US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Hạnh)</a:t>
            </a:r>
            <a:endParaRPr lang="en-US" sz="12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0" name="Rectangle 19"/>
          <xdr:cNvSpPr/>
        </xdr:nvSpPr>
        <xdr:spPr>
          <a:xfrm>
            <a:off x="2914649" y="18545175"/>
            <a:ext cx="1276351" cy="81915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02 Nhân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viên</a:t>
            </a:r>
          </a:p>
          <a:p>
            <a:pPr algn="ctr"/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Bán hàng FT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(1. Ánh</a:t>
            </a:r>
            <a:r>
              <a:rPr lang="en-US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Ngọc -</a:t>
            </a:r>
          </a:p>
          <a:p>
            <a:pPr algn="ctr"/>
            <a:r>
              <a:rPr lang="en-US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2. Ái Vy)</a:t>
            </a:r>
            <a:endParaRPr lang="en-US" sz="12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8" name="Rectangle 27"/>
          <xdr:cNvSpPr/>
        </xdr:nvSpPr>
        <xdr:spPr>
          <a:xfrm>
            <a:off x="2905125" y="19469100"/>
            <a:ext cx="1276351" cy="81915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02 Nhân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viên</a:t>
            </a:r>
          </a:p>
          <a:p>
            <a:pPr algn="ctr"/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Bán hàng PT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(1. Mi Như</a:t>
            </a:r>
            <a:r>
              <a:rPr lang="en-US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- 2. ...................)</a:t>
            </a:r>
            <a:endParaRPr lang="en-US" sz="12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9" name="Rectangle 28"/>
          <xdr:cNvSpPr/>
        </xdr:nvSpPr>
        <xdr:spPr>
          <a:xfrm>
            <a:off x="5457824" y="17868900"/>
            <a:ext cx="1276351" cy="59055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500" b="1">
                <a:latin typeface="Times New Roman" panose="02020603050405020304" pitchFamily="18" charset="0"/>
                <a:cs typeface="Times New Roman" panose="02020603050405020304" pitchFamily="18" charset="0"/>
              </a:rPr>
              <a:t>01 </a:t>
            </a:r>
            <a:r>
              <a:rPr lang="en-US" sz="15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QL Bếp</a:t>
            </a:r>
            <a:endParaRPr lang="en-US" sz="15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(...................</a:t>
            </a:r>
            <a:r>
              <a:rPr lang="en-US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en-US" sz="12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Rectangle 29"/>
          <xdr:cNvSpPr/>
        </xdr:nvSpPr>
        <xdr:spPr>
          <a:xfrm>
            <a:off x="5448299" y="18545175"/>
            <a:ext cx="1276351" cy="97155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03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Phụ trách Cake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(1. Thị</a:t>
            </a:r>
            <a:r>
              <a:rPr lang="en-US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Hảo</a:t>
            </a:r>
            <a:r>
              <a:rPr lang="en-US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-</a:t>
            </a:r>
          </a:p>
          <a:p>
            <a:pPr algn="ctr"/>
            <a:r>
              <a:rPr lang="en-US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2. Thanh Diễm</a:t>
            </a:r>
          </a:p>
          <a:p>
            <a:pPr algn="ctr"/>
            <a:r>
              <a:rPr lang="en-US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3. Kim Duyên)</a:t>
            </a:r>
            <a:endParaRPr lang="en-US" sz="12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1" name="Rectangle 30"/>
          <xdr:cNvSpPr/>
        </xdr:nvSpPr>
        <xdr:spPr>
          <a:xfrm>
            <a:off x="5457824" y="19631025"/>
            <a:ext cx="1276351" cy="86677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02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Phụ trách Bun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(1. Trí</a:t>
            </a:r>
            <a:r>
              <a:rPr lang="en-US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Bảo-</a:t>
            </a:r>
          </a:p>
          <a:p>
            <a:pPr algn="ctr"/>
            <a:r>
              <a:rPr lang="en-US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2. Hữu Danh)</a:t>
            </a:r>
            <a:endParaRPr lang="en-US" sz="12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4</xdr:col>
      <xdr:colOff>638175</xdr:colOff>
      <xdr:row>99</xdr:row>
      <xdr:rowOff>85725</xdr:rowOff>
    </xdr:from>
    <xdr:to>
      <xdr:col>7</xdr:col>
      <xdr:colOff>628650</xdr:colOff>
      <xdr:row>99</xdr:row>
      <xdr:rowOff>85725</xdr:rowOff>
    </xdr:to>
    <xdr:cxnSp macro="">
      <xdr:nvCxnSpPr>
        <xdr:cNvPr id="5" name="Straight Arrow Connector 4"/>
        <xdr:cNvCxnSpPr/>
      </xdr:nvCxnSpPr>
      <xdr:spPr>
        <a:xfrm>
          <a:off x="4819650" y="17535525"/>
          <a:ext cx="230505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97</xdr:row>
      <xdr:rowOff>190500</xdr:rowOff>
    </xdr:from>
    <xdr:to>
      <xdr:col>9</xdr:col>
      <xdr:colOff>647701</xdr:colOff>
      <xdr:row>100</xdr:row>
      <xdr:rowOff>180975</xdr:rowOff>
    </xdr:to>
    <xdr:sp macro="" textlink="">
      <xdr:nvSpPr>
        <xdr:cNvPr id="19" name="Rectangle 18"/>
        <xdr:cNvSpPr/>
      </xdr:nvSpPr>
      <xdr:spPr>
        <a:xfrm>
          <a:off x="7143750" y="17240250"/>
          <a:ext cx="1276351" cy="5905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500" b="1">
              <a:latin typeface="Times New Roman" panose="02020603050405020304" pitchFamily="18" charset="0"/>
              <a:cs typeface="Times New Roman" panose="02020603050405020304" pitchFamily="18" charset="0"/>
            </a:rPr>
            <a:t>01 KTCH</a:t>
          </a:r>
        </a:p>
        <a:p>
          <a:pPr algn="ctr"/>
          <a:r>
            <a:rPr lang="en-US" sz="1200" b="0">
              <a:latin typeface="Times New Roman" panose="02020603050405020304" pitchFamily="18" charset="0"/>
              <a:cs typeface="Times New Roman" panose="02020603050405020304" pitchFamily="18" charset="0"/>
            </a:rPr>
            <a:t>(Kim Phụng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en-US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247651</xdr:colOff>
      <xdr:row>110</xdr:row>
      <xdr:rowOff>152400</xdr:rowOff>
    </xdr:from>
    <xdr:to>
      <xdr:col>9</xdr:col>
      <xdr:colOff>609601</xdr:colOff>
      <xdr:row>113</xdr:row>
      <xdr:rowOff>9525</xdr:rowOff>
    </xdr:to>
    <xdr:sp macro="" textlink="">
      <xdr:nvSpPr>
        <xdr:cNvPr id="21" name="Left Arrow Callout 20"/>
        <xdr:cNvSpPr/>
      </xdr:nvSpPr>
      <xdr:spPr>
        <a:xfrm>
          <a:off x="6743701" y="22002750"/>
          <a:ext cx="1638300" cy="457200"/>
        </a:xfrm>
        <a:prstGeom prst="leftArrowCallou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Danh Xin nghỉ,</a:t>
          </a:r>
        </a:p>
        <a:p>
          <a:pPr algn="ctr"/>
          <a:r>
            <a:rPr lang="en-US" sz="1100" b="1" baseline="0"/>
            <a:t> tuyển mới</a:t>
          </a:r>
          <a:endParaRPr lang="en-US" sz="11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92</xdr:row>
      <xdr:rowOff>1</xdr:rowOff>
    </xdr:from>
    <xdr:to>
      <xdr:col>8</xdr:col>
      <xdr:colOff>38102</xdr:colOff>
      <xdr:row>117</xdr:row>
      <xdr:rowOff>152399</xdr:rowOff>
    </xdr:to>
    <xdr:grpSp>
      <xdr:nvGrpSpPr>
        <xdr:cNvPr id="2" name="Group 1"/>
        <xdr:cNvGrpSpPr/>
      </xdr:nvGrpSpPr>
      <xdr:grpSpPr>
        <a:xfrm>
          <a:off x="1728107" y="19022787"/>
          <a:ext cx="5535388" cy="5255076"/>
          <a:chOff x="3248024" y="17049756"/>
          <a:chExt cx="5514977" cy="5153023"/>
        </a:xfrm>
      </xdr:grpSpPr>
      <xdr:grpSp>
        <xdr:nvGrpSpPr>
          <xdr:cNvPr id="3" name="Group 2"/>
          <xdr:cNvGrpSpPr/>
        </xdr:nvGrpSpPr>
        <xdr:grpSpPr>
          <a:xfrm>
            <a:off x="3248024" y="17049756"/>
            <a:ext cx="5514977" cy="5153023"/>
            <a:chOff x="3219449" y="16059157"/>
            <a:chExt cx="5514977" cy="5153023"/>
          </a:xfrm>
        </xdr:grpSpPr>
        <xdr:grpSp>
          <xdr:nvGrpSpPr>
            <xdr:cNvPr id="5" name="Group 4"/>
            <xdr:cNvGrpSpPr/>
          </xdr:nvGrpSpPr>
          <xdr:grpSpPr>
            <a:xfrm>
              <a:off x="3219449" y="16059157"/>
              <a:ext cx="3819526" cy="3257550"/>
              <a:chOff x="2914649" y="16849725"/>
              <a:chExt cx="3819526" cy="3249065"/>
            </a:xfrm>
          </xdr:grpSpPr>
          <xdr:sp macro="" textlink="">
            <xdr:nvSpPr>
              <xdr:cNvPr id="10" name="Rectangle 9"/>
              <xdr:cNvSpPr/>
            </xdr:nvSpPr>
            <xdr:spPr>
              <a:xfrm>
                <a:off x="4190999" y="1684972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QLCH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(Mỹ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Nhân)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11" name="Straight Connector 10"/>
              <xdr:cNvCxnSpPr>
                <a:stCxn id="10" idx="2"/>
              </xdr:cNvCxnSpPr>
            </xdr:nvCxnSpPr>
            <xdr:spPr>
              <a:xfrm>
                <a:off x="4829175" y="17440275"/>
                <a:ext cx="0" cy="20955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Straight Connector 11"/>
              <xdr:cNvCxnSpPr/>
            </xdr:nvCxnSpPr>
            <xdr:spPr>
              <a:xfrm>
                <a:off x="3552825" y="17640300"/>
                <a:ext cx="2543175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3" name="Straight Arrow Connector 12"/>
              <xdr:cNvCxnSpPr/>
            </xdr:nvCxnSpPr>
            <xdr:spPr>
              <a:xfrm>
                <a:off x="3552825" y="17630775"/>
                <a:ext cx="0" cy="21907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4" name="Straight Arrow Connector 13"/>
              <xdr:cNvCxnSpPr/>
            </xdr:nvCxnSpPr>
            <xdr:spPr>
              <a:xfrm>
                <a:off x="6096000" y="17630775"/>
                <a:ext cx="0" cy="21907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>
                <a:off x="2914649" y="1785937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Phó</a:t>
                </a:r>
                <a:r>
                  <a:rPr lang="en-US" sz="15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QL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(.......................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6" name="Rectangle 15"/>
              <xdr:cNvSpPr/>
            </xdr:nvSpPr>
            <xdr:spPr>
              <a:xfrm>
                <a:off x="2914649" y="18545176"/>
                <a:ext cx="1276351" cy="155361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06 Nhân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viên</a:t>
                </a:r>
              </a:p>
              <a:p>
                <a:pPr algn="ctr"/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Bán hàng FT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(1. Kim Ngân</a:t>
                </a:r>
                <a:endPara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- 2. Hồng Nhung</a:t>
                </a:r>
                <a:endParaRPr lang="en-US" sz="1200" b="0" baseline="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- 3. Yến Nhi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- 4. Phương Anh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- 5. Thị Ngọc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- 6. Kim Yến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8" name="Rectangle 17"/>
              <xdr:cNvSpPr/>
            </xdr:nvSpPr>
            <xdr:spPr>
              <a:xfrm>
                <a:off x="5457824" y="17868900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</a:t>
                </a:r>
                <a:r>
                  <a:rPr lang="en-US" sz="15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QL Bếp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(.....................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9" name="Rectangle 18"/>
              <xdr:cNvSpPr/>
            </xdr:nvSpPr>
            <xdr:spPr>
              <a:xfrm>
                <a:off x="5457824" y="18583176"/>
                <a:ext cx="1276351" cy="480092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 Mixing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(1. </a:t>
                </a:r>
                <a:r>
                  <a:rPr lang="en-US" sz="1100" b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Thúy</a:t>
                </a:r>
                <a:r>
                  <a:rPr lang="en-US" sz="1100" b="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 An/Table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cxnSp macro="">
          <xdr:nvCxnSpPr>
            <xdr:cNvPr id="6" name="Straight Arrow Connector 5"/>
            <xdr:cNvCxnSpPr/>
          </xdr:nvCxnSpPr>
          <xdr:spPr>
            <a:xfrm>
              <a:off x="5133975" y="16744950"/>
              <a:ext cx="2305050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" name="Rectangle 6"/>
            <xdr:cNvSpPr/>
          </xdr:nvSpPr>
          <xdr:spPr>
            <a:xfrm>
              <a:off x="7458075" y="16449675"/>
              <a:ext cx="1276351" cy="59055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 KTCH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(Tiết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Oanh)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Rectangle 7"/>
            <xdr:cNvSpPr/>
          </xdr:nvSpPr>
          <xdr:spPr>
            <a:xfrm>
              <a:off x="5753100" y="19669126"/>
              <a:ext cx="1276351" cy="704854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Oven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(1. </a:t>
              </a:r>
              <a:r>
                <a:rPr 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Quốc</a:t>
              </a:r>
              <a:r>
                <a:rPr lang="en-US" sz="1200" b="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Bảo/ Mixing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Rectangle 8"/>
            <xdr:cNvSpPr/>
          </xdr:nvSpPr>
          <xdr:spPr>
            <a:xfrm>
              <a:off x="5743575" y="20478750"/>
              <a:ext cx="1276351" cy="73343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02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Topping</a:t>
              </a:r>
              <a:endParaRPr lang="en-US" sz="12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(1. Bảo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Ngân</a:t>
              </a:r>
            </a:p>
            <a:p>
              <a:pPr algn="ctr"/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2. Table)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" name="Rectangle 3"/>
          <xdr:cNvSpPr/>
        </xdr:nvSpPr>
        <xdr:spPr>
          <a:xfrm>
            <a:off x="5781675" y="19392900"/>
            <a:ext cx="1276351" cy="88583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02 Table</a:t>
            </a:r>
          </a:p>
          <a:p>
            <a:pPr algn="ctr"/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sz="1200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1. </a:t>
            </a:r>
            <a:r>
              <a:rPr lang="vi-VN" sz="1200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Văn Đoán</a:t>
            </a:r>
            <a:r>
              <a:rPr lang="en-US" sz="1200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/</a:t>
            </a:r>
            <a:r>
              <a:rPr lang="en-US" sz="1200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Oven</a:t>
            </a:r>
            <a:endParaRPr lang="en-US" sz="12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200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2. Topping</a:t>
            </a:r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).</a:t>
            </a:r>
          </a:p>
        </xdr:txBody>
      </xdr:sp>
    </xdr:grpSp>
    <xdr:clientData/>
  </xdr:twoCellAnchor>
  <xdr:twoCellAnchor>
    <xdr:from>
      <xdr:col>3</xdr:col>
      <xdr:colOff>533400</xdr:colOff>
      <xdr:row>118</xdr:row>
      <xdr:rowOff>57150</xdr:rowOff>
    </xdr:from>
    <xdr:to>
      <xdr:col>5</xdr:col>
      <xdr:colOff>514351</xdr:colOff>
      <xdr:row>121</xdr:row>
      <xdr:rowOff>190505</xdr:rowOff>
    </xdr:to>
    <xdr:sp macro="" textlink="">
      <xdr:nvSpPr>
        <xdr:cNvPr id="20" name="Rectangle 19"/>
        <xdr:cNvSpPr/>
      </xdr:nvSpPr>
      <xdr:spPr>
        <a:xfrm>
          <a:off x="4238625" y="23907750"/>
          <a:ext cx="1276351" cy="73343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02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Cake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0">
              <a:latin typeface="Times New Roman" panose="02020603050405020304" pitchFamily="18" charset="0"/>
              <a:cs typeface="Times New Roman" panose="02020603050405020304" pitchFamily="18" charset="0"/>
            </a:rPr>
            <a:t>(1. Duy Nhân</a:t>
          </a:r>
          <a:endParaRPr lang="en-US" sz="12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2. Văn Nhơn)</a:t>
          </a:r>
          <a:endParaRPr lang="en-US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542925</xdr:colOff>
      <xdr:row>97</xdr:row>
      <xdr:rowOff>114300</xdr:rowOff>
    </xdr:from>
    <xdr:to>
      <xdr:col>8</xdr:col>
      <xdr:colOff>123824</xdr:colOff>
      <xdr:row>99</xdr:row>
      <xdr:rowOff>171450</xdr:rowOff>
    </xdr:to>
    <xdr:sp macro="" textlink="">
      <xdr:nvSpPr>
        <xdr:cNvPr id="21" name="Left Arrow Callout 20"/>
        <xdr:cNvSpPr/>
      </xdr:nvSpPr>
      <xdr:spPr>
        <a:xfrm>
          <a:off x="5543550" y="19764375"/>
          <a:ext cx="1781174" cy="457200"/>
        </a:xfrm>
        <a:prstGeom prst="leftArrowCallout">
          <a:avLst>
            <a:gd name="adj1" fmla="val 25000"/>
            <a:gd name="adj2" fmla="val 25000"/>
            <a:gd name="adj3" fmla="val 25000"/>
            <a:gd name="adj4" fmla="val 74403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Quốc</a:t>
          </a:r>
          <a:r>
            <a:rPr lang="en-US" sz="1100" b="1" baseline="0"/>
            <a:t> Bảo, Duy Nhân thử thách TC </a:t>
          </a:r>
          <a:endParaRPr lang="en-US" sz="11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2219326</xdr:colOff>
      <xdr:row>107</xdr:row>
      <xdr:rowOff>180974</xdr:rowOff>
    </xdr:from>
    <xdr:to>
      <xdr:col>8</xdr:col>
      <xdr:colOff>266702</xdr:colOff>
      <xdr:row>133</xdr:row>
      <xdr:rowOff>104775</xdr:rowOff>
    </xdr:to>
    <xdr:grpSp>
      <xdr:nvGrpSpPr>
        <xdr:cNvPr id="2" name="Group 1"/>
        <xdr:cNvGrpSpPr/>
      </xdr:nvGrpSpPr>
      <xdr:grpSpPr>
        <a:xfrm>
          <a:off x="2219326" y="21831299"/>
          <a:ext cx="6010276" cy="5124451"/>
          <a:chOff x="3201172" y="18040349"/>
          <a:chExt cx="5523730" cy="5124451"/>
        </a:xfrm>
      </xdr:grpSpPr>
      <xdr:grpSp>
        <xdr:nvGrpSpPr>
          <xdr:cNvPr id="3" name="Group 2"/>
          <xdr:cNvGrpSpPr/>
        </xdr:nvGrpSpPr>
        <xdr:grpSpPr>
          <a:xfrm>
            <a:off x="3201172" y="18040349"/>
            <a:ext cx="5523730" cy="4619626"/>
            <a:chOff x="3239271" y="17049749"/>
            <a:chExt cx="5523730" cy="4619626"/>
          </a:xfrm>
        </xdr:grpSpPr>
        <xdr:grpSp>
          <xdr:nvGrpSpPr>
            <xdr:cNvPr id="5" name="Group 4"/>
            <xdr:cNvGrpSpPr/>
          </xdr:nvGrpSpPr>
          <xdr:grpSpPr>
            <a:xfrm>
              <a:off x="3239271" y="17049749"/>
              <a:ext cx="5523730" cy="4619626"/>
              <a:chOff x="3210696" y="16059150"/>
              <a:chExt cx="5523730" cy="4619626"/>
            </a:xfrm>
          </xdr:grpSpPr>
          <xdr:grpSp>
            <xdr:nvGrpSpPr>
              <xdr:cNvPr id="7" name="Group 6"/>
              <xdr:cNvGrpSpPr/>
            </xdr:nvGrpSpPr>
            <xdr:grpSpPr>
              <a:xfrm>
                <a:off x="3210696" y="16059150"/>
                <a:ext cx="3828279" cy="4619626"/>
                <a:chOff x="2905896" y="16849725"/>
                <a:chExt cx="3828279" cy="460759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4190999" y="16849725"/>
                  <a:ext cx="1276351" cy="590550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5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01 QLCH</a:t>
                  </a: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(Ngọc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Tuyền)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13" name="Straight Connector 12"/>
                <xdr:cNvCxnSpPr>
                  <a:stCxn id="12" idx="2"/>
                </xdr:cNvCxnSpPr>
              </xdr:nvCxnSpPr>
              <xdr:spPr>
                <a:xfrm>
                  <a:off x="4829175" y="17440275"/>
                  <a:ext cx="0" cy="209550"/>
                </a:xfrm>
                <a:prstGeom prst="line">
                  <a:avLst/>
                </a:prstGeom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" name="Straight Connector 13"/>
                <xdr:cNvCxnSpPr/>
              </xdr:nvCxnSpPr>
              <xdr:spPr>
                <a:xfrm>
                  <a:off x="3552825" y="17640300"/>
                  <a:ext cx="2543175" cy="0"/>
                </a:xfrm>
                <a:prstGeom prst="line">
                  <a:avLst/>
                </a:prstGeom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" name="Straight Arrow Connector 14"/>
                <xdr:cNvCxnSpPr/>
              </xdr:nvCxnSpPr>
              <xdr:spPr>
                <a:xfrm>
                  <a:off x="3552825" y="17630775"/>
                  <a:ext cx="0" cy="219075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" name="Straight Arrow Connector 15"/>
                <xdr:cNvCxnSpPr/>
              </xdr:nvCxnSpPr>
              <xdr:spPr>
                <a:xfrm>
                  <a:off x="6096000" y="17630775"/>
                  <a:ext cx="0" cy="219075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7" name="Rectangle 16"/>
                <xdr:cNvSpPr/>
              </xdr:nvSpPr>
              <xdr:spPr>
                <a:xfrm>
                  <a:off x="2914649" y="17859375"/>
                  <a:ext cx="1276351" cy="590550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5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01 Phó</a:t>
                  </a:r>
                  <a:r>
                    <a:rPr lang="en-US" sz="15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QL</a:t>
                  </a:r>
                  <a:endPara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(...................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18" name="Rectangle 17"/>
                <xdr:cNvSpPr/>
              </xdr:nvSpPr>
              <xdr:spPr>
                <a:xfrm>
                  <a:off x="2914649" y="18545176"/>
                  <a:ext cx="1276351" cy="1173610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02 Nhân</a:t>
                  </a:r>
                  <a:r>
                    <a:rPr 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viên</a:t>
                  </a:r>
                </a:p>
                <a:p>
                  <a:pPr algn="ctr"/>
                  <a:r>
                    <a:rPr 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Bán hàng FT</a:t>
                  </a:r>
                  <a:endPara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(1. Thanh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Xuân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2. ....................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3. ....................)</a:t>
                  </a:r>
                </a:p>
              </xdr:txBody>
            </xdr:sp>
            <xdr:sp macro="" textlink="">
              <xdr:nvSpPr>
                <xdr:cNvPr id="19" name="Rectangle 18"/>
                <xdr:cNvSpPr/>
              </xdr:nvSpPr>
              <xdr:spPr>
                <a:xfrm>
                  <a:off x="2905896" y="19849108"/>
                  <a:ext cx="1276351" cy="1608213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05 Nhân</a:t>
                  </a:r>
                  <a:r>
                    <a:rPr 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viên</a:t>
                  </a:r>
                </a:p>
                <a:p>
                  <a:pPr algn="ctr"/>
                  <a:r>
                    <a:rPr 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Bán hàng PT</a:t>
                  </a:r>
                  <a:endPara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(1. Xuân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Mai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- 2. Kim Xuân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- 3. Ánh Linh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- 4. Cẩm Vân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5. ....................)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20" name="Rectangle 19"/>
                <xdr:cNvSpPr/>
              </xdr:nvSpPr>
              <xdr:spPr>
                <a:xfrm>
                  <a:off x="5457824" y="17868900"/>
                  <a:ext cx="1276351" cy="590550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5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01 </a:t>
                  </a:r>
                  <a:r>
                    <a:rPr lang="en-US" sz="1500" b="1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QL Bếp</a:t>
                  </a:r>
                  <a:endParaRPr lang="en-US" sz="1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(Tuấn</a:t>
                  </a:r>
                  <a:r>
                    <a:rPr lang="en-US" sz="1200" b="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Việt)</a:t>
                  </a:r>
                  <a:endParaRPr lang="en-US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21" name="Rectangle 20"/>
                <xdr:cNvSpPr/>
              </xdr:nvSpPr>
              <xdr:spPr>
                <a:xfrm>
                  <a:off x="5448299" y="18545176"/>
                  <a:ext cx="1276351" cy="518094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2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01 Mixing</a:t>
                  </a:r>
                </a:p>
                <a:p>
                  <a:pPr algn="ctr"/>
                  <a:r>
                    <a:rPr lang="en-US" sz="1200" b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(Trung Quân</a:t>
                  </a:r>
                  <a:r>
                    <a:rPr lang="en-US" sz="1200" b="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)</a:t>
                  </a:r>
                  <a:endParaRPr lang="en-US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</xdr:grpSp>
          <xdr:cxnSp macro="">
            <xdr:nvCxnSpPr>
              <xdr:cNvPr id="8" name="Straight Arrow Connector 7"/>
              <xdr:cNvCxnSpPr/>
            </xdr:nvCxnSpPr>
            <xdr:spPr>
              <a:xfrm>
                <a:off x="5133975" y="16744950"/>
                <a:ext cx="2305050" cy="0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" name="Rectangle 8"/>
              <xdr:cNvSpPr/>
            </xdr:nvSpPr>
            <xdr:spPr>
              <a:xfrm>
                <a:off x="7458075" y="1644967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KTCH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Phượng</a:t>
                </a:r>
                <a:r>
                  <a:rPr lang="en-US" sz="1100" b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Hằng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0" name="Rectangle 9"/>
              <xdr:cNvSpPr/>
            </xdr:nvSpPr>
            <xdr:spPr>
              <a:xfrm>
                <a:off x="5752329" y="19145251"/>
                <a:ext cx="1276351" cy="6096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Oven</a:t>
                </a:r>
              </a:p>
              <a:p>
                <a:pPr algn="ctr"/>
                <a:r>
                  <a:rPr lang="en-US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(Thanh</a:t>
                </a:r>
                <a:r>
                  <a:rPr lang="en-US" sz="12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Lợi)</a:t>
                </a:r>
                <a:endParaRPr 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1" name="Rectangle 10"/>
              <xdr:cNvSpPr/>
            </xdr:nvSpPr>
            <xdr:spPr>
              <a:xfrm>
                <a:off x="5745117" y="19850100"/>
                <a:ext cx="1276351" cy="561975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Topping</a:t>
                </a:r>
                <a:endParaRPr 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(Kim Ngân</a:t>
                </a:r>
                <a:r>
                  <a:rPr lang="en-US" sz="12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6" name="Rectangle 5"/>
            <xdr:cNvSpPr/>
          </xdr:nvSpPr>
          <xdr:spPr>
            <a:xfrm>
              <a:off x="5772150" y="19383375"/>
              <a:ext cx="1276351" cy="657225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02 Table</a:t>
              </a:r>
            </a:p>
            <a:p>
              <a:pPr algn="ctr"/>
              <a:r>
                <a:rPr 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(1/ Mixing</a:t>
              </a:r>
            </a:p>
            <a:p>
              <a:pPr algn="ctr"/>
              <a:r>
                <a:rPr 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2/ Oven/</a:t>
              </a:r>
              <a:r>
                <a:rPr lang="en-US" sz="1200" b="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Cake</a:t>
              </a:r>
              <a:r>
                <a:rPr 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).</a:t>
              </a:r>
            </a:p>
          </xdr:txBody>
        </xdr:sp>
      </xdr:grpSp>
      <xdr:sp macro="" textlink="">
        <xdr:nvSpPr>
          <xdr:cNvPr id="4" name="Rectangle 3"/>
          <xdr:cNvSpPr/>
        </xdr:nvSpPr>
        <xdr:spPr>
          <a:xfrm>
            <a:off x="5736363" y="22479000"/>
            <a:ext cx="1276351" cy="68580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01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Cake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sz="1200" b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1. Thu</a:t>
            </a:r>
            <a:r>
              <a:rPr lang="en-US" sz="1200" b="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Hà</a:t>
            </a:r>
          </a:p>
          <a:p>
            <a:pPr algn="ctr"/>
            <a:r>
              <a:rPr lang="en-US" sz="1200" b="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2. Minh Thư</a:t>
            </a:r>
            <a:r>
              <a:rPr lang="en-US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en-US" sz="12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742950</xdr:colOff>
      <xdr:row>113</xdr:row>
      <xdr:rowOff>76200</xdr:rowOff>
    </xdr:from>
    <xdr:to>
      <xdr:col>0</xdr:col>
      <xdr:colOff>2219325</xdr:colOff>
      <xdr:row>115</xdr:row>
      <xdr:rowOff>123825</xdr:rowOff>
    </xdr:to>
    <xdr:sp macro="" textlink="">
      <xdr:nvSpPr>
        <xdr:cNvPr id="22" name="Right Arrow Callout 21"/>
        <xdr:cNvSpPr/>
      </xdr:nvSpPr>
      <xdr:spPr>
        <a:xfrm>
          <a:off x="742950" y="22926675"/>
          <a:ext cx="1476375" cy="447675"/>
        </a:xfrm>
        <a:prstGeom prst="rightArrowCallou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Xuân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Thảo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TT Trưởng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2219326</xdr:colOff>
      <xdr:row>123</xdr:row>
      <xdr:rowOff>180974</xdr:rowOff>
    </xdr:from>
    <xdr:to>
      <xdr:col>8</xdr:col>
      <xdr:colOff>266702</xdr:colOff>
      <xdr:row>149</xdr:row>
      <xdr:rowOff>104775</xdr:rowOff>
    </xdr:to>
    <xdr:grpSp>
      <xdr:nvGrpSpPr>
        <xdr:cNvPr id="2" name="Group 1"/>
        <xdr:cNvGrpSpPr/>
      </xdr:nvGrpSpPr>
      <xdr:grpSpPr>
        <a:xfrm>
          <a:off x="2219326" y="25031699"/>
          <a:ext cx="7267576" cy="5124451"/>
          <a:chOff x="3201172" y="18040349"/>
          <a:chExt cx="5523730" cy="5124451"/>
        </a:xfrm>
      </xdr:grpSpPr>
      <xdr:grpSp>
        <xdr:nvGrpSpPr>
          <xdr:cNvPr id="3" name="Group 2"/>
          <xdr:cNvGrpSpPr/>
        </xdr:nvGrpSpPr>
        <xdr:grpSpPr>
          <a:xfrm>
            <a:off x="3201172" y="18040349"/>
            <a:ext cx="5523730" cy="4619626"/>
            <a:chOff x="3239271" y="17049749"/>
            <a:chExt cx="5523730" cy="4619626"/>
          </a:xfrm>
        </xdr:grpSpPr>
        <xdr:grpSp>
          <xdr:nvGrpSpPr>
            <xdr:cNvPr id="5" name="Group 4"/>
            <xdr:cNvGrpSpPr/>
          </xdr:nvGrpSpPr>
          <xdr:grpSpPr>
            <a:xfrm>
              <a:off x="3239271" y="17049749"/>
              <a:ext cx="5523730" cy="4619626"/>
              <a:chOff x="3210696" y="16059150"/>
              <a:chExt cx="5523730" cy="4619626"/>
            </a:xfrm>
          </xdr:grpSpPr>
          <xdr:grpSp>
            <xdr:nvGrpSpPr>
              <xdr:cNvPr id="7" name="Group 6"/>
              <xdr:cNvGrpSpPr/>
            </xdr:nvGrpSpPr>
            <xdr:grpSpPr>
              <a:xfrm>
                <a:off x="3210696" y="16059150"/>
                <a:ext cx="3828279" cy="4619626"/>
                <a:chOff x="2905896" y="16849725"/>
                <a:chExt cx="3828279" cy="460759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4190999" y="16849725"/>
                  <a:ext cx="1276351" cy="590550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5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01 QLCH</a:t>
                  </a: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(Ngọc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Tuyền)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13" name="Straight Connector 12"/>
                <xdr:cNvCxnSpPr>
                  <a:stCxn id="12" idx="2"/>
                </xdr:cNvCxnSpPr>
              </xdr:nvCxnSpPr>
              <xdr:spPr>
                <a:xfrm>
                  <a:off x="4829175" y="17440275"/>
                  <a:ext cx="0" cy="209550"/>
                </a:xfrm>
                <a:prstGeom prst="line">
                  <a:avLst/>
                </a:prstGeom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" name="Straight Connector 13"/>
                <xdr:cNvCxnSpPr/>
              </xdr:nvCxnSpPr>
              <xdr:spPr>
                <a:xfrm>
                  <a:off x="3552825" y="17640300"/>
                  <a:ext cx="2543175" cy="0"/>
                </a:xfrm>
                <a:prstGeom prst="line">
                  <a:avLst/>
                </a:prstGeom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" name="Straight Arrow Connector 14"/>
                <xdr:cNvCxnSpPr/>
              </xdr:nvCxnSpPr>
              <xdr:spPr>
                <a:xfrm>
                  <a:off x="3552825" y="17630775"/>
                  <a:ext cx="0" cy="219075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" name="Straight Arrow Connector 15"/>
                <xdr:cNvCxnSpPr/>
              </xdr:nvCxnSpPr>
              <xdr:spPr>
                <a:xfrm>
                  <a:off x="6096000" y="17630775"/>
                  <a:ext cx="0" cy="219075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7" name="Rectangle 16"/>
                <xdr:cNvSpPr/>
              </xdr:nvSpPr>
              <xdr:spPr>
                <a:xfrm>
                  <a:off x="2914649" y="17859375"/>
                  <a:ext cx="1276351" cy="590550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5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01 Phó</a:t>
                  </a:r>
                  <a:r>
                    <a:rPr lang="en-US" sz="15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QL</a:t>
                  </a:r>
                  <a:endPara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(...................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18" name="Rectangle 17"/>
                <xdr:cNvSpPr/>
              </xdr:nvSpPr>
              <xdr:spPr>
                <a:xfrm>
                  <a:off x="2914649" y="18545176"/>
                  <a:ext cx="1276351" cy="1173610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02 Nhân</a:t>
                  </a:r>
                  <a:r>
                    <a:rPr 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viên</a:t>
                  </a:r>
                </a:p>
                <a:p>
                  <a:pPr algn="ctr"/>
                  <a:r>
                    <a:rPr 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Bán hàng FT</a:t>
                  </a:r>
                  <a:endPara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(1. Thanh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Xuân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2. ....................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3. ....................)</a:t>
                  </a:r>
                </a:p>
              </xdr:txBody>
            </xdr:sp>
            <xdr:sp macro="" textlink="">
              <xdr:nvSpPr>
                <xdr:cNvPr id="19" name="Rectangle 18"/>
                <xdr:cNvSpPr/>
              </xdr:nvSpPr>
              <xdr:spPr>
                <a:xfrm>
                  <a:off x="2905896" y="19849108"/>
                  <a:ext cx="1276351" cy="1608213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05 Nhân</a:t>
                  </a:r>
                  <a:r>
                    <a:rPr 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viên</a:t>
                  </a:r>
                </a:p>
                <a:p>
                  <a:pPr algn="ctr"/>
                  <a:r>
                    <a:rPr 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Bán hàng PT</a:t>
                  </a:r>
                  <a:endPara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(1. Xuân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Mai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- 2. Kim Xuân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- 3. Ánh Linh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- 4. Cẩm Vân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5. ....................)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20" name="Rectangle 19"/>
                <xdr:cNvSpPr/>
              </xdr:nvSpPr>
              <xdr:spPr>
                <a:xfrm>
                  <a:off x="5457824" y="17868900"/>
                  <a:ext cx="1276351" cy="590550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5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01 </a:t>
                  </a:r>
                  <a:r>
                    <a:rPr lang="en-US" sz="1500" b="1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QL Bếp</a:t>
                  </a:r>
                  <a:endParaRPr lang="en-US" sz="1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(Tuấn</a:t>
                  </a:r>
                  <a:r>
                    <a:rPr lang="en-US" sz="1200" b="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Việt)</a:t>
                  </a:r>
                  <a:endParaRPr lang="en-US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21" name="Rectangle 20"/>
                <xdr:cNvSpPr/>
              </xdr:nvSpPr>
              <xdr:spPr>
                <a:xfrm>
                  <a:off x="5448299" y="18545176"/>
                  <a:ext cx="1276351" cy="518094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2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01 Mixing</a:t>
                  </a:r>
                </a:p>
                <a:p>
                  <a:pPr algn="ctr"/>
                  <a:r>
                    <a:rPr lang="en-US" sz="1200" b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(Trung Quân</a:t>
                  </a:r>
                  <a:r>
                    <a:rPr lang="en-US" sz="1200" b="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)</a:t>
                  </a:r>
                  <a:endParaRPr lang="en-US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</xdr:grpSp>
          <xdr:cxnSp macro="">
            <xdr:nvCxnSpPr>
              <xdr:cNvPr id="8" name="Straight Arrow Connector 7"/>
              <xdr:cNvCxnSpPr/>
            </xdr:nvCxnSpPr>
            <xdr:spPr>
              <a:xfrm>
                <a:off x="5133975" y="16744950"/>
                <a:ext cx="2305050" cy="0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" name="Rectangle 8"/>
              <xdr:cNvSpPr/>
            </xdr:nvSpPr>
            <xdr:spPr>
              <a:xfrm>
                <a:off x="7458075" y="1644967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KTCH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Phượng</a:t>
                </a:r>
                <a:r>
                  <a:rPr lang="en-US" sz="1100" b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Hằng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0" name="Rectangle 9"/>
              <xdr:cNvSpPr/>
            </xdr:nvSpPr>
            <xdr:spPr>
              <a:xfrm>
                <a:off x="5752329" y="19145251"/>
                <a:ext cx="1276351" cy="6096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Oven</a:t>
                </a:r>
              </a:p>
              <a:p>
                <a:pPr algn="ctr"/>
                <a:r>
                  <a:rPr lang="en-US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(Thanh</a:t>
                </a:r>
                <a:r>
                  <a:rPr lang="en-US" sz="12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Lợi)</a:t>
                </a:r>
                <a:endParaRPr 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1" name="Rectangle 10"/>
              <xdr:cNvSpPr/>
            </xdr:nvSpPr>
            <xdr:spPr>
              <a:xfrm>
                <a:off x="5745117" y="19850100"/>
                <a:ext cx="1276351" cy="561975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Topping</a:t>
                </a:r>
                <a:endParaRPr 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(Kim Ngân</a:t>
                </a:r>
                <a:r>
                  <a:rPr lang="en-US" sz="12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6" name="Rectangle 5"/>
            <xdr:cNvSpPr/>
          </xdr:nvSpPr>
          <xdr:spPr>
            <a:xfrm>
              <a:off x="5772150" y="19383375"/>
              <a:ext cx="1276351" cy="657225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02 Table</a:t>
              </a:r>
            </a:p>
            <a:p>
              <a:pPr algn="ctr"/>
              <a:r>
                <a:rPr 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(1/ Mixing</a:t>
              </a:r>
            </a:p>
            <a:p>
              <a:pPr algn="ctr"/>
              <a:r>
                <a:rPr 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2/ Oven/</a:t>
              </a:r>
              <a:r>
                <a:rPr lang="en-US" sz="1200" b="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Cake</a:t>
              </a:r>
              <a:r>
                <a:rPr 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).</a:t>
              </a:r>
            </a:p>
          </xdr:txBody>
        </xdr:sp>
      </xdr:grpSp>
      <xdr:sp macro="" textlink="">
        <xdr:nvSpPr>
          <xdr:cNvPr id="4" name="Rectangle 3"/>
          <xdr:cNvSpPr/>
        </xdr:nvSpPr>
        <xdr:spPr>
          <a:xfrm>
            <a:off x="5736363" y="22479000"/>
            <a:ext cx="1276351" cy="68580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01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Cake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sz="1200" b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1. Thu</a:t>
            </a:r>
            <a:r>
              <a:rPr lang="en-US" sz="1200" b="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Hà</a:t>
            </a:r>
          </a:p>
          <a:p>
            <a:pPr algn="ctr"/>
            <a:r>
              <a:rPr lang="en-US" sz="1200" b="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2. Minh Thư</a:t>
            </a:r>
            <a:r>
              <a:rPr lang="en-US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en-US" sz="12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742950</xdr:colOff>
      <xdr:row>129</xdr:row>
      <xdr:rowOff>76200</xdr:rowOff>
    </xdr:from>
    <xdr:to>
      <xdr:col>0</xdr:col>
      <xdr:colOff>2219325</xdr:colOff>
      <xdr:row>131</xdr:row>
      <xdr:rowOff>123825</xdr:rowOff>
    </xdr:to>
    <xdr:sp macro="" textlink="">
      <xdr:nvSpPr>
        <xdr:cNvPr id="22" name="Right Arrow Callout 21"/>
        <xdr:cNvSpPr/>
      </xdr:nvSpPr>
      <xdr:spPr>
        <a:xfrm>
          <a:off x="742950" y="22926675"/>
          <a:ext cx="1476375" cy="447675"/>
        </a:xfrm>
        <a:prstGeom prst="rightArrowCallou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Xuân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Thảo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TT Trưởng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129</xdr:row>
      <xdr:rowOff>190500</xdr:rowOff>
    </xdr:from>
    <xdr:to>
      <xdr:col>8</xdr:col>
      <xdr:colOff>142877</xdr:colOff>
      <xdr:row>150</xdr:row>
      <xdr:rowOff>104775</xdr:rowOff>
    </xdr:to>
    <xdr:grpSp>
      <xdr:nvGrpSpPr>
        <xdr:cNvPr id="19" name="Group 18"/>
        <xdr:cNvGrpSpPr/>
      </xdr:nvGrpSpPr>
      <xdr:grpSpPr>
        <a:xfrm>
          <a:off x="1809750" y="26117550"/>
          <a:ext cx="5514977" cy="4114800"/>
          <a:chOff x="3248024" y="17049756"/>
          <a:chExt cx="5514977" cy="4114800"/>
        </a:xfrm>
      </xdr:grpSpPr>
      <xdr:grpSp>
        <xdr:nvGrpSpPr>
          <xdr:cNvPr id="20" name="Group 19"/>
          <xdr:cNvGrpSpPr/>
        </xdr:nvGrpSpPr>
        <xdr:grpSpPr>
          <a:xfrm>
            <a:off x="3248024" y="17049756"/>
            <a:ext cx="5514977" cy="4114800"/>
            <a:chOff x="3219449" y="16059157"/>
            <a:chExt cx="5514977" cy="4114800"/>
          </a:xfrm>
        </xdr:grpSpPr>
        <xdr:grpSp>
          <xdr:nvGrpSpPr>
            <xdr:cNvPr id="22" name="Group 21"/>
            <xdr:cNvGrpSpPr/>
          </xdr:nvGrpSpPr>
          <xdr:grpSpPr>
            <a:xfrm>
              <a:off x="3219449" y="16059157"/>
              <a:ext cx="3819526" cy="2752726"/>
              <a:chOff x="2914649" y="16849725"/>
              <a:chExt cx="3819526" cy="2745556"/>
            </a:xfrm>
          </xdr:grpSpPr>
          <xdr:sp macro="" textlink="">
            <xdr:nvSpPr>
              <xdr:cNvPr id="27" name="Rectangle 26"/>
              <xdr:cNvSpPr/>
            </xdr:nvSpPr>
            <xdr:spPr>
              <a:xfrm>
                <a:off x="4190999" y="1684972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QLCH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(Hoàng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Duy)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28" name="Straight Connector 27"/>
              <xdr:cNvCxnSpPr>
                <a:stCxn id="27" idx="2"/>
              </xdr:cNvCxnSpPr>
            </xdr:nvCxnSpPr>
            <xdr:spPr>
              <a:xfrm>
                <a:off x="4829175" y="17440275"/>
                <a:ext cx="0" cy="20955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9" name="Straight Connector 28"/>
              <xdr:cNvCxnSpPr/>
            </xdr:nvCxnSpPr>
            <xdr:spPr>
              <a:xfrm>
                <a:off x="3552825" y="17640300"/>
                <a:ext cx="2543175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0" name="Straight Arrow Connector 29"/>
              <xdr:cNvCxnSpPr/>
            </xdr:nvCxnSpPr>
            <xdr:spPr>
              <a:xfrm>
                <a:off x="3552825" y="17630775"/>
                <a:ext cx="0" cy="21907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1" name="Straight Arrow Connector 30"/>
              <xdr:cNvCxnSpPr/>
            </xdr:nvCxnSpPr>
            <xdr:spPr>
              <a:xfrm>
                <a:off x="6096000" y="17630775"/>
                <a:ext cx="0" cy="21907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2" name="Rectangle 31"/>
              <xdr:cNvSpPr/>
            </xdr:nvSpPr>
            <xdr:spPr>
              <a:xfrm>
                <a:off x="2914649" y="1785937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Phó</a:t>
                </a:r>
                <a:r>
                  <a:rPr lang="en-US" sz="15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QL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(.......................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33" name="Rectangle 32"/>
              <xdr:cNvSpPr/>
            </xdr:nvSpPr>
            <xdr:spPr>
              <a:xfrm>
                <a:off x="2914649" y="18545177"/>
                <a:ext cx="1276351" cy="105010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03 Nhân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viên</a:t>
                </a:r>
              </a:p>
              <a:p>
                <a:pPr algn="ctr"/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Bán hàng FT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(1. Vân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Anh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- 2. Thanh Huyền</a:t>
                </a:r>
                <a:endParaRPr lang="en-US" sz="1200" b="0" baseline="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- 3. Cẩm Anh</a:t>
                </a:r>
              </a:p>
            </xdr:txBody>
          </xdr:sp>
          <xdr:sp macro="" textlink="">
            <xdr:nvSpPr>
              <xdr:cNvPr id="34" name="Rectangle 33"/>
              <xdr:cNvSpPr/>
            </xdr:nvSpPr>
            <xdr:spPr>
              <a:xfrm>
                <a:off x="5457824" y="17868900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</a:t>
                </a:r>
                <a:r>
                  <a:rPr lang="en-US" sz="15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QL Bếp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(Quốc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Cảnh)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35" name="Rectangle 34"/>
              <xdr:cNvSpPr/>
            </xdr:nvSpPr>
            <xdr:spPr>
              <a:xfrm>
                <a:off x="5457824" y="18583176"/>
                <a:ext cx="1276351" cy="461093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 Mixing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</a:t>
                </a:r>
                <a:r>
                  <a:rPr lang="en-US" sz="1100" b="0" baseline="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. Anh Quân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cxnSp macro="">
          <xdr:nvCxnSpPr>
            <xdr:cNvPr id="23" name="Straight Arrow Connector 22"/>
            <xdr:cNvCxnSpPr/>
          </xdr:nvCxnSpPr>
          <xdr:spPr>
            <a:xfrm>
              <a:off x="5133975" y="16744950"/>
              <a:ext cx="2305050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4" name="Rectangle 23"/>
            <xdr:cNvSpPr/>
          </xdr:nvSpPr>
          <xdr:spPr>
            <a:xfrm>
              <a:off x="7458075" y="16449675"/>
              <a:ext cx="1276351" cy="59055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 KTCH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(Thị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Huyền)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5743575" y="19069051"/>
              <a:ext cx="1276351" cy="466731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Oven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(1. ....................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5743575" y="19688175"/>
              <a:ext cx="1276351" cy="485782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Topping</a:t>
              </a:r>
              <a:endParaRPr lang="en-US" sz="12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ctr"/>
              <a:r>
                <a:rPr lang="en-US" sz="1200" b="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(</a:t>
              </a:r>
              <a:r>
                <a:rPr lang="en-US" sz="1200" b="0" baseline="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1. Hải yến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21" name="Rectangle 20"/>
          <xdr:cNvSpPr/>
        </xdr:nvSpPr>
        <xdr:spPr>
          <a:xfrm>
            <a:off x="5791200" y="19383375"/>
            <a:ext cx="1276351" cy="571506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01 Table</a:t>
            </a:r>
          </a:p>
          <a:p>
            <a:pPr algn="ctr"/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sz="1200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1. Quốc Anh)</a:t>
            </a:r>
          </a:p>
        </xdr:txBody>
      </xdr:sp>
    </xdr:grpSp>
    <xdr:clientData/>
  </xdr:twoCellAnchor>
  <xdr:twoCellAnchor>
    <xdr:from>
      <xdr:col>4</xdr:col>
      <xdr:colOff>9525</xdr:colOff>
      <xdr:row>157</xdr:row>
      <xdr:rowOff>28574</xdr:rowOff>
    </xdr:from>
    <xdr:to>
      <xdr:col>5</xdr:col>
      <xdr:colOff>638176</xdr:colOff>
      <xdr:row>161</xdr:row>
      <xdr:rowOff>95250</xdr:rowOff>
    </xdr:to>
    <xdr:sp macro="" textlink="">
      <xdr:nvSpPr>
        <xdr:cNvPr id="36" name="Rectangle 35"/>
        <xdr:cNvSpPr/>
      </xdr:nvSpPr>
      <xdr:spPr>
        <a:xfrm>
          <a:off x="4333875" y="30756224"/>
          <a:ext cx="1276351" cy="8667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03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Cake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(1. Việt</a:t>
          </a:r>
          <a:r>
            <a:rPr lang="en-US" sz="1200" b="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Hải</a:t>
          </a:r>
        </a:p>
        <a:p>
          <a:pPr algn="ctr"/>
          <a:r>
            <a:rPr lang="en-US" sz="1200" b="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Vân Anh</a:t>
          </a:r>
        </a:p>
        <a:p>
          <a:pPr algn="ctr"/>
          <a:r>
            <a:rPr lang="en-US" sz="1200" b="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3. ...................)</a:t>
          </a:r>
          <a:endParaRPr lang="en-US" sz="1200" b="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400050</xdr:colOff>
      <xdr:row>135</xdr:row>
      <xdr:rowOff>66675</xdr:rowOff>
    </xdr:from>
    <xdr:to>
      <xdr:col>0</xdr:col>
      <xdr:colOff>1752600</xdr:colOff>
      <xdr:row>137</xdr:row>
      <xdr:rowOff>114300</xdr:rowOff>
    </xdr:to>
    <xdr:sp macro="" textlink="">
      <xdr:nvSpPr>
        <xdr:cNvPr id="37" name="Right Arrow Callout 36"/>
        <xdr:cNvSpPr/>
      </xdr:nvSpPr>
      <xdr:spPr>
        <a:xfrm>
          <a:off x="400050" y="26393775"/>
          <a:ext cx="1352550" cy="447675"/>
        </a:xfrm>
        <a:prstGeom prst="rightArrowCallou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Thị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Hằng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Trưởng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144</xdr:row>
      <xdr:rowOff>57150</xdr:rowOff>
    </xdr:from>
    <xdr:to>
      <xdr:col>2</xdr:col>
      <xdr:colOff>285751</xdr:colOff>
      <xdr:row>151</xdr:row>
      <xdr:rowOff>0</xdr:rowOff>
    </xdr:to>
    <xdr:sp macro="" textlink="">
      <xdr:nvSpPr>
        <xdr:cNvPr id="38" name="Rectangle 37"/>
        <xdr:cNvSpPr/>
      </xdr:nvSpPr>
      <xdr:spPr>
        <a:xfrm>
          <a:off x="1771650" y="28184475"/>
          <a:ext cx="1276351" cy="13430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05 Nhân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viên</a:t>
          </a:r>
        </a:p>
        <a:p>
          <a:pPr algn="ctr"/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Bán hàng PT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0">
              <a:latin typeface="Times New Roman" panose="02020603050405020304" pitchFamily="18" charset="0"/>
              <a:cs typeface="Times New Roman" panose="02020603050405020304" pitchFamily="18" charset="0"/>
            </a:rPr>
            <a:t>(1. Phương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Hoa</a:t>
          </a:r>
        </a:p>
        <a:p>
          <a:pPr algn="ctr"/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- 2. Hoàng Anh</a:t>
          </a:r>
          <a:endParaRPr lang="en-US" sz="1200" b="0" baseline="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- 3. Minh Hằng</a:t>
          </a:r>
        </a:p>
        <a:p>
          <a:pPr algn="ctr"/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- 4. Thị Ngọc</a:t>
          </a:r>
        </a:p>
        <a:p>
          <a:pPr algn="ctr"/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- 5. Kiều Giang</a:t>
          </a:r>
        </a:p>
      </xdr:txBody>
    </xdr:sp>
    <xdr:clientData/>
  </xdr:twoCellAnchor>
  <xdr:twoCellAnchor>
    <xdr:from>
      <xdr:col>4</xdr:col>
      <xdr:colOff>19050</xdr:colOff>
      <xdr:row>151</xdr:row>
      <xdr:rowOff>19050</xdr:rowOff>
    </xdr:from>
    <xdr:to>
      <xdr:col>6</xdr:col>
      <xdr:colOff>1</xdr:colOff>
      <xdr:row>153</xdr:row>
      <xdr:rowOff>95250</xdr:rowOff>
    </xdr:to>
    <xdr:sp macro="" textlink="">
      <xdr:nvSpPr>
        <xdr:cNvPr id="39" name="Rectangle 38"/>
        <xdr:cNvSpPr/>
      </xdr:nvSpPr>
      <xdr:spPr>
        <a:xfrm>
          <a:off x="4343400" y="29546550"/>
          <a:ext cx="1276351" cy="4762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01 Pudding</a:t>
          </a:r>
        </a:p>
        <a:p>
          <a:pPr algn="ctr"/>
          <a:r>
            <a:rPr lang="en-US" sz="1200" b="0">
              <a:latin typeface="Times New Roman" panose="02020603050405020304" pitchFamily="18" charset="0"/>
              <a:cs typeface="Times New Roman" panose="02020603050405020304" pitchFamily="18" charset="0"/>
            </a:rPr>
            <a:t>(</a:t>
          </a:r>
          <a:r>
            <a:rPr lang="en-US" sz="12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Thị Thủy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en-US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19050</xdr:colOff>
      <xdr:row>154</xdr:row>
      <xdr:rowOff>19050</xdr:rowOff>
    </xdr:from>
    <xdr:to>
      <xdr:col>6</xdr:col>
      <xdr:colOff>1</xdr:colOff>
      <xdr:row>156</xdr:row>
      <xdr:rowOff>114300</xdr:rowOff>
    </xdr:to>
    <xdr:sp macro="" textlink="">
      <xdr:nvSpPr>
        <xdr:cNvPr id="41" name="Rectangle 40"/>
        <xdr:cNvSpPr/>
      </xdr:nvSpPr>
      <xdr:spPr>
        <a:xfrm>
          <a:off x="4343400" y="30146625"/>
          <a:ext cx="1276351" cy="4953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01 Nhân</a:t>
          </a:r>
        </a:p>
        <a:p>
          <a:pPr algn="ctr"/>
          <a:r>
            <a:rPr lang="en-US" sz="1200" b="0">
              <a:latin typeface="Times New Roman" panose="02020603050405020304" pitchFamily="18" charset="0"/>
              <a:cs typeface="Times New Roman" panose="02020603050405020304" pitchFamily="18" charset="0"/>
            </a:rPr>
            <a:t>(</a:t>
          </a:r>
          <a:r>
            <a:rPr lang="en-US" sz="12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Thị Hiền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en-US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129</xdr:row>
      <xdr:rowOff>190500</xdr:rowOff>
    </xdr:from>
    <xdr:to>
      <xdr:col>8</xdr:col>
      <xdr:colOff>142877</xdr:colOff>
      <xdr:row>150</xdr:row>
      <xdr:rowOff>104775</xdr:rowOff>
    </xdr:to>
    <xdr:grpSp>
      <xdr:nvGrpSpPr>
        <xdr:cNvPr id="2" name="Group 1"/>
        <xdr:cNvGrpSpPr/>
      </xdr:nvGrpSpPr>
      <xdr:grpSpPr>
        <a:xfrm>
          <a:off x="1819275" y="26117550"/>
          <a:ext cx="7038977" cy="4114800"/>
          <a:chOff x="3248024" y="17049756"/>
          <a:chExt cx="5514977" cy="4114800"/>
        </a:xfrm>
      </xdr:grpSpPr>
      <xdr:grpSp>
        <xdr:nvGrpSpPr>
          <xdr:cNvPr id="3" name="Group 2"/>
          <xdr:cNvGrpSpPr/>
        </xdr:nvGrpSpPr>
        <xdr:grpSpPr>
          <a:xfrm>
            <a:off x="3248024" y="17049756"/>
            <a:ext cx="5514977" cy="4114800"/>
            <a:chOff x="3219449" y="16059157"/>
            <a:chExt cx="5514977" cy="4114800"/>
          </a:xfrm>
        </xdr:grpSpPr>
        <xdr:grpSp>
          <xdr:nvGrpSpPr>
            <xdr:cNvPr id="5" name="Group 4"/>
            <xdr:cNvGrpSpPr/>
          </xdr:nvGrpSpPr>
          <xdr:grpSpPr>
            <a:xfrm>
              <a:off x="3219449" y="16059157"/>
              <a:ext cx="3819526" cy="2752726"/>
              <a:chOff x="2914649" y="16849725"/>
              <a:chExt cx="3819526" cy="2745556"/>
            </a:xfrm>
          </xdr:grpSpPr>
          <xdr:sp macro="" textlink="">
            <xdr:nvSpPr>
              <xdr:cNvPr id="10" name="Rectangle 9"/>
              <xdr:cNvSpPr/>
            </xdr:nvSpPr>
            <xdr:spPr>
              <a:xfrm>
                <a:off x="4190999" y="1684972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QLCH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(Hoàng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Duy)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11" name="Straight Connector 10"/>
              <xdr:cNvCxnSpPr>
                <a:stCxn id="10" idx="2"/>
              </xdr:cNvCxnSpPr>
            </xdr:nvCxnSpPr>
            <xdr:spPr>
              <a:xfrm>
                <a:off x="4829175" y="17440275"/>
                <a:ext cx="0" cy="20955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Straight Connector 11"/>
              <xdr:cNvCxnSpPr/>
            </xdr:nvCxnSpPr>
            <xdr:spPr>
              <a:xfrm>
                <a:off x="3552825" y="17640300"/>
                <a:ext cx="2543175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3" name="Straight Arrow Connector 12"/>
              <xdr:cNvCxnSpPr/>
            </xdr:nvCxnSpPr>
            <xdr:spPr>
              <a:xfrm>
                <a:off x="3552825" y="17630775"/>
                <a:ext cx="0" cy="21907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4" name="Straight Arrow Connector 13"/>
              <xdr:cNvCxnSpPr/>
            </xdr:nvCxnSpPr>
            <xdr:spPr>
              <a:xfrm>
                <a:off x="6096000" y="17630775"/>
                <a:ext cx="0" cy="21907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>
                <a:off x="2914649" y="1785937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Phó</a:t>
                </a:r>
                <a:r>
                  <a:rPr lang="en-US" sz="15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QL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(.......................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6" name="Rectangle 15"/>
              <xdr:cNvSpPr/>
            </xdr:nvSpPr>
            <xdr:spPr>
              <a:xfrm>
                <a:off x="2914649" y="18545177"/>
                <a:ext cx="1276351" cy="105010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03 Nhân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viên</a:t>
                </a:r>
              </a:p>
              <a:p>
                <a:pPr algn="ctr"/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Bán hàng FT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(1. Vân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Anh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- 2. Thanh Huyền</a:t>
                </a:r>
                <a:endParaRPr lang="en-US" sz="1200" b="0" baseline="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- 3. Cẩm Anh</a:t>
                </a:r>
              </a:p>
            </xdr:txBody>
          </xdr:sp>
          <xdr:sp macro="" textlink="">
            <xdr:nvSpPr>
              <xdr:cNvPr id="17" name="Rectangle 16"/>
              <xdr:cNvSpPr/>
            </xdr:nvSpPr>
            <xdr:spPr>
              <a:xfrm>
                <a:off x="5457824" y="17868900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</a:t>
                </a:r>
                <a:r>
                  <a:rPr lang="en-US" sz="15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QL Bếp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(Quốc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Cảnh)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8" name="Rectangle 17"/>
              <xdr:cNvSpPr/>
            </xdr:nvSpPr>
            <xdr:spPr>
              <a:xfrm>
                <a:off x="5457824" y="18583176"/>
                <a:ext cx="1276351" cy="461093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 Mixing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</a:t>
                </a:r>
                <a:r>
                  <a:rPr lang="en-US" sz="1100" b="0" baseline="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. Anh Quân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cxnSp macro="">
          <xdr:nvCxnSpPr>
            <xdr:cNvPr id="6" name="Straight Arrow Connector 5"/>
            <xdr:cNvCxnSpPr/>
          </xdr:nvCxnSpPr>
          <xdr:spPr>
            <a:xfrm>
              <a:off x="5133975" y="16744950"/>
              <a:ext cx="2305050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" name="Rectangle 6"/>
            <xdr:cNvSpPr/>
          </xdr:nvSpPr>
          <xdr:spPr>
            <a:xfrm>
              <a:off x="7458075" y="16449675"/>
              <a:ext cx="1276351" cy="59055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 KTCH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(Thị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Huyền)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Rectangle 7"/>
            <xdr:cNvSpPr/>
          </xdr:nvSpPr>
          <xdr:spPr>
            <a:xfrm>
              <a:off x="5743575" y="19069051"/>
              <a:ext cx="1276351" cy="466731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Oven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(1. ....................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Rectangle 8"/>
            <xdr:cNvSpPr/>
          </xdr:nvSpPr>
          <xdr:spPr>
            <a:xfrm>
              <a:off x="5743575" y="19688175"/>
              <a:ext cx="1276351" cy="485782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Topping</a:t>
              </a:r>
              <a:endParaRPr lang="en-US" sz="12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ctr"/>
              <a:r>
                <a:rPr lang="en-US" sz="1200" b="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(</a:t>
              </a:r>
              <a:r>
                <a:rPr lang="en-US" sz="1200" b="0" baseline="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1. Hải yến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" name="Rectangle 3"/>
          <xdr:cNvSpPr/>
        </xdr:nvSpPr>
        <xdr:spPr>
          <a:xfrm>
            <a:off x="5791200" y="19383375"/>
            <a:ext cx="1276351" cy="571506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01 Table</a:t>
            </a:r>
          </a:p>
          <a:p>
            <a:pPr algn="ctr"/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sz="1200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1. Quốc Anh)</a:t>
            </a:r>
          </a:p>
        </xdr:txBody>
      </xdr:sp>
    </xdr:grpSp>
    <xdr:clientData/>
  </xdr:twoCellAnchor>
  <xdr:twoCellAnchor>
    <xdr:from>
      <xdr:col>4</xdr:col>
      <xdr:colOff>9525</xdr:colOff>
      <xdr:row>157</xdr:row>
      <xdr:rowOff>28574</xdr:rowOff>
    </xdr:from>
    <xdr:to>
      <xdr:col>5</xdr:col>
      <xdr:colOff>638176</xdr:colOff>
      <xdr:row>161</xdr:row>
      <xdr:rowOff>95250</xdr:rowOff>
    </xdr:to>
    <xdr:sp macro="" textlink="">
      <xdr:nvSpPr>
        <xdr:cNvPr id="19" name="Rectangle 18"/>
        <xdr:cNvSpPr/>
      </xdr:nvSpPr>
      <xdr:spPr>
        <a:xfrm>
          <a:off x="4333875" y="30756224"/>
          <a:ext cx="1276351" cy="8667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03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Cake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(1. Việt</a:t>
          </a:r>
          <a:r>
            <a:rPr lang="en-US" sz="1200" b="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Hải</a:t>
          </a:r>
        </a:p>
        <a:p>
          <a:pPr algn="ctr"/>
          <a:r>
            <a:rPr lang="en-US" sz="1200" b="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Vân Anh</a:t>
          </a:r>
        </a:p>
        <a:p>
          <a:pPr algn="ctr"/>
          <a:r>
            <a:rPr lang="en-US" sz="1200" b="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3. ...................)</a:t>
          </a:r>
          <a:endParaRPr lang="en-US" sz="1200" b="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400050</xdr:colOff>
      <xdr:row>135</xdr:row>
      <xdr:rowOff>66675</xdr:rowOff>
    </xdr:from>
    <xdr:to>
      <xdr:col>0</xdr:col>
      <xdr:colOff>1752600</xdr:colOff>
      <xdr:row>137</xdr:row>
      <xdr:rowOff>114300</xdr:rowOff>
    </xdr:to>
    <xdr:sp macro="" textlink="">
      <xdr:nvSpPr>
        <xdr:cNvPr id="20" name="Right Arrow Callout 19"/>
        <xdr:cNvSpPr/>
      </xdr:nvSpPr>
      <xdr:spPr>
        <a:xfrm>
          <a:off x="400050" y="26393775"/>
          <a:ext cx="1352550" cy="447675"/>
        </a:xfrm>
        <a:prstGeom prst="rightArrowCallou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Thị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Hằng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Trưởng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144</xdr:row>
      <xdr:rowOff>57150</xdr:rowOff>
    </xdr:from>
    <xdr:to>
      <xdr:col>2</xdr:col>
      <xdr:colOff>285751</xdr:colOff>
      <xdr:row>151</xdr:row>
      <xdr:rowOff>0</xdr:rowOff>
    </xdr:to>
    <xdr:sp macro="" textlink="">
      <xdr:nvSpPr>
        <xdr:cNvPr id="21" name="Rectangle 20"/>
        <xdr:cNvSpPr/>
      </xdr:nvSpPr>
      <xdr:spPr>
        <a:xfrm>
          <a:off x="1771650" y="28184475"/>
          <a:ext cx="1276351" cy="13430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05 Nhân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viên</a:t>
          </a:r>
        </a:p>
        <a:p>
          <a:pPr algn="ctr"/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Bán hàng PT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0">
              <a:latin typeface="Times New Roman" panose="02020603050405020304" pitchFamily="18" charset="0"/>
              <a:cs typeface="Times New Roman" panose="02020603050405020304" pitchFamily="18" charset="0"/>
            </a:rPr>
            <a:t>(1. Phương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Hoa</a:t>
          </a:r>
        </a:p>
        <a:p>
          <a:pPr algn="ctr"/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- 2. Hoàng Anh</a:t>
          </a:r>
          <a:endParaRPr lang="en-US" sz="1200" b="0" baseline="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- 3. Minh Hằng</a:t>
          </a:r>
        </a:p>
        <a:p>
          <a:pPr algn="ctr"/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- 4. Thị Ngọc</a:t>
          </a:r>
        </a:p>
        <a:p>
          <a:pPr algn="ctr"/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- 5. Kiều Giang</a:t>
          </a:r>
        </a:p>
      </xdr:txBody>
    </xdr:sp>
    <xdr:clientData/>
  </xdr:twoCellAnchor>
  <xdr:twoCellAnchor>
    <xdr:from>
      <xdr:col>4</xdr:col>
      <xdr:colOff>19050</xdr:colOff>
      <xdr:row>151</xdr:row>
      <xdr:rowOff>19050</xdr:rowOff>
    </xdr:from>
    <xdr:to>
      <xdr:col>6</xdr:col>
      <xdr:colOff>1</xdr:colOff>
      <xdr:row>153</xdr:row>
      <xdr:rowOff>95250</xdr:rowOff>
    </xdr:to>
    <xdr:sp macro="" textlink="">
      <xdr:nvSpPr>
        <xdr:cNvPr id="22" name="Rectangle 21"/>
        <xdr:cNvSpPr/>
      </xdr:nvSpPr>
      <xdr:spPr>
        <a:xfrm>
          <a:off x="4343400" y="29546550"/>
          <a:ext cx="1276351" cy="4762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01 Pudding</a:t>
          </a:r>
        </a:p>
        <a:p>
          <a:pPr algn="ctr"/>
          <a:r>
            <a:rPr lang="en-US" sz="1200" b="0">
              <a:latin typeface="Times New Roman" panose="02020603050405020304" pitchFamily="18" charset="0"/>
              <a:cs typeface="Times New Roman" panose="02020603050405020304" pitchFamily="18" charset="0"/>
            </a:rPr>
            <a:t>(</a:t>
          </a:r>
          <a:r>
            <a:rPr lang="en-US" sz="12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Thị Thủy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en-US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19050</xdr:colOff>
      <xdr:row>154</xdr:row>
      <xdr:rowOff>19050</xdr:rowOff>
    </xdr:from>
    <xdr:to>
      <xdr:col>6</xdr:col>
      <xdr:colOff>1</xdr:colOff>
      <xdr:row>156</xdr:row>
      <xdr:rowOff>114300</xdr:rowOff>
    </xdr:to>
    <xdr:sp macro="" textlink="">
      <xdr:nvSpPr>
        <xdr:cNvPr id="23" name="Rectangle 22"/>
        <xdr:cNvSpPr/>
      </xdr:nvSpPr>
      <xdr:spPr>
        <a:xfrm>
          <a:off x="4343400" y="30146625"/>
          <a:ext cx="1276351" cy="4953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01 Nhân</a:t>
          </a:r>
        </a:p>
        <a:p>
          <a:pPr algn="ctr"/>
          <a:r>
            <a:rPr lang="en-US" sz="1200" b="0">
              <a:latin typeface="Times New Roman" panose="02020603050405020304" pitchFamily="18" charset="0"/>
              <a:cs typeface="Times New Roman" panose="02020603050405020304" pitchFamily="18" charset="0"/>
            </a:rPr>
            <a:t>(</a:t>
          </a:r>
          <a:r>
            <a:rPr lang="en-US" sz="12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Thị Hiền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en-US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86</xdr:row>
      <xdr:rowOff>0</xdr:rowOff>
    </xdr:from>
    <xdr:to>
      <xdr:col>8</xdr:col>
      <xdr:colOff>628652</xdr:colOff>
      <xdr:row>107</xdr:row>
      <xdr:rowOff>66670</xdr:rowOff>
    </xdr:to>
    <xdr:grpSp>
      <xdr:nvGrpSpPr>
        <xdr:cNvPr id="2" name="Group 1"/>
        <xdr:cNvGrpSpPr/>
      </xdr:nvGrpSpPr>
      <xdr:grpSpPr>
        <a:xfrm>
          <a:off x="2247900" y="17449800"/>
          <a:ext cx="5514977" cy="4267195"/>
          <a:chOff x="3248024" y="17049754"/>
          <a:chExt cx="5514977" cy="4267195"/>
        </a:xfrm>
      </xdr:grpSpPr>
      <xdr:grpSp>
        <xdr:nvGrpSpPr>
          <xdr:cNvPr id="3" name="Group 2"/>
          <xdr:cNvGrpSpPr/>
        </xdr:nvGrpSpPr>
        <xdr:grpSpPr>
          <a:xfrm>
            <a:off x="3248024" y="17049754"/>
            <a:ext cx="5514977" cy="4267195"/>
            <a:chOff x="3219449" y="16059155"/>
            <a:chExt cx="5514977" cy="4267195"/>
          </a:xfrm>
        </xdr:grpSpPr>
        <xdr:grpSp>
          <xdr:nvGrpSpPr>
            <xdr:cNvPr id="5" name="Group 4"/>
            <xdr:cNvGrpSpPr/>
          </xdr:nvGrpSpPr>
          <xdr:grpSpPr>
            <a:xfrm>
              <a:off x="3219449" y="16059155"/>
              <a:ext cx="3819526" cy="3705219"/>
              <a:chOff x="2914649" y="16849725"/>
              <a:chExt cx="3819526" cy="3695569"/>
            </a:xfrm>
          </xdr:grpSpPr>
          <xdr:sp macro="" textlink="">
            <xdr:nvSpPr>
              <xdr:cNvPr id="10" name="Rectangle 9"/>
              <xdr:cNvSpPr/>
            </xdr:nvSpPr>
            <xdr:spPr>
              <a:xfrm>
                <a:off x="4190999" y="1684972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QLCH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(Ngọ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 Trúc)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11" name="Straight Connector 10"/>
              <xdr:cNvCxnSpPr>
                <a:stCxn id="10" idx="2"/>
              </xdr:cNvCxnSpPr>
            </xdr:nvCxnSpPr>
            <xdr:spPr>
              <a:xfrm>
                <a:off x="4829175" y="17440275"/>
                <a:ext cx="0" cy="20955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Straight Connector 11"/>
              <xdr:cNvCxnSpPr/>
            </xdr:nvCxnSpPr>
            <xdr:spPr>
              <a:xfrm>
                <a:off x="3552825" y="17640300"/>
                <a:ext cx="2543175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3" name="Straight Arrow Connector 12"/>
              <xdr:cNvCxnSpPr/>
            </xdr:nvCxnSpPr>
            <xdr:spPr>
              <a:xfrm>
                <a:off x="3552825" y="17630775"/>
                <a:ext cx="0" cy="21907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4" name="Straight Arrow Connector 13"/>
              <xdr:cNvCxnSpPr/>
            </xdr:nvCxnSpPr>
            <xdr:spPr>
              <a:xfrm>
                <a:off x="6096000" y="17630775"/>
                <a:ext cx="0" cy="21907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>
                <a:off x="2914649" y="1785937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Phó</a:t>
                </a:r>
                <a:r>
                  <a:rPr lang="en-US" sz="15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QL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(...................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6" name="Rectangle 15"/>
              <xdr:cNvSpPr/>
            </xdr:nvSpPr>
            <xdr:spPr>
              <a:xfrm>
                <a:off x="2914649" y="18545175"/>
                <a:ext cx="1276351" cy="869602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02 Nhân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viên</a:t>
                </a:r>
              </a:p>
              <a:p>
                <a:pPr algn="ctr"/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Bán hàng FT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(1. Bình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Nguyên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- 2. ....................)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7" name="Rectangle 16"/>
              <xdr:cNvSpPr/>
            </xdr:nvSpPr>
            <xdr:spPr>
              <a:xfrm>
                <a:off x="2914650" y="19535600"/>
                <a:ext cx="1276351" cy="100969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02 Nhân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viên</a:t>
                </a:r>
              </a:p>
              <a:p>
                <a:pPr algn="ctr"/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Bán hàng PT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(1. Thiên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Kim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- 2. Minh Thư)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8" name="Rectangle 17"/>
              <xdr:cNvSpPr/>
            </xdr:nvSpPr>
            <xdr:spPr>
              <a:xfrm>
                <a:off x="5457824" y="17868900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</a:t>
                </a:r>
                <a:r>
                  <a:rPr lang="en-US" sz="15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QL Bếp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(Hoài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Bảo)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9" name="Rectangle 18"/>
              <xdr:cNvSpPr/>
            </xdr:nvSpPr>
            <xdr:spPr>
              <a:xfrm>
                <a:off x="5448299" y="18545176"/>
                <a:ext cx="1276351" cy="51809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Mixing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US" sz="1100" b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Thiên</a:t>
                </a:r>
                <a:r>
                  <a:rPr lang="en-US" sz="1100" b="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 Ngân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cxnSp macro="">
          <xdr:nvCxnSpPr>
            <xdr:cNvPr id="6" name="Straight Arrow Connector 5"/>
            <xdr:cNvCxnSpPr/>
          </xdr:nvCxnSpPr>
          <xdr:spPr>
            <a:xfrm>
              <a:off x="5133975" y="16744950"/>
              <a:ext cx="2305050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" name="Rectangle 6"/>
            <xdr:cNvSpPr/>
          </xdr:nvSpPr>
          <xdr:spPr>
            <a:xfrm>
              <a:off x="7458075" y="16449675"/>
              <a:ext cx="1276351" cy="59055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 KTCH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(Thanh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Mỹ)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Rectangle 7"/>
            <xdr:cNvSpPr/>
          </xdr:nvSpPr>
          <xdr:spPr>
            <a:xfrm>
              <a:off x="5743575" y="19050001"/>
              <a:ext cx="1276351" cy="60960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Oven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</a:t>
              </a:r>
              <a:r>
                <a:rPr lang="en-US" sz="1200" b="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Sắp</a:t>
              </a:r>
              <a:r>
                <a:rPr lang="en-US" sz="1200" b="0" baseline="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xếp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Rectangle 8"/>
            <xdr:cNvSpPr/>
          </xdr:nvSpPr>
          <xdr:spPr>
            <a:xfrm>
              <a:off x="5762625" y="19764375"/>
              <a:ext cx="1276351" cy="561975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Topping</a:t>
              </a:r>
              <a:endParaRPr lang="en-US" sz="12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(Hà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Mi)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" name="Rectangle 3"/>
          <xdr:cNvSpPr/>
        </xdr:nvSpPr>
        <xdr:spPr>
          <a:xfrm>
            <a:off x="5772150" y="19383375"/>
            <a:ext cx="1276351" cy="54292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01 Table</a:t>
            </a:r>
          </a:p>
          <a:p>
            <a:pPr algn="ctr"/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sz="1200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Thiên</a:t>
            </a:r>
            <a:r>
              <a:rPr lang="en-US" sz="1200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Ngọc</a:t>
            </a:r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).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79</xdr:row>
      <xdr:rowOff>9526</xdr:rowOff>
    </xdr:from>
    <xdr:to>
      <xdr:col>9</xdr:col>
      <xdr:colOff>142876</xdr:colOff>
      <xdr:row>117</xdr:row>
      <xdr:rowOff>171450</xdr:rowOff>
    </xdr:to>
    <xdr:grpSp>
      <xdr:nvGrpSpPr>
        <xdr:cNvPr id="23" name="Group 22"/>
        <xdr:cNvGrpSpPr/>
      </xdr:nvGrpSpPr>
      <xdr:grpSpPr>
        <a:xfrm>
          <a:off x="3209925" y="16059151"/>
          <a:ext cx="5524501" cy="7762874"/>
          <a:chOff x="3209925" y="16059151"/>
          <a:chExt cx="5524501" cy="7762874"/>
        </a:xfrm>
      </xdr:grpSpPr>
      <xdr:sp macro="" textlink="">
        <xdr:nvSpPr>
          <xdr:cNvPr id="18" name="Rectangle 17"/>
          <xdr:cNvSpPr/>
        </xdr:nvSpPr>
        <xdr:spPr>
          <a:xfrm>
            <a:off x="5762625" y="18545176"/>
            <a:ext cx="1276351" cy="1095374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04 Table</a:t>
            </a:r>
          </a:p>
          <a:p>
            <a:pPr algn="ctr"/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(1. Thiên</a:t>
            </a:r>
            <a:r>
              <a:rPr lang="en-US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Tuấn</a:t>
            </a:r>
            <a:r>
              <a:rPr lang="en-US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-</a:t>
            </a:r>
          </a:p>
          <a:p>
            <a:r>
              <a:rPr lang="en-US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2. </a:t>
            </a:r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Ngọc</a:t>
            </a:r>
            <a:r>
              <a:rPr lang="en-U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Thạch </a:t>
            </a: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3. Phong</a:t>
            </a:r>
            <a:r>
              <a:rPr lang="en-U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Phú  -</a:t>
            </a:r>
            <a:endParaRPr lang="en-US" sz="1200">
              <a:effectLst/>
            </a:endParaRPr>
          </a:p>
          <a:p>
            <a:r>
              <a:rPr lang="en-U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4. Trường An</a:t>
            </a:r>
          </a:p>
          <a:p>
            <a:r>
              <a:rPr lang="en-U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US" sz="1200">
              <a:effectLst/>
            </a:endParaRPr>
          </a:p>
          <a:p>
            <a:pPr algn="ctr"/>
            <a:r>
              <a:rPr lang="en-US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en-US" sz="12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13" name="Group 12"/>
          <xdr:cNvGrpSpPr/>
        </xdr:nvGrpSpPr>
        <xdr:grpSpPr>
          <a:xfrm>
            <a:off x="3209925" y="16059151"/>
            <a:ext cx="5524501" cy="7762874"/>
            <a:chOff x="3209925" y="16059151"/>
            <a:chExt cx="5524501" cy="7762874"/>
          </a:xfrm>
        </xdr:grpSpPr>
        <xdr:grpSp>
          <xdr:nvGrpSpPr>
            <xdr:cNvPr id="2" name="Group 1"/>
            <xdr:cNvGrpSpPr/>
          </xdr:nvGrpSpPr>
          <xdr:grpSpPr>
            <a:xfrm>
              <a:off x="3209925" y="16059151"/>
              <a:ext cx="3829050" cy="3447503"/>
              <a:chOff x="2905125" y="16849725"/>
              <a:chExt cx="3829050" cy="3438525"/>
            </a:xfrm>
          </xdr:grpSpPr>
          <xdr:sp macro="" textlink="">
            <xdr:nvSpPr>
              <xdr:cNvPr id="3" name="Rectangle 2"/>
              <xdr:cNvSpPr/>
            </xdr:nvSpPr>
            <xdr:spPr>
              <a:xfrm>
                <a:off x="4190999" y="1684972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QLCH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(Minh Hoàng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4" name="Straight Connector 3"/>
              <xdr:cNvCxnSpPr>
                <a:stCxn id="3" idx="2"/>
              </xdr:cNvCxnSpPr>
            </xdr:nvCxnSpPr>
            <xdr:spPr>
              <a:xfrm>
                <a:off x="4829175" y="17440275"/>
                <a:ext cx="0" cy="20955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" name="Straight Connector 4"/>
              <xdr:cNvCxnSpPr/>
            </xdr:nvCxnSpPr>
            <xdr:spPr>
              <a:xfrm>
                <a:off x="3552825" y="17640300"/>
                <a:ext cx="2543175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" name="Straight Arrow Connector 5"/>
              <xdr:cNvCxnSpPr/>
            </xdr:nvCxnSpPr>
            <xdr:spPr>
              <a:xfrm>
                <a:off x="3552825" y="17630775"/>
                <a:ext cx="0" cy="21907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" name="Straight Arrow Connector 6"/>
              <xdr:cNvCxnSpPr/>
            </xdr:nvCxnSpPr>
            <xdr:spPr>
              <a:xfrm>
                <a:off x="6096000" y="17630775"/>
                <a:ext cx="0" cy="21907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" name="Rectangle 7"/>
              <xdr:cNvSpPr/>
            </xdr:nvSpPr>
            <xdr:spPr>
              <a:xfrm>
                <a:off x="2914649" y="1785937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Phó</a:t>
                </a:r>
                <a:r>
                  <a:rPr lang="en-US" sz="15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QL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(...................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9" name="Rectangle 8"/>
              <xdr:cNvSpPr/>
            </xdr:nvSpPr>
            <xdr:spPr>
              <a:xfrm>
                <a:off x="2914649" y="18545175"/>
                <a:ext cx="1276351" cy="8191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02 Nhân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viên</a:t>
                </a:r>
              </a:p>
              <a:p>
                <a:pPr algn="ctr"/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Bán hàng FT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(1. Thủy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Tiên-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2. Thành Tính)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0" name="Rectangle 9"/>
              <xdr:cNvSpPr/>
            </xdr:nvSpPr>
            <xdr:spPr>
              <a:xfrm>
                <a:off x="2905125" y="19469100"/>
                <a:ext cx="1276351" cy="8191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02 Nhân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viên</a:t>
                </a:r>
              </a:p>
              <a:p>
                <a:pPr algn="ctr"/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Bán hàng PT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(1. Hoàng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Anh - 2. Kỳ Duyên)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1" name="Rectangle 10"/>
              <xdr:cNvSpPr/>
            </xdr:nvSpPr>
            <xdr:spPr>
              <a:xfrm>
                <a:off x="5457824" y="17868900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</a:t>
                </a:r>
                <a:r>
                  <a:rPr lang="en-US" sz="15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QL Bếp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(...................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2" name="Rectangle 11"/>
              <xdr:cNvSpPr/>
            </xdr:nvSpPr>
            <xdr:spPr>
              <a:xfrm>
                <a:off x="5448299" y="18545176"/>
                <a:ext cx="1276351" cy="689099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02 Mixing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(1.Thanh Tùng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-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2. Linh Đa)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14" name="Rectangle 13"/>
            <xdr:cNvSpPr/>
          </xdr:nvSpPr>
          <xdr:spPr>
            <a:xfrm>
              <a:off x="3209925" y="19640550"/>
              <a:ext cx="1276351" cy="100965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03 Cắt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Toast/ OFF/ Đơn hàng</a:t>
              </a:r>
              <a:endParaRPr lang="en-US" sz="12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(1. Anh Lộc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- 2. TQD - 3 ........................)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5" name="Straight Arrow Connector 14"/>
            <xdr:cNvCxnSpPr/>
          </xdr:nvCxnSpPr>
          <xdr:spPr>
            <a:xfrm>
              <a:off x="5133975" y="16744950"/>
              <a:ext cx="2305050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6" name="Rectangle 15"/>
            <xdr:cNvSpPr/>
          </xdr:nvSpPr>
          <xdr:spPr>
            <a:xfrm>
              <a:off x="7458075" y="16449675"/>
              <a:ext cx="1276351" cy="59055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 KTCH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(Thanh Mai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7" name="Rectangle 16"/>
            <xdr:cNvSpPr/>
          </xdr:nvSpPr>
          <xdr:spPr>
            <a:xfrm>
              <a:off x="5762625" y="19764375"/>
              <a:ext cx="1276351" cy="990599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03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Oven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(1. 1 Mixing.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</a:t>
              </a:r>
            </a:p>
            <a:p>
              <a:pPr algn="ctr"/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2. Hữu Toàn</a:t>
              </a:r>
            </a:p>
            <a:p>
              <a:pPr algn="ctr"/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3. 1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table)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5781675" y="20955001"/>
              <a:ext cx="1276351" cy="690898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02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Topping</a:t>
              </a:r>
              <a:endParaRPr lang="en-US" sz="12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(1. 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Mỹ Dung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-</a:t>
              </a:r>
            </a:p>
            <a:p>
              <a:pPr algn="ctr"/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2. Cẩm Huyền)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5781675" y="21793201"/>
              <a:ext cx="1276351" cy="690898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02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Đêm</a:t>
              </a:r>
              <a:endParaRPr lang="en-US" sz="12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(1.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Duy Anh -</a:t>
              </a:r>
            </a:p>
            <a:p>
              <a:pPr algn="ctr"/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2. Ngọc Quyền)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5781675" y="22593301"/>
              <a:ext cx="1276351" cy="1228724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Nhân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sự Sai Gòn Centre</a:t>
              </a:r>
              <a:endParaRPr lang="en-US" sz="12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(1.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Khai Duy -</a:t>
              </a:r>
            </a:p>
            <a:p>
              <a:pPr algn="ctr"/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2. Quyết Thắng</a:t>
              </a:r>
            </a:p>
            <a:p>
              <a:pPr algn="ctr"/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3. Tấn Tài</a:t>
              </a:r>
            </a:p>
            <a:p>
              <a:pPr algn="ctr"/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4. Phước Thành)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3228975" y="20774026"/>
              <a:ext cx="1276351" cy="1228724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Nhân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sự Sai Gòn Centre</a:t>
              </a:r>
              <a:endParaRPr lang="en-US" sz="12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(1.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Ngọc Hương -</a:t>
              </a:r>
            </a:p>
            <a:p>
              <a:pPr algn="ctr"/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2. Minh Chiến</a:t>
              </a:r>
            </a:p>
            <a:p>
              <a:pPr algn="ctr"/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3. Gia Mẫn)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84</xdr:row>
      <xdr:rowOff>0</xdr:rowOff>
    </xdr:from>
    <xdr:to>
      <xdr:col>10</xdr:col>
      <xdr:colOff>276226</xdr:colOff>
      <xdr:row>105</xdr:row>
      <xdr:rowOff>66674</xdr:rowOff>
    </xdr:to>
    <xdr:grpSp>
      <xdr:nvGrpSpPr>
        <xdr:cNvPr id="26" name="Group 25"/>
        <xdr:cNvGrpSpPr/>
      </xdr:nvGrpSpPr>
      <xdr:grpSpPr>
        <a:xfrm>
          <a:off x="3248024" y="17049750"/>
          <a:ext cx="5514977" cy="4267199"/>
          <a:chOff x="3248024" y="17049750"/>
          <a:chExt cx="5514977" cy="4267199"/>
        </a:xfrm>
      </xdr:grpSpPr>
      <xdr:grpSp>
        <xdr:nvGrpSpPr>
          <xdr:cNvPr id="2" name="Group 1"/>
          <xdr:cNvGrpSpPr/>
        </xdr:nvGrpSpPr>
        <xdr:grpSpPr>
          <a:xfrm>
            <a:off x="3248024" y="17049750"/>
            <a:ext cx="5514977" cy="4267199"/>
            <a:chOff x="3219449" y="16059151"/>
            <a:chExt cx="5514977" cy="4267199"/>
          </a:xfrm>
        </xdr:grpSpPr>
        <xdr:grpSp>
          <xdr:nvGrpSpPr>
            <xdr:cNvPr id="3" name="Group 2"/>
            <xdr:cNvGrpSpPr/>
          </xdr:nvGrpSpPr>
          <xdr:grpSpPr>
            <a:xfrm>
              <a:off x="3219449" y="16059151"/>
              <a:ext cx="3819526" cy="3933278"/>
              <a:chOff x="2914649" y="16849725"/>
              <a:chExt cx="3819526" cy="3923035"/>
            </a:xfrm>
          </xdr:grpSpPr>
          <xdr:sp macro="" textlink="">
            <xdr:nvSpPr>
              <xdr:cNvPr id="12" name="Rectangle 11"/>
              <xdr:cNvSpPr/>
            </xdr:nvSpPr>
            <xdr:spPr>
              <a:xfrm>
                <a:off x="4190999" y="1684972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QLCH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(Thanh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Tú)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13" name="Straight Connector 12"/>
              <xdr:cNvCxnSpPr>
                <a:stCxn id="12" idx="2"/>
              </xdr:cNvCxnSpPr>
            </xdr:nvCxnSpPr>
            <xdr:spPr>
              <a:xfrm>
                <a:off x="4829175" y="17440275"/>
                <a:ext cx="0" cy="20955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4" name="Straight Connector 13"/>
              <xdr:cNvCxnSpPr/>
            </xdr:nvCxnSpPr>
            <xdr:spPr>
              <a:xfrm>
                <a:off x="3552825" y="17640300"/>
                <a:ext cx="2543175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5" name="Straight Arrow Connector 14"/>
              <xdr:cNvCxnSpPr/>
            </xdr:nvCxnSpPr>
            <xdr:spPr>
              <a:xfrm>
                <a:off x="3552825" y="17630775"/>
                <a:ext cx="0" cy="21907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Straight Arrow Connector 15"/>
              <xdr:cNvCxnSpPr/>
            </xdr:nvCxnSpPr>
            <xdr:spPr>
              <a:xfrm>
                <a:off x="6096000" y="17630775"/>
                <a:ext cx="0" cy="21907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>
                <a:off x="2914649" y="1785937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Phó</a:t>
                </a:r>
                <a:r>
                  <a:rPr lang="en-US" sz="15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QL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(...................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8" name="Rectangle 17"/>
              <xdr:cNvSpPr/>
            </xdr:nvSpPr>
            <xdr:spPr>
              <a:xfrm>
                <a:off x="2914649" y="18545175"/>
                <a:ext cx="1276351" cy="1192609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02 Nhân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viên</a:t>
                </a:r>
              </a:p>
              <a:p>
                <a:pPr algn="ctr"/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Bán hàng FT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(1. Phúc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Tài-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2. Ngọc Trân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3. Phương Dung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4. Phương Loan)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9" name="Rectangle 18"/>
              <xdr:cNvSpPr/>
            </xdr:nvSpPr>
            <xdr:spPr>
              <a:xfrm>
                <a:off x="2914650" y="19953610"/>
                <a:ext cx="1276351" cy="8191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02 Nhân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viên</a:t>
                </a:r>
              </a:p>
              <a:p>
                <a:pPr algn="ctr"/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Bán hàng PT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(1. ......................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- 2. .......................)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20" name="Rectangle 19"/>
              <xdr:cNvSpPr/>
            </xdr:nvSpPr>
            <xdr:spPr>
              <a:xfrm>
                <a:off x="5457824" y="17868900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</a:t>
                </a:r>
                <a:r>
                  <a:rPr lang="en-US" sz="15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QL Bếp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(Gia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Long)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21" name="Rectangle 20"/>
              <xdr:cNvSpPr/>
            </xdr:nvSpPr>
            <xdr:spPr>
              <a:xfrm>
                <a:off x="5448299" y="18545176"/>
                <a:ext cx="1276351" cy="51809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Mixing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(Kim Liên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cxnSp macro="">
          <xdr:nvCxnSpPr>
            <xdr:cNvPr id="5" name="Straight Arrow Connector 4"/>
            <xdr:cNvCxnSpPr/>
          </xdr:nvCxnSpPr>
          <xdr:spPr>
            <a:xfrm>
              <a:off x="5133975" y="16744950"/>
              <a:ext cx="2305050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6" name="Rectangle 5"/>
            <xdr:cNvSpPr/>
          </xdr:nvSpPr>
          <xdr:spPr>
            <a:xfrm>
              <a:off x="7458075" y="16449675"/>
              <a:ext cx="1276351" cy="59055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 KTCH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(Thanh Mỹ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Rectangle 6"/>
            <xdr:cNvSpPr/>
          </xdr:nvSpPr>
          <xdr:spPr>
            <a:xfrm>
              <a:off x="5743575" y="19050001"/>
              <a:ext cx="1276351" cy="60960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Oven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(Phước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Vinh)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Rectangle 7"/>
            <xdr:cNvSpPr/>
          </xdr:nvSpPr>
          <xdr:spPr>
            <a:xfrm>
              <a:off x="5762625" y="19764375"/>
              <a:ext cx="1276351" cy="561975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Topping</a:t>
              </a:r>
              <a:endParaRPr lang="en-US" sz="12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(Trâm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Anh)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22" name="Rectangle 21"/>
          <xdr:cNvSpPr/>
        </xdr:nvSpPr>
        <xdr:spPr>
          <a:xfrm>
            <a:off x="5772150" y="19383375"/>
            <a:ext cx="1276351" cy="54292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01 Table</a:t>
            </a:r>
          </a:p>
          <a:p>
            <a:pPr algn="ctr"/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sz="1200" b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Sắp</a:t>
            </a:r>
            <a:r>
              <a:rPr lang="en-US" sz="1200" b="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xếp</a:t>
            </a:r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).</a:t>
            </a:r>
          </a:p>
        </xdr:txBody>
      </xdr:sp>
    </xdr:grpSp>
    <xdr:clientData/>
  </xdr:twoCellAnchor>
  <xdr:twoCellAnchor>
    <xdr:from>
      <xdr:col>7</xdr:col>
      <xdr:colOff>657225</xdr:colOff>
      <xdr:row>92</xdr:row>
      <xdr:rowOff>133350</xdr:rowOff>
    </xdr:from>
    <xdr:to>
      <xdr:col>10</xdr:col>
      <xdr:colOff>276225</xdr:colOff>
      <xdr:row>94</xdr:row>
      <xdr:rowOff>190500</xdr:rowOff>
    </xdr:to>
    <xdr:sp macro="" textlink="">
      <xdr:nvSpPr>
        <xdr:cNvPr id="24" name="Left Arrow Callout 23"/>
        <xdr:cNvSpPr/>
      </xdr:nvSpPr>
      <xdr:spPr>
        <a:xfrm>
          <a:off x="7067550" y="18783300"/>
          <a:ext cx="1695450" cy="457200"/>
        </a:xfrm>
        <a:prstGeom prst="leftArrowCallou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Xin nghỉ,</a:t>
          </a:r>
        </a:p>
        <a:p>
          <a:pPr algn="ctr"/>
          <a:r>
            <a:rPr lang="en-US" sz="1100" b="1" baseline="0"/>
            <a:t> tuyển mới</a:t>
          </a:r>
          <a:endParaRPr lang="en-US" sz="1100" b="1"/>
        </a:p>
      </xdr:txBody>
    </xdr:sp>
    <xdr:clientData/>
  </xdr:twoCellAnchor>
  <xdr:twoCellAnchor>
    <xdr:from>
      <xdr:col>7</xdr:col>
      <xdr:colOff>657225</xdr:colOff>
      <xdr:row>102</xdr:row>
      <xdr:rowOff>171450</xdr:rowOff>
    </xdr:from>
    <xdr:to>
      <xdr:col>10</xdr:col>
      <xdr:colOff>619125</xdr:colOff>
      <xdr:row>105</xdr:row>
      <xdr:rowOff>28575</xdr:rowOff>
    </xdr:to>
    <xdr:sp macro="" textlink="">
      <xdr:nvSpPr>
        <xdr:cNvPr id="25" name="Left Arrow Callout 24"/>
        <xdr:cNvSpPr/>
      </xdr:nvSpPr>
      <xdr:spPr>
        <a:xfrm>
          <a:off x="7067550" y="20821650"/>
          <a:ext cx="2038350" cy="457200"/>
        </a:xfrm>
        <a:prstGeom prst="leftArrowCallout">
          <a:avLst>
            <a:gd name="adj1" fmla="val 25000"/>
            <a:gd name="adj2" fmla="val 25000"/>
            <a:gd name="adj3" fmla="val 25000"/>
            <a:gd name="adj4" fmla="val 74403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Điều</a:t>
          </a:r>
          <a:r>
            <a:rPr lang="en-US" sz="1100" b="1" baseline="0"/>
            <a:t> chuyển Bình Tân</a:t>
          </a:r>
          <a:r>
            <a:rPr lang="en-US" sz="1100" b="1"/>
            <a:t>,</a:t>
          </a:r>
        </a:p>
        <a:p>
          <a:pPr algn="ctr"/>
          <a:r>
            <a:rPr lang="en-US" sz="1100" b="1" baseline="0"/>
            <a:t> tuyển mới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88</xdr:row>
      <xdr:rowOff>190500</xdr:rowOff>
    </xdr:from>
    <xdr:to>
      <xdr:col>9</xdr:col>
      <xdr:colOff>266702</xdr:colOff>
      <xdr:row>113</xdr:row>
      <xdr:rowOff>123825</xdr:rowOff>
    </xdr:to>
    <xdr:grpSp>
      <xdr:nvGrpSpPr>
        <xdr:cNvPr id="55" name="Group 54"/>
        <xdr:cNvGrpSpPr/>
      </xdr:nvGrpSpPr>
      <xdr:grpSpPr>
        <a:xfrm>
          <a:off x="3209925" y="18040350"/>
          <a:ext cx="5514977" cy="4933950"/>
          <a:chOff x="3209925" y="18040350"/>
          <a:chExt cx="5514977" cy="4933950"/>
        </a:xfrm>
      </xdr:grpSpPr>
      <xdr:grpSp>
        <xdr:nvGrpSpPr>
          <xdr:cNvPr id="36" name="Group 35"/>
          <xdr:cNvGrpSpPr/>
        </xdr:nvGrpSpPr>
        <xdr:grpSpPr>
          <a:xfrm>
            <a:off x="3209925" y="18040350"/>
            <a:ext cx="5514977" cy="4267199"/>
            <a:chOff x="3248024" y="17049750"/>
            <a:chExt cx="5514977" cy="4267199"/>
          </a:xfrm>
        </xdr:grpSpPr>
        <xdr:grpSp>
          <xdr:nvGrpSpPr>
            <xdr:cNvPr id="37" name="Group 36"/>
            <xdr:cNvGrpSpPr/>
          </xdr:nvGrpSpPr>
          <xdr:grpSpPr>
            <a:xfrm>
              <a:off x="3248024" y="17049750"/>
              <a:ext cx="5514977" cy="4267199"/>
              <a:chOff x="3219449" y="16059151"/>
              <a:chExt cx="5514977" cy="4267199"/>
            </a:xfrm>
          </xdr:grpSpPr>
          <xdr:grpSp>
            <xdr:nvGrpSpPr>
              <xdr:cNvPr id="39" name="Group 38"/>
              <xdr:cNvGrpSpPr/>
            </xdr:nvGrpSpPr>
            <xdr:grpSpPr>
              <a:xfrm>
                <a:off x="3219449" y="16059151"/>
                <a:ext cx="3819526" cy="3933278"/>
                <a:chOff x="2914649" y="16849725"/>
                <a:chExt cx="3819526" cy="3923035"/>
              </a:xfrm>
            </xdr:grpSpPr>
            <xdr:sp macro="" textlink="">
              <xdr:nvSpPr>
                <xdr:cNvPr id="44" name="Rectangle 43"/>
                <xdr:cNvSpPr/>
              </xdr:nvSpPr>
              <xdr:spPr>
                <a:xfrm>
                  <a:off x="4190999" y="16849725"/>
                  <a:ext cx="1276351" cy="590550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5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01 QLCH</a:t>
                  </a: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(Thùy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Trang)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45" name="Straight Connector 44"/>
                <xdr:cNvCxnSpPr>
                  <a:stCxn id="44" idx="2"/>
                </xdr:cNvCxnSpPr>
              </xdr:nvCxnSpPr>
              <xdr:spPr>
                <a:xfrm>
                  <a:off x="4829175" y="17440275"/>
                  <a:ext cx="0" cy="209550"/>
                </a:xfrm>
                <a:prstGeom prst="line">
                  <a:avLst/>
                </a:prstGeom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6" name="Straight Connector 45"/>
                <xdr:cNvCxnSpPr/>
              </xdr:nvCxnSpPr>
              <xdr:spPr>
                <a:xfrm>
                  <a:off x="3552825" y="17640300"/>
                  <a:ext cx="2543175" cy="0"/>
                </a:xfrm>
                <a:prstGeom prst="line">
                  <a:avLst/>
                </a:prstGeom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7" name="Straight Arrow Connector 46"/>
                <xdr:cNvCxnSpPr/>
              </xdr:nvCxnSpPr>
              <xdr:spPr>
                <a:xfrm>
                  <a:off x="3552825" y="17630775"/>
                  <a:ext cx="0" cy="219075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" name="Straight Arrow Connector 47"/>
                <xdr:cNvCxnSpPr/>
              </xdr:nvCxnSpPr>
              <xdr:spPr>
                <a:xfrm>
                  <a:off x="6096000" y="17630775"/>
                  <a:ext cx="0" cy="219075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9" name="Rectangle 48"/>
                <xdr:cNvSpPr/>
              </xdr:nvSpPr>
              <xdr:spPr>
                <a:xfrm>
                  <a:off x="2914649" y="17859375"/>
                  <a:ext cx="1276351" cy="590550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5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01 Phó</a:t>
                  </a:r>
                  <a:r>
                    <a:rPr lang="en-US" sz="15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QL</a:t>
                  </a:r>
                  <a:endPara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(...................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50" name="Rectangle 49"/>
                <xdr:cNvSpPr/>
              </xdr:nvSpPr>
              <xdr:spPr>
                <a:xfrm>
                  <a:off x="2914649" y="18545175"/>
                  <a:ext cx="1276351" cy="1192609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02 Nhân</a:t>
                  </a:r>
                  <a:r>
                    <a:rPr 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viên</a:t>
                  </a:r>
                </a:p>
                <a:p>
                  <a:pPr algn="ctr"/>
                  <a:r>
                    <a:rPr 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Bán hàng FT</a:t>
                  </a:r>
                  <a:endPara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(1. Thanh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Xuân-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2. Kim Linh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3. Đức Kha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4. Anh Thi)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51" name="Rectangle 50"/>
                <xdr:cNvSpPr/>
              </xdr:nvSpPr>
              <xdr:spPr>
                <a:xfrm>
                  <a:off x="2914650" y="19953610"/>
                  <a:ext cx="1276351" cy="819150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02 Nhân</a:t>
                  </a:r>
                  <a:r>
                    <a:rPr 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viên</a:t>
                  </a:r>
                </a:p>
                <a:p>
                  <a:pPr algn="ctr"/>
                  <a:r>
                    <a:rPr 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Bán hàng PT</a:t>
                  </a:r>
                  <a:endPara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(1. ......................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- 2. .......................)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52" name="Rectangle 51"/>
                <xdr:cNvSpPr/>
              </xdr:nvSpPr>
              <xdr:spPr>
                <a:xfrm>
                  <a:off x="5457824" y="17868900"/>
                  <a:ext cx="1276351" cy="590550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5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01 </a:t>
                  </a:r>
                  <a:r>
                    <a:rPr lang="en-US" sz="15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QL Bếp</a:t>
                  </a:r>
                  <a:endPara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(Đình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Nguyên)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53" name="Rectangle 52"/>
                <xdr:cNvSpPr/>
              </xdr:nvSpPr>
              <xdr:spPr>
                <a:xfrm>
                  <a:off x="5448299" y="18545176"/>
                  <a:ext cx="1276351" cy="518094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01 Mixing</a:t>
                  </a: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(Mỹ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Hạnh)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</xdr:grpSp>
          <xdr:cxnSp macro="">
            <xdr:nvCxnSpPr>
              <xdr:cNvPr id="40" name="Straight Arrow Connector 39"/>
              <xdr:cNvCxnSpPr/>
            </xdr:nvCxnSpPr>
            <xdr:spPr>
              <a:xfrm>
                <a:off x="5133975" y="16744950"/>
                <a:ext cx="2305050" cy="0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1" name="Rectangle 40"/>
              <xdr:cNvSpPr/>
            </xdr:nvSpPr>
            <xdr:spPr>
              <a:xfrm>
                <a:off x="7458075" y="1644967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KTCH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(Minh Tú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42" name="Rectangle 41"/>
              <xdr:cNvSpPr/>
            </xdr:nvSpPr>
            <xdr:spPr>
              <a:xfrm>
                <a:off x="5743575" y="19050001"/>
                <a:ext cx="1276351" cy="6096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Oven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(Long Nghị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43" name="Rectangle 42"/>
              <xdr:cNvSpPr/>
            </xdr:nvSpPr>
            <xdr:spPr>
              <a:xfrm>
                <a:off x="5762625" y="19764375"/>
                <a:ext cx="1276351" cy="561975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Topping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(Lam Vi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38" name="Rectangle 37"/>
            <xdr:cNvSpPr/>
          </xdr:nvSpPr>
          <xdr:spPr>
            <a:xfrm>
              <a:off x="5772150" y="19383375"/>
              <a:ext cx="1276351" cy="542925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 Table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</a:t>
              </a:r>
              <a:r>
                <a:rPr lang="en-US" sz="1200" b="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......................</a:t>
              </a:r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).</a:t>
              </a:r>
            </a:p>
          </xdr:txBody>
        </xdr:sp>
      </xdr:grpSp>
      <xdr:sp macro="" textlink="">
        <xdr:nvSpPr>
          <xdr:cNvPr id="54" name="Rectangle 53"/>
          <xdr:cNvSpPr/>
        </xdr:nvSpPr>
        <xdr:spPr>
          <a:xfrm>
            <a:off x="5762625" y="22412325"/>
            <a:ext cx="1276351" cy="56197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01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Pudding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(Duy Phương</a:t>
            </a:r>
            <a:r>
              <a:rPr lang="en-US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en-US" sz="12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90</xdr:row>
      <xdr:rowOff>4</xdr:rowOff>
    </xdr:from>
    <xdr:to>
      <xdr:col>7</xdr:col>
      <xdr:colOff>419102</xdr:colOff>
      <xdr:row>114</xdr:row>
      <xdr:rowOff>133350</xdr:rowOff>
    </xdr:to>
    <xdr:grpSp>
      <xdr:nvGrpSpPr>
        <xdr:cNvPr id="2" name="Group 1"/>
        <xdr:cNvGrpSpPr/>
      </xdr:nvGrpSpPr>
      <xdr:grpSpPr>
        <a:xfrm>
          <a:off x="2228850" y="18249904"/>
          <a:ext cx="5514977" cy="4933946"/>
          <a:chOff x="3209925" y="18040354"/>
          <a:chExt cx="5514977" cy="4933946"/>
        </a:xfrm>
      </xdr:grpSpPr>
      <xdr:grpSp>
        <xdr:nvGrpSpPr>
          <xdr:cNvPr id="3" name="Group 2"/>
          <xdr:cNvGrpSpPr/>
        </xdr:nvGrpSpPr>
        <xdr:grpSpPr>
          <a:xfrm>
            <a:off x="3209925" y="18040354"/>
            <a:ext cx="5514977" cy="4267195"/>
            <a:chOff x="3248024" y="17049754"/>
            <a:chExt cx="5514977" cy="4267195"/>
          </a:xfrm>
        </xdr:grpSpPr>
        <xdr:grpSp>
          <xdr:nvGrpSpPr>
            <xdr:cNvPr id="5" name="Group 4"/>
            <xdr:cNvGrpSpPr/>
          </xdr:nvGrpSpPr>
          <xdr:grpSpPr>
            <a:xfrm>
              <a:off x="3248024" y="17049754"/>
              <a:ext cx="5514977" cy="4267195"/>
              <a:chOff x="3219449" y="16059155"/>
              <a:chExt cx="5514977" cy="4267195"/>
            </a:xfrm>
          </xdr:grpSpPr>
          <xdr:grpSp>
            <xdr:nvGrpSpPr>
              <xdr:cNvPr id="7" name="Group 6"/>
              <xdr:cNvGrpSpPr/>
            </xdr:nvGrpSpPr>
            <xdr:grpSpPr>
              <a:xfrm>
                <a:off x="3219449" y="16059155"/>
                <a:ext cx="3819526" cy="3705219"/>
                <a:chOff x="2914649" y="16849725"/>
                <a:chExt cx="3819526" cy="3695569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4190999" y="16849725"/>
                  <a:ext cx="1276351" cy="590550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5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01 QLCH</a:t>
                  </a: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(Yến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Qui)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13" name="Straight Connector 12"/>
                <xdr:cNvCxnSpPr>
                  <a:stCxn id="12" idx="2"/>
                </xdr:cNvCxnSpPr>
              </xdr:nvCxnSpPr>
              <xdr:spPr>
                <a:xfrm>
                  <a:off x="4829175" y="17440275"/>
                  <a:ext cx="0" cy="209550"/>
                </a:xfrm>
                <a:prstGeom prst="line">
                  <a:avLst/>
                </a:prstGeom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" name="Straight Connector 13"/>
                <xdr:cNvCxnSpPr/>
              </xdr:nvCxnSpPr>
              <xdr:spPr>
                <a:xfrm>
                  <a:off x="3552825" y="17640300"/>
                  <a:ext cx="2543175" cy="0"/>
                </a:xfrm>
                <a:prstGeom prst="line">
                  <a:avLst/>
                </a:prstGeom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" name="Straight Arrow Connector 14"/>
                <xdr:cNvCxnSpPr/>
              </xdr:nvCxnSpPr>
              <xdr:spPr>
                <a:xfrm>
                  <a:off x="3552825" y="17630775"/>
                  <a:ext cx="0" cy="219075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" name="Straight Arrow Connector 15"/>
                <xdr:cNvCxnSpPr/>
              </xdr:nvCxnSpPr>
              <xdr:spPr>
                <a:xfrm>
                  <a:off x="6096000" y="17630775"/>
                  <a:ext cx="0" cy="219075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7" name="Rectangle 16"/>
                <xdr:cNvSpPr/>
              </xdr:nvSpPr>
              <xdr:spPr>
                <a:xfrm>
                  <a:off x="2914649" y="17859375"/>
                  <a:ext cx="1276351" cy="590550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5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01 Phó</a:t>
                  </a:r>
                  <a:r>
                    <a:rPr lang="en-US" sz="15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QL</a:t>
                  </a:r>
                  <a:endPara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(...................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18" name="Rectangle 17"/>
                <xdr:cNvSpPr/>
              </xdr:nvSpPr>
              <xdr:spPr>
                <a:xfrm>
                  <a:off x="2914649" y="18545175"/>
                  <a:ext cx="1276351" cy="869602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02 Nhân</a:t>
                  </a:r>
                  <a:r>
                    <a:rPr 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viên</a:t>
                  </a:r>
                </a:p>
                <a:p>
                  <a:pPr algn="ctr"/>
                  <a:r>
                    <a:rPr 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Bán hàng FT</a:t>
                  </a:r>
                  <a:endPara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(1. Khánh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Linh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- 2. ....................)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19" name="Rectangle 18"/>
                <xdr:cNvSpPr/>
              </xdr:nvSpPr>
              <xdr:spPr>
                <a:xfrm>
                  <a:off x="2914650" y="19535600"/>
                  <a:ext cx="1276351" cy="1009694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02 Nhân</a:t>
                  </a:r>
                  <a:r>
                    <a:rPr 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viên</a:t>
                  </a:r>
                </a:p>
                <a:p>
                  <a:pPr algn="ctr"/>
                  <a:r>
                    <a:rPr 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Bán hàng PT</a:t>
                  </a:r>
                  <a:endPara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(1. Diệp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Như 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- 2. Phương Quỳnh)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20" name="Rectangle 19"/>
                <xdr:cNvSpPr/>
              </xdr:nvSpPr>
              <xdr:spPr>
                <a:xfrm>
                  <a:off x="5457824" y="17868900"/>
                  <a:ext cx="1276351" cy="590550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5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01 </a:t>
                  </a:r>
                  <a:r>
                    <a:rPr lang="en-US" sz="15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QL Bếp</a:t>
                  </a:r>
                  <a:endPara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(Văn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Thành)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21" name="Rectangle 20"/>
                <xdr:cNvSpPr/>
              </xdr:nvSpPr>
              <xdr:spPr>
                <a:xfrm>
                  <a:off x="5448299" y="18545176"/>
                  <a:ext cx="1276351" cy="518094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01 Mixing</a:t>
                  </a: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</a:t>
                  </a:r>
                  <a:r>
                    <a:rPr lang="en-US" sz="1100" b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Sắp</a:t>
                  </a:r>
                  <a:r>
                    <a:rPr lang="en-US" sz="1100" b="0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xếp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</xdr:grpSp>
          <xdr:cxnSp macro="">
            <xdr:nvCxnSpPr>
              <xdr:cNvPr id="8" name="Straight Arrow Connector 7"/>
              <xdr:cNvCxnSpPr/>
            </xdr:nvCxnSpPr>
            <xdr:spPr>
              <a:xfrm>
                <a:off x="5133975" y="16744950"/>
                <a:ext cx="2305050" cy="0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" name="Rectangle 8"/>
              <xdr:cNvSpPr/>
            </xdr:nvSpPr>
            <xdr:spPr>
              <a:xfrm>
                <a:off x="7458075" y="1644967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KTCH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(.......................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0" name="Rectangle 9"/>
              <xdr:cNvSpPr/>
            </xdr:nvSpPr>
            <xdr:spPr>
              <a:xfrm>
                <a:off x="5743575" y="19050001"/>
                <a:ext cx="1276351" cy="6096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Oven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(Thanh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Tú)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1" name="Rectangle 10"/>
              <xdr:cNvSpPr/>
            </xdr:nvSpPr>
            <xdr:spPr>
              <a:xfrm>
                <a:off x="5762625" y="19764375"/>
                <a:ext cx="1276351" cy="561975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Topping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(Hoàng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Oanh)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6" name="Rectangle 5"/>
            <xdr:cNvSpPr/>
          </xdr:nvSpPr>
          <xdr:spPr>
            <a:xfrm>
              <a:off x="5772150" y="19383375"/>
              <a:ext cx="1276351" cy="542925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 Table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</a:t>
              </a:r>
              <a:r>
                <a:rPr lang="en-US" sz="1200" b="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Sắp</a:t>
              </a:r>
              <a:r>
                <a:rPr lang="en-US" sz="1200" b="0" baseline="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xếp</a:t>
              </a:r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).</a:t>
              </a:r>
            </a:p>
          </xdr:txBody>
        </xdr:sp>
      </xdr:grpSp>
      <xdr:sp macro="" textlink="">
        <xdr:nvSpPr>
          <xdr:cNvPr id="4" name="Rectangle 3"/>
          <xdr:cNvSpPr/>
        </xdr:nvSpPr>
        <xdr:spPr>
          <a:xfrm>
            <a:off x="5762625" y="22412325"/>
            <a:ext cx="1276351" cy="56197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01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Dry Cake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(Thị</a:t>
            </a:r>
            <a:r>
              <a:rPr lang="en-US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Quỳnh)</a:t>
            </a:r>
            <a:endParaRPr lang="en-US" sz="12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64</xdr:row>
      <xdr:rowOff>0</xdr:rowOff>
    </xdr:from>
    <xdr:to>
      <xdr:col>8</xdr:col>
      <xdr:colOff>628652</xdr:colOff>
      <xdr:row>85</xdr:row>
      <xdr:rowOff>66670</xdr:rowOff>
    </xdr:to>
    <xdr:grpSp>
      <xdr:nvGrpSpPr>
        <xdr:cNvPr id="3" name="Group 2"/>
        <xdr:cNvGrpSpPr/>
      </xdr:nvGrpSpPr>
      <xdr:grpSpPr>
        <a:xfrm>
          <a:off x="2247900" y="13049250"/>
          <a:ext cx="5514977" cy="4267195"/>
          <a:chOff x="3248024" y="17049754"/>
          <a:chExt cx="5514977" cy="4267195"/>
        </a:xfrm>
      </xdr:grpSpPr>
      <xdr:grpSp>
        <xdr:nvGrpSpPr>
          <xdr:cNvPr id="5" name="Group 4"/>
          <xdr:cNvGrpSpPr/>
        </xdr:nvGrpSpPr>
        <xdr:grpSpPr>
          <a:xfrm>
            <a:off x="3248024" y="17049754"/>
            <a:ext cx="5514977" cy="4267195"/>
            <a:chOff x="3219449" y="16059155"/>
            <a:chExt cx="5514977" cy="4267195"/>
          </a:xfrm>
        </xdr:grpSpPr>
        <xdr:grpSp>
          <xdr:nvGrpSpPr>
            <xdr:cNvPr id="7" name="Group 6"/>
            <xdr:cNvGrpSpPr/>
          </xdr:nvGrpSpPr>
          <xdr:grpSpPr>
            <a:xfrm>
              <a:off x="3219449" y="16059155"/>
              <a:ext cx="3819526" cy="3705219"/>
              <a:chOff x="2914649" y="16849725"/>
              <a:chExt cx="3819526" cy="3695569"/>
            </a:xfrm>
          </xdr:grpSpPr>
          <xdr:sp macro="" textlink="">
            <xdr:nvSpPr>
              <xdr:cNvPr id="12" name="Rectangle 11"/>
              <xdr:cNvSpPr/>
            </xdr:nvSpPr>
            <xdr:spPr>
              <a:xfrm>
                <a:off x="4190999" y="1684972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QLCH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(Ngọ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 Trúc)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13" name="Straight Connector 12"/>
              <xdr:cNvCxnSpPr>
                <a:stCxn id="12" idx="2"/>
              </xdr:cNvCxnSpPr>
            </xdr:nvCxnSpPr>
            <xdr:spPr>
              <a:xfrm>
                <a:off x="4829175" y="17440275"/>
                <a:ext cx="0" cy="20955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4" name="Straight Connector 13"/>
              <xdr:cNvCxnSpPr/>
            </xdr:nvCxnSpPr>
            <xdr:spPr>
              <a:xfrm>
                <a:off x="3552825" y="17640300"/>
                <a:ext cx="2543175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5" name="Straight Arrow Connector 14"/>
              <xdr:cNvCxnSpPr/>
            </xdr:nvCxnSpPr>
            <xdr:spPr>
              <a:xfrm>
                <a:off x="3552825" y="17630775"/>
                <a:ext cx="0" cy="21907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Straight Arrow Connector 15"/>
              <xdr:cNvCxnSpPr/>
            </xdr:nvCxnSpPr>
            <xdr:spPr>
              <a:xfrm>
                <a:off x="6096000" y="17630775"/>
                <a:ext cx="0" cy="21907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>
                <a:off x="2914649" y="1785937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Phó</a:t>
                </a:r>
                <a:r>
                  <a:rPr lang="en-US" sz="15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QL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(...................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8" name="Rectangle 17"/>
              <xdr:cNvSpPr/>
            </xdr:nvSpPr>
            <xdr:spPr>
              <a:xfrm>
                <a:off x="2914649" y="18545175"/>
                <a:ext cx="1276351" cy="869602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02 Nhân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viên</a:t>
                </a:r>
              </a:p>
              <a:p>
                <a:pPr algn="ctr"/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Bán hàng FT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(1. Bình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Nguyên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- 2. ....................)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9" name="Rectangle 18"/>
              <xdr:cNvSpPr/>
            </xdr:nvSpPr>
            <xdr:spPr>
              <a:xfrm>
                <a:off x="2914650" y="19535600"/>
                <a:ext cx="1276351" cy="100969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02 Nhân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viên</a:t>
                </a:r>
              </a:p>
              <a:p>
                <a:pPr algn="ctr"/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Bán hàng PT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(1. Thiên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Kim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- 2. Minh Thư)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20" name="Rectangle 19"/>
              <xdr:cNvSpPr/>
            </xdr:nvSpPr>
            <xdr:spPr>
              <a:xfrm>
                <a:off x="5457824" y="17868900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</a:t>
                </a:r>
                <a:r>
                  <a:rPr lang="en-US" sz="15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QL Bếp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(Hoài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Bảo)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21" name="Rectangle 20"/>
              <xdr:cNvSpPr/>
            </xdr:nvSpPr>
            <xdr:spPr>
              <a:xfrm>
                <a:off x="5448299" y="18545176"/>
                <a:ext cx="1276351" cy="51809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Mixing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US" sz="1100" b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Thiên</a:t>
                </a:r>
                <a:r>
                  <a:rPr lang="en-US" sz="1100" b="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 Ngân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cxnSp macro="">
          <xdr:nvCxnSpPr>
            <xdr:cNvPr id="8" name="Straight Arrow Connector 7"/>
            <xdr:cNvCxnSpPr/>
          </xdr:nvCxnSpPr>
          <xdr:spPr>
            <a:xfrm>
              <a:off x="5133975" y="16744950"/>
              <a:ext cx="2305050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9" name="Rectangle 8"/>
            <xdr:cNvSpPr/>
          </xdr:nvSpPr>
          <xdr:spPr>
            <a:xfrm>
              <a:off x="7458075" y="16449675"/>
              <a:ext cx="1276351" cy="59055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 KTCH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(Thanh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Mỹ)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Rectangle 9"/>
            <xdr:cNvSpPr/>
          </xdr:nvSpPr>
          <xdr:spPr>
            <a:xfrm>
              <a:off x="5743575" y="19050001"/>
              <a:ext cx="1276351" cy="60960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Oven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</a:t>
              </a:r>
              <a:r>
                <a:rPr lang="en-US" sz="1200" b="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Sắp</a:t>
              </a:r>
              <a:r>
                <a:rPr lang="en-US" sz="1200" b="0" baseline="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xếp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1" name="Rectangle 10"/>
            <xdr:cNvSpPr/>
          </xdr:nvSpPr>
          <xdr:spPr>
            <a:xfrm>
              <a:off x="5762625" y="19764375"/>
              <a:ext cx="1276351" cy="561975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Topping</a:t>
              </a:r>
              <a:endParaRPr lang="en-US" sz="12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(Hà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Mi)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6" name="Rectangle 5"/>
          <xdr:cNvSpPr/>
        </xdr:nvSpPr>
        <xdr:spPr>
          <a:xfrm>
            <a:off x="5772150" y="19383375"/>
            <a:ext cx="1276351" cy="54292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01 Table</a:t>
            </a:r>
          </a:p>
          <a:p>
            <a:pPr algn="ctr"/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sz="1200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Thiên</a:t>
            </a:r>
            <a:r>
              <a:rPr lang="en-US" sz="1200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Ngọc</a:t>
            </a:r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).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82</xdr:row>
      <xdr:rowOff>200024</xdr:rowOff>
    </xdr:from>
    <xdr:to>
      <xdr:col>7</xdr:col>
      <xdr:colOff>352427</xdr:colOff>
      <xdr:row>108</xdr:row>
      <xdr:rowOff>38100</xdr:rowOff>
    </xdr:to>
    <xdr:grpSp>
      <xdr:nvGrpSpPr>
        <xdr:cNvPr id="2" name="Group 1"/>
        <xdr:cNvGrpSpPr/>
      </xdr:nvGrpSpPr>
      <xdr:grpSpPr>
        <a:xfrm>
          <a:off x="1590675" y="16849724"/>
          <a:ext cx="5514977" cy="5038726"/>
          <a:chOff x="3248024" y="17049753"/>
          <a:chExt cx="5514977" cy="5038726"/>
        </a:xfrm>
      </xdr:grpSpPr>
      <xdr:grpSp>
        <xdr:nvGrpSpPr>
          <xdr:cNvPr id="3" name="Group 2"/>
          <xdr:cNvGrpSpPr/>
        </xdr:nvGrpSpPr>
        <xdr:grpSpPr>
          <a:xfrm>
            <a:off x="3248024" y="17049753"/>
            <a:ext cx="5514977" cy="5038726"/>
            <a:chOff x="3219449" y="16059154"/>
            <a:chExt cx="5514977" cy="5038726"/>
          </a:xfrm>
        </xdr:grpSpPr>
        <xdr:grpSp>
          <xdr:nvGrpSpPr>
            <xdr:cNvPr id="5" name="Group 4"/>
            <xdr:cNvGrpSpPr/>
          </xdr:nvGrpSpPr>
          <xdr:grpSpPr>
            <a:xfrm>
              <a:off x="3219449" y="16059154"/>
              <a:ext cx="3838576" cy="4210049"/>
              <a:chOff x="2914649" y="16849725"/>
              <a:chExt cx="3838576" cy="4199084"/>
            </a:xfrm>
          </xdr:grpSpPr>
          <xdr:sp macro="" textlink="">
            <xdr:nvSpPr>
              <xdr:cNvPr id="10" name="Rectangle 9"/>
              <xdr:cNvSpPr/>
            </xdr:nvSpPr>
            <xdr:spPr>
              <a:xfrm>
                <a:off x="4190999" y="1684972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QLCH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(Mỹ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Nhân)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11" name="Straight Connector 10"/>
              <xdr:cNvCxnSpPr>
                <a:stCxn id="10" idx="2"/>
              </xdr:cNvCxnSpPr>
            </xdr:nvCxnSpPr>
            <xdr:spPr>
              <a:xfrm>
                <a:off x="4829175" y="17440275"/>
                <a:ext cx="0" cy="20955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Straight Connector 11"/>
              <xdr:cNvCxnSpPr/>
            </xdr:nvCxnSpPr>
            <xdr:spPr>
              <a:xfrm>
                <a:off x="3552825" y="17640300"/>
                <a:ext cx="2543175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3" name="Straight Arrow Connector 12"/>
              <xdr:cNvCxnSpPr/>
            </xdr:nvCxnSpPr>
            <xdr:spPr>
              <a:xfrm>
                <a:off x="3552825" y="17630775"/>
                <a:ext cx="0" cy="21907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4" name="Straight Arrow Connector 13"/>
              <xdr:cNvCxnSpPr/>
            </xdr:nvCxnSpPr>
            <xdr:spPr>
              <a:xfrm>
                <a:off x="6096000" y="17630775"/>
                <a:ext cx="0" cy="21907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>
                <a:off x="2914649" y="1785937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Phó</a:t>
                </a:r>
                <a:r>
                  <a:rPr lang="en-US" sz="15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QL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(Kim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Hường)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6" name="Rectangle 15"/>
              <xdr:cNvSpPr/>
            </xdr:nvSpPr>
            <xdr:spPr>
              <a:xfrm>
                <a:off x="2914649" y="18545176"/>
                <a:ext cx="1276351" cy="138261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05 Nhân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viên</a:t>
                </a:r>
              </a:p>
              <a:p>
                <a:pPr algn="ctr"/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Bán hàng FT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(1. Nhã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Kỳ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- 2. </a:t>
                </a:r>
                <a:r>
                  <a:rPr lang="en-US" sz="1200" b="0" baseline="0">
                    <a:solidFill>
                      <a:srgbClr val="FF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Mỹ Hiền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- 3. Thu Trang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- 4. Phương Thảo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- 5. Kim Phụng)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7" name="Rectangle 16"/>
              <xdr:cNvSpPr/>
            </xdr:nvSpPr>
            <xdr:spPr>
              <a:xfrm>
                <a:off x="2914650" y="20039110"/>
                <a:ext cx="1276351" cy="1009699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03 Nhân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viên</a:t>
                </a:r>
              </a:p>
              <a:p>
                <a:pPr algn="ctr"/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Bán hàng PT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(1. Tiểu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My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- 2. Thảo Vy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- 3. Ngọc Quý)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8" name="Rectangle 17"/>
              <xdr:cNvSpPr/>
            </xdr:nvSpPr>
            <xdr:spPr>
              <a:xfrm>
                <a:off x="5457824" y="17868900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</a:t>
                </a:r>
                <a:r>
                  <a:rPr lang="en-US" sz="15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QL Bếp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(Văn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Tuyền)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9" name="Rectangle 18"/>
              <xdr:cNvSpPr/>
            </xdr:nvSpPr>
            <xdr:spPr>
              <a:xfrm>
                <a:off x="5476874" y="18583176"/>
                <a:ext cx="1276351" cy="727099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02 Mixing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(1. </a:t>
                </a:r>
                <a:r>
                  <a:rPr lang="en-US" sz="1100" b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Phương</a:t>
                </a:r>
                <a:r>
                  <a:rPr lang="en-US" sz="1100" b="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 Oanh</a:t>
                </a:r>
              </a:p>
              <a:p>
                <a:pPr algn="ctr"/>
                <a:r>
                  <a:rPr lang="en-US" sz="1100" b="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2. Table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cxnSp macro="">
          <xdr:nvCxnSpPr>
            <xdr:cNvPr id="6" name="Straight Arrow Connector 5"/>
            <xdr:cNvCxnSpPr/>
          </xdr:nvCxnSpPr>
          <xdr:spPr>
            <a:xfrm>
              <a:off x="5133975" y="16744950"/>
              <a:ext cx="2305050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" name="Rectangle 6"/>
            <xdr:cNvSpPr/>
          </xdr:nvSpPr>
          <xdr:spPr>
            <a:xfrm>
              <a:off x="7458075" y="16449675"/>
              <a:ext cx="1276351" cy="59055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 KTCH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(......................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Rectangle 7"/>
            <xdr:cNvSpPr/>
          </xdr:nvSpPr>
          <xdr:spPr>
            <a:xfrm>
              <a:off x="5781675" y="19545301"/>
              <a:ext cx="1276351" cy="704854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02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Oven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(1. </a:t>
              </a:r>
              <a:r>
                <a:rPr 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Văn</a:t>
              </a:r>
              <a:r>
                <a:rPr lang="en-US" sz="1200" b="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Sâm</a:t>
              </a:r>
            </a:p>
            <a:p>
              <a:pPr algn="ctr"/>
              <a:r>
                <a:rPr lang="en-US" sz="1200" b="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2. Duy Long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Rectangle 8"/>
            <xdr:cNvSpPr/>
          </xdr:nvSpPr>
          <xdr:spPr>
            <a:xfrm>
              <a:off x="5781675" y="20364450"/>
              <a:ext cx="1276351" cy="73343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02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Topping</a:t>
              </a:r>
              <a:endParaRPr lang="en-US" sz="12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(1. Phương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Thảo</a:t>
              </a:r>
            </a:p>
            <a:p>
              <a:pPr algn="ctr"/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2. Mỹ Trinh)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" name="Rectangle 3"/>
          <xdr:cNvSpPr/>
        </xdr:nvSpPr>
        <xdr:spPr>
          <a:xfrm>
            <a:off x="5810250" y="19611974"/>
            <a:ext cx="1276351" cy="847729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03 Table</a:t>
            </a:r>
          </a:p>
          <a:p>
            <a:pPr algn="ctr"/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sz="1200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1. </a:t>
            </a:r>
            <a:r>
              <a:rPr lang="en-US" sz="1200" b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Tuấn</a:t>
            </a:r>
            <a:r>
              <a:rPr lang="en-US" sz="1200" b="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Anh</a:t>
            </a:r>
          </a:p>
          <a:p>
            <a:pPr algn="ctr"/>
            <a:r>
              <a:rPr lang="en-US" sz="1200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2. Thu Trang</a:t>
            </a:r>
          </a:p>
          <a:p>
            <a:pPr algn="ctr"/>
            <a:r>
              <a:rPr lang="en-US" sz="1200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3. Mixing</a:t>
            </a:r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).</a:t>
            </a:r>
          </a:p>
        </xdr:txBody>
      </xdr:sp>
    </xdr:grpSp>
    <xdr:clientData/>
  </xdr:twoCellAnchor>
  <xdr:twoCellAnchor>
    <xdr:from>
      <xdr:col>5</xdr:col>
      <xdr:colOff>657226</xdr:colOff>
      <xdr:row>96</xdr:row>
      <xdr:rowOff>142875</xdr:rowOff>
    </xdr:from>
    <xdr:to>
      <xdr:col>7</xdr:col>
      <xdr:colOff>476250</xdr:colOff>
      <xdr:row>99</xdr:row>
      <xdr:rowOff>0</xdr:rowOff>
    </xdr:to>
    <xdr:sp macro="" textlink="">
      <xdr:nvSpPr>
        <xdr:cNvPr id="21" name="Left Arrow Callout 20"/>
        <xdr:cNvSpPr/>
      </xdr:nvSpPr>
      <xdr:spPr>
        <a:xfrm>
          <a:off x="5448301" y="19592925"/>
          <a:ext cx="1781174" cy="457200"/>
        </a:xfrm>
        <a:prstGeom prst="leftArrowCallout">
          <a:avLst>
            <a:gd name="adj1" fmla="val 25000"/>
            <a:gd name="adj2" fmla="val 25000"/>
            <a:gd name="adj3" fmla="val 25000"/>
            <a:gd name="adj4" fmla="val 74403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Điều</a:t>
          </a:r>
          <a:r>
            <a:rPr lang="en-US" sz="1100" b="1" baseline="0"/>
            <a:t> chuyển Tuấn Anh về Bình Tân</a:t>
          </a:r>
          <a:endParaRPr lang="en-US" sz="1100" b="1"/>
        </a:p>
      </xdr:txBody>
    </xdr:sp>
    <xdr:clientData/>
  </xdr:twoCellAnchor>
  <xdr:twoCellAnchor>
    <xdr:from>
      <xdr:col>0</xdr:col>
      <xdr:colOff>95250</xdr:colOff>
      <xdr:row>93</xdr:row>
      <xdr:rowOff>85725</xdr:rowOff>
    </xdr:from>
    <xdr:to>
      <xdr:col>0</xdr:col>
      <xdr:colOff>1571625</xdr:colOff>
      <xdr:row>96</xdr:row>
      <xdr:rowOff>133350</xdr:rowOff>
    </xdr:to>
    <xdr:sp macro="" textlink="">
      <xdr:nvSpPr>
        <xdr:cNvPr id="22" name="Right Arrow Callout 21"/>
        <xdr:cNvSpPr/>
      </xdr:nvSpPr>
      <xdr:spPr>
        <a:xfrm>
          <a:off x="95250" y="18935700"/>
          <a:ext cx="1476375" cy="647700"/>
        </a:xfrm>
        <a:prstGeom prst="rightArrowCallou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Điều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chuyển Mỹ Hiền về SG Centre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116</xdr:row>
      <xdr:rowOff>1</xdr:rowOff>
    </xdr:from>
    <xdr:to>
      <xdr:col>11</xdr:col>
      <xdr:colOff>304802</xdr:colOff>
      <xdr:row>141</xdr:row>
      <xdr:rowOff>38102</xdr:rowOff>
    </xdr:to>
    <xdr:grpSp>
      <xdr:nvGrpSpPr>
        <xdr:cNvPr id="22" name="Group 21"/>
        <xdr:cNvGrpSpPr/>
      </xdr:nvGrpSpPr>
      <xdr:grpSpPr>
        <a:xfrm>
          <a:off x="3219450" y="23450551"/>
          <a:ext cx="7277102" cy="5038726"/>
          <a:chOff x="2247900" y="21059775"/>
          <a:chExt cx="7277102" cy="5038726"/>
        </a:xfrm>
      </xdr:grpSpPr>
      <xdr:grpSp>
        <xdr:nvGrpSpPr>
          <xdr:cNvPr id="23" name="Group 22"/>
          <xdr:cNvGrpSpPr/>
        </xdr:nvGrpSpPr>
        <xdr:grpSpPr>
          <a:xfrm>
            <a:off x="3752851" y="21059775"/>
            <a:ext cx="5772151" cy="5038726"/>
            <a:chOff x="3229763" y="17049753"/>
            <a:chExt cx="5533238" cy="5038726"/>
          </a:xfrm>
        </xdr:grpSpPr>
        <xdr:grpSp>
          <xdr:nvGrpSpPr>
            <xdr:cNvPr id="26" name="Group 25"/>
            <xdr:cNvGrpSpPr/>
          </xdr:nvGrpSpPr>
          <xdr:grpSpPr>
            <a:xfrm>
              <a:off x="3229763" y="17049753"/>
              <a:ext cx="5533238" cy="5038726"/>
              <a:chOff x="3201188" y="16059154"/>
              <a:chExt cx="5533238" cy="5038726"/>
            </a:xfrm>
          </xdr:grpSpPr>
          <xdr:grpSp>
            <xdr:nvGrpSpPr>
              <xdr:cNvPr id="28" name="Group 27"/>
              <xdr:cNvGrpSpPr/>
            </xdr:nvGrpSpPr>
            <xdr:grpSpPr>
              <a:xfrm>
                <a:off x="3201188" y="16059154"/>
                <a:ext cx="3856837" cy="4848227"/>
                <a:chOff x="2896388" y="16849725"/>
                <a:chExt cx="3856837" cy="4835600"/>
              </a:xfrm>
            </xdr:grpSpPr>
            <xdr:sp macro="" textlink="">
              <xdr:nvSpPr>
                <xdr:cNvPr id="33" name="Rectangle 32"/>
                <xdr:cNvSpPr/>
              </xdr:nvSpPr>
              <xdr:spPr>
                <a:xfrm>
                  <a:off x="4190999" y="16849725"/>
                  <a:ext cx="1276351" cy="590550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5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01 QLCH</a:t>
                  </a: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(Kim Xuyên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34" name="Straight Connector 33"/>
                <xdr:cNvCxnSpPr>
                  <a:stCxn id="33" idx="2"/>
                </xdr:cNvCxnSpPr>
              </xdr:nvCxnSpPr>
              <xdr:spPr>
                <a:xfrm>
                  <a:off x="4829175" y="17440275"/>
                  <a:ext cx="0" cy="209550"/>
                </a:xfrm>
                <a:prstGeom prst="line">
                  <a:avLst/>
                </a:prstGeom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5" name="Straight Connector 34"/>
                <xdr:cNvCxnSpPr/>
              </xdr:nvCxnSpPr>
              <xdr:spPr>
                <a:xfrm>
                  <a:off x="3552825" y="17640300"/>
                  <a:ext cx="2543175" cy="0"/>
                </a:xfrm>
                <a:prstGeom prst="line">
                  <a:avLst/>
                </a:prstGeom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6" name="Straight Arrow Connector 35"/>
                <xdr:cNvCxnSpPr/>
              </xdr:nvCxnSpPr>
              <xdr:spPr>
                <a:xfrm>
                  <a:off x="3552825" y="17630775"/>
                  <a:ext cx="0" cy="219075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7" name="Straight Arrow Connector 36"/>
                <xdr:cNvCxnSpPr/>
              </xdr:nvCxnSpPr>
              <xdr:spPr>
                <a:xfrm>
                  <a:off x="6096000" y="17630775"/>
                  <a:ext cx="0" cy="219075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8" name="Rectangle 37"/>
                <xdr:cNvSpPr/>
              </xdr:nvSpPr>
              <xdr:spPr>
                <a:xfrm>
                  <a:off x="2914649" y="17859375"/>
                  <a:ext cx="1276351" cy="590550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5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01 Phó</a:t>
                  </a:r>
                  <a:r>
                    <a:rPr lang="en-US" sz="15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QL</a:t>
                  </a:r>
                  <a:endPara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(.......................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39" name="Rectangle 38"/>
                <xdr:cNvSpPr/>
              </xdr:nvSpPr>
              <xdr:spPr>
                <a:xfrm>
                  <a:off x="2914649" y="18545176"/>
                  <a:ext cx="1276351" cy="1183107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04 Nhân</a:t>
                  </a:r>
                  <a:r>
                    <a:rPr 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viên</a:t>
                  </a:r>
                </a:p>
                <a:p>
                  <a:pPr algn="ctr"/>
                  <a:r>
                    <a:rPr 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Bán hàng FT</a:t>
                  </a:r>
                  <a:endPara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(1. Mỹ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Linh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- 2. Mỹ Duyên</a:t>
                  </a:r>
                  <a:endParaRPr lang="en-US" sz="1200" b="0" baseline="0">
                    <a:solidFill>
                      <a:srgbClr val="FF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- 3. ..................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- 4. ..................)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40" name="Rectangle 39"/>
                <xdr:cNvSpPr/>
              </xdr:nvSpPr>
              <xdr:spPr>
                <a:xfrm>
                  <a:off x="2896388" y="19934607"/>
                  <a:ext cx="1276351" cy="1750718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07 Nhân</a:t>
                  </a:r>
                  <a:r>
                    <a:rPr 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viên</a:t>
                  </a:r>
                </a:p>
                <a:p>
                  <a:pPr algn="ctr"/>
                  <a:r>
                    <a:rPr 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Bán hàng PT</a:t>
                  </a:r>
                  <a:endPara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(1. Kim Tuyền</a:t>
                  </a:r>
                  <a:endPara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- 2. Ngọc Huy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- 3. Ngọc Trân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- 4. Hải Châu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- 5. Trí Thanh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-6. .....................</a:t>
                  </a:r>
                </a:p>
                <a:p>
                  <a:pPr algn="ctr"/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-7. ......................)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41" name="Rectangle 40"/>
                <xdr:cNvSpPr/>
              </xdr:nvSpPr>
              <xdr:spPr>
                <a:xfrm>
                  <a:off x="5457824" y="17868900"/>
                  <a:ext cx="1276351" cy="590550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5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01 </a:t>
                  </a:r>
                  <a:r>
                    <a:rPr lang="en-US" sz="15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QL Bếp</a:t>
                  </a:r>
                  <a:endPara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(......................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42" name="Rectangle 41"/>
                <xdr:cNvSpPr/>
              </xdr:nvSpPr>
              <xdr:spPr>
                <a:xfrm>
                  <a:off x="5476874" y="18583176"/>
                  <a:ext cx="1276351" cy="727099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01 Mixing</a:t>
                  </a:r>
                </a:p>
                <a:p>
                  <a:pPr algn="ctr"/>
                  <a:r>
                    <a:rPr lang="en-US" sz="1200" b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(1. </a:t>
                  </a:r>
                  <a:r>
                    <a:rPr lang="en-US" sz="1100" b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Hữu</a:t>
                  </a:r>
                  <a:r>
                    <a:rPr lang="en-US" sz="1100" b="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Vinh/ Table</a:t>
                  </a:r>
                  <a:r>
                    <a:rPr lang="en-US" sz="1200" b="0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)</a:t>
                  </a:r>
                  <a:endPara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</xdr:grpSp>
          <xdr:cxnSp macro="">
            <xdr:nvCxnSpPr>
              <xdr:cNvPr id="29" name="Straight Arrow Connector 28"/>
              <xdr:cNvCxnSpPr/>
            </xdr:nvCxnSpPr>
            <xdr:spPr>
              <a:xfrm>
                <a:off x="5133975" y="16744950"/>
                <a:ext cx="2305050" cy="0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0" name="Rectangle 29"/>
              <xdr:cNvSpPr/>
            </xdr:nvSpPr>
            <xdr:spPr>
              <a:xfrm>
                <a:off x="7458075" y="1644967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KTCH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(Phượng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Hằng)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31" name="Rectangle 30"/>
              <xdr:cNvSpPr/>
            </xdr:nvSpPr>
            <xdr:spPr>
              <a:xfrm>
                <a:off x="5781675" y="19545301"/>
                <a:ext cx="1276351" cy="70485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Oven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(1. </a:t>
                </a:r>
                <a:r>
                  <a:rPr lang="en-US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Trung Hiếu/</a:t>
                </a:r>
                <a:r>
                  <a:rPr lang="en-US" sz="12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Table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32" name="Rectangle 31"/>
              <xdr:cNvSpPr/>
            </xdr:nvSpPr>
            <xdr:spPr>
              <a:xfrm>
                <a:off x="5781675" y="20364450"/>
                <a:ext cx="1276351" cy="73343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02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Topping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(1. Yến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Ngọc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2. Thúy Kiều)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27" name="Rectangle 26"/>
            <xdr:cNvSpPr/>
          </xdr:nvSpPr>
          <xdr:spPr>
            <a:xfrm>
              <a:off x="5810250" y="19611974"/>
              <a:ext cx="1276351" cy="819154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02 Table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</a:t>
              </a:r>
              <a:r>
                <a:rPr 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1. Văn</a:t>
              </a:r>
              <a:r>
                <a:rPr lang="en-US" sz="1200" b="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Cường/ Topping</a:t>
              </a:r>
            </a:p>
            <a:p>
              <a:pPr algn="ctr"/>
              <a:r>
                <a:rPr lang="en-US" sz="1200" b="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2. Hoàng Phi</a:t>
              </a:r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).</a:t>
              </a:r>
            </a:p>
          </xdr:txBody>
        </xdr:sp>
      </xdr:grpSp>
      <xdr:sp macro="" textlink="">
        <xdr:nvSpPr>
          <xdr:cNvPr id="24" name="Right Arrow Callout 23"/>
          <xdr:cNvSpPr/>
        </xdr:nvSpPr>
        <xdr:spPr>
          <a:xfrm>
            <a:off x="2247900" y="22126576"/>
            <a:ext cx="1495425" cy="457199"/>
          </a:xfrm>
          <a:prstGeom prst="rightArrowCallou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Minh</a:t>
            </a:r>
            <a:r>
              <a:rPr lang="en-US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Nguyên - Trưởng ca</a:t>
            </a:r>
            <a:endParaRPr lang="en-US">
              <a:effectLst/>
            </a:endParaRPr>
          </a:p>
          <a:p>
            <a:pPr algn="l"/>
            <a:endParaRPr lang="en-US" sz="1100"/>
          </a:p>
        </xdr:txBody>
      </xdr:sp>
      <xdr:sp macro="" textlink="">
        <xdr:nvSpPr>
          <xdr:cNvPr id="25" name="Left Arrow Callout 24"/>
          <xdr:cNvSpPr/>
        </xdr:nvSpPr>
        <xdr:spPr>
          <a:xfrm>
            <a:off x="7743826" y="22126576"/>
            <a:ext cx="1333499" cy="457200"/>
          </a:xfrm>
          <a:prstGeom prst="leftArrowCallout">
            <a:avLst>
              <a:gd name="adj1" fmla="val 25000"/>
              <a:gd name="adj2" fmla="val 25000"/>
              <a:gd name="adj3" fmla="val 25000"/>
              <a:gd name="adj4" fmla="val 74403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baseline="0"/>
              <a:t>Phước Trí - TT TC</a:t>
            </a:r>
            <a:endParaRPr lang="en-US" sz="11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103</xdr:row>
      <xdr:rowOff>2</xdr:rowOff>
    </xdr:from>
    <xdr:to>
      <xdr:col>8</xdr:col>
      <xdr:colOff>38102</xdr:colOff>
      <xdr:row>128</xdr:row>
      <xdr:rowOff>38101</xdr:rowOff>
    </xdr:to>
    <xdr:grpSp>
      <xdr:nvGrpSpPr>
        <xdr:cNvPr id="2" name="Group 1"/>
        <xdr:cNvGrpSpPr/>
      </xdr:nvGrpSpPr>
      <xdr:grpSpPr>
        <a:xfrm>
          <a:off x="1771650" y="20726402"/>
          <a:ext cx="5514977" cy="5038724"/>
          <a:chOff x="3248024" y="17049755"/>
          <a:chExt cx="5514977" cy="5038724"/>
        </a:xfrm>
      </xdr:grpSpPr>
      <xdr:grpSp>
        <xdr:nvGrpSpPr>
          <xdr:cNvPr id="3" name="Group 2"/>
          <xdr:cNvGrpSpPr/>
        </xdr:nvGrpSpPr>
        <xdr:grpSpPr>
          <a:xfrm>
            <a:off x="3248024" y="17049755"/>
            <a:ext cx="5514977" cy="5038724"/>
            <a:chOff x="3219449" y="16059156"/>
            <a:chExt cx="5514977" cy="5038724"/>
          </a:xfrm>
        </xdr:grpSpPr>
        <xdr:grpSp>
          <xdr:nvGrpSpPr>
            <xdr:cNvPr id="5" name="Group 4"/>
            <xdr:cNvGrpSpPr/>
          </xdr:nvGrpSpPr>
          <xdr:grpSpPr>
            <a:xfrm>
              <a:off x="3219449" y="16059156"/>
              <a:ext cx="3838576" cy="3695700"/>
              <a:chOff x="2914649" y="16849725"/>
              <a:chExt cx="3838576" cy="3686074"/>
            </a:xfrm>
          </xdr:grpSpPr>
          <xdr:sp macro="" textlink="">
            <xdr:nvSpPr>
              <xdr:cNvPr id="10" name="Rectangle 9"/>
              <xdr:cNvSpPr/>
            </xdr:nvSpPr>
            <xdr:spPr>
              <a:xfrm>
                <a:off x="4190999" y="1684972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QLCH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(Thị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Vinh)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11" name="Straight Connector 10"/>
              <xdr:cNvCxnSpPr>
                <a:stCxn id="10" idx="2"/>
              </xdr:cNvCxnSpPr>
            </xdr:nvCxnSpPr>
            <xdr:spPr>
              <a:xfrm>
                <a:off x="4829175" y="17440275"/>
                <a:ext cx="0" cy="20955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Straight Connector 11"/>
              <xdr:cNvCxnSpPr/>
            </xdr:nvCxnSpPr>
            <xdr:spPr>
              <a:xfrm>
                <a:off x="3552825" y="17640300"/>
                <a:ext cx="2543175" cy="0"/>
              </a:xfrm>
              <a:prstGeom prst="line">
                <a:avLst/>
              </a:prstGeom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3" name="Straight Arrow Connector 12"/>
              <xdr:cNvCxnSpPr/>
            </xdr:nvCxnSpPr>
            <xdr:spPr>
              <a:xfrm>
                <a:off x="3552825" y="17630775"/>
                <a:ext cx="0" cy="21907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4" name="Straight Arrow Connector 13"/>
              <xdr:cNvCxnSpPr/>
            </xdr:nvCxnSpPr>
            <xdr:spPr>
              <a:xfrm>
                <a:off x="6096000" y="17630775"/>
                <a:ext cx="0" cy="21907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>
                <a:off x="2914649" y="17859375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Phó</a:t>
                </a:r>
                <a:r>
                  <a:rPr lang="en-US" sz="15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QL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(.......................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6" name="Rectangle 15"/>
              <xdr:cNvSpPr/>
            </xdr:nvSpPr>
            <xdr:spPr>
              <a:xfrm>
                <a:off x="2914649" y="18545176"/>
                <a:ext cx="1276351" cy="1202108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04 Nhân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viên</a:t>
                </a:r>
              </a:p>
              <a:p>
                <a:pPr algn="ctr"/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Bán hàng FT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(1. Xuân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Trang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- 2. Bích Thắm</a:t>
                </a:r>
                <a:endParaRPr lang="en-US" sz="1200" b="0" baseline="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- 3. Thái Nguyên</a:t>
                </a:r>
              </a:p>
              <a:p>
                <a:pPr algn="ctr"/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- 4. .....................)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7" name="Rectangle 16"/>
              <xdr:cNvSpPr/>
            </xdr:nvSpPr>
            <xdr:spPr>
              <a:xfrm>
                <a:off x="2924175" y="19858606"/>
                <a:ext cx="1276351" cy="677193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Bán hàng PT cuối tuần/ lễ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(...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......................)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8" name="Rectangle 17"/>
              <xdr:cNvSpPr/>
            </xdr:nvSpPr>
            <xdr:spPr>
              <a:xfrm>
                <a:off x="5457824" y="17868900"/>
                <a:ext cx="1276351" cy="59055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01 </a:t>
                </a:r>
                <a:r>
                  <a:rPr lang="en-US" sz="15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QL Bếp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(.....................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9" name="Rectangle 18"/>
              <xdr:cNvSpPr/>
            </xdr:nvSpPr>
            <xdr:spPr>
              <a:xfrm>
                <a:off x="5476874" y="18583176"/>
                <a:ext cx="1276351" cy="727099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 Mixing</a:t>
                </a:r>
              </a:p>
              <a:p>
                <a:pPr algn="ctr"/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(1. </a:t>
                </a:r>
                <a:r>
                  <a:rPr lang="en-US" sz="1100" b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Như</a:t>
                </a:r>
                <a:r>
                  <a:rPr lang="en-US" sz="1100" b="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 Ý</a:t>
                </a:r>
              </a:p>
              <a:p>
                <a:pPr algn="ctr"/>
                <a:r>
                  <a:rPr lang="en-US" sz="1100" b="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2. Oven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cxnSp macro="">
          <xdr:nvCxnSpPr>
            <xdr:cNvPr id="6" name="Straight Arrow Connector 5"/>
            <xdr:cNvCxnSpPr/>
          </xdr:nvCxnSpPr>
          <xdr:spPr>
            <a:xfrm>
              <a:off x="5133975" y="16744950"/>
              <a:ext cx="2305050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" name="Rectangle 6"/>
            <xdr:cNvSpPr/>
          </xdr:nvSpPr>
          <xdr:spPr>
            <a:xfrm>
              <a:off x="7458075" y="16449675"/>
              <a:ext cx="1276351" cy="59055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 KTCH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(Thảo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Ly)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Rectangle 7"/>
            <xdr:cNvSpPr/>
          </xdr:nvSpPr>
          <xdr:spPr>
            <a:xfrm>
              <a:off x="5781675" y="19545301"/>
              <a:ext cx="1276351" cy="704854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01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Oven</a:t>
              </a: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(1. </a:t>
              </a:r>
              <a:r>
                <a:rPr 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Hữu</a:t>
              </a:r>
              <a:r>
                <a:rPr lang="en-US" sz="1200" b="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Hiếu</a:t>
              </a:r>
            </a:p>
            <a:p>
              <a:pPr algn="ctr"/>
              <a:r>
                <a:rPr lang="en-US" sz="1200" b="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2. Mixing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Rectangle 8"/>
            <xdr:cNvSpPr/>
          </xdr:nvSpPr>
          <xdr:spPr>
            <a:xfrm>
              <a:off x="5781675" y="20364450"/>
              <a:ext cx="1276351" cy="73343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02</a:t>
              </a:r>
              <a:r>
                <a:rPr 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Topping</a:t>
              </a:r>
              <a:endParaRPr lang="en-US" sz="12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ctr"/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(1. Thị</a:t>
              </a:r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Thái</a:t>
              </a:r>
            </a:p>
            <a:p>
              <a:pPr algn="ctr"/>
              <a:r>
                <a:rPr lang="en-US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2. Table)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" name="Rectangle 3"/>
          <xdr:cNvSpPr/>
        </xdr:nvSpPr>
        <xdr:spPr>
          <a:xfrm>
            <a:off x="5810250" y="19611974"/>
            <a:ext cx="1276351" cy="847729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02 Table</a:t>
            </a:r>
          </a:p>
          <a:p>
            <a:pPr algn="ctr"/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sz="1200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1. Đăng</a:t>
            </a:r>
            <a:r>
              <a:rPr lang="en-US" sz="1200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Vy</a:t>
            </a:r>
          </a:p>
          <a:p>
            <a:pPr algn="ctr"/>
            <a:r>
              <a:rPr lang="en-US" sz="1200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2. Topping</a:t>
            </a:r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).</a:t>
            </a:r>
          </a:p>
        </xdr:txBody>
      </xdr:sp>
    </xdr:grpSp>
    <xdr:clientData/>
  </xdr:twoCellAnchor>
  <xdr:twoCellAnchor>
    <xdr:from>
      <xdr:col>0</xdr:col>
      <xdr:colOff>400050</xdr:colOff>
      <xdr:row>108</xdr:row>
      <xdr:rowOff>66675</xdr:rowOff>
    </xdr:from>
    <xdr:to>
      <xdr:col>0</xdr:col>
      <xdr:colOff>1752600</xdr:colOff>
      <xdr:row>110</xdr:row>
      <xdr:rowOff>114300</xdr:rowOff>
    </xdr:to>
    <xdr:sp macro="" textlink="">
      <xdr:nvSpPr>
        <xdr:cNvPr id="20" name="Right Arrow Callout 19"/>
        <xdr:cNvSpPr/>
      </xdr:nvSpPr>
      <xdr:spPr>
        <a:xfrm>
          <a:off x="400050" y="21793200"/>
          <a:ext cx="1352550" cy="447675"/>
        </a:xfrm>
        <a:prstGeom prst="rightArrowCallou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Quang Vinh - Trưởng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581025</xdr:colOff>
      <xdr:row>128</xdr:row>
      <xdr:rowOff>161927</xdr:rowOff>
    </xdr:from>
    <xdr:to>
      <xdr:col>5</xdr:col>
      <xdr:colOff>561976</xdr:colOff>
      <xdr:row>132</xdr:row>
      <xdr:rowOff>95257</xdr:rowOff>
    </xdr:to>
    <xdr:sp macro="" textlink="">
      <xdr:nvSpPr>
        <xdr:cNvPr id="21" name="Rectangle 20"/>
        <xdr:cNvSpPr/>
      </xdr:nvSpPr>
      <xdr:spPr>
        <a:xfrm>
          <a:off x="4333875" y="25888952"/>
          <a:ext cx="1276351" cy="73343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02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Cake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0">
              <a:latin typeface="Times New Roman" panose="02020603050405020304" pitchFamily="18" charset="0"/>
              <a:cs typeface="Times New Roman" panose="02020603050405020304" pitchFamily="18" charset="0"/>
            </a:rPr>
            <a:t>(1. Thị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Hiền</a:t>
          </a:r>
        </a:p>
        <a:p>
          <a:pPr algn="ctr"/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2. Kim Oanh)</a:t>
          </a:r>
          <a:endParaRPr lang="en-US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S96"/>
  <sheetViews>
    <sheetView topLeftCell="A73" workbookViewId="0">
      <selection activeCell="S7" sqref="S7"/>
    </sheetView>
  </sheetViews>
  <sheetFormatPr defaultRowHeight="15.75" x14ac:dyDescent="0.25"/>
  <cols>
    <col min="1" max="1" width="24.42578125" style="1" bestFit="1" customWidth="1"/>
    <col min="2" max="3" width="14.85546875" style="1" bestFit="1" customWidth="1"/>
    <col min="4" max="4" width="8.5703125" style="1" customWidth="1"/>
    <col min="5" max="6" width="9.7109375" style="1" bestFit="1" customWidth="1"/>
    <col min="7" max="7" width="15.28515625" style="1" customWidth="1"/>
    <col min="8" max="9" width="9.5703125" style="1" bestFit="1" customWidth="1"/>
    <col min="10" max="10" width="11.140625" style="1" bestFit="1" customWidth="1"/>
    <col min="11" max="18" width="9.5703125" style="1" bestFit="1" customWidth="1"/>
    <col min="19" max="16384" width="9.140625" style="1"/>
  </cols>
  <sheetData>
    <row r="2" spans="1:19" ht="25.5" x14ac:dyDescent="0.35">
      <c r="A2" s="14" t="s">
        <v>83</v>
      </c>
      <c r="B2" s="15"/>
      <c r="C2" s="15"/>
      <c r="D2" s="15"/>
      <c r="E2" s="15"/>
    </row>
    <row r="4" spans="1:19" x14ac:dyDescent="0.25">
      <c r="A4" s="2"/>
      <c r="B4" s="8" t="s">
        <v>29</v>
      </c>
      <c r="C4" s="3" t="s">
        <v>21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</row>
    <row r="5" spans="1:19" x14ac:dyDescent="0.25">
      <c r="A5" s="5" t="s">
        <v>0</v>
      </c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9" x14ac:dyDescent="0.25">
      <c r="A6" s="2" t="s">
        <v>1</v>
      </c>
      <c r="B6" s="2">
        <v>12</v>
      </c>
      <c r="C6" s="2">
        <v>20</v>
      </c>
      <c r="D6" s="2">
        <v>26</v>
      </c>
      <c r="E6" s="2">
        <v>21</v>
      </c>
      <c r="F6" s="2">
        <v>26</v>
      </c>
      <c r="G6" s="2">
        <v>25</v>
      </c>
      <c r="H6" s="2">
        <v>21</v>
      </c>
      <c r="I6" s="2">
        <v>21</v>
      </c>
      <c r="J6" s="2">
        <v>22</v>
      </c>
      <c r="K6" s="2">
        <v>28</v>
      </c>
      <c r="L6" s="2">
        <v>41</v>
      </c>
      <c r="M6" s="2">
        <v>72</v>
      </c>
      <c r="N6" s="2">
        <v>51</v>
      </c>
      <c r="O6" s="2">
        <v>64</v>
      </c>
      <c r="P6" s="2">
        <v>46</v>
      </c>
      <c r="Q6" s="2">
        <v>25</v>
      </c>
      <c r="R6" s="2">
        <v>0</v>
      </c>
    </row>
    <row r="7" spans="1:19" x14ac:dyDescent="0.25">
      <c r="A7" s="4">
        <v>5</v>
      </c>
      <c r="B7" s="4">
        <f>ROUND(B6/$A$7,0)</f>
        <v>2</v>
      </c>
      <c r="C7" s="4">
        <f>ROUND(C6/$A$7,0)</f>
        <v>4</v>
      </c>
      <c r="D7" s="4">
        <f t="shared" ref="D7:R7" si="0">ROUND(D6/$A$7,0)</f>
        <v>5</v>
      </c>
      <c r="E7" s="4">
        <f t="shared" si="0"/>
        <v>4</v>
      </c>
      <c r="F7" s="4">
        <f t="shared" si="0"/>
        <v>5</v>
      </c>
      <c r="G7" s="4">
        <f t="shared" si="0"/>
        <v>5</v>
      </c>
      <c r="H7" s="4">
        <f t="shared" si="0"/>
        <v>4</v>
      </c>
      <c r="I7" s="4">
        <f t="shared" si="0"/>
        <v>4</v>
      </c>
      <c r="J7" s="4">
        <f t="shared" si="0"/>
        <v>4</v>
      </c>
      <c r="K7" s="4">
        <f t="shared" si="0"/>
        <v>6</v>
      </c>
      <c r="L7" s="4">
        <f t="shared" si="0"/>
        <v>8</v>
      </c>
      <c r="M7" s="4">
        <f t="shared" si="0"/>
        <v>14</v>
      </c>
      <c r="N7" s="4">
        <f t="shared" si="0"/>
        <v>10</v>
      </c>
      <c r="O7" s="4">
        <f t="shared" si="0"/>
        <v>13</v>
      </c>
      <c r="P7" s="4">
        <f t="shared" si="0"/>
        <v>9</v>
      </c>
      <c r="Q7" s="4">
        <f t="shared" si="0"/>
        <v>5</v>
      </c>
      <c r="R7" s="4">
        <f t="shared" si="0"/>
        <v>0</v>
      </c>
      <c r="S7" s="1">
        <f t="shared" ref="S7:S8" si="1">SUM(B7:R7)</f>
        <v>102</v>
      </c>
    </row>
    <row r="8" spans="1:19" x14ac:dyDescent="0.25">
      <c r="A8" s="12" t="s">
        <v>60</v>
      </c>
      <c r="B8" s="12">
        <v>1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2</v>
      </c>
      <c r="L8" s="12">
        <v>2</v>
      </c>
      <c r="M8" s="12">
        <v>2</v>
      </c>
      <c r="N8" s="12">
        <v>2</v>
      </c>
      <c r="O8" s="12">
        <v>2</v>
      </c>
      <c r="P8" s="12">
        <v>2</v>
      </c>
      <c r="Q8" s="12">
        <v>1</v>
      </c>
      <c r="R8" s="2"/>
      <c r="S8" s="1">
        <f t="shared" si="1"/>
        <v>22</v>
      </c>
    </row>
    <row r="9" spans="1:19" x14ac:dyDescent="0.25">
      <c r="A9" s="12" t="s">
        <v>61</v>
      </c>
      <c r="B9" s="12">
        <v>1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2</v>
      </c>
      <c r="L9" s="12">
        <v>2</v>
      </c>
      <c r="M9" s="12">
        <v>2</v>
      </c>
      <c r="N9" s="12">
        <v>2</v>
      </c>
      <c r="O9" s="12">
        <v>2</v>
      </c>
      <c r="P9" s="12">
        <v>2</v>
      </c>
      <c r="Q9" s="12">
        <v>1</v>
      </c>
      <c r="R9" s="2"/>
      <c r="S9" s="1">
        <f>SUM(B9:R9)</f>
        <v>22</v>
      </c>
    </row>
    <row r="10" spans="1:19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9" x14ac:dyDescent="0.25">
      <c r="A11" s="13" t="s">
        <v>75</v>
      </c>
    </row>
    <row r="12" spans="1:19" x14ac:dyDescent="0.25">
      <c r="A12" s="2" t="s">
        <v>85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/>
      <c r="K12" s="2"/>
      <c r="L12" s="2"/>
      <c r="M12" s="2"/>
      <c r="N12" s="2"/>
      <c r="O12" s="2"/>
      <c r="P12" s="2"/>
      <c r="Q12" s="2"/>
      <c r="R12" s="2"/>
    </row>
    <row r="13" spans="1:19" x14ac:dyDescent="0.25">
      <c r="A13" s="2" t="s">
        <v>123</v>
      </c>
      <c r="B13" s="2"/>
      <c r="C13" s="2"/>
      <c r="D13" s="2"/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  <c r="O13" s="2"/>
      <c r="P13" s="2"/>
      <c r="Q13" s="2"/>
      <c r="R13" s="2"/>
    </row>
    <row r="14" spans="1:19" x14ac:dyDescent="0.25">
      <c r="A14" s="2" t="s">
        <v>86</v>
      </c>
      <c r="B14" s="2"/>
      <c r="C14" s="2"/>
      <c r="D14" s="2"/>
      <c r="E14" s="2"/>
      <c r="F14" s="2"/>
      <c r="G14" s="2"/>
      <c r="H14" s="2"/>
      <c r="I14" s="2"/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/>
    </row>
    <row r="15" spans="1:19" x14ac:dyDescent="0.25">
      <c r="A15" s="2" t="s">
        <v>122</v>
      </c>
      <c r="B15" s="2"/>
      <c r="C15" s="2"/>
      <c r="D15" s="2"/>
      <c r="E15" s="2"/>
      <c r="F15" s="2"/>
      <c r="G15" s="2"/>
      <c r="H15" s="2"/>
      <c r="I15" s="2"/>
      <c r="J15" s="2"/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/>
      <c r="R15" s="2"/>
    </row>
    <row r="16" spans="1:19" x14ac:dyDescent="0.25">
      <c r="A16" s="2" t="s">
        <v>66</v>
      </c>
      <c r="B16" s="2">
        <f>SUM(B12:B15)</f>
        <v>1</v>
      </c>
      <c r="C16" s="2">
        <f t="shared" ref="C16:R16" si="2">SUM(C12:C15)</f>
        <v>1</v>
      </c>
      <c r="D16" s="2">
        <f t="shared" si="2"/>
        <v>1</v>
      </c>
      <c r="E16" s="2">
        <f t="shared" si="2"/>
        <v>2</v>
      </c>
      <c r="F16" s="2">
        <f t="shared" si="2"/>
        <v>2</v>
      </c>
      <c r="G16" s="2">
        <f t="shared" si="2"/>
        <v>2</v>
      </c>
      <c r="H16" s="2">
        <f t="shared" si="2"/>
        <v>2</v>
      </c>
      <c r="I16" s="2">
        <f t="shared" si="2"/>
        <v>2</v>
      </c>
      <c r="J16" s="2">
        <f t="shared" si="2"/>
        <v>2</v>
      </c>
      <c r="K16" s="2">
        <f t="shared" si="2"/>
        <v>2</v>
      </c>
      <c r="L16" s="2">
        <f t="shared" si="2"/>
        <v>2</v>
      </c>
      <c r="M16" s="2">
        <f t="shared" si="2"/>
        <v>2</v>
      </c>
      <c r="N16" s="2">
        <f t="shared" si="2"/>
        <v>2</v>
      </c>
      <c r="O16" s="2">
        <f t="shared" si="2"/>
        <v>2</v>
      </c>
      <c r="P16" s="2">
        <f t="shared" si="2"/>
        <v>2</v>
      </c>
      <c r="Q16" s="2">
        <f t="shared" si="2"/>
        <v>1</v>
      </c>
      <c r="R16" s="2">
        <f t="shared" si="2"/>
        <v>0</v>
      </c>
      <c r="S16" s="1">
        <f>SUM(B16:R16)</f>
        <v>28</v>
      </c>
    </row>
    <row r="18" spans="1:19" x14ac:dyDescent="0.25">
      <c r="A18" s="5" t="s">
        <v>2</v>
      </c>
      <c r="B18" s="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9" x14ac:dyDescent="0.25">
      <c r="A19" s="2" t="s">
        <v>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9" x14ac:dyDescent="0.25">
      <c r="A20" s="2" t="s">
        <v>19</v>
      </c>
      <c r="B20" s="2">
        <v>3</v>
      </c>
      <c r="C20" s="2">
        <v>12</v>
      </c>
      <c r="D20" s="2">
        <v>12</v>
      </c>
      <c r="E20" s="2">
        <v>14</v>
      </c>
      <c r="F20" s="2">
        <v>6</v>
      </c>
      <c r="G20" s="2">
        <v>8</v>
      </c>
      <c r="H20" s="2">
        <v>6</v>
      </c>
      <c r="I20" s="2">
        <v>5</v>
      </c>
      <c r="J20" s="2">
        <v>3</v>
      </c>
      <c r="K20" s="2">
        <v>11</v>
      </c>
      <c r="L20" s="2">
        <v>9</v>
      </c>
      <c r="M20" s="2">
        <v>12</v>
      </c>
      <c r="N20" s="2">
        <v>9</v>
      </c>
      <c r="O20" s="2">
        <v>17</v>
      </c>
      <c r="P20" s="2">
        <v>7</v>
      </c>
      <c r="Q20" s="2">
        <v>6</v>
      </c>
      <c r="R20" s="2">
        <v>0</v>
      </c>
    </row>
    <row r="21" spans="1:19" x14ac:dyDescent="0.25">
      <c r="A21" s="2" t="s">
        <v>20</v>
      </c>
      <c r="B21" s="2">
        <v>2</v>
      </c>
      <c r="C21" s="2">
        <v>5</v>
      </c>
      <c r="D21" s="2">
        <v>15</v>
      </c>
      <c r="E21" s="2">
        <v>23</v>
      </c>
      <c r="F21" s="2">
        <v>17</v>
      </c>
      <c r="G21" s="2">
        <v>13</v>
      </c>
      <c r="H21" s="2">
        <v>14</v>
      </c>
      <c r="I21" s="2">
        <v>5</v>
      </c>
      <c r="J21" s="2">
        <v>6</v>
      </c>
      <c r="K21" s="2">
        <v>4</v>
      </c>
      <c r="L21" s="2">
        <v>9</v>
      </c>
      <c r="M21" s="2">
        <v>16</v>
      </c>
      <c r="N21" s="2">
        <v>19</v>
      </c>
      <c r="O21" s="2">
        <v>18</v>
      </c>
      <c r="P21" s="2">
        <v>20</v>
      </c>
      <c r="Q21" s="2">
        <v>9</v>
      </c>
      <c r="R21" s="2">
        <v>0</v>
      </c>
    </row>
    <row r="22" spans="1:19" x14ac:dyDescent="0.25">
      <c r="A22" s="4">
        <v>2</v>
      </c>
      <c r="B22" s="4">
        <f>ROUND((B20+B21)/$A$22,0)</f>
        <v>3</v>
      </c>
      <c r="C22" s="4">
        <f>ROUND((C20+C21)/$A$22,0)</f>
        <v>9</v>
      </c>
      <c r="D22" s="4">
        <f t="shared" ref="D22:R22" si="3">ROUND((D20+D21)/$A$22,0)</f>
        <v>14</v>
      </c>
      <c r="E22" s="4">
        <f t="shared" si="3"/>
        <v>19</v>
      </c>
      <c r="F22" s="4">
        <f t="shared" si="3"/>
        <v>12</v>
      </c>
      <c r="G22" s="4">
        <f t="shared" si="3"/>
        <v>11</v>
      </c>
      <c r="H22" s="4">
        <f t="shared" si="3"/>
        <v>10</v>
      </c>
      <c r="I22" s="4">
        <f t="shared" si="3"/>
        <v>5</v>
      </c>
      <c r="J22" s="4">
        <f t="shared" si="3"/>
        <v>5</v>
      </c>
      <c r="K22" s="4">
        <f t="shared" si="3"/>
        <v>8</v>
      </c>
      <c r="L22" s="4">
        <f t="shared" si="3"/>
        <v>9</v>
      </c>
      <c r="M22" s="4">
        <f t="shared" si="3"/>
        <v>14</v>
      </c>
      <c r="N22" s="4">
        <f t="shared" si="3"/>
        <v>14</v>
      </c>
      <c r="O22" s="4">
        <f t="shared" si="3"/>
        <v>18</v>
      </c>
      <c r="P22" s="4">
        <f t="shared" si="3"/>
        <v>14</v>
      </c>
      <c r="Q22" s="4">
        <f t="shared" si="3"/>
        <v>8</v>
      </c>
      <c r="R22" s="4">
        <f t="shared" si="3"/>
        <v>0</v>
      </c>
      <c r="S22" s="1">
        <f t="shared" ref="S22:S23" si="4">SUM(B22:R22)</f>
        <v>173</v>
      </c>
    </row>
    <row r="23" spans="1:19" x14ac:dyDescent="0.25">
      <c r="A23" s="12" t="s">
        <v>60</v>
      </c>
      <c r="B23" s="12">
        <v>1</v>
      </c>
      <c r="C23" s="12">
        <v>2</v>
      </c>
      <c r="D23" s="12">
        <v>2</v>
      </c>
      <c r="E23" s="12">
        <v>2</v>
      </c>
      <c r="F23" s="12">
        <v>2</v>
      </c>
      <c r="G23" s="12">
        <v>2</v>
      </c>
      <c r="H23" s="12">
        <v>2</v>
      </c>
      <c r="I23" s="12">
        <v>1</v>
      </c>
      <c r="J23" s="12">
        <v>1</v>
      </c>
      <c r="K23" s="12">
        <v>2</v>
      </c>
      <c r="L23" s="12">
        <v>2</v>
      </c>
      <c r="M23" s="12">
        <v>2</v>
      </c>
      <c r="N23" s="12">
        <v>2</v>
      </c>
      <c r="O23" s="12">
        <v>2</v>
      </c>
      <c r="P23" s="12">
        <v>2</v>
      </c>
      <c r="Q23" s="12">
        <v>2</v>
      </c>
      <c r="R23" s="2"/>
      <c r="S23" s="1">
        <f t="shared" si="4"/>
        <v>29</v>
      </c>
    </row>
    <row r="24" spans="1:19" x14ac:dyDescent="0.25">
      <c r="A24" s="12" t="s">
        <v>61</v>
      </c>
      <c r="B24" s="12">
        <v>1</v>
      </c>
      <c r="C24" s="12">
        <v>2</v>
      </c>
      <c r="D24" s="12">
        <v>2</v>
      </c>
      <c r="E24" s="12">
        <v>2</v>
      </c>
      <c r="F24" s="12">
        <v>2</v>
      </c>
      <c r="G24" s="12">
        <v>2</v>
      </c>
      <c r="H24" s="12">
        <v>2</v>
      </c>
      <c r="I24" s="12">
        <v>1</v>
      </c>
      <c r="J24" s="12">
        <v>1</v>
      </c>
      <c r="K24" s="12">
        <v>2</v>
      </c>
      <c r="L24" s="12">
        <v>2</v>
      </c>
      <c r="M24" s="12">
        <v>2</v>
      </c>
      <c r="N24" s="12">
        <v>2</v>
      </c>
      <c r="O24" s="12">
        <v>2</v>
      </c>
      <c r="P24" s="12">
        <v>2</v>
      </c>
      <c r="Q24" s="12">
        <v>2</v>
      </c>
      <c r="R24" s="2"/>
      <c r="S24" s="1">
        <f>SUM(B24:R24)</f>
        <v>29</v>
      </c>
    </row>
    <row r="25" spans="1:19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9" x14ac:dyDescent="0.25">
      <c r="A26" s="13" t="s">
        <v>75</v>
      </c>
    </row>
    <row r="27" spans="1:19" x14ac:dyDescent="0.25">
      <c r="A27" s="2" t="s">
        <v>85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/>
      <c r="K27" s="2"/>
      <c r="L27" s="2"/>
      <c r="M27" s="2"/>
      <c r="N27" s="2"/>
      <c r="O27" s="2"/>
      <c r="P27" s="2"/>
      <c r="Q27" s="2"/>
      <c r="R27" s="2"/>
    </row>
    <row r="28" spans="1:19" x14ac:dyDescent="0.25">
      <c r="A28" s="2" t="s">
        <v>124</v>
      </c>
      <c r="B28" s="2"/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9" x14ac:dyDescent="0.25">
      <c r="A29" s="2" t="s">
        <v>160</v>
      </c>
      <c r="B29" s="2"/>
      <c r="C29" s="2"/>
      <c r="D29" s="2"/>
      <c r="E29" s="2"/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/>
      <c r="O29" s="2"/>
      <c r="P29" s="2"/>
      <c r="Q29" s="2"/>
      <c r="R29" s="2"/>
    </row>
    <row r="30" spans="1:19" x14ac:dyDescent="0.25">
      <c r="A30" s="2" t="s">
        <v>86</v>
      </c>
      <c r="B30" s="2"/>
      <c r="C30" s="2"/>
      <c r="D30" s="2"/>
      <c r="E30" s="2"/>
      <c r="F30" s="2"/>
      <c r="G30" s="2"/>
      <c r="H30" s="2"/>
      <c r="I30" s="2"/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/>
    </row>
    <row r="31" spans="1:19" x14ac:dyDescent="0.25">
      <c r="A31" s="2" t="s">
        <v>125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/>
    </row>
    <row r="32" spans="1:19" x14ac:dyDescent="0.25">
      <c r="A32" s="2" t="s">
        <v>66</v>
      </c>
      <c r="B32" s="2">
        <f>SUM(B27:B31)</f>
        <v>1</v>
      </c>
      <c r="C32" s="2">
        <f t="shared" ref="C32" si="5">SUM(C27:C31)</f>
        <v>2</v>
      </c>
      <c r="D32" s="2">
        <f t="shared" ref="D32" si="6">SUM(D27:D31)</f>
        <v>2</v>
      </c>
      <c r="E32" s="2">
        <f t="shared" ref="E32" si="7">SUM(E27:E31)</f>
        <v>2</v>
      </c>
      <c r="F32" s="2">
        <f t="shared" ref="F32" si="8">SUM(F27:F31)</f>
        <v>3</v>
      </c>
      <c r="G32" s="2">
        <f t="shared" ref="G32" si="9">SUM(G27:G31)</f>
        <v>3</v>
      </c>
      <c r="H32" s="2">
        <f t="shared" ref="H32" si="10">SUM(H27:H31)</f>
        <v>3</v>
      </c>
      <c r="I32" s="2">
        <f t="shared" ref="I32" si="11">SUM(I27:I31)</f>
        <v>2</v>
      </c>
      <c r="J32" s="2">
        <f t="shared" ref="J32" si="12">SUM(J27:J31)</f>
        <v>2</v>
      </c>
      <c r="K32" s="2">
        <f t="shared" ref="K32" si="13">SUM(K27:K31)</f>
        <v>2</v>
      </c>
      <c r="L32" s="2">
        <f t="shared" ref="L32" si="14">SUM(L27:L31)</f>
        <v>3</v>
      </c>
      <c r="M32" s="2">
        <f t="shared" ref="M32" si="15">SUM(M27:M31)</f>
        <v>3</v>
      </c>
      <c r="N32" s="2">
        <f t="shared" ref="N32" si="16">SUM(N27:N31)</f>
        <v>2</v>
      </c>
      <c r="O32" s="2">
        <f t="shared" ref="O32" si="17">SUM(O27:O31)</f>
        <v>2</v>
      </c>
      <c r="P32" s="2">
        <f t="shared" ref="P32" si="18">SUM(P27:P31)</f>
        <v>2</v>
      </c>
      <c r="Q32" s="2">
        <f t="shared" ref="Q32" si="19">SUM(Q27:Q31)</f>
        <v>2</v>
      </c>
      <c r="R32" s="2">
        <f t="shared" ref="R32" si="20">SUM(R27:R31)</f>
        <v>0</v>
      </c>
      <c r="S32" s="1">
        <f>SUM(B32:R32)</f>
        <v>36</v>
      </c>
    </row>
    <row r="35" spans="1:8" x14ac:dyDescent="0.25">
      <c r="A35" s="2" t="s">
        <v>22</v>
      </c>
      <c r="B35" s="2"/>
      <c r="C35" s="2"/>
      <c r="E35" s="1" t="s">
        <v>64</v>
      </c>
      <c r="F35" s="1" t="s">
        <v>70</v>
      </c>
    </row>
    <row r="36" spans="1:8" x14ac:dyDescent="0.25">
      <c r="A36" s="3" t="s">
        <v>0</v>
      </c>
      <c r="B36" s="2"/>
      <c r="C36" s="2"/>
      <c r="E36" s="1" t="s">
        <v>69</v>
      </c>
      <c r="F36" s="1" t="s">
        <v>71</v>
      </c>
    </row>
    <row r="37" spans="1:8" x14ac:dyDescent="0.25">
      <c r="A37" s="11" t="s">
        <v>47</v>
      </c>
      <c r="B37" s="2">
        <f>22-6</f>
        <v>16</v>
      </c>
      <c r="C37" s="2" t="s">
        <v>24</v>
      </c>
      <c r="E37" s="1">
        <f>D64</f>
        <v>28</v>
      </c>
      <c r="F37" s="1" t="s">
        <v>24</v>
      </c>
      <c r="G37" s="1">
        <f>E37/B37</f>
        <v>1.75</v>
      </c>
      <c r="H37" s="1" t="s">
        <v>76</v>
      </c>
    </row>
    <row r="38" spans="1:8" x14ac:dyDescent="0.25">
      <c r="A38" s="3" t="s">
        <v>2</v>
      </c>
      <c r="B38" s="2"/>
      <c r="C38" s="2"/>
    </row>
    <row r="39" spans="1:8" x14ac:dyDescent="0.25">
      <c r="A39" s="11" t="s">
        <v>47</v>
      </c>
      <c r="B39" s="2">
        <f>22-6</f>
        <v>16</v>
      </c>
      <c r="C39" s="2" t="s">
        <v>24</v>
      </c>
      <c r="E39" s="1">
        <f>D72</f>
        <v>36</v>
      </c>
      <c r="F39" s="1" t="str">
        <f>F37</f>
        <v>H</v>
      </c>
      <c r="G39" s="1">
        <f>E39/B39</f>
        <v>2.25</v>
      </c>
      <c r="H39" s="1" t="s">
        <v>76</v>
      </c>
    </row>
    <row r="41" spans="1:8" x14ac:dyDescent="0.25">
      <c r="A41" s="2"/>
      <c r="B41" s="2" t="s">
        <v>26</v>
      </c>
      <c r="C41" s="2" t="s">
        <v>27</v>
      </c>
    </row>
    <row r="42" spans="1:8" x14ac:dyDescent="0.25">
      <c r="A42" s="3" t="s">
        <v>0</v>
      </c>
      <c r="B42" s="2"/>
      <c r="C42" s="2">
        <f>B42*8</f>
        <v>0</v>
      </c>
    </row>
    <row r="43" spans="1:8" x14ac:dyDescent="0.25">
      <c r="A43" s="3" t="s">
        <v>2</v>
      </c>
      <c r="B43" s="2"/>
      <c r="C43" s="2">
        <f>B43*8</f>
        <v>0</v>
      </c>
    </row>
    <row r="56" spans="1:14" x14ac:dyDescent="0.25">
      <c r="A56" s="2" t="s">
        <v>72</v>
      </c>
      <c r="B56" s="2"/>
      <c r="C56" s="2" t="s">
        <v>26</v>
      </c>
      <c r="D56" s="2" t="s">
        <v>27</v>
      </c>
    </row>
    <row r="57" spans="1:14" x14ac:dyDescent="0.25">
      <c r="A57" s="3" t="s">
        <v>0</v>
      </c>
      <c r="B57" s="2"/>
      <c r="C57" s="2"/>
      <c r="D57" s="2"/>
    </row>
    <row r="58" spans="1:14" x14ac:dyDescent="0.25">
      <c r="A58" s="2" t="s">
        <v>85</v>
      </c>
      <c r="B58" s="2" t="s">
        <v>67</v>
      </c>
      <c r="C58" s="2">
        <v>1</v>
      </c>
      <c r="D58" s="2">
        <f>C58*8</f>
        <v>8</v>
      </c>
    </row>
    <row r="59" spans="1:14" x14ac:dyDescent="0.25">
      <c r="A59" s="2" t="s">
        <v>123</v>
      </c>
      <c r="B59" s="2" t="s">
        <v>68</v>
      </c>
      <c r="C59" s="2">
        <v>1</v>
      </c>
      <c r="D59" s="2">
        <v>6</v>
      </c>
    </row>
    <row r="60" spans="1:14" x14ac:dyDescent="0.25">
      <c r="A60" s="2" t="s">
        <v>86</v>
      </c>
      <c r="B60" s="2" t="s">
        <v>67</v>
      </c>
      <c r="C60" s="2">
        <v>1</v>
      </c>
      <c r="D60" s="2">
        <v>8</v>
      </c>
      <c r="F60" s="8" t="s">
        <v>114</v>
      </c>
      <c r="G60" s="3" t="s">
        <v>67</v>
      </c>
      <c r="H60" s="3" t="s">
        <v>68</v>
      </c>
      <c r="I60" s="3" t="s">
        <v>90</v>
      </c>
    </row>
    <row r="61" spans="1:14" x14ac:dyDescent="0.25">
      <c r="A61" s="2" t="s">
        <v>122</v>
      </c>
      <c r="B61" s="2" t="s">
        <v>68</v>
      </c>
      <c r="C61" s="2">
        <v>1</v>
      </c>
      <c r="D61" s="2">
        <f>21-15</f>
        <v>6</v>
      </c>
      <c r="F61" s="11">
        <f>SUM(G61:I61)</f>
        <v>6</v>
      </c>
      <c r="G61" s="2">
        <v>3</v>
      </c>
      <c r="H61" s="2">
        <v>2</v>
      </c>
      <c r="I61" s="2">
        <v>1</v>
      </c>
    </row>
    <row r="62" spans="1:14" x14ac:dyDescent="0.25">
      <c r="A62" s="2" t="s">
        <v>87</v>
      </c>
      <c r="B62" s="2" t="s">
        <v>67</v>
      </c>
      <c r="C62" s="2">
        <v>1</v>
      </c>
      <c r="D62" s="2"/>
    </row>
    <row r="63" spans="1:14" x14ac:dyDescent="0.25">
      <c r="A63" s="2" t="s">
        <v>88</v>
      </c>
      <c r="B63" s="3"/>
      <c r="C63" s="2">
        <v>1</v>
      </c>
      <c r="D63" s="2"/>
      <c r="F63" s="8" t="s">
        <v>89</v>
      </c>
      <c r="G63" s="3" t="s">
        <v>67</v>
      </c>
      <c r="H63" s="3" t="s">
        <v>68</v>
      </c>
      <c r="I63" s="3" t="s">
        <v>90</v>
      </c>
      <c r="K63" s="8" t="s">
        <v>91</v>
      </c>
      <c r="L63" s="3" t="s">
        <v>67</v>
      </c>
      <c r="M63" s="3" t="s">
        <v>68</v>
      </c>
      <c r="N63" s="3" t="s">
        <v>90</v>
      </c>
    </row>
    <row r="64" spans="1:14" x14ac:dyDescent="0.25">
      <c r="A64" s="3" t="s">
        <v>66</v>
      </c>
      <c r="B64" s="3"/>
      <c r="C64" s="3">
        <f>SUM(C58:C63)</f>
        <v>6</v>
      </c>
      <c r="D64" s="3">
        <f>SUM(D58:D63)</f>
        <v>28</v>
      </c>
      <c r="F64" s="11">
        <f>SUM(G64:I64)</f>
        <v>5</v>
      </c>
      <c r="G64" s="2">
        <v>3</v>
      </c>
      <c r="H64" s="2">
        <v>1</v>
      </c>
      <c r="I64" s="2">
        <v>1</v>
      </c>
      <c r="K64" s="11">
        <f>F61-F64</f>
        <v>1</v>
      </c>
      <c r="L64" s="11">
        <f t="shared" ref="L64:N64" si="21">G61-G64</f>
        <v>0</v>
      </c>
      <c r="M64" s="11">
        <v>1</v>
      </c>
      <c r="N64" s="11">
        <f t="shared" si="21"/>
        <v>0</v>
      </c>
    </row>
    <row r="65" spans="1:11" x14ac:dyDescent="0.25">
      <c r="A65" s="3" t="s">
        <v>2</v>
      </c>
      <c r="B65" s="2"/>
      <c r="C65" s="2"/>
      <c r="D65" s="2"/>
    </row>
    <row r="66" spans="1:11" x14ac:dyDescent="0.25">
      <c r="A66" s="2" t="s">
        <v>85</v>
      </c>
      <c r="B66" s="2" t="s">
        <v>67</v>
      </c>
      <c r="C66" s="2">
        <v>1</v>
      </c>
      <c r="D66" s="2">
        <f>C66*8</f>
        <v>8</v>
      </c>
      <c r="K66" s="1" t="s">
        <v>169</v>
      </c>
    </row>
    <row r="67" spans="1:11" x14ac:dyDescent="0.25">
      <c r="A67" s="2" t="s">
        <v>124</v>
      </c>
      <c r="B67" s="2" t="s">
        <v>68</v>
      </c>
      <c r="C67" s="2">
        <v>1</v>
      </c>
      <c r="D67" s="2">
        <f>13-7</f>
        <v>6</v>
      </c>
      <c r="K67" s="1" t="s">
        <v>170</v>
      </c>
    </row>
    <row r="68" spans="1:11" x14ac:dyDescent="0.25">
      <c r="A68" s="2" t="s">
        <v>116</v>
      </c>
      <c r="B68" s="2" t="s">
        <v>67</v>
      </c>
      <c r="C68" s="2">
        <v>1</v>
      </c>
      <c r="D68" s="2">
        <f t="shared" ref="D68" si="22">C68*8</f>
        <v>8</v>
      </c>
    </row>
    <row r="69" spans="1:11" x14ac:dyDescent="0.25">
      <c r="A69" s="2" t="s">
        <v>86</v>
      </c>
      <c r="B69" s="2" t="s">
        <v>67</v>
      </c>
      <c r="C69" s="2">
        <v>1</v>
      </c>
      <c r="D69" s="2">
        <f>C69*8</f>
        <v>8</v>
      </c>
    </row>
    <row r="70" spans="1:11" x14ac:dyDescent="0.25">
      <c r="A70" s="2" t="s">
        <v>125</v>
      </c>
      <c r="B70" s="2" t="s">
        <v>68</v>
      </c>
      <c r="C70" s="2">
        <v>1</v>
      </c>
      <c r="D70" s="2">
        <f>22-16</f>
        <v>6</v>
      </c>
    </row>
    <row r="71" spans="1:11" x14ac:dyDescent="0.25">
      <c r="A71" s="2" t="s">
        <v>88</v>
      </c>
      <c r="B71" s="2"/>
      <c r="C71" s="2">
        <v>1</v>
      </c>
      <c r="D71" s="2"/>
    </row>
    <row r="72" spans="1:11" x14ac:dyDescent="0.25">
      <c r="A72" s="3" t="s">
        <v>66</v>
      </c>
      <c r="B72" s="3"/>
      <c r="C72" s="3">
        <f>SUM(C66:C71)</f>
        <v>6</v>
      </c>
      <c r="D72" s="3">
        <f>SUM(D66:D71)</f>
        <v>36</v>
      </c>
    </row>
    <row r="73" spans="1:11" x14ac:dyDescent="0.25">
      <c r="F73" s="1" t="s">
        <v>106</v>
      </c>
      <c r="G73" s="1" t="s">
        <v>95</v>
      </c>
      <c r="H73" s="1" t="s">
        <v>99</v>
      </c>
    </row>
    <row r="74" spans="1:11" ht="25.5" x14ac:dyDescent="0.35">
      <c r="A74" s="14" t="s">
        <v>84</v>
      </c>
      <c r="B74" s="15"/>
      <c r="C74" s="15"/>
      <c r="D74" s="15"/>
      <c r="E74" s="15"/>
      <c r="F74" s="1" t="s">
        <v>104</v>
      </c>
      <c r="G74" s="1" t="s">
        <v>105</v>
      </c>
      <c r="H74" s="1" t="s">
        <v>100</v>
      </c>
    </row>
    <row r="76" spans="1:11" x14ac:dyDescent="0.25">
      <c r="A76" s="8" t="s">
        <v>80</v>
      </c>
      <c r="B76" s="8" t="s">
        <v>81</v>
      </c>
      <c r="C76" s="8" t="s">
        <v>82</v>
      </c>
      <c r="D76" s="8" t="s">
        <v>66</v>
      </c>
    </row>
    <row r="77" spans="1:11" x14ac:dyDescent="0.25">
      <c r="A77" s="3" t="s">
        <v>0</v>
      </c>
      <c r="B77" s="2"/>
      <c r="C77" s="2"/>
      <c r="D77" s="8"/>
    </row>
    <row r="78" spans="1:11" x14ac:dyDescent="0.25">
      <c r="A78" s="2" t="s">
        <v>143</v>
      </c>
      <c r="B78" s="2">
        <v>259</v>
      </c>
      <c r="C78" s="2">
        <v>59</v>
      </c>
      <c r="D78" s="33">
        <f t="shared" ref="D78" si="23">B78+C78</f>
        <v>318</v>
      </c>
    </row>
    <row r="79" spans="1:11" x14ac:dyDescent="0.25">
      <c r="A79" s="2" t="s">
        <v>296</v>
      </c>
      <c r="B79" s="2">
        <v>29</v>
      </c>
      <c r="C79" s="2">
        <v>8</v>
      </c>
      <c r="D79" s="33">
        <f>B79+C79</f>
        <v>37</v>
      </c>
      <c r="E79" s="1">
        <f>D79+D80+D81+D82+D83</f>
        <v>423</v>
      </c>
    </row>
    <row r="80" spans="1:11" x14ac:dyDescent="0.25">
      <c r="A80" s="2" t="s">
        <v>297</v>
      </c>
      <c r="B80" s="2">
        <v>77</v>
      </c>
      <c r="C80" s="2">
        <v>6</v>
      </c>
      <c r="D80" s="33">
        <f t="shared" ref="D80:D83" si="24">B80+C80</f>
        <v>83</v>
      </c>
    </row>
    <row r="81" spans="1:12" x14ac:dyDescent="0.25">
      <c r="A81" s="2" t="s">
        <v>298</v>
      </c>
      <c r="B81" s="2">
        <v>66</v>
      </c>
      <c r="C81" s="2">
        <v>7</v>
      </c>
      <c r="D81" s="33">
        <f t="shared" si="24"/>
        <v>73</v>
      </c>
    </row>
    <row r="82" spans="1:12" x14ac:dyDescent="0.25">
      <c r="A82" s="2" t="s">
        <v>299</v>
      </c>
      <c r="B82" s="2">
        <v>134</v>
      </c>
      <c r="C82" s="2">
        <v>10</v>
      </c>
      <c r="D82" s="33">
        <f t="shared" si="24"/>
        <v>144</v>
      </c>
    </row>
    <row r="83" spans="1:12" x14ac:dyDescent="0.25">
      <c r="A83" s="2" t="s">
        <v>300</v>
      </c>
      <c r="B83" s="2">
        <v>75</v>
      </c>
      <c r="C83" s="2">
        <v>11</v>
      </c>
      <c r="D83" s="33">
        <f t="shared" si="24"/>
        <v>86</v>
      </c>
    </row>
    <row r="84" spans="1:12" x14ac:dyDescent="0.25">
      <c r="A84" s="2"/>
      <c r="B84" s="2"/>
      <c r="C84" s="2"/>
      <c r="D84" s="33"/>
    </row>
    <row r="85" spans="1:12" x14ac:dyDescent="0.25">
      <c r="A85" s="3" t="s">
        <v>2</v>
      </c>
      <c r="B85" s="2"/>
      <c r="C85" s="2"/>
      <c r="D85" s="8"/>
    </row>
    <row r="86" spans="1:12" x14ac:dyDescent="0.25">
      <c r="A86" s="2" t="s">
        <v>143</v>
      </c>
      <c r="B86" s="2">
        <v>205</v>
      </c>
      <c r="C86" s="2">
        <v>57</v>
      </c>
      <c r="D86" s="33">
        <f t="shared" ref="D86" si="25">B86+C86</f>
        <v>262</v>
      </c>
    </row>
    <row r="87" spans="1:12" x14ac:dyDescent="0.25">
      <c r="A87" s="2" t="s">
        <v>296</v>
      </c>
      <c r="B87" s="2">
        <v>22</v>
      </c>
      <c r="C87" s="2">
        <v>4</v>
      </c>
      <c r="D87" s="33">
        <f>B87+C87</f>
        <v>26</v>
      </c>
      <c r="E87" s="1">
        <f>D87+D88+D89+D90+D91</f>
        <v>535</v>
      </c>
    </row>
    <row r="88" spans="1:12" x14ac:dyDescent="0.25">
      <c r="A88" s="2" t="s">
        <v>297</v>
      </c>
      <c r="B88" s="2">
        <v>106</v>
      </c>
      <c r="C88" s="2">
        <v>5</v>
      </c>
      <c r="D88" s="33">
        <f t="shared" ref="D88:D91" si="26">B88+C88</f>
        <v>111</v>
      </c>
    </row>
    <row r="89" spans="1:12" x14ac:dyDescent="0.25">
      <c r="A89" s="2" t="s">
        <v>298</v>
      </c>
      <c r="B89" s="2">
        <v>77</v>
      </c>
      <c r="C89" s="2">
        <v>7</v>
      </c>
      <c r="D89" s="33">
        <f t="shared" si="26"/>
        <v>84</v>
      </c>
    </row>
    <row r="90" spans="1:12" x14ac:dyDescent="0.25">
      <c r="A90" s="2" t="s">
        <v>299</v>
      </c>
      <c r="B90" s="2">
        <v>229</v>
      </c>
      <c r="C90" s="2">
        <v>10</v>
      </c>
      <c r="D90" s="33">
        <f t="shared" si="26"/>
        <v>239</v>
      </c>
    </row>
    <row r="91" spans="1:12" x14ac:dyDescent="0.25">
      <c r="A91" s="2" t="s">
        <v>300</v>
      </c>
      <c r="B91" s="2">
        <v>71</v>
      </c>
      <c r="C91" s="2">
        <v>4</v>
      </c>
      <c r="D91" s="33">
        <f t="shared" si="26"/>
        <v>75</v>
      </c>
    </row>
    <row r="93" spans="1:12" x14ac:dyDescent="0.25">
      <c r="A93" s="8" t="s">
        <v>103</v>
      </c>
      <c r="B93" s="3" t="s">
        <v>67</v>
      </c>
      <c r="C93" s="8" t="s">
        <v>101</v>
      </c>
      <c r="D93" s="3" t="s">
        <v>90</v>
      </c>
      <c r="F93" s="8" t="s">
        <v>89</v>
      </c>
      <c r="G93" s="3" t="s">
        <v>67</v>
      </c>
      <c r="H93" s="3" t="s">
        <v>90</v>
      </c>
      <c r="J93" s="8" t="s">
        <v>102</v>
      </c>
      <c r="K93" s="3" t="s">
        <v>67</v>
      </c>
      <c r="L93" s="3" t="s">
        <v>90</v>
      </c>
    </row>
    <row r="94" spans="1:12" x14ac:dyDescent="0.25">
      <c r="A94" s="11">
        <f>SUM(B94:D94)</f>
        <v>6</v>
      </c>
      <c r="B94" s="2">
        <v>3</v>
      </c>
      <c r="C94" s="2">
        <v>2</v>
      </c>
      <c r="D94" s="2">
        <v>1</v>
      </c>
      <c r="F94" s="11">
        <f>SUM(G94:H94)</f>
        <v>5</v>
      </c>
      <c r="G94" s="2">
        <v>5</v>
      </c>
      <c r="H94" s="2"/>
      <c r="J94" s="11">
        <f>A94-F94</f>
        <v>1</v>
      </c>
      <c r="K94" s="2"/>
      <c r="L94" s="2"/>
    </row>
    <row r="96" spans="1:12" x14ac:dyDescent="0.25">
      <c r="J96" s="1" t="s">
        <v>126</v>
      </c>
    </row>
  </sheetData>
  <pageMargins left="0" right="0" top="0" bottom="0" header="0" footer="0"/>
  <pageSetup paperSize="9" scale="66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V117"/>
  <sheetViews>
    <sheetView topLeftCell="A82" workbookViewId="0">
      <selection activeCell="E112" sqref="E112"/>
    </sheetView>
  </sheetViews>
  <sheetFormatPr defaultRowHeight="15.75" x14ac:dyDescent="0.25"/>
  <cols>
    <col min="1" max="1" width="33.42578125" style="1" bestFit="1" customWidth="1"/>
    <col min="2" max="2" width="14.85546875" style="1" bestFit="1" customWidth="1"/>
    <col min="3" max="4" width="11.5703125" style="1" bestFit="1" customWidth="1"/>
    <col min="5" max="5" width="15.5703125" style="1" bestFit="1" customWidth="1"/>
    <col min="6" max="6" width="13.7109375" style="1" bestFit="1" customWidth="1"/>
    <col min="7" max="7" width="13.28515625" style="1" bestFit="1" customWidth="1"/>
    <col min="8" max="10" width="11.5703125" style="1" bestFit="1" customWidth="1"/>
    <col min="11" max="11" width="12.7109375" style="1" bestFit="1" customWidth="1"/>
    <col min="12" max="12" width="11.5703125" style="1" bestFit="1" customWidth="1"/>
    <col min="13" max="13" width="12.7109375" style="1" bestFit="1" customWidth="1"/>
    <col min="14" max="17" width="11.5703125" style="1" bestFit="1" customWidth="1"/>
    <col min="18" max="18" width="12.7109375" style="1" bestFit="1" customWidth="1"/>
    <col min="19" max="19" width="6.85546875" style="1" bestFit="1" customWidth="1"/>
    <col min="20" max="16384" width="9.140625" style="1"/>
  </cols>
  <sheetData>
    <row r="2" spans="1:18" ht="25.5" x14ac:dyDescent="0.35">
      <c r="A2" s="14" t="s">
        <v>83</v>
      </c>
      <c r="B2" s="15"/>
      <c r="C2" s="15"/>
      <c r="D2" s="15"/>
      <c r="E2" s="1" t="s">
        <v>96</v>
      </c>
    </row>
    <row r="4" spans="1:18" x14ac:dyDescent="0.25">
      <c r="A4" s="2"/>
      <c r="B4" s="3" t="s">
        <v>21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</row>
    <row r="5" spans="1:18" x14ac:dyDescent="0.25">
      <c r="A5" s="5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8" s="43" customFormat="1" x14ac:dyDescent="0.25">
      <c r="A6" s="42" t="s">
        <v>28</v>
      </c>
      <c r="B6" s="42"/>
      <c r="C6" s="42">
        <v>1070003</v>
      </c>
      <c r="D6" s="42">
        <v>1301278</v>
      </c>
      <c r="E6" s="42">
        <v>983456</v>
      </c>
      <c r="F6" s="42">
        <v>859092</v>
      </c>
      <c r="G6" s="42">
        <v>1361455</v>
      </c>
      <c r="H6" s="42">
        <v>843637</v>
      </c>
      <c r="I6" s="42">
        <v>1028180</v>
      </c>
      <c r="J6" s="42">
        <v>5375290</v>
      </c>
      <c r="K6" s="42">
        <v>2003456</v>
      </c>
      <c r="L6" s="42">
        <v>2346363</v>
      </c>
      <c r="M6" s="42">
        <v>4324183</v>
      </c>
      <c r="N6" s="42">
        <v>3787274</v>
      </c>
      <c r="O6" s="42">
        <v>3724545</v>
      </c>
      <c r="P6" s="42">
        <v>2930909</v>
      </c>
      <c r="Q6" s="42">
        <v>0</v>
      </c>
    </row>
    <row r="7" spans="1:18" s="43" customFormat="1" x14ac:dyDescent="0.25">
      <c r="A7" s="44">
        <v>5</v>
      </c>
      <c r="B7" s="44">
        <f>ROUND(B6/$A$7,0)</f>
        <v>0</v>
      </c>
      <c r="C7" s="44">
        <f t="shared" ref="C7:Q7" si="0">ROUND(C6/$A$7,0)</f>
        <v>214001</v>
      </c>
      <c r="D7" s="44">
        <f t="shared" si="0"/>
        <v>260256</v>
      </c>
      <c r="E7" s="44">
        <f t="shared" si="0"/>
        <v>196691</v>
      </c>
      <c r="F7" s="44">
        <f t="shared" si="0"/>
        <v>171818</v>
      </c>
      <c r="G7" s="44">
        <f t="shared" si="0"/>
        <v>272291</v>
      </c>
      <c r="H7" s="44">
        <f t="shared" si="0"/>
        <v>168727</v>
      </c>
      <c r="I7" s="44">
        <f t="shared" si="0"/>
        <v>205636</v>
      </c>
      <c r="J7" s="44">
        <f t="shared" si="0"/>
        <v>1075058</v>
      </c>
      <c r="K7" s="44">
        <f t="shared" si="0"/>
        <v>400691</v>
      </c>
      <c r="L7" s="44">
        <f t="shared" si="0"/>
        <v>469273</v>
      </c>
      <c r="M7" s="44">
        <f t="shared" si="0"/>
        <v>864837</v>
      </c>
      <c r="N7" s="44">
        <f t="shared" si="0"/>
        <v>757455</v>
      </c>
      <c r="O7" s="44">
        <f t="shared" si="0"/>
        <v>744909</v>
      </c>
      <c r="P7" s="44">
        <f t="shared" si="0"/>
        <v>586182</v>
      </c>
      <c r="Q7" s="44">
        <f t="shared" si="0"/>
        <v>0</v>
      </c>
    </row>
    <row r="8" spans="1:18" s="43" customFormat="1" x14ac:dyDescent="0.25">
      <c r="A8" s="42" t="s">
        <v>33</v>
      </c>
      <c r="B8" s="42">
        <v>27273</v>
      </c>
      <c r="C8" s="42">
        <v>120000</v>
      </c>
      <c r="D8" s="42">
        <v>1346364</v>
      </c>
      <c r="E8" s="42">
        <v>1776178</v>
      </c>
      <c r="F8" s="42">
        <v>2052728</v>
      </c>
      <c r="G8" s="42">
        <v>1975457</v>
      </c>
      <c r="H8" s="42">
        <v>1650000</v>
      </c>
      <c r="I8" s="42">
        <v>1728000</v>
      </c>
      <c r="J8" s="42">
        <v>1195817</v>
      </c>
      <c r="K8" s="42">
        <v>2514547</v>
      </c>
      <c r="L8" s="42">
        <v>4556363</v>
      </c>
      <c r="M8" s="42">
        <v>3145455</v>
      </c>
      <c r="N8" s="42">
        <v>4675454</v>
      </c>
      <c r="O8" s="42">
        <v>3973640</v>
      </c>
      <c r="P8" s="42">
        <v>3262184</v>
      </c>
      <c r="Q8" s="42">
        <v>56364</v>
      </c>
    </row>
    <row r="9" spans="1:18" s="43" customFormat="1" x14ac:dyDescent="0.25">
      <c r="A9" s="44">
        <v>5</v>
      </c>
      <c r="B9" s="44">
        <f>ROUND(B8/$A$7,0)</f>
        <v>5455</v>
      </c>
      <c r="C9" s="44">
        <f t="shared" ref="C9:Q9" si="1">ROUND(C8/$A$7,0)</f>
        <v>24000</v>
      </c>
      <c r="D9" s="44">
        <f t="shared" si="1"/>
        <v>269273</v>
      </c>
      <c r="E9" s="44">
        <f t="shared" si="1"/>
        <v>355236</v>
      </c>
      <c r="F9" s="44">
        <f t="shared" si="1"/>
        <v>410546</v>
      </c>
      <c r="G9" s="44">
        <f t="shared" si="1"/>
        <v>395091</v>
      </c>
      <c r="H9" s="44">
        <f t="shared" si="1"/>
        <v>330000</v>
      </c>
      <c r="I9" s="44">
        <f t="shared" si="1"/>
        <v>345600</v>
      </c>
      <c r="J9" s="44">
        <f t="shared" si="1"/>
        <v>239163</v>
      </c>
      <c r="K9" s="44">
        <f t="shared" si="1"/>
        <v>502909</v>
      </c>
      <c r="L9" s="44">
        <f t="shared" si="1"/>
        <v>911273</v>
      </c>
      <c r="M9" s="44">
        <f t="shared" si="1"/>
        <v>629091</v>
      </c>
      <c r="N9" s="44">
        <f t="shared" si="1"/>
        <v>935091</v>
      </c>
      <c r="O9" s="44">
        <f t="shared" si="1"/>
        <v>794728</v>
      </c>
      <c r="P9" s="44">
        <f t="shared" si="1"/>
        <v>652437</v>
      </c>
      <c r="Q9" s="44">
        <f t="shared" si="1"/>
        <v>11273</v>
      </c>
    </row>
    <row r="10" spans="1:18" s="43" customFormat="1" x14ac:dyDescent="0.25">
      <c r="A10" s="42" t="s">
        <v>35</v>
      </c>
      <c r="B10" s="42"/>
      <c r="C10" s="42">
        <v>631819</v>
      </c>
      <c r="D10" s="42">
        <v>1097271</v>
      </c>
      <c r="E10" s="42">
        <v>1550911</v>
      </c>
      <c r="F10" s="42">
        <v>1122726</v>
      </c>
      <c r="G10" s="42">
        <v>540729</v>
      </c>
      <c r="H10" s="42">
        <v>844548</v>
      </c>
      <c r="I10" s="42">
        <v>1871820</v>
      </c>
      <c r="J10" s="42">
        <v>2287272</v>
      </c>
      <c r="K10" s="42">
        <v>2461819</v>
      </c>
      <c r="L10" s="42">
        <v>3271815</v>
      </c>
      <c r="M10" s="42">
        <v>3460909</v>
      </c>
      <c r="N10" s="42">
        <v>2888093</v>
      </c>
      <c r="O10" s="42">
        <v>2408188</v>
      </c>
      <c r="P10" s="42">
        <v>2804545</v>
      </c>
      <c r="Q10" s="42">
        <v>39091</v>
      </c>
    </row>
    <row r="11" spans="1:18" s="43" customFormat="1" x14ac:dyDescent="0.25">
      <c r="A11" s="44">
        <v>5</v>
      </c>
      <c r="B11" s="44">
        <f>ROUND(B10/$A$7,0)</f>
        <v>0</v>
      </c>
      <c r="C11" s="44">
        <f t="shared" ref="C11:Q11" si="2">ROUND(C10/$A$7,0)</f>
        <v>126364</v>
      </c>
      <c r="D11" s="44">
        <f t="shared" si="2"/>
        <v>219454</v>
      </c>
      <c r="E11" s="44">
        <f t="shared" si="2"/>
        <v>310182</v>
      </c>
      <c r="F11" s="44">
        <f t="shared" si="2"/>
        <v>224545</v>
      </c>
      <c r="G11" s="44">
        <f t="shared" si="2"/>
        <v>108146</v>
      </c>
      <c r="H11" s="44">
        <f t="shared" si="2"/>
        <v>168910</v>
      </c>
      <c r="I11" s="44">
        <f t="shared" si="2"/>
        <v>374364</v>
      </c>
      <c r="J11" s="44">
        <f t="shared" si="2"/>
        <v>457454</v>
      </c>
      <c r="K11" s="44">
        <f t="shared" si="2"/>
        <v>492364</v>
      </c>
      <c r="L11" s="44">
        <f t="shared" si="2"/>
        <v>654363</v>
      </c>
      <c r="M11" s="44">
        <f t="shared" si="2"/>
        <v>692182</v>
      </c>
      <c r="N11" s="44">
        <f t="shared" si="2"/>
        <v>577619</v>
      </c>
      <c r="O11" s="44">
        <f t="shared" si="2"/>
        <v>481638</v>
      </c>
      <c r="P11" s="44">
        <f t="shared" si="2"/>
        <v>560909</v>
      </c>
      <c r="Q11" s="44">
        <f t="shared" si="2"/>
        <v>7818</v>
      </c>
    </row>
    <row r="12" spans="1:18" s="43" customFormat="1" x14ac:dyDescent="0.25">
      <c r="A12" s="42" t="s">
        <v>37</v>
      </c>
      <c r="B12" s="42"/>
      <c r="C12" s="42">
        <v>1130910</v>
      </c>
      <c r="D12" s="42">
        <v>1807276</v>
      </c>
      <c r="E12" s="42">
        <v>2298183</v>
      </c>
      <c r="F12" s="42">
        <v>1763637</v>
      </c>
      <c r="G12" s="42">
        <v>1921817</v>
      </c>
      <c r="H12" s="42">
        <v>1953637</v>
      </c>
      <c r="I12" s="42">
        <v>1267272</v>
      </c>
      <c r="J12" s="42">
        <v>1804547</v>
      </c>
      <c r="K12" s="42">
        <v>2033635</v>
      </c>
      <c r="L12" s="42">
        <v>3149998</v>
      </c>
      <c r="M12" s="42">
        <v>3022728</v>
      </c>
      <c r="N12" s="42">
        <v>6094545</v>
      </c>
      <c r="O12" s="42">
        <v>5646468</v>
      </c>
      <c r="P12" s="42">
        <v>3119092</v>
      </c>
      <c r="Q12" s="42">
        <v>0</v>
      </c>
    </row>
    <row r="13" spans="1:18" s="43" customFormat="1" x14ac:dyDescent="0.25">
      <c r="A13" s="44">
        <v>5</v>
      </c>
      <c r="B13" s="44">
        <f>ROUND(B12/$A$7,0)</f>
        <v>0</v>
      </c>
      <c r="C13" s="44">
        <f t="shared" ref="C13:Q13" si="3">ROUND(C12/$A$7,0)</f>
        <v>226182</v>
      </c>
      <c r="D13" s="44">
        <f t="shared" si="3"/>
        <v>361455</v>
      </c>
      <c r="E13" s="44">
        <f t="shared" si="3"/>
        <v>459637</v>
      </c>
      <c r="F13" s="44">
        <f t="shared" si="3"/>
        <v>352727</v>
      </c>
      <c r="G13" s="44">
        <f t="shared" si="3"/>
        <v>384363</v>
      </c>
      <c r="H13" s="44">
        <f t="shared" si="3"/>
        <v>390727</v>
      </c>
      <c r="I13" s="44">
        <f t="shared" si="3"/>
        <v>253454</v>
      </c>
      <c r="J13" s="44">
        <f t="shared" si="3"/>
        <v>360909</v>
      </c>
      <c r="K13" s="44">
        <f t="shared" si="3"/>
        <v>406727</v>
      </c>
      <c r="L13" s="44">
        <f t="shared" si="3"/>
        <v>630000</v>
      </c>
      <c r="M13" s="44">
        <f t="shared" si="3"/>
        <v>604546</v>
      </c>
      <c r="N13" s="44">
        <f t="shared" si="3"/>
        <v>1218909</v>
      </c>
      <c r="O13" s="44">
        <f t="shared" si="3"/>
        <v>1129294</v>
      </c>
      <c r="P13" s="44">
        <f t="shared" si="3"/>
        <v>623818</v>
      </c>
      <c r="Q13" s="44">
        <f t="shared" si="3"/>
        <v>0</v>
      </c>
    </row>
    <row r="14" spans="1:18" s="43" customFormat="1" x14ac:dyDescent="0.25">
      <c r="A14" s="70" t="s">
        <v>40</v>
      </c>
      <c r="B14" s="70">
        <f>ROUND((B7+B9+B11+B13)/4,0)</f>
        <v>1364</v>
      </c>
      <c r="C14" s="70">
        <f t="shared" ref="C14:Q14" si="4">ROUND((C7+C9+C11+C13)/4,0)</f>
        <v>147637</v>
      </c>
      <c r="D14" s="70">
        <f t="shared" si="4"/>
        <v>277610</v>
      </c>
      <c r="E14" s="70">
        <f t="shared" si="4"/>
        <v>330437</v>
      </c>
      <c r="F14" s="70">
        <f t="shared" si="4"/>
        <v>289909</v>
      </c>
      <c r="G14" s="70">
        <f t="shared" si="4"/>
        <v>289973</v>
      </c>
      <c r="H14" s="70">
        <f t="shared" si="4"/>
        <v>264591</v>
      </c>
      <c r="I14" s="70">
        <f t="shared" si="4"/>
        <v>294764</v>
      </c>
      <c r="J14" s="70">
        <f t="shared" si="4"/>
        <v>533146</v>
      </c>
      <c r="K14" s="70">
        <f t="shared" si="4"/>
        <v>450673</v>
      </c>
      <c r="L14" s="70">
        <f t="shared" si="4"/>
        <v>666227</v>
      </c>
      <c r="M14" s="70">
        <f t="shared" si="4"/>
        <v>697664</v>
      </c>
      <c r="N14" s="70">
        <f t="shared" si="4"/>
        <v>872269</v>
      </c>
      <c r="O14" s="70">
        <f t="shared" si="4"/>
        <v>787642</v>
      </c>
      <c r="P14" s="70">
        <f t="shared" si="4"/>
        <v>605837</v>
      </c>
      <c r="Q14" s="70">
        <f t="shared" si="4"/>
        <v>4773</v>
      </c>
    </row>
    <row r="15" spans="1:18" s="37" customFormat="1" x14ac:dyDescent="0.25">
      <c r="A15" s="45" t="s">
        <v>302</v>
      </c>
      <c r="B15" s="45">
        <f>B14</f>
        <v>1364</v>
      </c>
      <c r="C15" s="45">
        <f t="shared" ref="C15:Q15" si="5">C14</f>
        <v>147637</v>
      </c>
      <c r="D15" s="45">
        <f t="shared" si="5"/>
        <v>277610</v>
      </c>
      <c r="E15" s="45">
        <f t="shared" si="5"/>
        <v>330437</v>
      </c>
      <c r="F15" s="45">
        <f t="shared" si="5"/>
        <v>289909</v>
      </c>
      <c r="G15" s="45">
        <f t="shared" si="5"/>
        <v>289973</v>
      </c>
      <c r="H15" s="45">
        <f t="shared" si="5"/>
        <v>264591</v>
      </c>
      <c r="I15" s="45">
        <f t="shared" si="5"/>
        <v>294764</v>
      </c>
      <c r="J15" s="45">
        <f t="shared" si="5"/>
        <v>533146</v>
      </c>
      <c r="K15" s="45">
        <f t="shared" si="5"/>
        <v>450673</v>
      </c>
      <c r="L15" s="45">
        <f t="shared" si="5"/>
        <v>666227</v>
      </c>
      <c r="M15" s="45">
        <f t="shared" si="5"/>
        <v>697664</v>
      </c>
      <c r="N15" s="45">
        <f t="shared" si="5"/>
        <v>872269</v>
      </c>
      <c r="O15" s="45">
        <f t="shared" si="5"/>
        <v>787642</v>
      </c>
      <c r="P15" s="45">
        <f t="shared" si="5"/>
        <v>605837</v>
      </c>
      <c r="Q15" s="45">
        <f t="shared" si="5"/>
        <v>4773</v>
      </c>
      <c r="R15" s="37">
        <f t="shared" ref="R15:R16" si="6">SUM(B15:Q15)</f>
        <v>6514516</v>
      </c>
    </row>
    <row r="16" spans="1:18" x14ac:dyDescent="0.25">
      <c r="A16" s="12" t="s">
        <v>303</v>
      </c>
      <c r="B16" s="12">
        <v>2</v>
      </c>
      <c r="C16" s="12">
        <v>2</v>
      </c>
      <c r="D16" s="12">
        <v>2</v>
      </c>
      <c r="E16" s="12">
        <v>2</v>
      </c>
      <c r="F16" s="12">
        <v>2</v>
      </c>
      <c r="G16" s="12">
        <v>2</v>
      </c>
      <c r="H16" s="12">
        <v>2</v>
      </c>
      <c r="I16" s="12">
        <v>2</v>
      </c>
      <c r="J16" s="12">
        <v>2</v>
      </c>
      <c r="K16" s="12">
        <v>2</v>
      </c>
      <c r="L16" s="12">
        <v>2</v>
      </c>
      <c r="M16" s="12">
        <v>2</v>
      </c>
      <c r="N16" s="12">
        <v>2</v>
      </c>
      <c r="O16" s="12">
        <v>2</v>
      </c>
      <c r="P16" s="12">
        <v>2</v>
      </c>
      <c r="Q16" s="2"/>
      <c r="R16" s="37">
        <f t="shared" si="6"/>
        <v>30</v>
      </c>
    </row>
    <row r="17" spans="1:19" x14ac:dyDescent="0.25">
      <c r="A17" s="12" t="s">
        <v>304</v>
      </c>
      <c r="B17" s="46">
        <f>B16*18000</f>
        <v>36000</v>
      </c>
      <c r="C17" s="46">
        <f t="shared" ref="C17:P17" si="7">C16*18000</f>
        <v>36000</v>
      </c>
      <c r="D17" s="46">
        <f t="shared" si="7"/>
        <v>36000</v>
      </c>
      <c r="E17" s="46">
        <f t="shared" si="7"/>
        <v>36000</v>
      </c>
      <c r="F17" s="46">
        <f t="shared" si="7"/>
        <v>36000</v>
      </c>
      <c r="G17" s="46">
        <f t="shared" si="7"/>
        <v>36000</v>
      </c>
      <c r="H17" s="46">
        <f t="shared" si="7"/>
        <v>36000</v>
      </c>
      <c r="I17" s="46">
        <f t="shared" si="7"/>
        <v>36000</v>
      </c>
      <c r="J17" s="46">
        <f t="shared" si="7"/>
        <v>36000</v>
      </c>
      <c r="K17" s="46">
        <f t="shared" si="7"/>
        <v>36000</v>
      </c>
      <c r="L17" s="46">
        <f t="shared" si="7"/>
        <v>36000</v>
      </c>
      <c r="M17" s="46">
        <f t="shared" si="7"/>
        <v>36000</v>
      </c>
      <c r="N17" s="46">
        <f t="shared" si="7"/>
        <v>36000</v>
      </c>
      <c r="O17" s="46">
        <f t="shared" si="7"/>
        <v>36000</v>
      </c>
      <c r="P17" s="46">
        <f t="shared" si="7"/>
        <v>36000</v>
      </c>
      <c r="Q17" s="2"/>
      <c r="R17" s="37">
        <f>SUM(B17:Q17)</f>
        <v>540000</v>
      </c>
      <c r="S17" s="47">
        <f>R17/R15</f>
        <v>8.2891806544031818E-2</v>
      </c>
    </row>
    <row r="19" spans="1:19" x14ac:dyDescent="0.25">
      <c r="A19" s="13" t="s">
        <v>75</v>
      </c>
    </row>
    <row r="20" spans="1:19" x14ac:dyDescent="0.25">
      <c r="A20" s="2" t="s">
        <v>78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/>
      <c r="K20" s="2"/>
      <c r="L20" s="2"/>
      <c r="M20" s="2"/>
      <c r="N20" s="2"/>
      <c r="O20" s="2"/>
      <c r="P20" s="2"/>
      <c r="Q20" s="2"/>
    </row>
    <row r="21" spans="1:19" x14ac:dyDescent="0.25">
      <c r="A21" s="2" t="s">
        <v>78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/>
      <c r="K21" s="2"/>
      <c r="L21" s="2"/>
      <c r="M21" s="2"/>
      <c r="N21" s="2"/>
      <c r="O21" s="2"/>
      <c r="P21" s="2"/>
      <c r="Q21" s="2"/>
    </row>
    <row r="22" spans="1:19" x14ac:dyDescent="0.25">
      <c r="A22" s="2" t="s">
        <v>86</v>
      </c>
      <c r="B22" s="2"/>
      <c r="C22" s="2"/>
      <c r="D22" s="2"/>
      <c r="E22" s="2"/>
      <c r="F22" s="2"/>
      <c r="G22" s="2"/>
      <c r="H22" s="2"/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/>
    </row>
    <row r="23" spans="1:19" x14ac:dyDescent="0.25">
      <c r="A23" s="2" t="s">
        <v>117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v>1</v>
      </c>
      <c r="N23" s="2">
        <v>1</v>
      </c>
      <c r="O23" s="2">
        <v>1</v>
      </c>
      <c r="P23" s="2">
        <v>1</v>
      </c>
      <c r="Q23" s="2"/>
    </row>
    <row r="24" spans="1:19" x14ac:dyDescent="0.25">
      <c r="A24" s="2" t="s">
        <v>171</v>
      </c>
      <c r="B24" s="2"/>
      <c r="C24" s="2"/>
      <c r="D24" s="2"/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/>
      <c r="N24" s="2"/>
      <c r="O24" s="2"/>
      <c r="P24" s="2"/>
      <c r="Q24" s="2"/>
    </row>
    <row r="25" spans="1:19" x14ac:dyDescent="0.25">
      <c r="A25" s="7" t="s">
        <v>303</v>
      </c>
      <c r="B25" s="7">
        <f>SUM(B20:B24)</f>
        <v>2</v>
      </c>
      <c r="C25" s="7">
        <f t="shared" ref="C25:Q25" si="8">SUM(C20:C24)</f>
        <v>2</v>
      </c>
      <c r="D25" s="7">
        <f t="shared" si="8"/>
        <v>2</v>
      </c>
      <c r="E25" s="7">
        <f t="shared" si="8"/>
        <v>3</v>
      </c>
      <c r="F25" s="7">
        <f t="shared" si="8"/>
        <v>3</v>
      </c>
      <c r="G25" s="7">
        <f t="shared" si="8"/>
        <v>3</v>
      </c>
      <c r="H25" s="7">
        <f t="shared" si="8"/>
        <v>3</v>
      </c>
      <c r="I25" s="7">
        <f t="shared" si="8"/>
        <v>4</v>
      </c>
      <c r="J25" s="7">
        <f t="shared" si="8"/>
        <v>2</v>
      </c>
      <c r="K25" s="7">
        <f t="shared" si="8"/>
        <v>2</v>
      </c>
      <c r="L25" s="7">
        <f t="shared" si="8"/>
        <v>2</v>
      </c>
      <c r="M25" s="7">
        <f t="shared" si="8"/>
        <v>2</v>
      </c>
      <c r="N25" s="7">
        <f t="shared" si="8"/>
        <v>2</v>
      </c>
      <c r="O25" s="7">
        <f t="shared" si="8"/>
        <v>2</v>
      </c>
      <c r="P25" s="7">
        <f t="shared" si="8"/>
        <v>2</v>
      </c>
      <c r="Q25" s="7">
        <f t="shared" si="8"/>
        <v>0</v>
      </c>
      <c r="R25" s="1">
        <f>SUM(B25:Q25)</f>
        <v>36</v>
      </c>
    </row>
    <row r="26" spans="1:19" x14ac:dyDescent="0.25">
      <c r="A26" s="12" t="s">
        <v>304</v>
      </c>
      <c r="B26" s="46">
        <f>B25*18000</f>
        <v>36000</v>
      </c>
      <c r="C26" s="46">
        <f t="shared" ref="C26:Q26" si="9">C25*18000</f>
        <v>36000</v>
      </c>
      <c r="D26" s="46">
        <f t="shared" si="9"/>
        <v>36000</v>
      </c>
      <c r="E26" s="46">
        <f t="shared" si="9"/>
        <v>54000</v>
      </c>
      <c r="F26" s="46">
        <f t="shared" si="9"/>
        <v>54000</v>
      </c>
      <c r="G26" s="46">
        <f t="shared" si="9"/>
        <v>54000</v>
      </c>
      <c r="H26" s="46">
        <f t="shared" si="9"/>
        <v>54000</v>
      </c>
      <c r="I26" s="46">
        <f t="shared" si="9"/>
        <v>72000</v>
      </c>
      <c r="J26" s="46">
        <f t="shared" si="9"/>
        <v>36000</v>
      </c>
      <c r="K26" s="46">
        <f t="shared" si="9"/>
        <v>36000</v>
      </c>
      <c r="L26" s="46">
        <f t="shared" si="9"/>
        <v>36000</v>
      </c>
      <c r="M26" s="46">
        <f t="shared" si="9"/>
        <v>36000</v>
      </c>
      <c r="N26" s="46">
        <f t="shared" si="9"/>
        <v>36000</v>
      </c>
      <c r="O26" s="46">
        <f t="shared" si="9"/>
        <v>36000</v>
      </c>
      <c r="P26" s="46">
        <f t="shared" si="9"/>
        <v>36000</v>
      </c>
      <c r="Q26" s="46">
        <f t="shared" si="9"/>
        <v>0</v>
      </c>
      <c r="R26" s="43">
        <f>SUM(B26:Q26)</f>
        <v>648000</v>
      </c>
      <c r="S26" s="47">
        <f>R26/R15</f>
        <v>9.9470167852838187E-2</v>
      </c>
    </row>
    <row r="28" spans="1:19" x14ac:dyDescent="0.25">
      <c r="A28" s="5" t="s">
        <v>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9" s="43" customFormat="1" x14ac:dyDescent="0.25">
      <c r="A29" s="42" t="s">
        <v>30</v>
      </c>
      <c r="B29" s="42"/>
      <c r="C29" s="42">
        <v>316360</v>
      </c>
      <c r="D29" s="42">
        <v>1181636</v>
      </c>
      <c r="E29" s="42">
        <v>1394546</v>
      </c>
      <c r="F29" s="42">
        <v>894544</v>
      </c>
      <c r="G29" s="42">
        <v>1093637</v>
      </c>
      <c r="H29" s="42">
        <v>1388181</v>
      </c>
      <c r="I29" s="42">
        <v>842725</v>
      </c>
      <c r="J29" s="42">
        <v>1587273</v>
      </c>
      <c r="K29" s="42">
        <v>1140001</v>
      </c>
      <c r="L29" s="42">
        <v>1976366</v>
      </c>
      <c r="M29" s="42">
        <v>1825911</v>
      </c>
      <c r="N29" s="42">
        <v>2071089</v>
      </c>
      <c r="O29" s="42">
        <v>3237271</v>
      </c>
      <c r="P29" s="42">
        <v>1844547</v>
      </c>
      <c r="Q29" s="42">
        <v>236364</v>
      </c>
    </row>
    <row r="30" spans="1:19" s="43" customFormat="1" x14ac:dyDescent="0.25">
      <c r="A30" s="44">
        <v>2</v>
      </c>
      <c r="B30" s="44">
        <f t="shared" ref="B30:Q30" si="10">ROUND((B29)/$A$30,0)</f>
        <v>0</v>
      </c>
      <c r="C30" s="44">
        <f t="shared" si="10"/>
        <v>158180</v>
      </c>
      <c r="D30" s="44">
        <f t="shared" si="10"/>
        <v>590818</v>
      </c>
      <c r="E30" s="44">
        <f t="shared" si="10"/>
        <v>697273</v>
      </c>
      <c r="F30" s="44">
        <f t="shared" si="10"/>
        <v>447272</v>
      </c>
      <c r="G30" s="44">
        <f t="shared" si="10"/>
        <v>546819</v>
      </c>
      <c r="H30" s="44">
        <f t="shared" si="10"/>
        <v>694091</v>
      </c>
      <c r="I30" s="44">
        <f t="shared" si="10"/>
        <v>421363</v>
      </c>
      <c r="J30" s="44">
        <f t="shared" si="10"/>
        <v>793637</v>
      </c>
      <c r="K30" s="44">
        <f t="shared" si="10"/>
        <v>570001</v>
      </c>
      <c r="L30" s="44">
        <f t="shared" si="10"/>
        <v>988183</v>
      </c>
      <c r="M30" s="44">
        <f t="shared" si="10"/>
        <v>912956</v>
      </c>
      <c r="N30" s="44">
        <f t="shared" si="10"/>
        <v>1035545</v>
      </c>
      <c r="O30" s="44">
        <f t="shared" si="10"/>
        <v>1618636</v>
      </c>
      <c r="P30" s="44">
        <f t="shared" si="10"/>
        <v>922274</v>
      </c>
      <c r="Q30" s="44">
        <f t="shared" si="10"/>
        <v>118182</v>
      </c>
    </row>
    <row r="31" spans="1:19" s="43" customFormat="1" x14ac:dyDescent="0.25">
      <c r="A31" s="42" t="s">
        <v>34</v>
      </c>
      <c r="B31" s="42"/>
      <c r="C31" s="42">
        <v>211817</v>
      </c>
      <c r="D31" s="42">
        <v>1189089</v>
      </c>
      <c r="E31" s="42">
        <v>999093</v>
      </c>
      <c r="F31" s="42">
        <v>1610907</v>
      </c>
      <c r="G31" s="42">
        <v>1143635</v>
      </c>
      <c r="H31" s="42">
        <v>384545</v>
      </c>
      <c r="I31" s="42">
        <v>882728</v>
      </c>
      <c r="J31" s="42">
        <v>690001</v>
      </c>
      <c r="K31" s="42">
        <v>1076361</v>
      </c>
      <c r="L31" s="42">
        <v>1829091</v>
      </c>
      <c r="M31" s="42">
        <v>802730</v>
      </c>
      <c r="N31" s="42">
        <v>2001639</v>
      </c>
      <c r="O31" s="42">
        <v>2876184</v>
      </c>
      <c r="P31" s="42">
        <v>1885455</v>
      </c>
      <c r="Q31" s="42">
        <v>432727</v>
      </c>
    </row>
    <row r="32" spans="1:19" s="43" customFormat="1" x14ac:dyDescent="0.25">
      <c r="A32" s="44">
        <v>2</v>
      </c>
      <c r="B32" s="44">
        <f>ROUND((B31)/$A$30,0)</f>
        <v>0</v>
      </c>
      <c r="C32" s="44">
        <f t="shared" ref="C32:Q32" si="11">ROUND((C31)/$A$30,0)</f>
        <v>105909</v>
      </c>
      <c r="D32" s="44">
        <f t="shared" si="11"/>
        <v>594545</v>
      </c>
      <c r="E32" s="44">
        <f t="shared" si="11"/>
        <v>499547</v>
      </c>
      <c r="F32" s="44">
        <f t="shared" si="11"/>
        <v>805454</v>
      </c>
      <c r="G32" s="44">
        <f t="shared" si="11"/>
        <v>571818</v>
      </c>
      <c r="H32" s="44">
        <f t="shared" si="11"/>
        <v>192273</v>
      </c>
      <c r="I32" s="44">
        <f t="shared" si="11"/>
        <v>441364</v>
      </c>
      <c r="J32" s="44">
        <f t="shared" si="11"/>
        <v>345001</v>
      </c>
      <c r="K32" s="44">
        <f t="shared" si="11"/>
        <v>538181</v>
      </c>
      <c r="L32" s="44">
        <f t="shared" si="11"/>
        <v>914546</v>
      </c>
      <c r="M32" s="44">
        <f t="shared" si="11"/>
        <v>401365</v>
      </c>
      <c r="N32" s="44">
        <f t="shared" si="11"/>
        <v>1000820</v>
      </c>
      <c r="O32" s="44">
        <f t="shared" si="11"/>
        <v>1438092</v>
      </c>
      <c r="P32" s="44">
        <f t="shared" si="11"/>
        <v>942728</v>
      </c>
      <c r="Q32" s="44">
        <f t="shared" si="11"/>
        <v>216364</v>
      </c>
    </row>
    <row r="33" spans="1:19" s="43" customFormat="1" x14ac:dyDescent="0.25">
      <c r="A33" s="42" t="s">
        <v>36</v>
      </c>
      <c r="B33" s="42"/>
      <c r="C33" s="42">
        <v>30909</v>
      </c>
      <c r="D33" s="42">
        <v>877275</v>
      </c>
      <c r="E33" s="42">
        <v>1798365</v>
      </c>
      <c r="F33" s="42">
        <v>1143636</v>
      </c>
      <c r="G33" s="42">
        <v>1334543</v>
      </c>
      <c r="H33" s="42">
        <v>1574364</v>
      </c>
      <c r="I33" s="42">
        <v>1563632</v>
      </c>
      <c r="J33" s="42">
        <v>1299090</v>
      </c>
      <c r="K33" s="42">
        <v>1530913</v>
      </c>
      <c r="L33" s="42">
        <v>1140906</v>
      </c>
      <c r="M33" s="42">
        <v>2970001</v>
      </c>
      <c r="N33" s="42">
        <v>4990911</v>
      </c>
      <c r="O33" s="42">
        <v>4409095</v>
      </c>
      <c r="P33" s="42">
        <v>2281816</v>
      </c>
      <c r="Q33" s="42">
        <v>151820</v>
      </c>
    </row>
    <row r="34" spans="1:19" s="43" customFormat="1" x14ac:dyDescent="0.25">
      <c r="A34" s="44">
        <v>2</v>
      </c>
      <c r="B34" s="44">
        <f>ROUND((B33)/$A$30,0)</f>
        <v>0</v>
      </c>
      <c r="C34" s="44">
        <f t="shared" ref="C34:Q36" si="12">ROUND((C33)/$A$30,0)</f>
        <v>15455</v>
      </c>
      <c r="D34" s="44">
        <f t="shared" si="12"/>
        <v>438638</v>
      </c>
      <c r="E34" s="44">
        <f t="shared" si="12"/>
        <v>899183</v>
      </c>
      <c r="F34" s="44">
        <f t="shared" si="12"/>
        <v>571818</v>
      </c>
      <c r="G34" s="44">
        <f t="shared" si="12"/>
        <v>667272</v>
      </c>
      <c r="H34" s="44">
        <f t="shared" si="12"/>
        <v>787182</v>
      </c>
      <c r="I34" s="44">
        <f t="shared" si="12"/>
        <v>781816</v>
      </c>
      <c r="J34" s="44">
        <f t="shared" si="12"/>
        <v>649545</v>
      </c>
      <c r="K34" s="44">
        <f t="shared" si="12"/>
        <v>765457</v>
      </c>
      <c r="L34" s="44">
        <f t="shared" si="12"/>
        <v>570453</v>
      </c>
      <c r="M34" s="44">
        <f t="shared" si="12"/>
        <v>1485001</v>
      </c>
      <c r="N34" s="44">
        <f t="shared" si="12"/>
        <v>2495456</v>
      </c>
      <c r="O34" s="44">
        <f t="shared" si="12"/>
        <v>2204548</v>
      </c>
      <c r="P34" s="44">
        <f t="shared" si="12"/>
        <v>1140908</v>
      </c>
      <c r="Q34" s="44">
        <f t="shared" si="12"/>
        <v>75910</v>
      </c>
    </row>
    <row r="35" spans="1:19" s="43" customFormat="1" x14ac:dyDescent="0.25">
      <c r="A35" s="42" t="s">
        <v>41</v>
      </c>
      <c r="B35" s="42">
        <v>30909</v>
      </c>
      <c r="C35" s="42">
        <v>697272</v>
      </c>
      <c r="D35" s="42">
        <v>2431637</v>
      </c>
      <c r="E35" s="42">
        <v>941818</v>
      </c>
      <c r="F35" s="42">
        <v>1280003</v>
      </c>
      <c r="G35" s="42">
        <v>1372276</v>
      </c>
      <c r="H35" s="42">
        <v>1032729</v>
      </c>
      <c r="I35" s="42">
        <v>1045091</v>
      </c>
      <c r="J35" s="42">
        <v>859091</v>
      </c>
      <c r="K35" s="42">
        <v>1891819</v>
      </c>
      <c r="L35" s="42">
        <v>1540000</v>
      </c>
      <c r="M35" s="42">
        <v>2904000</v>
      </c>
      <c r="N35" s="42">
        <v>3372729</v>
      </c>
      <c r="O35" s="42">
        <v>3818182</v>
      </c>
      <c r="P35" s="42">
        <v>2224548</v>
      </c>
      <c r="Q35" s="42">
        <v>18182</v>
      </c>
    </row>
    <row r="36" spans="1:19" s="43" customFormat="1" x14ac:dyDescent="0.25">
      <c r="A36" s="44">
        <v>2</v>
      </c>
      <c r="B36" s="44">
        <f>ROUND((B35)/$A$30,0)</f>
        <v>15455</v>
      </c>
      <c r="C36" s="44">
        <f t="shared" si="12"/>
        <v>348636</v>
      </c>
      <c r="D36" s="44">
        <f t="shared" si="12"/>
        <v>1215819</v>
      </c>
      <c r="E36" s="44">
        <f t="shared" si="12"/>
        <v>470909</v>
      </c>
      <c r="F36" s="44">
        <f t="shared" si="12"/>
        <v>640002</v>
      </c>
      <c r="G36" s="44">
        <f t="shared" si="12"/>
        <v>686138</v>
      </c>
      <c r="H36" s="44">
        <f t="shared" si="12"/>
        <v>516365</v>
      </c>
      <c r="I36" s="44">
        <f t="shared" si="12"/>
        <v>522546</v>
      </c>
      <c r="J36" s="44">
        <f t="shared" si="12"/>
        <v>429546</v>
      </c>
      <c r="K36" s="44">
        <f t="shared" si="12"/>
        <v>945910</v>
      </c>
      <c r="L36" s="44">
        <f t="shared" si="12"/>
        <v>770000</v>
      </c>
      <c r="M36" s="44">
        <f t="shared" si="12"/>
        <v>1452000</v>
      </c>
      <c r="N36" s="44">
        <f t="shared" si="12"/>
        <v>1686365</v>
      </c>
      <c r="O36" s="44">
        <f t="shared" si="12"/>
        <v>1909091</v>
      </c>
      <c r="P36" s="44">
        <f t="shared" si="12"/>
        <v>1112274</v>
      </c>
      <c r="Q36" s="44">
        <f t="shared" si="12"/>
        <v>9091</v>
      </c>
    </row>
    <row r="37" spans="1:19" s="43" customFormat="1" x14ac:dyDescent="0.25">
      <c r="A37" s="70" t="s">
        <v>40</v>
      </c>
      <c r="B37" s="70">
        <f>ROUND((B35+B34+B32+B30)/4,0)</f>
        <v>7727</v>
      </c>
      <c r="C37" s="70">
        <f t="shared" ref="C37:Q37" si="13">ROUND((C35+C34+C32+C30)/4,0)</f>
        <v>244204</v>
      </c>
      <c r="D37" s="70">
        <f t="shared" si="13"/>
        <v>1013910</v>
      </c>
      <c r="E37" s="70">
        <f t="shared" si="13"/>
        <v>759455</v>
      </c>
      <c r="F37" s="70">
        <f t="shared" si="13"/>
        <v>776137</v>
      </c>
      <c r="G37" s="70">
        <f t="shared" si="13"/>
        <v>789546</v>
      </c>
      <c r="H37" s="70">
        <f t="shared" si="13"/>
        <v>676569</v>
      </c>
      <c r="I37" s="70">
        <f t="shared" si="13"/>
        <v>672409</v>
      </c>
      <c r="J37" s="70">
        <f t="shared" si="13"/>
        <v>661819</v>
      </c>
      <c r="K37" s="70">
        <f t="shared" si="13"/>
        <v>941365</v>
      </c>
      <c r="L37" s="70">
        <f t="shared" si="13"/>
        <v>1003296</v>
      </c>
      <c r="M37" s="70">
        <f t="shared" si="13"/>
        <v>1425831</v>
      </c>
      <c r="N37" s="70">
        <f t="shared" si="13"/>
        <v>1976138</v>
      </c>
      <c r="O37" s="70">
        <f t="shared" si="13"/>
        <v>2269865</v>
      </c>
      <c r="P37" s="70">
        <f t="shared" si="13"/>
        <v>1307615</v>
      </c>
      <c r="Q37" s="70">
        <f t="shared" si="13"/>
        <v>107160</v>
      </c>
    </row>
    <row r="38" spans="1:19" s="37" customFormat="1" x14ac:dyDescent="0.25">
      <c r="A38" s="45" t="s">
        <v>302</v>
      </c>
      <c r="B38" s="45">
        <f>B37</f>
        <v>7727</v>
      </c>
      <c r="C38" s="45">
        <f t="shared" ref="C38:Q38" si="14">C37</f>
        <v>244204</v>
      </c>
      <c r="D38" s="45">
        <f t="shared" si="14"/>
        <v>1013910</v>
      </c>
      <c r="E38" s="45">
        <f t="shared" si="14"/>
        <v>759455</v>
      </c>
      <c r="F38" s="45">
        <f t="shared" si="14"/>
        <v>776137</v>
      </c>
      <c r="G38" s="45">
        <f t="shared" si="14"/>
        <v>789546</v>
      </c>
      <c r="H38" s="45">
        <f t="shared" si="14"/>
        <v>676569</v>
      </c>
      <c r="I38" s="45">
        <f t="shared" si="14"/>
        <v>672409</v>
      </c>
      <c r="J38" s="45">
        <f t="shared" si="14"/>
        <v>661819</v>
      </c>
      <c r="K38" s="45">
        <f t="shared" si="14"/>
        <v>941365</v>
      </c>
      <c r="L38" s="45">
        <f t="shared" si="14"/>
        <v>1003296</v>
      </c>
      <c r="M38" s="45">
        <f t="shared" si="14"/>
        <v>1425831</v>
      </c>
      <c r="N38" s="45">
        <f t="shared" si="14"/>
        <v>1976138</v>
      </c>
      <c r="O38" s="45">
        <f t="shared" si="14"/>
        <v>2269865</v>
      </c>
      <c r="P38" s="45">
        <f t="shared" si="14"/>
        <v>1307615</v>
      </c>
      <c r="Q38" s="45">
        <f t="shared" si="14"/>
        <v>107160</v>
      </c>
      <c r="R38" s="37">
        <f t="shared" ref="R38:R39" si="15">SUM(B38:Q38)</f>
        <v>14633046</v>
      </c>
    </row>
    <row r="39" spans="1:19" x14ac:dyDescent="0.25">
      <c r="A39" s="12" t="s">
        <v>303</v>
      </c>
      <c r="B39" s="12">
        <v>2</v>
      </c>
      <c r="C39" s="12">
        <v>2</v>
      </c>
      <c r="D39" s="12">
        <v>3</v>
      </c>
      <c r="E39" s="12">
        <v>2</v>
      </c>
      <c r="F39" s="12">
        <v>2</v>
      </c>
      <c r="G39" s="12">
        <v>2</v>
      </c>
      <c r="H39" s="12">
        <v>2</v>
      </c>
      <c r="I39" s="12">
        <v>2</v>
      </c>
      <c r="J39" s="12">
        <v>2</v>
      </c>
      <c r="K39" s="12">
        <v>2</v>
      </c>
      <c r="L39" s="12">
        <v>3</v>
      </c>
      <c r="M39" s="12">
        <v>3</v>
      </c>
      <c r="N39" s="12">
        <v>3</v>
      </c>
      <c r="O39" s="12">
        <v>3</v>
      </c>
      <c r="P39" s="12">
        <v>3</v>
      </c>
      <c r="Q39" s="2"/>
      <c r="R39" s="37">
        <f t="shared" si="15"/>
        <v>36</v>
      </c>
    </row>
    <row r="40" spans="1:19" x14ac:dyDescent="0.25">
      <c r="A40" s="12" t="s">
        <v>304</v>
      </c>
      <c r="B40" s="46">
        <f>B39*18000</f>
        <v>36000</v>
      </c>
      <c r="C40" s="46">
        <f t="shared" ref="C40:P40" si="16">C39*18000</f>
        <v>36000</v>
      </c>
      <c r="D40" s="46">
        <f t="shared" si="16"/>
        <v>54000</v>
      </c>
      <c r="E40" s="46">
        <f t="shared" si="16"/>
        <v>36000</v>
      </c>
      <c r="F40" s="46">
        <f t="shared" si="16"/>
        <v>36000</v>
      </c>
      <c r="G40" s="46">
        <f t="shared" si="16"/>
        <v>36000</v>
      </c>
      <c r="H40" s="46">
        <f t="shared" si="16"/>
        <v>36000</v>
      </c>
      <c r="I40" s="46">
        <f t="shared" si="16"/>
        <v>36000</v>
      </c>
      <c r="J40" s="46">
        <f t="shared" si="16"/>
        <v>36000</v>
      </c>
      <c r="K40" s="46">
        <f t="shared" si="16"/>
        <v>36000</v>
      </c>
      <c r="L40" s="46">
        <f t="shared" si="16"/>
        <v>54000</v>
      </c>
      <c r="M40" s="46">
        <f t="shared" si="16"/>
        <v>54000</v>
      </c>
      <c r="N40" s="46">
        <f t="shared" si="16"/>
        <v>54000</v>
      </c>
      <c r="O40" s="46">
        <f t="shared" si="16"/>
        <v>54000</v>
      </c>
      <c r="P40" s="46">
        <f t="shared" si="16"/>
        <v>54000</v>
      </c>
      <c r="Q40" s="2"/>
      <c r="R40" s="37">
        <f>SUM(B40:Q40)</f>
        <v>648000</v>
      </c>
      <c r="S40" s="71">
        <f>R40/R38</f>
        <v>4.42833296635574E-2</v>
      </c>
    </row>
    <row r="42" spans="1:19" x14ac:dyDescent="0.25">
      <c r="A42" s="13" t="s">
        <v>75</v>
      </c>
    </row>
    <row r="43" spans="1:19" x14ac:dyDescent="0.25">
      <c r="A43" s="2" t="s">
        <v>78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/>
      <c r="K43" s="2"/>
      <c r="L43" s="2"/>
      <c r="M43" s="2"/>
      <c r="N43" s="2"/>
      <c r="O43" s="2"/>
      <c r="P43" s="2"/>
      <c r="Q43" s="2"/>
    </row>
    <row r="44" spans="1:19" x14ac:dyDescent="0.25">
      <c r="A44" s="2" t="s">
        <v>78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/>
      <c r="K44" s="2"/>
      <c r="L44" s="2"/>
      <c r="M44" s="2"/>
      <c r="N44" s="2"/>
      <c r="O44" s="2"/>
      <c r="P44" s="2"/>
      <c r="Q44" s="2"/>
    </row>
    <row r="45" spans="1:19" x14ac:dyDescent="0.25">
      <c r="A45" s="2" t="s">
        <v>86</v>
      </c>
      <c r="B45" s="2"/>
      <c r="C45" s="2"/>
      <c r="D45" s="2"/>
      <c r="E45" s="2"/>
      <c r="F45" s="2"/>
      <c r="G45" s="2"/>
      <c r="H45" s="2"/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/>
    </row>
    <row r="46" spans="1:19" x14ac:dyDescent="0.25">
      <c r="A46" s="2" t="s">
        <v>117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>
        <v>1</v>
      </c>
      <c r="N46" s="2">
        <v>1</v>
      </c>
      <c r="O46" s="2">
        <v>1</v>
      </c>
      <c r="P46" s="2">
        <v>1</v>
      </c>
      <c r="Q46" s="2"/>
    </row>
    <row r="47" spans="1:19" x14ac:dyDescent="0.25">
      <c r="A47" s="2" t="s">
        <v>117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>
        <v>1</v>
      </c>
      <c r="N47" s="2">
        <v>1</v>
      </c>
      <c r="O47" s="2">
        <v>1</v>
      </c>
      <c r="P47" s="2">
        <v>1</v>
      </c>
      <c r="Q47" s="2"/>
    </row>
    <row r="48" spans="1:19" x14ac:dyDescent="0.25">
      <c r="A48" s="2" t="s">
        <v>171</v>
      </c>
      <c r="B48" s="2"/>
      <c r="C48" s="2"/>
      <c r="D48" s="2"/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/>
      <c r="N48" s="2"/>
      <c r="O48" s="2"/>
      <c r="P48" s="2"/>
      <c r="Q48" s="2"/>
    </row>
    <row r="49" spans="1:19" x14ac:dyDescent="0.25">
      <c r="A49" s="7" t="s">
        <v>303</v>
      </c>
      <c r="B49" s="7">
        <f>SUM(B43:B48)</f>
        <v>2</v>
      </c>
      <c r="C49" s="7">
        <f t="shared" ref="C49:Q49" si="17">SUM(C43:C48)</f>
        <v>2</v>
      </c>
      <c r="D49" s="7">
        <f t="shared" si="17"/>
        <v>2</v>
      </c>
      <c r="E49" s="7">
        <f t="shared" si="17"/>
        <v>3</v>
      </c>
      <c r="F49" s="7">
        <f t="shared" si="17"/>
        <v>3</v>
      </c>
      <c r="G49" s="7">
        <f t="shared" si="17"/>
        <v>3</v>
      </c>
      <c r="H49" s="7">
        <f t="shared" si="17"/>
        <v>3</v>
      </c>
      <c r="I49" s="7">
        <f t="shared" si="17"/>
        <v>4</v>
      </c>
      <c r="J49" s="7">
        <f t="shared" si="17"/>
        <v>2</v>
      </c>
      <c r="K49" s="7">
        <f t="shared" si="17"/>
        <v>2</v>
      </c>
      <c r="L49" s="7">
        <f t="shared" si="17"/>
        <v>2</v>
      </c>
      <c r="M49" s="7">
        <f t="shared" si="17"/>
        <v>3</v>
      </c>
      <c r="N49" s="7">
        <f t="shared" si="17"/>
        <v>3</v>
      </c>
      <c r="O49" s="7">
        <f t="shared" si="17"/>
        <v>3</v>
      </c>
      <c r="P49" s="7">
        <f t="shared" si="17"/>
        <v>3</v>
      </c>
      <c r="Q49" s="7">
        <f t="shared" si="17"/>
        <v>0</v>
      </c>
      <c r="R49" s="1">
        <f>SUM(B49:Q49)</f>
        <v>40</v>
      </c>
    </row>
    <row r="50" spans="1:19" x14ac:dyDescent="0.25">
      <c r="A50" s="12" t="s">
        <v>304</v>
      </c>
      <c r="B50" s="46">
        <f>B49*18000</f>
        <v>36000</v>
      </c>
      <c r="C50" s="46">
        <f t="shared" ref="C50:Q50" si="18">C49*18000</f>
        <v>36000</v>
      </c>
      <c r="D50" s="46">
        <f t="shared" si="18"/>
        <v>36000</v>
      </c>
      <c r="E50" s="46">
        <f t="shared" si="18"/>
        <v>54000</v>
      </c>
      <c r="F50" s="46">
        <f t="shared" si="18"/>
        <v>54000</v>
      </c>
      <c r="G50" s="46">
        <f t="shared" si="18"/>
        <v>54000</v>
      </c>
      <c r="H50" s="46">
        <f t="shared" si="18"/>
        <v>54000</v>
      </c>
      <c r="I50" s="46">
        <f t="shared" si="18"/>
        <v>72000</v>
      </c>
      <c r="J50" s="46">
        <f t="shared" si="18"/>
        <v>36000</v>
      </c>
      <c r="K50" s="46">
        <f t="shared" si="18"/>
        <v>36000</v>
      </c>
      <c r="L50" s="46">
        <f t="shared" si="18"/>
        <v>36000</v>
      </c>
      <c r="M50" s="46">
        <f t="shared" si="18"/>
        <v>54000</v>
      </c>
      <c r="N50" s="46">
        <f t="shared" si="18"/>
        <v>54000</v>
      </c>
      <c r="O50" s="46">
        <f t="shared" si="18"/>
        <v>54000</v>
      </c>
      <c r="P50" s="46">
        <f t="shared" si="18"/>
        <v>54000</v>
      </c>
      <c r="Q50" s="46">
        <f t="shared" si="18"/>
        <v>0</v>
      </c>
      <c r="R50" s="43">
        <f>SUM(B50:Q50)</f>
        <v>720000</v>
      </c>
      <c r="S50" s="47">
        <f>R50/R38</f>
        <v>4.9203699626174893E-2</v>
      </c>
    </row>
    <row r="53" spans="1:19" x14ac:dyDescent="0.25">
      <c r="A53" s="2"/>
      <c r="B53" s="2" t="s">
        <v>26</v>
      </c>
      <c r="C53" s="2" t="s">
        <v>27</v>
      </c>
    </row>
    <row r="54" spans="1:19" x14ac:dyDescent="0.25">
      <c r="A54" s="3" t="s">
        <v>0</v>
      </c>
      <c r="B54" s="2"/>
      <c r="C54" s="2"/>
      <c r="D54" s="2"/>
    </row>
    <row r="55" spans="1:19" x14ac:dyDescent="0.25">
      <c r="A55" s="2" t="s">
        <v>78</v>
      </c>
      <c r="B55" s="2" t="s">
        <v>67</v>
      </c>
      <c r="C55" s="2">
        <v>1</v>
      </c>
      <c r="D55" s="2">
        <f>C55*8</f>
        <v>8</v>
      </c>
    </row>
    <row r="56" spans="1:19" x14ac:dyDescent="0.25">
      <c r="A56" s="2" t="s">
        <v>78</v>
      </c>
      <c r="B56" s="2" t="s">
        <v>67</v>
      </c>
      <c r="C56" s="2">
        <v>1</v>
      </c>
      <c r="D56" s="2">
        <v>8</v>
      </c>
    </row>
    <row r="57" spans="1:19" x14ac:dyDescent="0.25">
      <c r="A57" s="2" t="s">
        <v>86</v>
      </c>
      <c r="B57" s="2" t="s">
        <v>67</v>
      </c>
      <c r="C57" s="2">
        <v>1</v>
      </c>
      <c r="D57" s="2">
        <v>8</v>
      </c>
      <c r="F57" s="40" t="s">
        <v>114</v>
      </c>
      <c r="G57" s="3" t="s">
        <v>67</v>
      </c>
      <c r="H57" s="3" t="s">
        <v>68</v>
      </c>
      <c r="I57" s="3" t="s">
        <v>90</v>
      </c>
    </row>
    <row r="58" spans="1:19" x14ac:dyDescent="0.25">
      <c r="A58" s="2" t="s">
        <v>117</v>
      </c>
      <c r="B58" s="2" t="s">
        <v>68</v>
      </c>
      <c r="C58" s="2">
        <v>1</v>
      </c>
      <c r="D58" s="2">
        <f>22-18</f>
        <v>4</v>
      </c>
      <c r="F58" s="11">
        <f>SUM(G58:I58)</f>
        <v>7</v>
      </c>
      <c r="G58" s="2">
        <v>4</v>
      </c>
      <c r="H58" s="2">
        <v>2</v>
      </c>
      <c r="I58" s="2">
        <v>1</v>
      </c>
    </row>
    <row r="59" spans="1:19" x14ac:dyDescent="0.25">
      <c r="A59" s="2" t="s">
        <v>172</v>
      </c>
      <c r="B59" s="2" t="s">
        <v>378</v>
      </c>
      <c r="C59" s="2">
        <v>2</v>
      </c>
      <c r="D59" s="2">
        <v>8</v>
      </c>
    </row>
    <row r="60" spans="1:19" x14ac:dyDescent="0.25">
      <c r="A60" s="2" t="s">
        <v>88</v>
      </c>
      <c r="B60" s="2"/>
      <c r="C60" s="2">
        <v>1</v>
      </c>
      <c r="D60" s="2"/>
      <c r="F60" s="40" t="s">
        <v>89</v>
      </c>
      <c r="G60" s="3" t="s">
        <v>67</v>
      </c>
      <c r="H60" s="3" t="s">
        <v>68</v>
      </c>
      <c r="I60" s="3" t="s">
        <v>90</v>
      </c>
      <c r="K60" s="40" t="s">
        <v>91</v>
      </c>
      <c r="L60" s="3" t="s">
        <v>67</v>
      </c>
      <c r="M60" s="3" t="s">
        <v>68</v>
      </c>
      <c r="N60" s="3" t="s">
        <v>90</v>
      </c>
    </row>
    <row r="61" spans="1:19" x14ac:dyDescent="0.25">
      <c r="A61" s="3" t="s">
        <v>66</v>
      </c>
      <c r="B61" s="3"/>
      <c r="C61" s="3">
        <f>SUM(C55:C60)</f>
        <v>7</v>
      </c>
      <c r="D61" s="3">
        <f>SUM(D55:D60)</f>
        <v>36</v>
      </c>
      <c r="F61" s="11">
        <f>SUM(G61:I61)</f>
        <v>4</v>
      </c>
      <c r="G61" s="2">
        <v>1</v>
      </c>
      <c r="H61" s="2">
        <v>2</v>
      </c>
      <c r="I61" s="2">
        <v>1</v>
      </c>
      <c r="K61" s="11">
        <f>F61-F58</f>
        <v>-3</v>
      </c>
      <c r="L61" s="11">
        <f>G61-G58</f>
        <v>-3</v>
      </c>
      <c r="M61" s="11">
        <f>H61-H58</f>
        <v>0</v>
      </c>
      <c r="N61" s="11">
        <f>I61-I58</f>
        <v>0</v>
      </c>
    </row>
    <row r="62" spans="1:19" x14ac:dyDescent="0.25">
      <c r="A62" s="3" t="s">
        <v>2</v>
      </c>
      <c r="B62" s="2"/>
      <c r="C62" s="2"/>
      <c r="D62" s="2"/>
    </row>
    <row r="63" spans="1:19" x14ac:dyDescent="0.25">
      <c r="A63" s="2" t="s">
        <v>78</v>
      </c>
      <c r="B63" s="2" t="s">
        <v>67</v>
      </c>
      <c r="C63" s="2">
        <v>1</v>
      </c>
      <c r="D63" s="2">
        <f>C63*8</f>
        <v>8</v>
      </c>
      <c r="L63" s="1" t="s">
        <v>379</v>
      </c>
    </row>
    <row r="64" spans="1:19" x14ac:dyDescent="0.25">
      <c r="A64" s="2" t="s">
        <v>78</v>
      </c>
      <c r="B64" s="2" t="s">
        <v>67</v>
      </c>
      <c r="C64" s="2">
        <v>1</v>
      </c>
      <c r="D64" s="2">
        <f>C64*8</f>
        <v>8</v>
      </c>
    </row>
    <row r="65" spans="1:22" x14ac:dyDescent="0.25">
      <c r="A65" s="2" t="s">
        <v>86</v>
      </c>
      <c r="B65" s="2" t="s">
        <v>67</v>
      </c>
      <c r="C65" s="2">
        <v>1</v>
      </c>
      <c r="D65" s="2">
        <f t="shared" ref="D65" si="19">C65*8</f>
        <v>8</v>
      </c>
    </row>
    <row r="66" spans="1:22" x14ac:dyDescent="0.25">
      <c r="A66" s="2" t="s">
        <v>117</v>
      </c>
      <c r="B66" s="2" t="s">
        <v>68</v>
      </c>
      <c r="C66" s="2">
        <v>1</v>
      </c>
      <c r="D66" s="2">
        <f>22-18</f>
        <v>4</v>
      </c>
    </row>
    <row r="67" spans="1:22" x14ac:dyDescent="0.25">
      <c r="A67" s="2" t="s">
        <v>117</v>
      </c>
      <c r="B67" s="2" t="s">
        <v>68</v>
      </c>
      <c r="C67" s="2">
        <v>1</v>
      </c>
      <c r="D67" s="2">
        <f>22-18</f>
        <v>4</v>
      </c>
    </row>
    <row r="68" spans="1:22" x14ac:dyDescent="0.25">
      <c r="A68" s="2" t="s">
        <v>172</v>
      </c>
      <c r="B68" s="2" t="s">
        <v>67</v>
      </c>
      <c r="C68" s="2">
        <v>1</v>
      </c>
      <c r="D68" s="2">
        <v>8</v>
      </c>
    </row>
    <row r="69" spans="1:22" x14ac:dyDescent="0.25">
      <c r="A69" s="2" t="s">
        <v>88</v>
      </c>
      <c r="B69" s="2"/>
      <c r="C69" s="2">
        <v>1</v>
      </c>
      <c r="D69" s="2"/>
    </row>
    <row r="70" spans="1:22" x14ac:dyDescent="0.25">
      <c r="A70" s="3" t="s">
        <v>66</v>
      </c>
      <c r="B70" s="3"/>
      <c r="C70" s="3">
        <f>SUM(C63:C69)</f>
        <v>7</v>
      </c>
      <c r="D70" s="3">
        <f>SUM(D63:D69)</f>
        <v>40</v>
      </c>
    </row>
    <row r="72" spans="1:22" x14ac:dyDescent="0.25">
      <c r="A72" s="2" t="s">
        <v>22</v>
      </c>
      <c r="B72" s="2"/>
      <c r="C72" s="2"/>
      <c r="E72" s="1" t="s">
        <v>64</v>
      </c>
      <c r="F72" s="1" t="s">
        <v>70</v>
      </c>
    </row>
    <row r="73" spans="1:22" x14ac:dyDescent="0.25">
      <c r="A73" s="3" t="s">
        <v>0</v>
      </c>
      <c r="B73" s="2"/>
      <c r="C73" s="2"/>
      <c r="E73" s="1" t="s">
        <v>69</v>
      </c>
      <c r="F73" s="1" t="s">
        <v>71</v>
      </c>
    </row>
    <row r="74" spans="1:22" x14ac:dyDescent="0.25">
      <c r="A74" s="2" t="s">
        <v>98</v>
      </c>
      <c r="B74" s="2">
        <f>22-7.5</f>
        <v>14.5</v>
      </c>
      <c r="C74" s="2" t="s">
        <v>24</v>
      </c>
      <c r="E74" s="1">
        <f>D61</f>
        <v>36</v>
      </c>
      <c r="F74" s="1" t="s">
        <v>24</v>
      </c>
      <c r="G74" s="1">
        <f>E74/B74</f>
        <v>2.4827586206896552</v>
      </c>
      <c r="H74" s="1" t="s">
        <v>76</v>
      </c>
    </row>
    <row r="75" spans="1:22" x14ac:dyDescent="0.25">
      <c r="A75" s="3" t="s">
        <v>2</v>
      </c>
      <c r="B75" s="2"/>
      <c r="C75" s="2"/>
    </row>
    <row r="76" spans="1:22" x14ac:dyDescent="0.25">
      <c r="A76" s="2" t="s">
        <v>97</v>
      </c>
      <c r="B76" s="2">
        <f>22-7</f>
        <v>15</v>
      </c>
      <c r="C76" s="2" t="s">
        <v>24</v>
      </c>
      <c r="E76" s="1">
        <f>D70</f>
        <v>40</v>
      </c>
      <c r="F76" s="1" t="s">
        <v>24</v>
      </c>
      <c r="G76" s="1">
        <f>E76/B76</f>
        <v>2.6666666666666665</v>
      </c>
      <c r="H76" s="1" t="s">
        <v>76</v>
      </c>
    </row>
    <row r="78" spans="1:22" customFormat="1" x14ac:dyDescent="0.25">
      <c r="A78" s="48" t="s">
        <v>307</v>
      </c>
      <c r="B78" s="1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</row>
    <row r="79" spans="1:22" customFormat="1" x14ac:dyDescent="0.25">
      <c r="A79" s="48"/>
      <c r="B79" s="1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</row>
    <row r="80" spans="1:22" customFormat="1" x14ac:dyDescent="0.25">
      <c r="A80" s="50" t="s">
        <v>308</v>
      </c>
      <c r="B80" s="51" t="s">
        <v>309</v>
      </c>
      <c r="C80" s="52" t="s">
        <v>310</v>
      </c>
      <c r="D80" s="51" t="s">
        <v>311</v>
      </c>
      <c r="E80" s="51" t="s">
        <v>312</v>
      </c>
      <c r="F80" s="53" t="s">
        <v>313</v>
      </c>
      <c r="G80" s="51" t="s">
        <v>314</v>
      </c>
      <c r="H80" s="1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</row>
    <row r="81" spans="1:22" customFormat="1" x14ac:dyDescent="0.25">
      <c r="A81" s="50" t="s">
        <v>315</v>
      </c>
      <c r="B81" s="51">
        <v>1</v>
      </c>
      <c r="C81" s="51">
        <v>1</v>
      </c>
      <c r="D81" s="51">
        <v>1</v>
      </c>
      <c r="E81" s="51">
        <v>1</v>
      </c>
      <c r="F81" s="51">
        <v>1</v>
      </c>
      <c r="G81" s="51">
        <v>1</v>
      </c>
      <c r="H81" s="1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</row>
    <row r="82" spans="1:22" customFormat="1" x14ac:dyDescent="0.25">
      <c r="A82" s="50" t="s">
        <v>316</v>
      </c>
      <c r="B82" s="51">
        <v>1</v>
      </c>
      <c r="C82" s="51">
        <v>1</v>
      </c>
      <c r="D82" s="51">
        <v>1</v>
      </c>
      <c r="E82" s="51">
        <v>1</v>
      </c>
      <c r="F82" s="51">
        <v>1</v>
      </c>
      <c r="G82" s="51">
        <v>2</v>
      </c>
      <c r="H82" s="1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</row>
    <row r="83" spans="1:22" customFormat="1" x14ac:dyDescent="0.25">
      <c r="A83" s="50" t="s">
        <v>317</v>
      </c>
      <c r="B83" s="51">
        <v>1</v>
      </c>
      <c r="C83" s="51">
        <v>1</v>
      </c>
      <c r="D83" s="51">
        <v>1</v>
      </c>
      <c r="E83" s="51">
        <v>2</v>
      </c>
      <c r="F83" s="51">
        <v>2</v>
      </c>
      <c r="G83" s="51">
        <v>2</v>
      </c>
      <c r="H83" s="1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</row>
    <row r="84" spans="1:22" customFormat="1" x14ac:dyDescent="0.25">
      <c r="A84" s="50" t="s">
        <v>318</v>
      </c>
      <c r="B84" s="51">
        <v>0</v>
      </c>
      <c r="C84" s="51">
        <v>1</v>
      </c>
      <c r="D84" s="51">
        <v>1</v>
      </c>
      <c r="E84" s="51">
        <v>1</v>
      </c>
      <c r="F84" s="51">
        <v>1</v>
      </c>
      <c r="G84" s="51">
        <v>1</v>
      </c>
      <c r="H84" s="1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</row>
    <row r="85" spans="1:22" customFormat="1" x14ac:dyDescent="0.25">
      <c r="A85" s="50" t="s">
        <v>319</v>
      </c>
      <c r="B85" s="51">
        <f t="shared" ref="B85:G85" si="20">SUM(B81:B84)</f>
        <v>3</v>
      </c>
      <c r="C85" s="51">
        <f t="shared" si="20"/>
        <v>4</v>
      </c>
      <c r="D85" s="51">
        <f t="shared" si="20"/>
        <v>4</v>
      </c>
      <c r="E85" s="51">
        <f t="shared" si="20"/>
        <v>5</v>
      </c>
      <c r="F85" s="51">
        <f t="shared" si="20"/>
        <v>5</v>
      </c>
      <c r="G85" s="51">
        <f t="shared" si="20"/>
        <v>6</v>
      </c>
      <c r="H85" s="1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</row>
    <row r="86" spans="1:22" customFormat="1" x14ac:dyDescent="0.25">
      <c r="B86" s="49"/>
      <c r="C86" s="49"/>
      <c r="D86" s="49"/>
      <c r="E86" s="49"/>
      <c r="F86" s="49"/>
      <c r="G86" s="49"/>
      <c r="H86" s="1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</row>
    <row r="87" spans="1:22" customFormat="1" x14ac:dyDescent="0.25">
      <c r="A87" s="50" t="s">
        <v>320</v>
      </c>
      <c r="B87" s="54">
        <f>22-7.5</f>
        <v>14.5</v>
      </c>
      <c r="C87" s="54">
        <f t="shared" ref="C87:G87" si="21">22-7.5</f>
        <v>14.5</v>
      </c>
      <c r="D87" s="54">
        <f t="shared" si="21"/>
        <v>14.5</v>
      </c>
      <c r="E87" s="54">
        <f t="shared" si="21"/>
        <v>14.5</v>
      </c>
      <c r="F87" s="54">
        <f t="shared" si="21"/>
        <v>14.5</v>
      </c>
      <c r="G87" s="54">
        <f t="shared" si="21"/>
        <v>14.5</v>
      </c>
      <c r="H87" s="1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</row>
    <row r="88" spans="1:22" customFormat="1" x14ac:dyDescent="0.25">
      <c r="A88" s="50" t="s">
        <v>321</v>
      </c>
      <c r="B88" s="54">
        <v>2</v>
      </c>
      <c r="C88" s="54">
        <v>2</v>
      </c>
      <c r="D88" s="54">
        <v>2</v>
      </c>
      <c r="E88" s="54">
        <v>2</v>
      </c>
      <c r="F88" s="54">
        <v>2</v>
      </c>
      <c r="G88" s="54">
        <v>2</v>
      </c>
      <c r="H88" s="1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</row>
    <row r="89" spans="1:22" customFormat="1" x14ac:dyDescent="0.25">
      <c r="A89" s="50" t="s">
        <v>322</v>
      </c>
      <c r="B89" s="55">
        <f t="shared" ref="B89:G89" si="22">SUM(B87+B88)/8</f>
        <v>2.0625</v>
      </c>
      <c r="C89" s="55">
        <f t="shared" si="22"/>
        <v>2.0625</v>
      </c>
      <c r="D89" s="55">
        <f t="shared" si="22"/>
        <v>2.0625</v>
      </c>
      <c r="E89" s="55">
        <f t="shared" si="22"/>
        <v>2.0625</v>
      </c>
      <c r="F89" s="55">
        <f t="shared" si="22"/>
        <v>2.0625</v>
      </c>
      <c r="G89" s="55">
        <f t="shared" si="22"/>
        <v>2.0625</v>
      </c>
      <c r="H89" s="1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</row>
    <row r="90" spans="1:22" customFormat="1" x14ac:dyDescent="0.25">
      <c r="A90" s="50" t="s">
        <v>323</v>
      </c>
      <c r="B90" s="55">
        <f>SUM(B85*B89)</f>
        <v>6.1875</v>
      </c>
      <c r="C90" s="55">
        <f t="shared" ref="C90:G90" si="23">SUM(C85*C89)</f>
        <v>8.25</v>
      </c>
      <c r="D90" s="55">
        <f t="shared" si="23"/>
        <v>8.25</v>
      </c>
      <c r="E90" s="55">
        <f t="shared" si="23"/>
        <v>10.3125</v>
      </c>
      <c r="F90" s="55">
        <f t="shared" si="23"/>
        <v>10.3125</v>
      </c>
      <c r="G90" s="55">
        <f t="shared" si="23"/>
        <v>12.375</v>
      </c>
      <c r="H90" s="1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</row>
    <row r="91" spans="1:22" customFormat="1" x14ac:dyDescent="0.25">
      <c r="B91" s="49"/>
      <c r="C91" s="49"/>
      <c r="D91" s="49"/>
      <c r="E91" s="49"/>
      <c r="F91" s="49"/>
      <c r="G91" s="49"/>
      <c r="H91" s="1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</row>
    <row r="92" spans="1:22" customFormat="1" x14ac:dyDescent="0.25">
      <c r="A92" s="50" t="s">
        <v>324</v>
      </c>
      <c r="B92" s="55">
        <f>SUM(B90*7)/6</f>
        <v>7.21875</v>
      </c>
      <c r="C92" s="55">
        <f t="shared" ref="C92:G92" si="24">SUM(C90*7)/6</f>
        <v>9.625</v>
      </c>
      <c r="D92" s="55">
        <f t="shared" si="24"/>
        <v>9.625</v>
      </c>
      <c r="E92" s="55">
        <f t="shared" si="24"/>
        <v>12.03125</v>
      </c>
      <c r="F92" s="55">
        <f t="shared" si="24"/>
        <v>12.03125</v>
      </c>
      <c r="G92" s="55">
        <f t="shared" si="24"/>
        <v>14.4375</v>
      </c>
      <c r="H92" s="1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</row>
    <row r="93" spans="1:22" x14ac:dyDescent="0.25">
      <c r="R93" s="37"/>
    </row>
    <row r="94" spans="1:22" customFormat="1" x14ac:dyDescent="0.25">
      <c r="A94" s="50" t="s">
        <v>365</v>
      </c>
      <c r="B94" s="54">
        <f>22-7</f>
        <v>15</v>
      </c>
      <c r="C94" s="54">
        <f t="shared" ref="C94:G94" si="25">22-7</f>
        <v>15</v>
      </c>
      <c r="D94" s="54">
        <f t="shared" si="25"/>
        <v>15</v>
      </c>
      <c r="E94" s="54">
        <f t="shared" si="25"/>
        <v>15</v>
      </c>
      <c r="F94" s="54">
        <f t="shared" si="25"/>
        <v>15</v>
      </c>
      <c r="G94" s="54">
        <f t="shared" si="25"/>
        <v>15</v>
      </c>
      <c r="H94" s="1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</row>
    <row r="95" spans="1:22" customFormat="1" x14ac:dyDescent="0.25">
      <c r="A95" s="50" t="s">
        <v>321</v>
      </c>
      <c r="B95" s="54">
        <v>2</v>
      </c>
      <c r="C95" s="54">
        <v>2</v>
      </c>
      <c r="D95" s="54">
        <v>2</v>
      </c>
      <c r="E95" s="54">
        <v>2</v>
      </c>
      <c r="F95" s="54">
        <v>2</v>
      </c>
      <c r="G95" s="54">
        <v>2</v>
      </c>
      <c r="H95" s="1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</row>
    <row r="96" spans="1:22" customFormat="1" x14ac:dyDescent="0.25">
      <c r="A96" s="50" t="s">
        <v>322</v>
      </c>
      <c r="B96" s="55">
        <f>SUM(B94+B95)/8</f>
        <v>2.125</v>
      </c>
      <c r="C96" s="55">
        <f t="shared" ref="C96" si="26">SUM(C94+C95)/8</f>
        <v>2.125</v>
      </c>
      <c r="D96" s="55">
        <f t="shared" ref="D96:G96" si="27">SUM(D94+D95)/8</f>
        <v>2.125</v>
      </c>
      <c r="E96" s="55">
        <f t="shared" si="27"/>
        <v>2.125</v>
      </c>
      <c r="F96" s="55">
        <f t="shared" si="27"/>
        <v>2.125</v>
      </c>
      <c r="G96" s="55">
        <f t="shared" si="27"/>
        <v>2.125</v>
      </c>
      <c r="H96" s="1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</row>
    <row r="97" spans="1:22" customFormat="1" x14ac:dyDescent="0.25">
      <c r="A97" s="50" t="s">
        <v>323</v>
      </c>
      <c r="B97" s="55">
        <f>B96*B85</f>
        <v>6.375</v>
      </c>
      <c r="C97" s="55">
        <f t="shared" ref="C97:G97" si="28">C96*C85</f>
        <v>8.5</v>
      </c>
      <c r="D97" s="55">
        <f t="shared" si="28"/>
        <v>8.5</v>
      </c>
      <c r="E97" s="55">
        <f t="shared" si="28"/>
        <v>10.625</v>
      </c>
      <c r="F97" s="55">
        <f t="shared" si="28"/>
        <v>10.625</v>
      </c>
      <c r="G97" s="55">
        <f t="shared" si="28"/>
        <v>12.75</v>
      </c>
      <c r="H97" s="1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</row>
    <row r="98" spans="1:22" customFormat="1" x14ac:dyDescent="0.25">
      <c r="B98" s="49"/>
      <c r="C98" s="49"/>
      <c r="D98" s="49"/>
      <c r="E98" s="49"/>
      <c r="F98" s="49"/>
      <c r="G98" s="49"/>
      <c r="H98" s="1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</row>
    <row r="99" spans="1:22" customFormat="1" x14ac:dyDescent="0.25">
      <c r="A99" s="50" t="s">
        <v>324</v>
      </c>
      <c r="B99" s="55">
        <f>SUM(B97*7)/6</f>
        <v>7.4375</v>
      </c>
      <c r="C99" s="55">
        <f t="shared" ref="C99:G99" si="29">SUM(C97*7)/6</f>
        <v>9.9166666666666661</v>
      </c>
      <c r="D99" s="55">
        <f t="shared" si="29"/>
        <v>9.9166666666666661</v>
      </c>
      <c r="E99" s="55">
        <f t="shared" si="29"/>
        <v>12.395833333333334</v>
      </c>
      <c r="F99" s="55">
        <f t="shared" si="29"/>
        <v>12.395833333333334</v>
      </c>
      <c r="G99" s="55">
        <f t="shared" si="29"/>
        <v>14.875</v>
      </c>
      <c r="H99" s="1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</row>
    <row r="100" spans="1:22" x14ac:dyDescent="0.25">
      <c r="R100" s="37"/>
    </row>
    <row r="101" spans="1:22" x14ac:dyDescent="0.25">
      <c r="E101" s="1" t="s">
        <v>94</v>
      </c>
      <c r="F101" s="1" t="s">
        <v>95</v>
      </c>
      <c r="G101" s="1" t="s">
        <v>99</v>
      </c>
    </row>
    <row r="102" spans="1:22" ht="25.5" x14ac:dyDescent="0.35">
      <c r="A102" s="14" t="s">
        <v>84</v>
      </c>
      <c r="B102" s="15"/>
      <c r="C102" s="15"/>
      <c r="D102" s="15"/>
      <c r="E102" s="1" t="s">
        <v>104</v>
      </c>
      <c r="F102" s="1" t="s">
        <v>105</v>
      </c>
      <c r="G102" s="1" t="s">
        <v>100</v>
      </c>
    </row>
    <row r="104" spans="1:22" x14ac:dyDescent="0.25">
      <c r="A104" s="40" t="s">
        <v>80</v>
      </c>
      <c r="B104" s="40" t="s">
        <v>81</v>
      </c>
      <c r="C104" s="40" t="s">
        <v>82</v>
      </c>
      <c r="D104" s="40" t="s">
        <v>66</v>
      </c>
    </row>
    <row r="105" spans="1:22" x14ac:dyDescent="0.25">
      <c r="A105" s="3" t="s">
        <v>0</v>
      </c>
      <c r="B105" s="2"/>
      <c r="C105" s="2"/>
      <c r="D105" s="40"/>
    </row>
    <row r="106" spans="1:22" x14ac:dyDescent="0.25">
      <c r="A106" s="2" t="s">
        <v>143</v>
      </c>
      <c r="B106" s="2">
        <v>128</v>
      </c>
      <c r="C106" s="2">
        <v>69</v>
      </c>
      <c r="D106" s="40">
        <f t="shared" ref="D106:D109" si="30">B106+C106</f>
        <v>197</v>
      </c>
    </row>
    <row r="107" spans="1:22" x14ac:dyDescent="0.25">
      <c r="A107" s="2" t="s">
        <v>292</v>
      </c>
      <c r="B107" s="2">
        <v>27</v>
      </c>
      <c r="C107" s="2">
        <v>9</v>
      </c>
      <c r="D107" s="40">
        <f>B107+C107</f>
        <v>36</v>
      </c>
      <c r="E107" s="1">
        <f>D107+D108+D109</f>
        <v>210</v>
      </c>
    </row>
    <row r="108" spans="1:22" x14ac:dyDescent="0.25">
      <c r="A108" s="2" t="s">
        <v>293</v>
      </c>
      <c r="B108" s="2">
        <v>75</v>
      </c>
      <c r="C108" s="2">
        <v>9</v>
      </c>
      <c r="D108" s="40">
        <f t="shared" si="30"/>
        <v>84</v>
      </c>
    </row>
    <row r="109" spans="1:22" x14ac:dyDescent="0.25">
      <c r="A109" s="2" t="s">
        <v>294</v>
      </c>
      <c r="B109" s="2">
        <v>65</v>
      </c>
      <c r="C109" s="2">
        <v>25</v>
      </c>
      <c r="D109" s="40">
        <f t="shared" si="30"/>
        <v>90</v>
      </c>
    </row>
    <row r="110" spans="1:22" x14ac:dyDescent="0.25">
      <c r="A110" s="3" t="s">
        <v>2</v>
      </c>
      <c r="B110" s="2"/>
      <c r="C110" s="2"/>
      <c r="D110" s="40"/>
    </row>
    <row r="111" spans="1:22" x14ac:dyDescent="0.25">
      <c r="A111" s="2" t="s">
        <v>143</v>
      </c>
      <c r="B111" s="2">
        <v>271</v>
      </c>
      <c r="C111" s="2">
        <v>61</v>
      </c>
      <c r="D111" s="40">
        <f t="shared" ref="D111" si="31">B111+C111</f>
        <v>332</v>
      </c>
    </row>
    <row r="112" spans="1:22" x14ac:dyDescent="0.25">
      <c r="A112" s="2" t="s">
        <v>292</v>
      </c>
      <c r="B112" s="2">
        <v>60</v>
      </c>
      <c r="C112" s="2">
        <v>3</v>
      </c>
      <c r="D112" s="40">
        <f>B112+C112</f>
        <v>63</v>
      </c>
      <c r="E112" s="1">
        <f>D112+D113+D114</f>
        <v>375</v>
      </c>
    </row>
    <row r="113" spans="1:12" x14ac:dyDescent="0.25">
      <c r="A113" s="2" t="s">
        <v>293</v>
      </c>
      <c r="B113" s="2">
        <v>208</v>
      </c>
      <c r="C113" s="2">
        <v>12</v>
      </c>
      <c r="D113" s="40">
        <f t="shared" ref="D113:D114" si="32">B113+C113</f>
        <v>220</v>
      </c>
    </row>
    <row r="114" spans="1:12" x14ac:dyDescent="0.25">
      <c r="A114" s="2" t="s">
        <v>294</v>
      </c>
      <c r="B114" s="2">
        <v>77</v>
      </c>
      <c r="C114" s="2">
        <v>15</v>
      </c>
      <c r="D114" s="40">
        <f t="shared" si="32"/>
        <v>92</v>
      </c>
    </row>
    <row r="116" spans="1:12" x14ac:dyDescent="0.25">
      <c r="A116" s="40" t="s">
        <v>103</v>
      </c>
      <c r="B116" s="3" t="s">
        <v>67</v>
      </c>
      <c r="C116" s="40" t="s">
        <v>101</v>
      </c>
      <c r="D116" s="3" t="s">
        <v>90</v>
      </c>
      <c r="F116" s="40" t="s">
        <v>89</v>
      </c>
      <c r="G116" s="3" t="s">
        <v>67</v>
      </c>
      <c r="H116" s="3" t="s">
        <v>90</v>
      </c>
      <c r="J116" s="40" t="s">
        <v>102</v>
      </c>
      <c r="K116" s="3" t="s">
        <v>67</v>
      </c>
      <c r="L116" s="3" t="s">
        <v>90</v>
      </c>
    </row>
    <row r="117" spans="1:12" x14ac:dyDescent="0.25">
      <c r="A117" s="11">
        <f>SUM(B117:D117)</f>
        <v>4</v>
      </c>
      <c r="B117" s="2">
        <v>2</v>
      </c>
      <c r="C117" s="2">
        <v>1</v>
      </c>
      <c r="D117" s="2">
        <v>1</v>
      </c>
      <c r="F117" s="11">
        <f>SUM(G117:H117)</f>
        <v>4</v>
      </c>
      <c r="G117" s="2">
        <v>3</v>
      </c>
      <c r="H117" s="2">
        <v>1</v>
      </c>
      <c r="J117" s="11">
        <f>A117-F117</f>
        <v>0</v>
      </c>
      <c r="K117" s="2">
        <v>1</v>
      </c>
      <c r="L117" s="2"/>
    </row>
  </sheetData>
  <pageMargins left="0" right="0" top="0" bottom="0" header="0" footer="0"/>
  <pageSetup paperSize="9" scale="55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R62"/>
  <sheetViews>
    <sheetView topLeftCell="A13" workbookViewId="0">
      <selection activeCell="R21" sqref="R21"/>
    </sheetView>
  </sheetViews>
  <sheetFormatPr defaultRowHeight="15.75" x14ac:dyDescent="0.25"/>
  <cols>
    <col min="1" max="1" width="24.42578125" style="1" bestFit="1" customWidth="1"/>
    <col min="2" max="2" width="9.28515625" style="1" bestFit="1" customWidth="1"/>
    <col min="3" max="3" width="14.85546875" style="1" bestFit="1" customWidth="1"/>
    <col min="4" max="4" width="8.5703125" style="1" bestFit="1" customWidth="1"/>
    <col min="5" max="5" width="9.7109375" style="1" bestFit="1" customWidth="1"/>
    <col min="6" max="6" width="15.5703125" style="1" bestFit="1" customWidth="1"/>
    <col min="7" max="7" width="13.85546875" style="1" bestFit="1" customWidth="1"/>
    <col min="8" max="8" width="10.7109375" style="1" customWidth="1"/>
    <col min="9" max="9" width="9.5703125" style="1" bestFit="1" customWidth="1"/>
    <col min="10" max="11" width="11.140625" style="1" bestFit="1" customWidth="1"/>
    <col min="12" max="17" width="9.5703125" style="1" bestFit="1" customWidth="1"/>
    <col min="18" max="16384" width="9.140625" style="1"/>
  </cols>
  <sheetData>
    <row r="2" spans="1:18" ht="25.5" x14ac:dyDescent="0.35">
      <c r="A2" s="14" t="s">
        <v>83</v>
      </c>
      <c r="B2" s="15"/>
      <c r="C2" s="15"/>
      <c r="D2" s="15"/>
      <c r="E2" s="15"/>
    </row>
    <row r="4" spans="1:18" x14ac:dyDescent="0.25">
      <c r="A4" s="2" t="s">
        <v>74</v>
      </c>
      <c r="B4" s="3" t="s">
        <v>21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</row>
    <row r="5" spans="1:18" x14ac:dyDescent="0.25">
      <c r="A5" s="5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8" x14ac:dyDescent="0.25">
      <c r="A6" s="2" t="s">
        <v>1</v>
      </c>
      <c r="B6" s="2">
        <v>1</v>
      </c>
      <c r="C6" s="2">
        <v>20</v>
      </c>
      <c r="D6" s="2">
        <v>50</v>
      </c>
      <c r="E6" s="2">
        <v>52</v>
      </c>
      <c r="F6" s="2">
        <v>61</v>
      </c>
      <c r="G6" s="2">
        <v>71</v>
      </c>
      <c r="H6" s="2">
        <v>44</v>
      </c>
      <c r="I6" s="2">
        <v>44</v>
      </c>
      <c r="J6" s="2">
        <v>45</v>
      </c>
      <c r="K6" s="2">
        <v>81</v>
      </c>
      <c r="L6" s="2">
        <v>103</v>
      </c>
      <c r="M6" s="2">
        <v>89</v>
      </c>
      <c r="N6" s="2">
        <v>101</v>
      </c>
      <c r="O6" s="2">
        <v>76</v>
      </c>
      <c r="P6" s="2">
        <v>58</v>
      </c>
      <c r="Q6" s="2">
        <v>0</v>
      </c>
    </row>
    <row r="7" spans="1:18" x14ac:dyDescent="0.25">
      <c r="A7" s="4">
        <v>5</v>
      </c>
      <c r="B7" s="4">
        <f>ROUND(B6/$A$7,0)</f>
        <v>0</v>
      </c>
      <c r="C7" s="4">
        <f t="shared" ref="C7:Q7" si="0">ROUND(C6/$A$7,0)</f>
        <v>4</v>
      </c>
      <c r="D7" s="4">
        <f t="shared" si="0"/>
        <v>10</v>
      </c>
      <c r="E7" s="4">
        <f t="shared" si="0"/>
        <v>10</v>
      </c>
      <c r="F7" s="4">
        <f t="shared" si="0"/>
        <v>12</v>
      </c>
      <c r="G7" s="4">
        <f t="shared" si="0"/>
        <v>14</v>
      </c>
      <c r="H7" s="4">
        <f t="shared" si="0"/>
        <v>9</v>
      </c>
      <c r="I7" s="4">
        <f t="shared" si="0"/>
        <v>9</v>
      </c>
      <c r="J7" s="4">
        <f t="shared" si="0"/>
        <v>9</v>
      </c>
      <c r="K7" s="4">
        <f t="shared" si="0"/>
        <v>16</v>
      </c>
      <c r="L7" s="4">
        <f t="shared" si="0"/>
        <v>21</v>
      </c>
      <c r="M7" s="4">
        <f t="shared" si="0"/>
        <v>18</v>
      </c>
      <c r="N7" s="4">
        <f t="shared" si="0"/>
        <v>20</v>
      </c>
      <c r="O7" s="4">
        <f t="shared" si="0"/>
        <v>15</v>
      </c>
      <c r="P7" s="4">
        <f t="shared" si="0"/>
        <v>12</v>
      </c>
      <c r="Q7" s="4">
        <f t="shared" si="0"/>
        <v>0</v>
      </c>
      <c r="R7" s="1">
        <f t="shared" ref="R7:R8" si="1">SUM(B7:Q7)</f>
        <v>179</v>
      </c>
    </row>
    <row r="8" spans="1:18" x14ac:dyDescent="0.25">
      <c r="A8" s="12" t="s">
        <v>60</v>
      </c>
      <c r="B8" s="12">
        <v>1</v>
      </c>
      <c r="C8" s="12">
        <v>1</v>
      </c>
      <c r="D8" s="12">
        <v>2</v>
      </c>
      <c r="E8" s="12">
        <v>2</v>
      </c>
      <c r="F8" s="12">
        <v>2</v>
      </c>
      <c r="G8" s="12">
        <v>2</v>
      </c>
      <c r="H8" s="12">
        <v>2</v>
      </c>
      <c r="I8" s="12">
        <v>2</v>
      </c>
      <c r="J8" s="12">
        <v>2</v>
      </c>
      <c r="K8" s="12">
        <v>2</v>
      </c>
      <c r="L8" s="12">
        <v>2</v>
      </c>
      <c r="M8" s="12">
        <v>2</v>
      </c>
      <c r="N8" s="12">
        <v>2</v>
      </c>
      <c r="O8" s="12">
        <v>2</v>
      </c>
      <c r="P8" s="12">
        <v>2</v>
      </c>
      <c r="Q8" s="12"/>
      <c r="R8" s="1">
        <f t="shared" si="1"/>
        <v>28</v>
      </c>
    </row>
    <row r="9" spans="1:18" x14ac:dyDescent="0.25">
      <c r="A9" s="12" t="s">
        <v>61</v>
      </c>
      <c r="B9" s="12">
        <v>1</v>
      </c>
      <c r="C9" s="12">
        <v>1</v>
      </c>
      <c r="D9" s="12">
        <v>2</v>
      </c>
      <c r="E9" s="12">
        <v>2</v>
      </c>
      <c r="F9" s="12">
        <v>2</v>
      </c>
      <c r="G9" s="12">
        <v>2</v>
      </c>
      <c r="H9" s="12">
        <v>2</v>
      </c>
      <c r="I9" s="12">
        <v>2</v>
      </c>
      <c r="J9" s="12">
        <v>2</v>
      </c>
      <c r="K9" s="12">
        <v>2</v>
      </c>
      <c r="L9" s="12">
        <v>2</v>
      </c>
      <c r="M9" s="12">
        <v>2</v>
      </c>
      <c r="N9" s="12">
        <v>2</v>
      </c>
      <c r="O9" s="12">
        <v>2</v>
      </c>
      <c r="P9" s="12">
        <v>2</v>
      </c>
      <c r="Q9" s="12"/>
      <c r="R9" s="1">
        <f>SUM(B9:Q9)</f>
        <v>28</v>
      </c>
    </row>
    <row r="11" spans="1:18" x14ac:dyDescent="0.25">
      <c r="A11" s="13" t="s">
        <v>75</v>
      </c>
    </row>
    <row r="12" spans="1:18" x14ac:dyDescent="0.25">
      <c r="A12" s="2" t="s">
        <v>78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/>
      <c r="K12" s="2"/>
      <c r="L12" s="2"/>
      <c r="M12" s="2"/>
      <c r="N12" s="2"/>
      <c r="O12" s="2"/>
      <c r="P12" s="2"/>
      <c r="Q12" s="2"/>
    </row>
    <row r="13" spans="1:18" x14ac:dyDescent="0.25">
      <c r="A13" s="2" t="s">
        <v>73</v>
      </c>
      <c r="B13" s="2"/>
      <c r="C13" s="2"/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/>
      <c r="M13" s="2"/>
      <c r="N13" s="2"/>
      <c r="O13" s="2"/>
      <c r="P13" s="2"/>
      <c r="Q13" s="2"/>
    </row>
    <row r="14" spans="1:18" x14ac:dyDescent="0.25">
      <c r="A14" s="2" t="s">
        <v>63</v>
      </c>
      <c r="B14" s="2"/>
      <c r="C14" s="2"/>
      <c r="D14" s="2"/>
      <c r="E14" s="2"/>
      <c r="F14" s="2"/>
      <c r="G14" s="2"/>
      <c r="H14" s="2"/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/>
    </row>
    <row r="15" spans="1:18" x14ac:dyDescent="0.25">
      <c r="A15" s="2" t="s">
        <v>118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/>
    </row>
    <row r="16" spans="1:18" x14ac:dyDescent="0.25">
      <c r="A16" s="2" t="s">
        <v>66</v>
      </c>
      <c r="B16" s="2">
        <f t="shared" ref="B16:Q16" si="2">SUM(B12:B15)</f>
        <v>1</v>
      </c>
      <c r="C16" s="2">
        <f t="shared" si="2"/>
        <v>1</v>
      </c>
      <c r="D16" s="2">
        <f t="shared" si="2"/>
        <v>2</v>
      </c>
      <c r="E16" s="2">
        <f t="shared" si="2"/>
        <v>2</v>
      </c>
      <c r="F16" s="2">
        <f t="shared" si="2"/>
        <v>2</v>
      </c>
      <c r="G16" s="2">
        <f t="shared" si="2"/>
        <v>2</v>
      </c>
      <c r="H16" s="2">
        <f t="shared" si="2"/>
        <v>2</v>
      </c>
      <c r="I16" s="2">
        <f t="shared" si="2"/>
        <v>3</v>
      </c>
      <c r="J16" s="2">
        <f t="shared" si="2"/>
        <v>2</v>
      </c>
      <c r="K16" s="2">
        <f t="shared" si="2"/>
        <v>2</v>
      </c>
      <c r="L16" s="2">
        <f t="shared" si="2"/>
        <v>2</v>
      </c>
      <c r="M16" s="2">
        <f t="shared" si="2"/>
        <v>2</v>
      </c>
      <c r="N16" s="2">
        <f t="shared" si="2"/>
        <v>2</v>
      </c>
      <c r="O16" s="2">
        <f t="shared" si="2"/>
        <v>2</v>
      </c>
      <c r="P16" s="2">
        <f t="shared" si="2"/>
        <v>2</v>
      </c>
      <c r="Q16" s="2">
        <f t="shared" si="2"/>
        <v>0</v>
      </c>
      <c r="R16" s="1">
        <f>SUM(B16:Q16)</f>
        <v>29</v>
      </c>
    </row>
    <row r="18" spans="1:18" x14ac:dyDescent="0.25">
      <c r="A18" s="2" t="s">
        <v>74</v>
      </c>
      <c r="B18" s="3" t="s">
        <v>21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  <c r="P18" s="3" t="s">
        <v>17</v>
      </c>
      <c r="Q18" s="3" t="s">
        <v>18</v>
      </c>
    </row>
    <row r="19" spans="1:18" x14ac:dyDescent="0.25">
      <c r="A19" s="5" t="s">
        <v>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8" x14ac:dyDescent="0.25">
      <c r="A20" s="2" t="s">
        <v>3</v>
      </c>
      <c r="B20" s="2">
        <v>1</v>
      </c>
      <c r="C20" s="2">
        <v>9</v>
      </c>
      <c r="D20" s="2">
        <v>27</v>
      </c>
      <c r="E20" s="2">
        <v>33</v>
      </c>
      <c r="F20" s="2">
        <v>33</v>
      </c>
      <c r="G20" s="2">
        <v>31</v>
      </c>
      <c r="H20" s="2">
        <v>22</v>
      </c>
      <c r="I20" s="2">
        <v>19</v>
      </c>
      <c r="J20" s="2">
        <v>29</v>
      </c>
      <c r="K20" s="2">
        <v>36</v>
      </c>
      <c r="L20" s="2">
        <v>38</v>
      </c>
      <c r="M20" s="2">
        <v>34</v>
      </c>
      <c r="N20" s="2">
        <v>39</v>
      </c>
      <c r="O20" s="2">
        <v>36</v>
      </c>
      <c r="P20" s="2">
        <v>28</v>
      </c>
      <c r="Q20" s="2">
        <v>3</v>
      </c>
    </row>
    <row r="21" spans="1:18" x14ac:dyDescent="0.25">
      <c r="A21" s="4">
        <v>2</v>
      </c>
      <c r="B21" s="4">
        <f>ROUND(B20/$A$21,0)</f>
        <v>1</v>
      </c>
      <c r="C21" s="4">
        <f t="shared" ref="C21:Q21" si="3">ROUND(C20/$A$21,0)</f>
        <v>5</v>
      </c>
      <c r="D21" s="4">
        <f t="shared" si="3"/>
        <v>14</v>
      </c>
      <c r="E21" s="4">
        <f t="shared" si="3"/>
        <v>17</v>
      </c>
      <c r="F21" s="4">
        <f t="shared" si="3"/>
        <v>17</v>
      </c>
      <c r="G21" s="4">
        <f t="shared" si="3"/>
        <v>16</v>
      </c>
      <c r="H21" s="4">
        <f t="shared" si="3"/>
        <v>11</v>
      </c>
      <c r="I21" s="4">
        <f t="shared" si="3"/>
        <v>10</v>
      </c>
      <c r="J21" s="4">
        <f t="shared" si="3"/>
        <v>15</v>
      </c>
      <c r="K21" s="4">
        <f t="shared" si="3"/>
        <v>18</v>
      </c>
      <c r="L21" s="4">
        <f t="shared" si="3"/>
        <v>19</v>
      </c>
      <c r="M21" s="4">
        <f t="shared" si="3"/>
        <v>17</v>
      </c>
      <c r="N21" s="4">
        <f t="shared" si="3"/>
        <v>20</v>
      </c>
      <c r="O21" s="4">
        <f t="shared" si="3"/>
        <v>18</v>
      </c>
      <c r="P21" s="4">
        <f t="shared" si="3"/>
        <v>14</v>
      </c>
      <c r="Q21" s="4">
        <f t="shared" si="3"/>
        <v>2</v>
      </c>
      <c r="R21" s="1">
        <f t="shared" ref="R21:R22" si="4">SUM(B21:Q21)</f>
        <v>214</v>
      </c>
    </row>
    <row r="22" spans="1:18" x14ac:dyDescent="0.25">
      <c r="A22" s="12" t="s">
        <v>60</v>
      </c>
      <c r="B22" s="12">
        <v>1</v>
      </c>
      <c r="C22" s="12">
        <v>1</v>
      </c>
      <c r="D22" s="12">
        <v>2</v>
      </c>
      <c r="E22" s="12">
        <v>2</v>
      </c>
      <c r="F22" s="12">
        <v>2</v>
      </c>
      <c r="G22" s="12">
        <v>2</v>
      </c>
      <c r="H22" s="12">
        <v>2</v>
      </c>
      <c r="I22" s="12">
        <v>2</v>
      </c>
      <c r="J22" s="12">
        <v>2</v>
      </c>
      <c r="K22" s="12">
        <v>2</v>
      </c>
      <c r="L22" s="12">
        <v>2</v>
      </c>
      <c r="M22" s="12">
        <v>2</v>
      </c>
      <c r="N22" s="12">
        <v>2</v>
      </c>
      <c r="O22" s="12">
        <v>2</v>
      </c>
      <c r="P22" s="12">
        <v>2</v>
      </c>
      <c r="Q22" s="12"/>
      <c r="R22" s="1">
        <f t="shared" si="4"/>
        <v>28</v>
      </c>
    </row>
    <row r="23" spans="1:18" x14ac:dyDescent="0.25">
      <c r="A23" s="12" t="s">
        <v>61</v>
      </c>
      <c r="B23" s="12">
        <v>1</v>
      </c>
      <c r="C23" s="12">
        <v>1</v>
      </c>
      <c r="D23" s="12">
        <v>2</v>
      </c>
      <c r="E23" s="12">
        <v>2</v>
      </c>
      <c r="F23" s="12">
        <v>2</v>
      </c>
      <c r="G23" s="12">
        <v>2</v>
      </c>
      <c r="H23" s="12">
        <v>2</v>
      </c>
      <c r="I23" s="12">
        <v>2</v>
      </c>
      <c r="J23" s="12">
        <v>2</v>
      </c>
      <c r="K23" s="12">
        <v>2</v>
      </c>
      <c r="L23" s="12">
        <v>2</v>
      </c>
      <c r="M23" s="12">
        <v>2</v>
      </c>
      <c r="N23" s="12">
        <v>2</v>
      </c>
      <c r="O23" s="12">
        <v>2</v>
      </c>
      <c r="P23" s="12">
        <v>2</v>
      </c>
      <c r="Q23" s="12"/>
      <c r="R23" s="1">
        <f>SUM(B23:Q23)</f>
        <v>28</v>
      </c>
    </row>
    <row r="25" spans="1:18" x14ac:dyDescent="0.25">
      <c r="A25" s="13" t="s">
        <v>75</v>
      </c>
    </row>
    <row r="26" spans="1:18" x14ac:dyDescent="0.25">
      <c r="A26" s="2" t="s">
        <v>78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/>
      <c r="K26" s="2"/>
      <c r="L26" s="2"/>
      <c r="M26" s="2"/>
      <c r="N26" s="2"/>
      <c r="O26" s="2"/>
      <c r="P26" s="2"/>
      <c r="Q26" s="2"/>
    </row>
    <row r="27" spans="1:18" x14ac:dyDescent="0.25">
      <c r="A27" s="2" t="s">
        <v>73</v>
      </c>
      <c r="B27" s="2"/>
      <c r="C27" s="2"/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/>
      <c r="M27" s="2"/>
      <c r="N27" s="2"/>
      <c r="O27" s="2"/>
      <c r="P27" s="2"/>
      <c r="Q27" s="2"/>
    </row>
    <row r="28" spans="1:18" x14ac:dyDescent="0.25">
      <c r="A28" s="2" t="s">
        <v>63</v>
      </c>
      <c r="B28" s="2"/>
      <c r="C28" s="2"/>
      <c r="D28" s="2"/>
      <c r="E28" s="2"/>
      <c r="F28" s="2"/>
      <c r="G28" s="2"/>
      <c r="H28" s="2"/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/>
    </row>
    <row r="29" spans="1:18" x14ac:dyDescent="0.25">
      <c r="A29" s="2" t="s">
        <v>118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/>
    </row>
    <row r="30" spans="1:18" x14ac:dyDescent="0.25">
      <c r="A30" s="2" t="s">
        <v>66</v>
      </c>
      <c r="B30" s="2">
        <f t="shared" ref="B30:Q30" si="5">SUM(B26:B29)</f>
        <v>1</v>
      </c>
      <c r="C30" s="2">
        <f t="shared" si="5"/>
        <v>1</v>
      </c>
      <c r="D30" s="2">
        <f t="shared" si="5"/>
        <v>2</v>
      </c>
      <c r="E30" s="2">
        <f t="shared" si="5"/>
        <v>2</v>
      </c>
      <c r="F30" s="2">
        <f t="shared" si="5"/>
        <v>2</v>
      </c>
      <c r="G30" s="2">
        <f t="shared" si="5"/>
        <v>2</v>
      </c>
      <c r="H30" s="2">
        <f t="shared" si="5"/>
        <v>2</v>
      </c>
      <c r="I30" s="2">
        <f t="shared" si="5"/>
        <v>3</v>
      </c>
      <c r="J30" s="2">
        <f t="shared" si="5"/>
        <v>2</v>
      </c>
      <c r="K30" s="2">
        <f t="shared" si="5"/>
        <v>2</v>
      </c>
      <c r="L30" s="2">
        <f t="shared" si="5"/>
        <v>2</v>
      </c>
      <c r="M30" s="2">
        <f t="shared" si="5"/>
        <v>2</v>
      </c>
      <c r="N30" s="2">
        <f t="shared" si="5"/>
        <v>2</v>
      </c>
      <c r="O30" s="2">
        <f t="shared" si="5"/>
        <v>2</v>
      </c>
      <c r="P30" s="2">
        <f t="shared" si="5"/>
        <v>2</v>
      </c>
      <c r="Q30" s="2">
        <f t="shared" si="5"/>
        <v>0</v>
      </c>
      <c r="R30" s="1">
        <f>SUM(B30:Q30)</f>
        <v>29</v>
      </c>
    </row>
    <row r="32" spans="1:18" x14ac:dyDescent="0.25">
      <c r="A32" s="2" t="s">
        <v>22</v>
      </c>
      <c r="B32" s="2"/>
      <c r="C32" s="2"/>
      <c r="E32" s="1" t="s">
        <v>64</v>
      </c>
      <c r="F32" s="1" t="s">
        <v>70</v>
      </c>
    </row>
    <row r="33" spans="1:14" x14ac:dyDescent="0.25">
      <c r="A33" s="3" t="s">
        <v>0</v>
      </c>
      <c r="B33" s="2"/>
      <c r="C33" s="2"/>
      <c r="E33" s="1" t="s">
        <v>69</v>
      </c>
      <c r="F33" s="1" t="s">
        <v>71</v>
      </c>
    </row>
    <row r="34" spans="1:14" x14ac:dyDescent="0.25">
      <c r="A34" s="2" t="s">
        <v>23</v>
      </c>
      <c r="B34" s="2">
        <v>12</v>
      </c>
      <c r="C34" s="2" t="s">
        <v>24</v>
      </c>
      <c r="E34" s="1">
        <f>D45</f>
        <v>29</v>
      </c>
      <c r="F34" s="1" t="s">
        <v>24</v>
      </c>
      <c r="G34" s="1">
        <f>E34/B34</f>
        <v>2.4166666666666665</v>
      </c>
      <c r="H34" s="1" t="s">
        <v>76</v>
      </c>
    </row>
    <row r="35" spans="1:14" x14ac:dyDescent="0.25">
      <c r="A35" s="3" t="s">
        <v>2</v>
      </c>
      <c r="B35" s="2"/>
      <c r="C35" s="2"/>
    </row>
    <row r="36" spans="1:14" x14ac:dyDescent="0.25">
      <c r="A36" s="2" t="s">
        <v>25</v>
      </c>
      <c r="B36" s="2">
        <f>22-9</f>
        <v>13</v>
      </c>
      <c r="C36" s="2" t="s">
        <v>24</v>
      </c>
      <c r="E36" s="1">
        <f>D52</f>
        <v>32</v>
      </c>
      <c r="F36" s="1" t="str">
        <f>F34</f>
        <v>H</v>
      </c>
      <c r="G36" s="1">
        <f>E36/B36</f>
        <v>2.4615384615384617</v>
      </c>
      <c r="H36" s="1" t="s">
        <v>76</v>
      </c>
    </row>
    <row r="38" spans="1:14" x14ac:dyDescent="0.25">
      <c r="A38" s="2" t="s">
        <v>72</v>
      </c>
      <c r="B38" s="2"/>
      <c r="C38" s="2" t="s">
        <v>26</v>
      </c>
      <c r="D38" s="2" t="s">
        <v>27</v>
      </c>
    </row>
    <row r="39" spans="1:14" x14ac:dyDescent="0.25">
      <c r="A39" s="3" t="s">
        <v>0</v>
      </c>
      <c r="B39" s="2"/>
      <c r="C39" s="2"/>
      <c r="D39" s="2"/>
    </row>
    <row r="40" spans="1:14" x14ac:dyDescent="0.25">
      <c r="A40" s="2" t="s">
        <v>78</v>
      </c>
      <c r="B40" s="2" t="s">
        <v>67</v>
      </c>
      <c r="C40" s="2">
        <v>1</v>
      </c>
      <c r="D40" s="2">
        <f>C40*8</f>
        <v>8</v>
      </c>
    </row>
    <row r="41" spans="1:14" x14ac:dyDescent="0.25">
      <c r="A41" s="2" t="s">
        <v>73</v>
      </c>
      <c r="B41" s="2" t="s">
        <v>67</v>
      </c>
      <c r="C41" s="2">
        <v>1</v>
      </c>
      <c r="D41" s="2">
        <f>C41*8</f>
        <v>8</v>
      </c>
    </row>
    <row r="42" spans="1:14" x14ac:dyDescent="0.25">
      <c r="A42" s="2" t="s">
        <v>63</v>
      </c>
      <c r="B42" s="2" t="s">
        <v>67</v>
      </c>
      <c r="C42" s="2">
        <v>1</v>
      </c>
      <c r="D42" s="2">
        <v>8</v>
      </c>
      <c r="F42" s="8" t="s">
        <v>114</v>
      </c>
      <c r="G42" s="3" t="s">
        <v>67</v>
      </c>
      <c r="H42" s="3" t="s">
        <v>68</v>
      </c>
      <c r="I42" s="3" t="s">
        <v>90</v>
      </c>
    </row>
    <row r="43" spans="1:14" x14ac:dyDescent="0.25">
      <c r="A43" s="2" t="s">
        <v>118</v>
      </c>
      <c r="B43" s="2" t="s">
        <v>68</v>
      </c>
      <c r="C43" s="2">
        <v>1</v>
      </c>
      <c r="D43" s="2">
        <f>22.5-17.5</f>
        <v>5</v>
      </c>
      <c r="F43" s="11">
        <f>SUM(G43:I43)</f>
        <v>5</v>
      </c>
      <c r="G43" s="2">
        <v>3</v>
      </c>
      <c r="H43" s="2">
        <v>1</v>
      </c>
      <c r="I43" s="2">
        <v>1</v>
      </c>
    </row>
    <row r="44" spans="1:14" x14ac:dyDescent="0.25">
      <c r="A44" s="2" t="s">
        <v>88</v>
      </c>
      <c r="B44" s="2"/>
      <c r="C44" s="2">
        <v>1</v>
      </c>
      <c r="D44" s="2"/>
    </row>
    <row r="45" spans="1:14" x14ac:dyDescent="0.25">
      <c r="A45" s="3" t="s">
        <v>66</v>
      </c>
      <c r="B45" s="3"/>
      <c r="C45" s="3">
        <f>SUM(C40:C44)</f>
        <v>5</v>
      </c>
      <c r="D45" s="3">
        <f>SUM(D40:D44)</f>
        <v>29</v>
      </c>
      <c r="F45" s="8" t="s">
        <v>89</v>
      </c>
      <c r="G45" s="3" t="s">
        <v>67</v>
      </c>
      <c r="H45" s="3" t="s">
        <v>68</v>
      </c>
      <c r="I45" s="3" t="s">
        <v>90</v>
      </c>
      <c r="K45" s="8" t="s">
        <v>91</v>
      </c>
      <c r="L45" s="3" t="s">
        <v>67</v>
      </c>
      <c r="M45" s="3" t="s">
        <v>68</v>
      </c>
      <c r="N45" s="3" t="s">
        <v>90</v>
      </c>
    </row>
    <row r="46" spans="1:14" x14ac:dyDescent="0.25">
      <c r="A46" s="3" t="s">
        <v>2</v>
      </c>
      <c r="B46" s="2"/>
      <c r="C46" s="2"/>
      <c r="D46" s="2"/>
      <c r="F46" s="11">
        <f>SUM(G46:I46)</f>
        <v>3</v>
      </c>
      <c r="G46" s="2"/>
      <c r="H46" s="2">
        <v>2</v>
      </c>
      <c r="I46" s="2">
        <v>1</v>
      </c>
      <c r="K46" s="11">
        <f>F43-F46</f>
        <v>2</v>
      </c>
      <c r="L46" s="11">
        <f t="shared" ref="L46:N46" si="6">G43-G46</f>
        <v>3</v>
      </c>
      <c r="M46" s="11"/>
      <c r="N46" s="11">
        <f t="shared" si="6"/>
        <v>0</v>
      </c>
    </row>
    <row r="47" spans="1:14" x14ac:dyDescent="0.25">
      <c r="A47" s="2" t="s">
        <v>78</v>
      </c>
      <c r="B47" s="2" t="s">
        <v>67</v>
      </c>
      <c r="C47" s="2">
        <v>1</v>
      </c>
      <c r="D47" s="2">
        <f>C47*8</f>
        <v>8</v>
      </c>
    </row>
    <row r="48" spans="1:14" x14ac:dyDescent="0.25">
      <c r="A48" s="2" t="s">
        <v>73</v>
      </c>
      <c r="B48" s="2" t="s">
        <v>67</v>
      </c>
      <c r="C48" s="2">
        <v>1</v>
      </c>
      <c r="D48" s="2">
        <f t="shared" ref="D48:D49" si="7">C48*8</f>
        <v>8</v>
      </c>
      <c r="K48" s="1" t="s">
        <v>119</v>
      </c>
    </row>
    <row r="49" spans="1:12" x14ac:dyDescent="0.25">
      <c r="A49" s="2" t="s">
        <v>63</v>
      </c>
      <c r="B49" s="2" t="s">
        <v>67</v>
      </c>
      <c r="C49" s="2">
        <v>1</v>
      </c>
      <c r="D49" s="2">
        <f t="shared" si="7"/>
        <v>8</v>
      </c>
      <c r="K49" s="1" t="s">
        <v>120</v>
      </c>
    </row>
    <row r="50" spans="1:12" x14ac:dyDescent="0.25">
      <c r="A50" s="2" t="s">
        <v>118</v>
      </c>
      <c r="B50" s="2" t="s">
        <v>68</v>
      </c>
      <c r="C50" s="2">
        <v>1</v>
      </c>
      <c r="D50" s="2">
        <f>C50*8</f>
        <v>8</v>
      </c>
      <c r="K50" s="1" t="s">
        <v>121</v>
      </c>
    </row>
    <row r="51" spans="1:12" x14ac:dyDescent="0.25">
      <c r="A51" s="2" t="s">
        <v>88</v>
      </c>
      <c r="B51" s="2"/>
      <c r="C51" s="2">
        <v>1</v>
      </c>
      <c r="D51" s="2"/>
    </row>
    <row r="52" spans="1:12" x14ac:dyDescent="0.25">
      <c r="A52" s="3" t="s">
        <v>66</v>
      </c>
      <c r="B52" s="3"/>
      <c r="C52" s="3">
        <f>SUM(C47:C51)</f>
        <v>5</v>
      </c>
      <c r="D52" s="3">
        <f>SUM(D47:D51)</f>
        <v>32</v>
      </c>
    </row>
    <row r="54" spans="1:12" x14ac:dyDescent="0.25">
      <c r="F54" s="1" t="s">
        <v>106</v>
      </c>
      <c r="G54" s="1" t="s">
        <v>95</v>
      </c>
      <c r="H54" s="1" t="s">
        <v>99</v>
      </c>
    </row>
    <row r="55" spans="1:12" ht="25.5" x14ac:dyDescent="0.35">
      <c r="A55" s="14" t="s">
        <v>84</v>
      </c>
      <c r="B55" s="15"/>
      <c r="C55" s="15"/>
      <c r="D55" s="15"/>
      <c r="E55" s="15"/>
      <c r="F55" s="1" t="s">
        <v>104</v>
      </c>
      <c r="G55" s="1" t="s">
        <v>105</v>
      </c>
      <c r="H55" s="1" t="s">
        <v>100</v>
      </c>
    </row>
    <row r="57" spans="1:12" x14ac:dyDescent="0.25">
      <c r="A57" s="8" t="s">
        <v>80</v>
      </c>
      <c r="B57" s="8" t="s">
        <v>81</v>
      </c>
      <c r="C57" s="8" t="s">
        <v>82</v>
      </c>
      <c r="D57" s="8" t="s">
        <v>66</v>
      </c>
    </row>
    <row r="58" spans="1:12" x14ac:dyDescent="0.25">
      <c r="A58" s="3" t="s">
        <v>0</v>
      </c>
      <c r="B58" s="2">
        <v>243</v>
      </c>
      <c r="C58" s="2">
        <v>47</v>
      </c>
      <c r="D58" s="8">
        <f>B58+C58</f>
        <v>290</v>
      </c>
    </row>
    <row r="59" spans="1:12" x14ac:dyDescent="0.25">
      <c r="A59" s="3" t="s">
        <v>2</v>
      </c>
      <c r="B59" s="2">
        <v>274</v>
      </c>
      <c r="C59" s="2">
        <v>101</v>
      </c>
      <c r="D59" s="8">
        <f>B59+C59</f>
        <v>375</v>
      </c>
    </row>
    <row r="61" spans="1:12" x14ac:dyDescent="0.25">
      <c r="A61" s="8" t="s">
        <v>103</v>
      </c>
      <c r="B61" s="3" t="s">
        <v>67</v>
      </c>
      <c r="C61" s="8" t="s">
        <v>101</v>
      </c>
      <c r="D61" s="3" t="s">
        <v>90</v>
      </c>
      <c r="F61" s="8" t="s">
        <v>89</v>
      </c>
      <c r="G61" s="3" t="s">
        <v>67</v>
      </c>
      <c r="H61" s="3" t="s">
        <v>90</v>
      </c>
      <c r="J61" s="8" t="s">
        <v>149</v>
      </c>
      <c r="K61" s="3" t="s">
        <v>67</v>
      </c>
      <c r="L61" s="3" t="s">
        <v>90</v>
      </c>
    </row>
    <row r="62" spans="1:12" x14ac:dyDescent="0.25">
      <c r="A62" s="11">
        <f>SUM(B62:D62)</f>
        <v>4</v>
      </c>
      <c r="B62" s="2">
        <v>2</v>
      </c>
      <c r="C62" s="2">
        <v>1</v>
      </c>
      <c r="D62" s="2">
        <v>1</v>
      </c>
      <c r="F62" s="11">
        <f>SUM(G62:H62)</f>
        <v>4</v>
      </c>
      <c r="G62" s="2">
        <v>3</v>
      </c>
      <c r="H62" s="2">
        <v>1</v>
      </c>
      <c r="J62" s="11">
        <f>A62-F62</f>
        <v>0</v>
      </c>
      <c r="K62" s="2"/>
      <c r="L62" s="2"/>
    </row>
  </sheetData>
  <pageMargins left="0" right="0" top="0" bottom="0" header="0" footer="0"/>
  <pageSetup paperSize="9" scale="69" orientation="landscape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V96"/>
  <sheetViews>
    <sheetView topLeftCell="A70" workbookViewId="0">
      <selection activeCell="D93" sqref="D93"/>
    </sheetView>
  </sheetViews>
  <sheetFormatPr defaultRowHeight="15.75" x14ac:dyDescent="0.25"/>
  <cols>
    <col min="1" max="1" width="32.5703125" style="1" customWidth="1"/>
    <col min="2" max="2" width="11.7109375" style="1" bestFit="1" customWidth="1"/>
    <col min="3" max="3" width="15.140625" style="1" bestFit="1" customWidth="1"/>
    <col min="4" max="5" width="14.7109375" style="1" bestFit="1" customWidth="1"/>
    <col min="6" max="6" width="15.85546875" style="1" bestFit="1" customWidth="1"/>
    <col min="7" max="7" width="14.7109375" style="1" bestFit="1" customWidth="1"/>
    <col min="8" max="8" width="11.28515625" style="1" customWidth="1"/>
    <col min="9" max="16" width="14.7109375" style="1" bestFit="1" customWidth="1"/>
    <col min="17" max="18" width="11.5703125" style="1" bestFit="1" customWidth="1"/>
    <col min="19" max="16384" width="9.140625" style="1"/>
  </cols>
  <sheetData>
    <row r="2" spans="1:19" ht="25.5" x14ac:dyDescent="0.35">
      <c r="A2" s="14" t="s">
        <v>83</v>
      </c>
      <c r="B2" s="15"/>
      <c r="C2" s="15"/>
      <c r="D2" s="15"/>
      <c r="E2" s="15"/>
      <c r="F2" s="1" t="s">
        <v>382</v>
      </c>
    </row>
    <row r="4" spans="1:19" x14ac:dyDescent="0.25">
      <c r="A4" s="2" t="s">
        <v>74</v>
      </c>
      <c r="B4" s="3" t="s">
        <v>21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</row>
    <row r="5" spans="1:19" x14ac:dyDescent="0.25">
      <c r="A5" s="5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s="43" customFormat="1" x14ac:dyDescent="0.25">
      <c r="A6" s="42" t="s">
        <v>1</v>
      </c>
      <c r="B6" s="42">
        <v>18182</v>
      </c>
      <c r="C6" s="42">
        <v>747273</v>
      </c>
      <c r="D6" s="42">
        <v>2814549</v>
      </c>
      <c r="E6" s="42">
        <v>2850004</v>
      </c>
      <c r="F6" s="42">
        <v>3896366</v>
      </c>
      <c r="G6" s="42">
        <v>3288179</v>
      </c>
      <c r="H6" s="42">
        <v>2363272</v>
      </c>
      <c r="I6" s="42">
        <v>2317274</v>
      </c>
      <c r="J6" s="42">
        <v>3603636</v>
      </c>
      <c r="K6" s="42">
        <v>4218181</v>
      </c>
      <c r="L6" s="42">
        <v>5891552</v>
      </c>
      <c r="M6" s="42">
        <v>4828730</v>
      </c>
      <c r="N6" s="42">
        <v>5572268</v>
      </c>
      <c r="O6" s="42">
        <v>4049096</v>
      </c>
      <c r="P6" s="42">
        <v>2684280</v>
      </c>
      <c r="Q6" s="42">
        <v>0</v>
      </c>
    </row>
    <row r="7" spans="1:19" s="43" customFormat="1" x14ac:dyDescent="0.25">
      <c r="A7" s="44">
        <v>5</v>
      </c>
      <c r="B7" s="44">
        <f>ROUND(B6/$A$7,0)</f>
        <v>3636</v>
      </c>
      <c r="C7" s="44">
        <f t="shared" ref="C7:Q7" si="0">ROUND(C6/$A$7,0)</f>
        <v>149455</v>
      </c>
      <c r="D7" s="44">
        <f t="shared" si="0"/>
        <v>562910</v>
      </c>
      <c r="E7" s="44">
        <f t="shared" si="0"/>
        <v>570001</v>
      </c>
      <c r="F7" s="44">
        <f t="shared" si="0"/>
        <v>779273</v>
      </c>
      <c r="G7" s="44">
        <f t="shared" si="0"/>
        <v>657636</v>
      </c>
      <c r="H7" s="44">
        <f t="shared" si="0"/>
        <v>472654</v>
      </c>
      <c r="I7" s="44">
        <f t="shared" si="0"/>
        <v>463455</v>
      </c>
      <c r="J7" s="44">
        <f t="shared" si="0"/>
        <v>720727</v>
      </c>
      <c r="K7" s="44">
        <f t="shared" si="0"/>
        <v>843636</v>
      </c>
      <c r="L7" s="44">
        <f t="shared" si="0"/>
        <v>1178310</v>
      </c>
      <c r="M7" s="44">
        <f t="shared" si="0"/>
        <v>965746</v>
      </c>
      <c r="N7" s="44">
        <f t="shared" si="0"/>
        <v>1114454</v>
      </c>
      <c r="O7" s="44">
        <f t="shared" si="0"/>
        <v>809819</v>
      </c>
      <c r="P7" s="44">
        <f t="shared" si="0"/>
        <v>536856</v>
      </c>
      <c r="Q7" s="44">
        <f t="shared" si="0"/>
        <v>0</v>
      </c>
    </row>
    <row r="8" spans="1:19" s="37" customFormat="1" x14ac:dyDescent="0.25">
      <c r="A8" s="45" t="s">
        <v>302</v>
      </c>
      <c r="B8" s="45">
        <f>B7</f>
        <v>3636</v>
      </c>
      <c r="C8" s="45">
        <f t="shared" ref="C8:Q8" si="1">C7</f>
        <v>149455</v>
      </c>
      <c r="D8" s="45">
        <f t="shared" si="1"/>
        <v>562910</v>
      </c>
      <c r="E8" s="45">
        <f t="shared" si="1"/>
        <v>570001</v>
      </c>
      <c r="F8" s="45">
        <f t="shared" si="1"/>
        <v>779273</v>
      </c>
      <c r="G8" s="45">
        <f t="shared" si="1"/>
        <v>657636</v>
      </c>
      <c r="H8" s="45">
        <f t="shared" si="1"/>
        <v>472654</v>
      </c>
      <c r="I8" s="45">
        <f t="shared" si="1"/>
        <v>463455</v>
      </c>
      <c r="J8" s="45">
        <f t="shared" si="1"/>
        <v>720727</v>
      </c>
      <c r="K8" s="45">
        <f t="shared" si="1"/>
        <v>843636</v>
      </c>
      <c r="L8" s="45">
        <f t="shared" si="1"/>
        <v>1178310</v>
      </c>
      <c r="M8" s="45">
        <f t="shared" si="1"/>
        <v>965746</v>
      </c>
      <c r="N8" s="45">
        <f t="shared" si="1"/>
        <v>1114454</v>
      </c>
      <c r="O8" s="45">
        <f t="shared" si="1"/>
        <v>809819</v>
      </c>
      <c r="P8" s="45">
        <f t="shared" si="1"/>
        <v>536856</v>
      </c>
      <c r="Q8" s="45">
        <f t="shared" si="1"/>
        <v>0</v>
      </c>
      <c r="R8" s="43">
        <f t="shared" ref="R8:R9" si="2">SUM(B8:Q8)</f>
        <v>9828568</v>
      </c>
    </row>
    <row r="9" spans="1:19" x14ac:dyDescent="0.25">
      <c r="A9" s="12" t="s">
        <v>303</v>
      </c>
      <c r="B9" s="12">
        <v>2</v>
      </c>
      <c r="C9" s="12">
        <v>2</v>
      </c>
      <c r="D9" s="12">
        <v>2</v>
      </c>
      <c r="E9" s="12">
        <v>2</v>
      </c>
      <c r="F9" s="12">
        <v>2</v>
      </c>
      <c r="G9" s="12">
        <v>2</v>
      </c>
      <c r="H9" s="12">
        <v>2</v>
      </c>
      <c r="I9" s="12">
        <v>2</v>
      </c>
      <c r="J9" s="12">
        <v>2</v>
      </c>
      <c r="K9" s="12">
        <v>2</v>
      </c>
      <c r="L9" s="12">
        <v>3</v>
      </c>
      <c r="M9" s="12">
        <v>2</v>
      </c>
      <c r="N9" s="12">
        <v>3</v>
      </c>
      <c r="O9" s="12">
        <v>2</v>
      </c>
      <c r="P9" s="12">
        <v>2</v>
      </c>
      <c r="Q9" s="12"/>
      <c r="R9" s="43">
        <f t="shared" si="2"/>
        <v>32</v>
      </c>
    </row>
    <row r="10" spans="1:19" x14ac:dyDescent="0.25">
      <c r="A10" s="12" t="s">
        <v>304</v>
      </c>
      <c r="B10" s="46">
        <f t="shared" ref="B10:P10" si="3">B9*18000</f>
        <v>36000</v>
      </c>
      <c r="C10" s="46">
        <f t="shared" si="3"/>
        <v>36000</v>
      </c>
      <c r="D10" s="46">
        <f t="shared" si="3"/>
        <v>36000</v>
      </c>
      <c r="E10" s="46">
        <f t="shared" si="3"/>
        <v>36000</v>
      </c>
      <c r="F10" s="46">
        <f t="shared" si="3"/>
        <v>36000</v>
      </c>
      <c r="G10" s="46">
        <f t="shared" si="3"/>
        <v>36000</v>
      </c>
      <c r="H10" s="46">
        <f t="shared" si="3"/>
        <v>36000</v>
      </c>
      <c r="I10" s="46">
        <f t="shared" si="3"/>
        <v>36000</v>
      </c>
      <c r="J10" s="46">
        <f t="shared" si="3"/>
        <v>36000</v>
      </c>
      <c r="K10" s="46">
        <f t="shared" si="3"/>
        <v>36000</v>
      </c>
      <c r="L10" s="46">
        <f t="shared" si="3"/>
        <v>54000</v>
      </c>
      <c r="M10" s="46">
        <f t="shared" si="3"/>
        <v>36000</v>
      </c>
      <c r="N10" s="46">
        <f t="shared" si="3"/>
        <v>54000</v>
      </c>
      <c r="O10" s="46">
        <f t="shared" si="3"/>
        <v>36000</v>
      </c>
      <c r="P10" s="46">
        <f t="shared" si="3"/>
        <v>36000</v>
      </c>
      <c r="Q10" s="12"/>
      <c r="R10" s="43">
        <f>SUM(B10:Q10)</f>
        <v>576000</v>
      </c>
      <c r="S10" s="47">
        <f>R10/R8</f>
        <v>5.8604671606280793E-2</v>
      </c>
    </row>
    <row r="12" spans="1:19" x14ac:dyDescent="0.25">
      <c r="A12" s="13" t="s">
        <v>75</v>
      </c>
    </row>
    <row r="13" spans="1:19" x14ac:dyDescent="0.25">
      <c r="A13" s="2" t="s">
        <v>78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/>
      <c r="K13" s="2"/>
      <c r="L13" s="2"/>
      <c r="M13" s="2"/>
      <c r="N13" s="2"/>
      <c r="O13" s="2"/>
      <c r="P13" s="2"/>
      <c r="Q13" s="2"/>
    </row>
    <row r="14" spans="1:19" x14ac:dyDescent="0.25">
      <c r="A14" s="2" t="s">
        <v>78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/>
      <c r="L14" s="2"/>
      <c r="M14" s="2"/>
      <c r="N14" s="2"/>
      <c r="O14" s="2"/>
      <c r="P14" s="2"/>
      <c r="Q14" s="2"/>
    </row>
    <row r="15" spans="1:19" x14ac:dyDescent="0.25">
      <c r="A15" s="2" t="s">
        <v>63</v>
      </c>
      <c r="B15" s="2"/>
      <c r="C15" s="2"/>
      <c r="D15" s="2"/>
      <c r="E15" s="2"/>
      <c r="F15" s="2"/>
      <c r="G15" s="2"/>
      <c r="H15" s="2"/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/>
    </row>
    <row r="16" spans="1:19" x14ac:dyDescent="0.25">
      <c r="A16" s="2" t="s">
        <v>63</v>
      </c>
      <c r="B16" s="2"/>
      <c r="C16" s="2"/>
      <c r="D16" s="2"/>
      <c r="E16" s="2"/>
      <c r="F16" s="2"/>
      <c r="G16" s="2"/>
      <c r="H16" s="2"/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/>
    </row>
    <row r="17" spans="1:19" x14ac:dyDescent="0.25">
      <c r="A17" s="2" t="s">
        <v>383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</v>
      </c>
      <c r="M17" s="2">
        <v>1</v>
      </c>
      <c r="N17" s="2">
        <v>1</v>
      </c>
      <c r="O17" s="2">
        <v>1</v>
      </c>
      <c r="P17" s="2"/>
      <c r="Q17" s="2"/>
    </row>
    <row r="18" spans="1:19" x14ac:dyDescent="0.25">
      <c r="A18" s="7" t="s">
        <v>303</v>
      </c>
      <c r="B18" s="7">
        <f>SUM(B13:B17)</f>
        <v>2</v>
      </c>
      <c r="C18" s="7">
        <f t="shared" ref="C18:Q18" si="4">SUM(C13:C17)</f>
        <v>2</v>
      </c>
      <c r="D18" s="7">
        <f t="shared" si="4"/>
        <v>2</v>
      </c>
      <c r="E18" s="7">
        <f t="shared" si="4"/>
        <v>2</v>
      </c>
      <c r="F18" s="7">
        <f t="shared" si="4"/>
        <v>2</v>
      </c>
      <c r="G18" s="7">
        <f t="shared" si="4"/>
        <v>2</v>
      </c>
      <c r="H18" s="7">
        <f t="shared" si="4"/>
        <v>2</v>
      </c>
      <c r="I18" s="7">
        <f t="shared" si="4"/>
        <v>4</v>
      </c>
      <c r="J18" s="7">
        <f t="shared" si="4"/>
        <v>2</v>
      </c>
      <c r="K18" s="7">
        <f t="shared" si="4"/>
        <v>2</v>
      </c>
      <c r="L18" s="7">
        <f t="shared" si="4"/>
        <v>3</v>
      </c>
      <c r="M18" s="7">
        <f t="shared" si="4"/>
        <v>3</v>
      </c>
      <c r="N18" s="7">
        <f t="shared" si="4"/>
        <v>3</v>
      </c>
      <c r="O18" s="7">
        <f t="shared" si="4"/>
        <v>3</v>
      </c>
      <c r="P18" s="7">
        <f t="shared" si="4"/>
        <v>2</v>
      </c>
      <c r="Q18" s="7">
        <f t="shared" si="4"/>
        <v>0</v>
      </c>
      <c r="R18" s="43">
        <f>SUM(B18:Q18)</f>
        <v>36</v>
      </c>
    </row>
    <row r="19" spans="1:19" x14ac:dyDescent="0.25">
      <c r="A19" s="12" t="s">
        <v>304</v>
      </c>
      <c r="B19" s="46">
        <f>B18*18000</f>
        <v>36000</v>
      </c>
      <c r="C19" s="46">
        <f t="shared" ref="C19:Q19" si="5">C18*18000</f>
        <v>36000</v>
      </c>
      <c r="D19" s="46">
        <f t="shared" si="5"/>
        <v>36000</v>
      </c>
      <c r="E19" s="46">
        <f t="shared" si="5"/>
        <v>36000</v>
      </c>
      <c r="F19" s="46">
        <f t="shared" si="5"/>
        <v>36000</v>
      </c>
      <c r="G19" s="46">
        <f t="shared" si="5"/>
        <v>36000</v>
      </c>
      <c r="H19" s="46">
        <f t="shared" si="5"/>
        <v>36000</v>
      </c>
      <c r="I19" s="46">
        <f t="shared" si="5"/>
        <v>72000</v>
      </c>
      <c r="J19" s="46">
        <f t="shared" si="5"/>
        <v>36000</v>
      </c>
      <c r="K19" s="46">
        <f t="shared" si="5"/>
        <v>36000</v>
      </c>
      <c r="L19" s="46">
        <f t="shared" si="5"/>
        <v>54000</v>
      </c>
      <c r="M19" s="46">
        <f t="shared" si="5"/>
        <v>54000</v>
      </c>
      <c r="N19" s="46">
        <f t="shared" si="5"/>
        <v>54000</v>
      </c>
      <c r="O19" s="46">
        <f t="shared" si="5"/>
        <v>54000</v>
      </c>
      <c r="P19" s="46">
        <f t="shared" si="5"/>
        <v>36000</v>
      </c>
      <c r="Q19" s="46">
        <f t="shared" si="5"/>
        <v>0</v>
      </c>
      <c r="R19" s="43">
        <f>SUM(B19:Q19)</f>
        <v>648000</v>
      </c>
      <c r="S19" s="47">
        <f>R19/R8</f>
        <v>6.5930255557065887E-2</v>
      </c>
    </row>
    <row r="21" spans="1:19" x14ac:dyDescent="0.25">
      <c r="A21" s="2" t="s">
        <v>74</v>
      </c>
      <c r="B21" s="3" t="s">
        <v>21</v>
      </c>
      <c r="C21" s="3" t="s">
        <v>4</v>
      </c>
      <c r="D21" s="3" t="s">
        <v>5</v>
      </c>
      <c r="E21" s="3" t="s">
        <v>6</v>
      </c>
      <c r="F21" s="3" t="s">
        <v>7</v>
      </c>
      <c r="G21" s="3" t="s">
        <v>8</v>
      </c>
      <c r="H21" s="3" t="s">
        <v>9</v>
      </c>
      <c r="I21" s="3" t="s">
        <v>10</v>
      </c>
      <c r="J21" s="3" t="s">
        <v>11</v>
      </c>
      <c r="K21" s="3" t="s">
        <v>12</v>
      </c>
      <c r="L21" s="3" t="s">
        <v>13</v>
      </c>
      <c r="M21" s="3" t="s">
        <v>14</v>
      </c>
      <c r="N21" s="3" t="s">
        <v>15</v>
      </c>
      <c r="O21" s="3" t="s">
        <v>16</v>
      </c>
      <c r="P21" s="3" t="s">
        <v>17</v>
      </c>
      <c r="Q21" s="3" t="s">
        <v>18</v>
      </c>
    </row>
    <row r="22" spans="1:19" x14ac:dyDescent="0.25">
      <c r="A22" s="5" t="s">
        <v>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9" s="43" customFormat="1" x14ac:dyDescent="0.25">
      <c r="A23" s="42" t="s">
        <v>3</v>
      </c>
      <c r="B23" s="42">
        <v>31818</v>
      </c>
      <c r="C23" s="42">
        <v>385455</v>
      </c>
      <c r="D23" s="42">
        <v>1763637</v>
      </c>
      <c r="E23" s="42">
        <v>1676367</v>
      </c>
      <c r="F23" s="42">
        <v>2068183</v>
      </c>
      <c r="G23" s="42">
        <v>2389823</v>
      </c>
      <c r="H23" s="42">
        <v>1171819</v>
      </c>
      <c r="I23" s="42">
        <v>998182</v>
      </c>
      <c r="J23" s="42">
        <v>1588182</v>
      </c>
      <c r="K23" s="42">
        <v>2349092</v>
      </c>
      <c r="L23" s="42">
        <v>1749096</v>
      </c>
      <c r="M23" s="42">
        <v>2490002</v>
      </c>
      <c r="N23" s="42">
        <v>3078182</v>
      </c>
      <c r="O23" s="42">
        <v>1828728</v>
      </c>
      <c r="P23" s="42">
        <v>1826364</v>
      </c>
      <c r="Q23" s="42">
        <v>89091</v>
      </c>
    </row>
    <row r="24" spans="1:19" s="43" customFormat="1" x14ac:dyDescent="0.25">
      <c r="A24" s="44">
        <v>2</v>
      </c>
      <c r="B24" s="44">
        <f>ROUND(B23/$A$24,0)</f>
        <v>15909</v>
      </c>
      <c r="C24" s="44">
        <f t="shared" ref="C24:Q24" si="6">ROUND(C23/$A$24,0)</f>
        <v>192728</v>
      </c>
      <c r="D24" s="44">
        <f t="shared" si="6"/>
        <v>881819</v>
      </c>
      <c r="E24" s="44">
        <f t="shared" si="6"/>
        <v>838184</v>
      </c>
      <c r="F24" s="44">
        <f t="shared" si="6"/>
        <v>1034092</v>
      </c>
      <c r="G24" s="44">
        <f t="shared" si="6"/>
        <v>1194912</v>
      </c>
      <c r="H24" s="44">
        <f t="shared" si="6"/>
        <v>585910</v>
      </c>
      <c r="I24" s="44">
        <f t="shared" si="6"/>
        <v>499091</v>
      </c>
      <c r="J24" s="44">
        <f t="shared" si="6"/>
        <v>794091</v>
      </c>
      <c r="K24" s="44">
        <f t="shared" si="6"/>
        <v>1174546</v>
      </c>
      <c r="L24" s="44">
        <f t="shared" si="6"/>
        <v>874548</v>
      </c>
      <c r="M24" s="44">
        <f t="shared" si="6"/>
        <v>1245001</v>
      </c>
      <c r="N24" s="44">
        <f t="shared" si="6"/>
        <v>1539091</v>
      </c>
      <c r="O24" s="44">
        <f t="shared" si="6"/>
        <v>914364</v>
      </c>
      <c r="P24" s="44">
        <f t="shared" si="6"/>
        <v>913182</v>
      </c>
      <c r="Q24" s="44">
        <f t="shared" si="6"/>
        <v>44546</v>
      </c>
    </row>
    <row r="25" spans="1:19" s="37" customFormat="1" x14ac:dyDescent="0.25">
      <c r="A25" s="45" t="s">
        <v>302</v>
      </c>
      <c r="B25" s="45">
        <f>B24</f>
        <v>15909</v>
      </c>
      <c r="C25" s="45">
        <f t="shared" ref="C25:Q25" si="7">C24</f>
        <v>192728</v>
      </c>
      <c r="D25" s="45">
        <f t="shared" si="7"/>
        <v>881819</v>
      </c>
      <c r="E25" s="45">
        <f t="shared" si="7"/>
        <v>838184</v>
      </c>
      <c r="F25" s="45">
        <f t="shared" si="7"/>
        <v>1034092</v>
      </c>
      <c r="G25" s="45">
        <f t="shared" si="7"/>
        <v>1194912</v>
      </c>
      <c r="H25" s="45">
        <f t="shared" si="7"/>
        <v>585910</v>
      </c>
      <c r="I25" s="45">
        <f t="shared" si="7"/>
        <v>499091</v>
      </c>
      <c r="J25" s="45">
        <f t="shared" si="7"/>
        <v>794091</v>
      </c>
      <c r="K25" s="45">
        <f t="shared" si="7"/>
        <v>1174546</v>
      </c>
      <c r="L25" s="45">
        <f t="shared" si="7"/>
        <v>874548</v>
      </c>
      <c r="M25" s="45">
        <f t="shared" si="7"/>
        <v>1245001</v>
      </c>
      <c r="N25" s="45">
        <f t="shared" si="7"/>
        <v>1539091</v>
      </c>
      <c r="O25" s="45">
        <f t="shared" si="7"/>
        <v>914364</v>
      </c>
      <c r="P25" s="45">
        <f t="shared" si="7"/>
        <v>913182</v>
      </c>
      <c r="Q25" s="45">
        <f t="shared" si="7"/>
        <v>44546</v>
      </c>
      <c r="R25" s="37">
        <f>SUM(B25:Q25)</f>
        <v>12742014</v>
      </c>
    </row>
    <row r="26" spans="1:19" x14ac:dyDescent="0.25">
      <c r="A26" s="12" t="s">
        <v>303</v>
      </c>
      <c r="B26" s="12">
        <v>2</v>
      </c>
      <c r="C26" s="12">
        <v>2</v>
      </c>
      <c r="D26" s="12">
        <v>2</v>
      </c>
      <c r="E26" s="12">
        <v>2</v>
      </c>
      <c r="F26" s="12">
        <v>3</v>
      </c>
      <c r="G26" s="12">
        <v>3</v>
      </c>
      <c r="H26" s="12">
        <v>2</v>
      </c>
      <c r="I26" s="12">
        <v>2</v>
      </c>
      <c r="J26" s="12">
        <v>2</v>
      </c>
      <c r="K26" s="12">
        <v>3</v>
      </c>
      <c r="L26" s="12">
        <v>2</v>
      </c>
      <c r="M26" s="12">
        <v>3</v>
      </c>
      <c r="N26" s="12">
        <v>3</v>
      </c>
      <c r="O26" s="12">
        <v>2</v>
      </c>
      <c r="P26" s="12">
        <v>2</v>
      </c>
      <c r="Q26" s="12"/>
      <c r="R26" s="37">
        <f t="shared" ref="R26:R27" si="8">SUM(B26:Q26)</f>
        <v>35</v>
      </c>
    </row>
    <row r="27" spans="1:19" x14ac:dyDescent="0.25">
      <c r="A27" s="12" t="s">
        <v>304</v>
      </c>
      <c r="B27" s="46">
        <f>B26*18000</f>
        <v>36000</v>
      </c>
      <c r="C27" s="46">
        <f t="shared" ref="C27:P27" si="9">C26*18000</f>
        <v>36000</v>
      </c>
      <c r="D27" s="46">
        <f t="shared" si="9"/>
        <v>36000</v>
      </c>
      <c r="E27" s="46">
        <f t="shared" si="9"/>
        <v>36000</v>
      </c>
      <c r="F27" s="46">
        <f t="shared" si="9"/>
        <v>54000</v>
      </c>
      <c r="G27" s="46">
        <f t="shared" si="9"/>
        <v>54000</v>
      </c>
      <c r="H27" s="46">
        <f t="shared" si="9"/>
        <v>36000</v>
      </c>
      <c r="I27" s="46">
        <f t="shared" si="9"/>
        <v>36000</v>
      </c>
      <c r="J27" s="46">
        <f t="shared" si="9"/>
        <v>36000</v>
      </c>
      <c r="K27" s="46">
        <f t="shared" si="9"/>
        <v>54000</v>
      </c>
      <c r="L27" s="46">
        <f t="shared" si="9"/>
        <v>36000</v>
      </c>
      <c r="M27" s="46">
        <f t="shared" si="9"/>
        <v>54000</v>
      </c>
      <c r="N27" s="46">
        <f t="shared" si="9"/>
        <v>54000</v>
      </c>
      <c r="O27" s="46">
        <f t="shared" si="9"/>
        <v>36000</v>
      </c>
      <c r="P27" s="46">
        <f t="shared" si="9"/>
        <v>36000</v>
      </c>
      <c r="Q27" s="12"/>
      <c r="R27" s="37">
        <f t="shared" si="8"/>
        <v>630000</v>
      </c>
      <c r="S27" s="47">
        <f>R27/R25</f>
        <v>4.9442733307309188E-2</v>
      </c>
    </row>
    <row r="29" spans="1:19" x14ac:dyDescent="0.25">
      <c r="A29" s="13" t="s">
        <v>75</v>
      </c>
    </row>
    <row r="30" spans="1:19" x14ac:dyDescent="0.25">
      <c r="A30" s="2" t="s">
        <v>78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/>
      <c r="K30" s="2"/>
      <c r="L30" s="2"/>
      <c r="M30" s="2"/>
      <c r="N30" s="2"/>
      <c r="O30" s="2"/>
      <c r="P30" s="2"/>
      <c r="Q30" s="2"/>
    </row>
    <row r="31" spans="1:19" x14ac:dyDescent="0.25">
      <c r="A31" s="2" t="s">
        <v>78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/>
      <c r="K31" s="2"/>
      <c r="L31" s="2"/>
      <c r="M31" s="2"/>
      <c r="N31" s="2"/>
      <c r="O31" s="2"/>
      <c r="P31" s="2"/>
      <c r="Q31" s="2"/>
    </row>
    <row r="32" spans="1:19" x14ac:dyDescent="0.25">
      <c r="A32" s="2" t="s">
        <v>73</v>
      </c>
      <c r="B32" s="2"/>
      <c r="C32" s="2"/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/>
      <c r="M32" s="2"/>
      <c r="N32" s="2"/>
      <c r="O32" s="2"/>
      <c r="P32" s="2"/>
      <c r="Q32" s="2"/>
    </row>
    <row r="33" spans="1:19" x14ac:dyDescent="0.25">
      <c r="A33" s="2" t="s">
        <v>63</v>
      </c>
      <c r="B33" s="2"/>
      <c r="C33" s="2"/>
      <c r="D33" s="2"/>
      <c r="E33" s="2"/>
      <c r="F33" s="2"/>
      <c r="G33" s="2"/>
      <c r="H33" s="2"/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/>
    </row>
    <row r="34" spans="1:19" x14ac:dyDescent="0.25">
      <c r="A34" s="2" t="s">
        <v>63</v>
      </c>
      <c r="B34" s="2"/>
      <c r="C34" s="2"/>
      <c r="D34" s="2"/>
      <c r="E34" s="2"/>
      <c r="F34" s="2"/>
      <c r="G34" s="2"/>
      <c r="H34" s="2"/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/>
    </row>
    <row r="35" spans="1:19" x14ac:dyDescent="0.25">
      <c r="A35" s="2" t="s">
        <v>383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</v>
      </c>
      <c r="M35" s="2">
        <v>1</v>
      </c>
      <c r="N35" s="2">
        <v>1</v>
      </c>
      <c r="O35" s="2">
        <v>1</v>
      </c>
      <c r="P35" s="2"/>
      <c r="Q35" s="2"/>
    </row>
    <row r="36" spans="1:19" x14ac:dyDescent="0.25">
      <c r="A36" s="7" t="s">
        <v>303</v>
      </c>
      <c r="B36" s="7">
        <f>SUM(B30:B35)</f>
        <v>2</v>
      </c>
      <c r="C36" s="7">
        <f t="shared" ref="C36:Q36" si="10">SUM(C30:C35)</f>
        <v>2</v>
      </c>
      <c r="D36" s="7">
        <f t="shared" si="10"/>
        <v>3</v>
      </c>
      <c r="E36" s="7">
        <f t="shared" si="10"/>
        <v>3</v>
      </c>
      <c r="F36" s="7">
        <f t="shared" si="10"/>
        <v>3</v>
      </c>
      <c r="G36" s="7">
        <f t="shared" si="10"/>
        <v>3</v>
      </c>
      <c r="H36" s="7">
        <f t="shared" si="10"/>
        <v>3</v>
      </c>
      <c r="I36" s="7">
        <f t="shared" si="10"/>
        <v>5</v>
      </c>
      <c r="J36" s="7">
        <f t="shared" si="10"/>
        <v>3</v>
      </c>
      <c r="K36" s="7">
        <f t="shared" si="10"/>
        <v>3</v>
      </c>
      <c r="L36" s="7">
        <f t="shared" si="10"/>
        <v>3</v>
      </c>
      <c r="M36" s="7">
        <f t="shared" si="10"/>
        <v>3</v>
      </c>
      <c r="N36" s="7">
        <f t="shared" si="10"/>
        <v>3</v>
      </c>
      <c r="O36" s="7">
        <f t="shared" si="10"/>
        <v>3</v>
      </c>
      <c r="P36" s="7">
        <f t="shared" si="10"/>
        <v>2</v>
      </c>
      <c r="Q36" s="7">
        <f t="shared" si="10"/>
        <v>0</v>
      </c>
      <c r="R36" s="1">
        <f>SUM(B36:Q36)</f>
        <v>44</v>
      </c>
    </row>
    <row r="37" spans="1:19" x14ac:dyDescent="0.25">
      <c r="A37" s="12" t="s">
        <v>304</v>
      </c>
      <c r="B37" s="46">
        <f>B36*18000</f>
        <v>36000</v>
      </c>
      <c r="C37" s="46">
        <f t="shared" ref="C37:P37" si="11">C36*18000</f>
        <v>36000</v>
      </c>
      <c r="D37" s="46">
        <f t="shared" si="11"/>
        <v>54000</v>
      </c>
      <c r="E37" s="46">
        <f t="shared" si="11"/>
        <v>54000</v>
      </c>
      <c r="F37" s="46">
        <f t="shared" si="11"/>
        <v>54000</v>
      </c>
      <c r="G37" s="46">
        <f t="shared" si="11"/>
        <v>54000</v>
      </c>
      <c r="H37" s="46">
        <f t="shared" si="11"/>
        <v>54000</v>
      </c>
      <c r="I37" s="46">
        <f t="shared" si="11"/>
        <v>90000</v>
      </c>
      <c r="J37" s="46">
        <f t="shared" si="11"/>
        <v>54000</v>
      </c>
      <c r="K37" s="46">
        <f t="shared" si="11"/>
        <v>54000</v>
      </c>
      <c r="L37" s="46">
        <f t="shared" si="11"/>
        <v>54000</v>
      </c>
      <c r="M37" s="46">
        <f t="shared" si="11"/>
        <v>54000</v>
      </c>
      <c r="N37" s="46">
        <f t="shared" si="11"/>
        <v>54000</v>
      </c>
      <c r="O37" s="46">
        <f t="shared" si="11"/>
        <v>54000</v>
      </c>
      <c r="P37" s="46">
        <f t="shared" si="11"/>
        <v>36000</v>
      </c>
      <c r="Q37" s="12"/>
      <c r="R37" s="37">
        <f t="shared" ref="R37" si="12">SUM(B37:Q37)</f>
        <v>792000</v>
      </c>
      <c r="S37" s="47">
        <f>R37/R25</f>
        <v>6.2156579014902978E-2</v>
      </c>
    </row>
    <row r="39" spans="1:19" x14ac:dyDescent="0.25">
      <c r="A39" s="2" t="s">
        <v>72</v>
      </c>
      <c r="B39" s="2"/>
      <c r="C39" s="2" t="s">
        <v>26</v>
      </c>
      <c r="D39" s="2" t="s">
        <v>27</v>
      </c>
    </row>
    <row r="40" spans="1:19" x14ac:dyDescent="0.25">
      <c r="A40" s="3" t="s">
        <v>0</v>
      </c>
      <c r="B40" s="2"/>
      <c r="C40" s="2"/>
      <c r="D40" s="2"/>
    </row>
    <row r="41" spans="1:19" x14ac:dyDescent="0.25">
      <c r="A41" s="2" t="s">
        <v>78</v>
      </c>
      <c r="B41" s="2" t="s">
        <v>67</v>
      </c>
      <c r="C41" s="2">
        <v>1</v>
      </c>
      <c r="D41" s="2">
        <f>C41*8</f>
        <v>8</v>
      </c>
    </row>
    <row r="42" spans="1:19" x14ac:dyDescent="0.25">
      <c r="A42" s="2" t="s">
        <v>78</v>
      </c>
      <c r="B42" s="2" t="s">
        <v>67</v>
      </c>
      <c r="C42" s="2">
        <v>1</v>
      </c>
      <c r="D42" s="2">
        <f>C42*8</f>
        <v>8</v>
      </c>
    </row>
    <row r="43" spans="1:19" x14ac:dyDescent="0.25">
      <c r="A43" s="2" t="s">
        <v>63</v>
      </c>
      <c r="B43" s="2" t="s">
        <v>67</v>
      </c>
      <c r="C43" s="2">
        <v>1</v>
      </c>
      <c r="D43" s="2">
        <v>8</v>
      </c>
      <c r="F43" s="68" t="s">
        <v>114</v>
      </c>
      <c r="G43" s="3" t="s">
        <v>67</v>
      </c>
      <c r="H43" s="3" t="s">
        <v>68</v>
      </c>
      <c r="I43" s="3" t="s">
        <v>90</v>
      </c>
    </row>
    <row r="44" spans="1:19" x14ac:dyDescent="0.25">
      <c r="A44" s="2" t="s">
        <v>63</v>
      </c>
      <c r="B44" s="2" t="s">
        <v>67</v>
      </c>
      <c r="C44" s="2">
        <v>1</v>
      </c>
      <c r="D44" s="2">
        <v>8</v>
      </c>
      <c r="F44" s="11">
        <f>SUM(G44:I44)</f>
        <v>7</v>
      </c>
      <c r="G44" s="2">
        <v>5</v>
      </c>
      <c r="H44" s="2">
        <v>1</v>
      </c>
      <c r="I44" s="2">
        <v>1</v>
      </c>
    </row>
    <row r="45" spans="1:19" x14ac:dyDescent="0.25">
      <c r="A45" s="2" t="s">
        <v>383</v>
      </c>
      <c r="B45" s="2" t="s">
        <v>68</v>
      </c>
      <c r="C45" s="2">
        <v>1</v>
      </c>
      <c r="D45" s="2">
        <f>21-17</f>
        <v>4</v>
      </c>
      <c r="F45" s="21"/>
      <c r="G45" s="22"/>
      <c r="H45" s="22"/>
      <c r="I45" s="22"/>
    </row>
    <row r="46" spans="1:19" x14ac:dyDescent="0.25">
      <c r="A46" s="2" t="s">
        <v>87</v>
      </c>
      <c r="B46" s="2" t="s">
        <v>67</v>
      </c>
      <c r="C46" s="2">
        <v>1</v>
      </c>
      <c r="D46" s="2"/>
      <c r="F46" s="21"/>
      <c r="G46" s="22"/>
      <c r="H46" s="22"/>
      <c r="I46" s="22"/>
    </row>
    <row r="47" spans="1:19" x14ac:dyDescent="0.25">
      <c r="A47" s="2" t="s">
        <v>88</v>
      </c>
      <c r="B47" s="2"/>
      <c r="C47" s="2">
        <v>1</v>
      </c>
      <c r="D47" s="2"/>
    </row>
    <row r="48" spans="1:19" x14ac:dyDescent="0.25">
      <c r="A48" s="3" t="s">
        <v>66</v>
      </c>
      <c r="B48" s="3"/>
      <c r="C48" s="3">
        <f>SUM(C41:C47)</f>
        <v>7</v>
      </c>
      <c r="D48" s="3">
        <f>SUM(D41:D47)</f>
        <v>36</v>
      </c>
      <c r="F48" s="68" t="s">
        <v>89</v>
      </c>
      <c r="G48" s="3" t="s">
        <v>67</v>
      </c>
      <c r="H48" s="3" t="s">
        <v>68</v>
      </c>
      <c r="I48" s="3" t="s">
        <v>90</v>
      </c>
      <c r="K48" s="68" t="s">
        <v>91</v>
      </c>
      <c r="L48" s="3" t="s">
        <v>67</v>
      </c>
      <c r="M48" s="3" t="s">
        <v>68</v>
      </c>
      <c r="N48" s="3" t="s">
        <v>90</v>
      </c>
    </row>
    <row r="49" spans="1:14" x14ac:dyDescent="0.25">
      <c r="A49" s="3" t="s">
        <v>2</v>
      </c>
      <c r="B49" s="2"/>
      <c r="C49" s="2"/>
      <c r="D49" s="2"/>
      <c r="F49" s="11">
        <f>SUM(G49:I49)</f>
        <v>4</v>
      </c>
      <c r="G49" s="2">
        <v>1</v>
      </c>
      <c r="H49" s="2">
        <v>2</v>
      </c>
      <c r="I49" s="2">
        <v>1</v>
      </c>
      <c r="K49" s="11">
        <f>F44-F49</f>
        <v>3</v>
      </c>
      <c r="L49" s="11">
        <f t="shared" ref="L49:N49" si="13">G44-G49</f>
        <v>4</v>
      </c>
      <c r="M49" s="11"/>
      <c r="N49" s="11">
        <f t="shared" si="13"/>
        <v>0</v>
      </c>
    </row>
    <row r="50" spans="1:14" x14ac:dyDescent="0.25">
      <c r="A50" s="2" t="s">
        <v>78</v>
      </c>
      <c r="B50" s="2" t="s">
        <v>67</v>
      </c>
      <c r="C50" s="2">
        <v>1</v>
      </c>
      <c r="D50" s="2">
        <f>C50*8</f>
        <v>8</v>
      </c>
    </row>
    <row r="51" spans="1:14" x14ac:dyDescent="0.25">
      <c r="A51" s="2" t="s">
        <v>78</v>
      </c>
      <c r="B51" s="2" t="s">
        <v>67</v>
      </c>
      <c r="C51" s="2">
        <v>1</v>
      </c>
      <c r="D51" s="2">
        <f t="shared" ref="D51:D52" si="14">C51*8</f>
        <v>8</v>
      </c>
      <c r="K51" s="1" t="s">
        <v>119</v>
      </c>
    </row>
    <row r="52" spans="1:14" x14ac:dyDescent="0.25">
      <c r="A52" s="2" t="s">
        <v>73</v>
      </c>
      <c r="B52" s="2" t="s">
        <v>67</v>
      </c>
      <c r="C52" s="2">
        <v>1</v>
      </c>
      <c r="D52" s="2">
        <f t="shared" si="14"/>
        <v>8</v>
      </c>
      <c r="K52" s="1" t="s">
        <v>384</v>
      </c>
    </row>
    <row r="53" spans="1:14" x14ac:dyDescent="0.25">
      <c r="A53" s="2" t="s">
        <v>63</v>
      </c>
      <c r="B53" s="2" t="s">
        <v>67</v>
      </c>
      <c r="C53" s="2">
        <v>1</v>
      </c>
      <c r="D53" s="2">
        <f>C53*8</f>
        <v>8</v>
      </c>
      <c r="K53" s="1" t="s">
        <v>121</v>
      </c>
    </row>
    <row r="54" spans="1:14" x14ac:dyDescent="0.25">
      <c r="A54" s="2" t="s">
        <v>63</v>
      </c>
      <c r="B54" s="2" t="s">
        <v>67</v>
      </c>
      <c r="C54" s="2">
        <v>1</v>
      </c>
      <c r="D54" s="2">
        <v>8</v>
      </c>
    </row>
    <row r="55" spans="1:14" x14ac:dyDescent="0.25">
      <c r="A55" s="2" t="s">
        <v>383</v>
      </c>
      <c r="B55" s="2" t="s">
        <v>68</v>
      </c>
      <c r="C55" s="2">
        <v>1</v>
      </c>
      <c r="D55" s="2">
        <v>4</v>
      </c>
    </row>
    <row r="56" spans="1:14" x14ac:dyDescent="0.25">
      <c r="A56" s="2" t="s">
        <v>88</v>
      </c>
      <c r="B56" s="2"/>
      <c r="C56" s="2">
        <v>1</v>
      </c>
      <c r="D56" s="2"/>
    </row>
    <row r="57" spans="1:14" x14ac:dyDescent="0.25">
      <c r="A57" s="3" t="s">
        <v>66</v>
      </c>
      <c r="B57" s="3"/>
      <c r="C57" s="3">
        <f>SUM(C50:C56)</f>
        <v>7</v>
      </c>
      <c r="D57" s="3">
        <f>SUM(D50:D56)</f>
        <v>44</v>
      </c>
    </row>
    <row r="59" spans="1:14" x14ac:dyDescent="0.25">
      <c r="A59" s="2" t="s">
        <v>22</v>
      </c>
      <c r="B59" s="2"/>
      <c r="C59" s="2"/>
      <c r="E59" s="1" t="s">
        <v>64</v>
      </c>
      <c r="F59" s="1" t="s">
        <v>70</v>
      </c>
    </row>
    <row r="60" spans="1:14" x14ac:dyDescent="0.25">
      <c r="A60" s="3" t="s">
        <v>0</v>
      </c>
      <c r="B60" s="2"/>
      <c r="C60" s="2"/>
      <c r="E60" s="1" t="s">
        <v>69</v>
      </c>
      <c r="F60" s="1" t="s">
        <v>71</v>
      </c>
    </row>
    <row r="61" spans="1:14" x14ac:dyDescent="0.25">
      <c r="A61" s="2" t="s">
        <v>23</v>
      </c>
      <c r="B61" s="2">
        <v>12</v>
      </c>
      <c r="C61" s="2" t="s">
        <v>24</v>
      </c>
      <c r="E61" s="1">
        <f>D48</f>
        <v>36</v>
      </c>
      <c r="F61" s="1" t="s">
        <v>24</v>
      </c>
      <c r="G61" s="1">
        <f>E61/B61</f>
        <v>3</v>
      </c>
      <c r="H61" s="1" t="s">
        <v>76</v>
      </c>
    </row>
    <row r="62" spans="1:14" x14ac:dyDescent="0.25">
      <c r="A62" s="3" t="s">
        <v>2</v>
      </c>
      <c r="B62" s="2"/>
      <c r="C62" s="2"/>
    </row>
    <row r="63" spans="1:14" x14ac:dyDescent="0.25">
      <c r="A63" s="2" t="s">
        <v>25</v>
      </c>
      <c r="B63" s="2">
        <f>22-9</f>
        <v>13</v>
      </c>
      <c r="C63" s="2" t="s">
        <v>24</v>
      </c>
      <c r="E63" s="1">
        <f>D57</f>
        <v>44</v>
      </c>
      <c r="F63" s="1" t="str">
        <f>F61</f>
        <v>H</v>
      </c>
      <c r="G63" s="1">
        <f>E63/B63</f>
        <v>3.3846153846153846</v>
      </c>
      <c r="H63" s="1" t="s">
        <v>76</v>
      </c>
    </row>
    <row r="65" spans="1:22" customFormat="1" x14ac:dyDescent="0.25">
      <c r="A65" s="48" t="s">
        <v>307</v>
      </c>
      <c r="B65" s="1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</row>
    <row r="66" spans="1:22" customFormat="1" x14ac:dyDescent="0.25">
      <c r="A66" s="48"/>
      <c r="B66" s="1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</row>
    <row r="67" spans="1:22" customFormat="1" x14ac:dyDescent="0.25">
      <c r="A67" s="50" t="s">
        <v>308</v>
      </c>
      <c r="B67" s="51" t="s">
        <v>309</v>
      </c>
      <c r="C67" s="52" t="s">
        <v>310</v>
      </c>
      <c r="D67" s="51" t="s">
        <v>311</v>
      </c>
      <c r="E67" s="51" t="s">
        <v>312</v>
      </c>
      <c r="F67" s="53" t="s">
        <v>313</v>
      </c>
      <c r="G67" s="51" t="s">
        <v>314</v>
      </c>
      <c r="H67" s="1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</row>
    <row r="68" spans="1:22" customFormat="1" x14ac:dyDescent="0.25">
      <c r="A68" s="50" t="s">
        <v>315</v>
      </c>
      <c r="B68" s="51">
        <v>1</v>
      </c>
      <c r="C68" s="51">
        <v>1</v>
      </c>
      <c r="D68" s="51">
        <v>1</v>
      </c>
      <c r="E68" s="51">
        <v>1</v>
      </c>
      <c r="F68" s="51">
        <v>1</v>
      </c>
      <c r="G68" s="51">
        <v>1</v>
      </c>
      <c r="H68" s="1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</row>
    <row r="69" spans="1:22" customFormat="1" x14ac:dyDescent="0.25">
      <c r="A69" s="50" t="s">
        <v>316</v>
      </c>
      <c r="B69" s="51">
        <v>1</v>
      </c>
      <c r="C69" s="51">
        <v>1</v>
      </c>
      <c r="D69" s="51">
        <v>1</v>
      </c>
      <c r="E69" s="51">
        <v>1</v>
      </c>
      <c r="F69" s="51">
        <v>1</v>
      </c>
      <c r="G69" s="51">
        <v>2</v>
      </c>
      <c r="H69" s="1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</row>
    <row r="70" spans="1:22" customFormat="1" x14ac:dyDescent="0.25">
      <c r="A70" s="50" t="s">
        <v>317</v>
      </c>
      <c r="B70" s="51">
        <v>1</v>
      </c>
      <c r="C70" s="51">
        <v>1</v>
      </c>
      <c r="D70" s="51">
        <v>1</v>
      </c>
      <c r="E70" s="51">
        <v>2</v>
      </c>
      <c r="F70" s="51">
        <v>2</v>
      </c>
      <c r="G70" s="51">
        <v>2</v>
      </c>
      <c r="H70" s="1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</row>
    <row r="71" spans="1:22" customFormat="1" x14ac:dyDescent="0.25">
      <c r="A71" s="50" t="s">
        <v>318</v>
      </c>
      <c r="B71" s="51">
        <v>0</v>
      </c>
      <c r="C71" s="51">
        <v>1</v>
      </c>
      <c r="D71" s="51">
        <v>1</v>
      </c>
      <c r="E71" s="51">
        <v>1</v>
      </c>
      <c r="F71" s="51">
        <v>1</v>
      </c>
      <c r="G71" s="51">
        <v>1</v>
      </c>
      <c r="H71" s="1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</row>
    <row r="72" spans="1:22" customFormat="1" x14ac:dyDescent="0.25">
      <c r="A72" s="50" t="s">
        <v>319</v>
      </c>
      <c r="B72" s="51">
        <f t="shared" ref="B72:G72" si="15">SUM(B68:B71)</f>
        <v>3</v>
      </c>
      <c r="C72" s="51">
        <f t="shared" si="15"/>
        <v>4</v>
      </c>
      <c r="D72" s="51">
        <f t="shared" si="15"/>
        <v>4</v>
      </c>
      <c r="E72" s="51">
        <f t="shared" si="15"/>
        <v>5</v>
      </c>
      <c r="F72" s="51">
        <f t="shared" si="15"/>
        <v>5</v>
      </c>
      <c r="G72" s="51">
        <f t="shared" si="15"/>
        <v>6</v>
      </c>
      <c r="H72" s="1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</row>
    <row r="73" spans="1:22" customFormat="1" x14ac:dyDescent="0.25">
      <c r="B73" s="49"/>
      <c r="C73" s="49"/>
      <c r="D73" s="49"/>
      <c r="E73" s="49"/>
      <c r="F73" s="49"/>
      <c r="G73" s="49"/>
      <c r="H73" s="1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</row>
    <row r="74" spans="1:22" customFormat="1" x14ac:dyDescent="0.25">
      <c r="A74" s="50" t="s">
        <v>320</v>
      </c>
      <c r="B74" s="54">
        <f>22-10</f>
        <v>12</v>
      </c>
      <c r="C74" s="54">
        <f t="shared" ref="C74:G74" si="16">22-10</f>
        <v>12</v>
      </c>
      <c r="D74" s="54">
        <f t="shared" si="16"/>
        <v>12</v>
      </c>
      <c r="E74" s="54">
        <f t="shared" si="16"/>
        <v>12</v>
      </c>
      <c r="F74" s="54">
        <f t="shared" si="16"/>
        <v>12</v>
      </c>
      <c r="G74" s="54">
        <f t="shared" si="16"/>
        <v>12</v>
      </c>
      <c r="H74" s="1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</row>
    <row r="75" spans="1:22" customFormat="1" x14ac:dyDescent="0.25">
      <c r="A75" s="50" t="s">
        <v>321</v>
      </c>
      <c r="B75" s="54">
        <v>2</v>
      </c>
      <c r="C75" s="54">
        <v>2</v>
      </c>
      <c r="D75" s="54">
        <v>2</v>
      </c>
      <c r="E75" s="54">
        <v>2</v>
      </c>
      <c r="F75" s="54">
        <v>2</v>
      </c>
      <c r="G75" s="54">
        <v>2</v>
      </c>
      <c r="H75" s="1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</row>
    <row r="76" spans="1:22" customFormat="1" x14ac:dyDescent="0.25">
      <c r="A76" s="50" t="s">
        <v>322</v>
      </c>
      <c r="B76" s="55">
        <f t="shared" ref="B76:G76" si="17">SUM(B74+B75)/8</f>
        <v>1.75</v>
      </c>
      <c r="C76" s="55">
        <f t="shared" si="17"/>
        <v>1.75</v>
      </c>
      <c r="D76" s="55">
        <f t="shared" si="17"/>
        <v>1.75</v>
      </c>
      <c r="E76" s="55">
        <f t="shared" si="17"/>
        <v>1.75</v>
      </c>
      <c r="F76" s="55">
        <f t="shared" si="17"/>
        <v>1.75</v>
      </c>
      <c r="G76" s="55">
        <f t="shared" si="17"/>
        <v>1.75</v>
      </c>
      <c r="H76" s="1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</row>
    <row r="77" spans="1:22" customFormat="1" x14ac:dyDescent="0.25">
      <c r="A77" s="50" t="s">
        <v>323</v>
      </c>
      <c r="B77" s="55">
        <f>SUM(B72*B76)</f>
        <v>5.25</v>
      </c>
      <c r="C77" s="55">
        <f t="shared" ref="C77:G77" si="18">SUM(C72*C76)</f>
        <v>7</v>
      </c>
      <c r="D77" s="55">
        <f t="shared" si="18"/>
        <v>7</v>
      </c>
      <c r="E77" s="55">
        <f t="shared" si="18"/>
        <v>8.75</v>
      </c>
      <c r="F77" s="55">
        <f t="shared" si="18"/>
        <v>8.75</v>
      </c>
      <c r="G77" s="55">
        <f t="shared" si="18"/>
        <v>10.5</v>
      </c>
      <c r="H77" s="1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</row>
    <row r="78" spans="1:22" customFormat="1" x14ac:dyDescent="0.25">
      <c r="B78" s="49"/>
      <c r="C78" s="49"/>
      <c r="D78" s="49"/>
      <c r="E78" s="49"/>
      <c r="F78" s="49"/>
      <c r="G78" s="49"/>
      <c r="H78" s="1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</row>
    <row r="79" spans="1:22" customFormat="1" x14ac:dyDescent="0.25">
      <c r="A79" s="50" t="s">
        <v>324</v>
      </c>
      <c r="B79" s="55">
        <f>SUM(B77*7)/6</f>
        <v>6.125</v>
      </c>
      <c r="C79" s="55">
        <f t="shared" ref="C79:G79" si="19">SUM(C77*7)/6</f>
        <v>8.1666666666666661</v>
      </c>
      <c r="D79" s="55">
        <f t="shared" si="19"/>
        <v>8.1666666666666661</v>
      </c>
      <c r="E79" s="55">
        <f t="shared" si="19"/>
        <v>10.208333333333334</v>
      </c>
      <c r="F79" s="55">
        <f t="shared" si="19"/>
        <v>10.208333333333334</v>
      </c>
      <c r="G79" s="55">
        <f t="shared" si="19"/>
        <v>12.25</v>
      </c>
      <c r="H79" s="1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</row>
    <row r="80" spans="1:22" x14ac:dyDescent="0.25">
      <c r="R80" s="37"/>
    </row>
    <row r="81" spans="1:22" customFormat="1" x14ac:dyDescent="0.25">
      <c r="A81" s="50" t="s">
        <v>365</v>
      </c>
      <c r="B81" s="54">
        <f>22-9</f>
        <v>13</v>
      </c>
      <c r="C81" s="54">
        <f t="shared" ref="C81:G81" si="20">22-9</f>
        <v>13</v>
      </c>
      <c r="D81" s="54">
        <f t="shared" si="20"/>
        <v>13</v>
      </c>
      <c r="E81" s="54">
        <f t="shared" si="20"/>
        <v>13</v>
      </c>
      <c r="F81" s="54">
        <f t="shared" si="20"/>
        <v>13</v>
      </c>
      <c r="G81" s="54">
        <f t="shared" si="20"/>
        <v>13</v>
      </c>
      <c r="H81" s="1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</row>
    <row r="82" spans="1:22" customFormat="1" x14ac:dyDescent="0.25">
      <c r="A82" s="50" t="s">
        <v>321</v>
      </c>
      <c r="B82" s="54">
        <v>2</v>
      </c>
      <c r="C82" s="54">
        <v>2</v>
      </c>
      <c r="D82" s="54">
        <v>2</v>
      </c>
      <c r="E82" s="54">
        <v>2</v>
      </c>
      <c r="F82" s="54">
        <v>2</v>
      </c>
      <c r="G82" s="54">
        <v>2</v>
      </c>
      <c r="H82" s="1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</row>
    <row r="83" spans="1:22" customFormat="1" x14ac:dyDescent="0.25">
      <c r="A83" s="50" t="s">
        <v>322</v>
      </c>
      <c r="B83" s="55">
        <f>SUM(B81+B82)/8</f>
        <v>1.875</v>
      </c>
      <c r="C83" s="55">
        <f t="shared" ref="C83" si="21">SUM(C81+C82)/8</f>
        <v>1.875</v>
      </c>
      <c r="D83" s="55">
        <f t="shared" ref="D83:G83" si="22">SUM(D81+D82)/8</f>
        <v>1.875</v>
      </c>
      <c r="E83" s="55">
        <f t="shared" si="22"/>
        <v>1.875</v>
      </c>
      <c r="F83" s="55">
        <f t="shared" si="22"/>
        <v>1.875</v>
      </c>
      <c r="G83" s="55">
        <f t="shared" si="22"/>
        <v>1.875</v>
      </c>
      <c r="H83" s="1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</row>
    <row r="84" spans="1:22" customFormat="1" x14ac:dyDescent="0.25">
      <c r="A84" s="50" t="s">
        <v>323</v>
      </c>
      <c r="B84" s="55">
        <f>B83*B72</f>
        <v>5.625</v>
      </c>
      <c r="C84" s="55">
        <f t="shared" ref="C84:G84" si="23">C83*C72</f>
        <v>7.5</v>
      </c>
      <c r="D84" s="55">
        <f t="shared" si="23"/>
        <v>7.5</v>
      </c>
      <c r="E84" s="55">
        <f t="shared" si="23"/>
        <v>9.375</v>
      </c>
      <c r="F84" s="55">
        <f t="shared" si="23"/>
        <v>9.375</v>
      </c>
      <c r="G84" s="55">
        <f t="shared" si="23"/>
        <v>11.25</v>
      </c>
      <c r="H84" s="1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</row>
    <row r="85" spans="1:22" customFormat="1" x14ac:dyDescent="0.25">
      <c r="B85" s="49"/>
      <c r="C85" s="49"/>
      <c r="D85" s="49"/>
      <c r="E85" s="49"/>
      <c r="F85" s="49"/>
      <c r="G85" s="49"/>
      <c r="H85" s="1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</row>
    <row r="86" spans="1:22" customFormat="1" x14ac:dyDescent="0.25">
      <c r="A86" s="50" t="s">
        <v>324</v>
      </c>
      <c r="B86" s="55">
        <f>SUM(B84*7)/6</f>
        <v>6.5625</v>
      </c>
      <c r="C86" s="55">
        <f t="shared" ref="C86:G86" si="24">SUM(C84*7)/6</f>
        <v>8.75</v>
      </c>
      <c r="D86" s="55">
        <f t="shared" si="24"/>
        <v>8.75</v>
      </c>
      <c r="E86" s="55">
        <f t="shared" si="24"/>
        <v>10.9375</v>
      </c>
      <c r="F86" s="55">
        <f t="shared" si="24"/>
        <v>10.9375</v>
      </c>
      <c r="G86" s="55">
        <f t="shared" si="24"/>
        <v>13.125</v>
      </c>
      <c r="H86" s="1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</row>
    <row r="87" spans="1:22" x14ac:dyDescent="0.25">
      <c r="R87" s="37"/>
    </row>
    <row r="88" spans="1:22" x14ac:dyDescent="0.25">
      <c r="F88" s="1" t="s">
        <v>106</v>
      </c>
      <c r="G88" s="1" t="s">
        <v>95</v>
      </c>
      <c r="H88" s="1" t="s">
        <v>99</v>
      </c>
    </row>
    <row r="89" spans="1:22" ht="25.5" x14ac:dyDescent="0.35">
      <c r="A89" s="14" t="s">
        <v>84</v>
      </c>
      <c r="B89" s="15"/>
      <c r="C89" s="15"/>
      <c r="D89" s="15"/>
      <c r="E89" s="15"/>
      <c r="F89" s="1" t="s">
        <v>104</v>
      </c>
      <c r="G89" s="1" t="s">
        <v>105</v>
      </c>
      <c r="H89" s="1" t="s">
        <v>100</v>
      </c>
    </row>
    <row r="91" spans="1:22" x14ac:dyDescent="0.25">
      <c r="A91" s="68" t="s">
        <v>80</v>
      </c>
      <c r="B91" s="68" t="s">
        <v>81</v>
      </c>
      <c r="C91" s="68" t="s">
        <v>82</v>
      </c>
      <c r="D91" s="68" t="s">
        <v>66</v>
      </c>
    </row>
    <row r="92" spans="1:22" x14ac:dyDescent="0.25">
      <c r="A92" s="3" t="s">
        <v>0</v>
      </c>
      <c r="B92" s="2">
        <v>243</v>
      </c>
      <c r="C92" s="2">
        <v>47</v>
      </c>
      <c r="D92" s="68">
        <f>B92+C92</f>
        <v>290</v>
      </c>
    </row>
    <row r="93" spans="1:22" x14ac:dyDescent="0.25">
      <c r="A93" s="3" t="s">
        <v>2</v>
      </c>
      <c r="B93" s="2">
        <v>274</v>
      </c>
      <c r="C93" s="2">
        <v>101</v>
      </c>
      <c r="D93" s="68">
        <f>B93+C93</f>
        <v>375</v>
      </c>
    </row>
    <row r="95" spans="1:22" x14ac:dyDescent="0.25">
      <c r="A95" s="68" t="s">
        <v>103</v>
      </c>
      <c r="B95" s="3" t="s">
        <v>67</v>
      </c>
      <c r="C95" s="68" t="s">
        <v>101</v>
      </c>
      <c r="D95" s="3" t="s">
        <v>90</v>
      </c>
      <c r="F95" s="68" t="s">
        <v>89</v>
      </c>
      <c r="G95" s="3" t="s">
        <v>67</v>
      </c>
      <c r="H95" s="3" t="s">
        <v>90</v>
      </c>
      <c r="J95" s="68" t="s">
        <v>149</v>
      </c>
      <c r="K95" s="3" t="s">
        <v>67</v>
      </c>
      <c r="L95" s="3" t="s">
        <v>90</v>
      </c>
    </row>
    <row r="96" spans="1:22" x14ac:dyDescent="0.25">
      <c r="A96" s="11">
        <f>SUM(B96:D96)</f>
        <v>4</v>
      </c>
      <c r="B96" s="2">
        <v>2</v>
      </c>
      <c r="C96" s="2">
        <v>1</v>
      </c>
      <c r="D96" s="2">
        <v>1</v>
      </c>
      <c r="F96" s="11">
        <f>SUM(G96:H96)</f>
        <v>4</v>
      </c>
      <c r="G96" s="2">
        <v>3</v>
      </c>
      <c r="H96" s="2">
        <v>1</v>
      </c>
      <c r="J96" s="11">
        <f>A96-F96</f>
        <v>0</v>
      </c>
      <c r="K96" s="2"/>
      <c r="L96" s="2"/>
    </row>
  </sheetData>
  <pageMargins left="0" right="0" top="0" bottom="0" header="0" footer="0"/>
  <pageSetup paperSize="9" scale="50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R83"/>
  <sheetViews>
    <sheetView topLeftCell="B7" workbookViewId="0">
      <selection activeCell="R24" sqref="R24"/>
    </sheetView>
  </sheetViews>
  <sheetFormatPr defaultRowHeight="15.75" x14ac:dyDescent="0.25"/>
  <cols>
    <col min="1" max="1" width="23.85546875" style="1" customWidth="1"/>
    <col min="2" max="3" width="14.85546875" style="1" bestFit="1" customWidth="1"/>
    <col min="4" max="4" width="8.5703125" style="1" bestFit="1" customWidth="1"/>
    <col min="5" max="5" width="9.7109375" style="1" bestFit="1" customWidth="1"/>
    <col min="6" max="6" width="15.5703125" style="1" bestFit="1" customWidth="1"/>
    <col min="7" max="7" width="13.85546875" style="1" bestFit="1" customWidth="1"/>
    <col min="8" max="8" width="11.28515625" style="1" customWidth="1"/>
    <col min="9" max="9" width="9.7109375" style="1" bestFit="1" customWidth="1"/>
    <col min="10" max="10" width="10.42578125" style="1" customWidth="1"/>
    <col min="11" max="12" width="9.7109375" style="1" bestFit="1" customWidth="1"/>
    <col min="13" max="17" width="9.5703125" style="1" bestFit="1" customWidth="1"/>
    <col min="18" max="16384" width="9.140625" style="1"/>
  </cols>
  <sheetData>
    <row r="2" spans="1:18" ht="25.5" x14ac:dyDescent="0.35">
      <c r="A2" s="14" t="s">
        <v>83</v>
      </c>
      <c r="B2" s="15"/>
      <c r="C2" s="15"/>
      <c r="D2" s="15"/>
      <c r="E2" s="15"/>
    </row>
    <row r="4" spans="1:18" x14ac:dyDescent="0.25">
      <c r="A4" s="2"/>
      <c r="B4" s="3" t="s">
        <v>21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</row>
    <row r="5" spans="1:18" x14ac:dyDescent="0.25">
      <c r="A5" s="5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8" x14ac:dyDescent="0.25">
      <c r="A6" s="2" t="s">
        <v>1</v>
      </c>
      <c r="B6" s="2"/>
      <c r="C6" s="2">
        <v>41</v>
      </c>
      <c r="D6" s="2">
        <v>115</v>
      </c>
      <c r="E6" s="2">
        <v>105</v>
      </c>
      <c r="F6" s="2">
        <v>141</v>
      </c>
      <c r="G6" s="2">
        <v>237</v>
      </c>
      <c r="H6" s="2">
        <v>178</v>
      </c>
      <c r="I6" s="2">
        <v>140</v>
      </c>
      <c r="J6" s="2">
        <v>148</v>
      </c>
      <c r="K6" s="2">
        <v>152</v>
      </c>
      <c r="L6" s="2">
        <v>138</v>
      </c>
      <c r="M6" s="2">
        <v>134</v>
      </c>
      <c r="N6" s="2">
        <v>164</v>
      </c>
      <c r="O6" s="2">
        <v>141</v>
      </c>
      <c r="P6" s="2">
        <v>47</v>
      </c>
      <c r="Q6" s="2"/>
    </row>
    <row r="7" spans="1:18" x14ac:dyDescent="0.25">
      <c r="A7" s="4">
        <v>5</v>
      </c>
      <c r="B7" s="4">
        <f>ROUND(B6/$A$7,0)</f>
        <v>0</v>
      </c>
      <c r="C7" s="4">
        <f t="shared" ref="C7:Q7" si="0">ROUND(C6/$A$7,0)</f>
        <v>8</v>
      </c>
      <c r="D7" s="4">
        <f t="shared" si="0"/>
        <v>23</v>
      </c>
      <c r="E7" s="4">
        <f t="shared" si="0"/>
        <v>21</v>
      </c>
      <c r="F7" s="4">
        <f t="shared" si="0"/>
        <v>28</v>
      </c>
      <c r="G7" s="4">
        <f t="shared" si="0"/>
        <v>47</v>
      </c>
      <c r="H7" s="4">
        <f t="shared" si="0"/>
        <v>36</v>
      </c>
      <c r="I7" s="4">
        <f t="shared" si="0"/>
        <v>28</v>
      </c>
      <c r="J7" s="4">
        <f t="shared" si="0"/>
        <v>30</v>
      </c>
      <c r="K7" s="4">
        <f t="shared" si="0"/>
        <v>30</v>
      </c>
      <c r="L7" s="4">
        <f t="shared" si="0"/>
        <v>28</v>
      </c>
      <c r="M7" s="4">
        <f t="shared" si="0"/>
        <v>27</v>
      </c>
      <c r="N7" s="4">
        <f t="shared" si="0"/>
        <v>33</v>
      </c>
      <c r="O7" s="4">
        <f t="shared" si="0"/>
        <v>28</v>
      </c>
      <c r="P7" s="4">
        <f t="shared" si="0"/>
        <v>9</v>
      </c>
      <c r="Q7" s="4">
        <f t="shared" si="0"/>
        <v>0</v>
      </c>
      <c r="R7" s="1">
        <f t="shared" ref="R7:R8" si="1">SUM(B7:Q7)</f>
        <v>376</v>
      </c>
    </row>
    <row r="8" spans="1:18" x14ac:dyDescent="0.25">
      <c r="A8" s="12" t="s">
        <v>60</v>
      </c>
      <c r="B8" s="12"/>
      <c r="C8" s="12">
        <v>2</v>
      </c>
      <c r="D8" s="12">
        <v>2</v>
      </c>
      <c r="E8" s="12">
        <v>2</v>
      </c>
      <c r="F8" s="12">
        <v>3</v>
      </c>
      <c r="G8" s="12">
        <v>4</v>
      </c>
      <c r="H8" s="12">
        <v>4</v>
      </c>
      <c r="I8" s="12">
        <v>3</v>
      </c>
      <c r="J8" s="12">
        <v>3</v>
      </c>
      <c r="K8" s="12">
        <v>3</v>
      </c>
      <c r="L8" s="12">
        <v>3</v>
      </c>
      <c r="M8" s="12">
        <v>3</v>
      </c>
      <c r="N8" s="12">
        <v>3</v>
      </c>
      <c r="O8" s="12">
        <v>3</v>
      </c>
      <c r="P8" s="12">
        <v>2</v>
      </c>
      <c r="Q8" s="12"/>
      <c r="R8" s="1">
        <f t="shared" si="1"/>
        <v>40</v>
      </c>
    </row>
    <row r="9" spans="1:18" x14ac:dyDescent="0.25">
      <c r="A9" s="12" t="s">
        <v>61</v>
      </c>
      <c r="B9" s="12"/>
      <c r="C9" s="12">
        <v>2</v>
      </c>
      <c r="D9" s="12">
        <v>2</v>
      </c>
      <c r="E9" s="12">
        <v>2</v>
      </c>
      <c r="F9" s="12">
        <v>3</v>
      </c>
      <c r="G9" s="12">
        <v>4</v>
      </c>
      <c r="H9" s="12">
        <v>4</v>
      </c>
      <c r="I9" s="12">
        <v>3</v>
      </c>
      <c r="J9" s="12">
        <v>3</v>
      </c>
      <c r="K9" s="12">
        <v>3</v>
      </c>
      <c r="L9" s="12">
        <v>3</v>
      </c>
      <c r="M9" s="12">
        <v>3</v>
      </c>
      <c r="N9" s="12">
        <v>3</v>
      </c>
      <c r="O9" s="12">
        <v>3</v>
      </c>
      <c r="P9" s="12">
        <v>2</v>
      </c>
      <c r="Q9" s="12"/>
      <c r="R9" s="1">
        <f>SUM(B9:Q9)</f>
        <v>40</v>
      </c>
    </row>
    <row r="11" spans="1:18" x14ac:dyDescent="0.25">
      <c r="A11" s="13" t="s">
        <v>75</v>
      </c>
    </row>
    <row r="12" spans="1:18" x14ac:dyDescent="0.25">
      <c r="A12" s="2" t="s">
        <v>108</v>
      </c>
      <c r="B12" s="2"/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/>
      <c r="L12" s="2"/>
      <c r="M12" s="2"/>
      <c r="N12" s="2"/>
      <c r="O12" s="2"/>
      <c r="P12" s="2"/>
      <c r="Q12" s="2"/>
    </row>
    <row r="13" spans="1:18" x14ac:dyDescent="0.25">
      <c r="A13" s="2" t="s">
        <v>111</v>
      </c>
      <c r="B13" s="2"/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/>
      <c r="J13" s="2"/>
      <c r="K13" s="2"/>
      <c r="L13" s="2"/>
      <c r="M13" s="2"/>
      <c r="N13" s="2"/>
      <c r="O13" s="2"/>
      <c r="P13" s="2"/>
      <c r="Q13" s="2"/>
    </row>
    <row r="14" spans="1:18" x14ac:dyDescent="0.25">
      <c r="A14" s="2" t="s">
        <v>109</v>
      </c>
      <c r="B14" s="2"/>
      <c r="C14" s="2"/>
      <c r="D14" s="2"/>
      <c r="E14" s="2"/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/>
      <c r="O14" s="2"/>
      <c r="P14" s="2"/>
      <c r="Q14" s="2"/>
    </row>
    <row r="15" spans="1:18" x14ac:dyDescent="0.25">
      <c r="A15" s="2" t="s">
        <v>110</v>
      </c>
      <c r="B15" s="2"/>
      <c r="C15" s="2"/>
      <c r="D15" s="2"/>
      <c r="E15" s="2"/>
      <c r="F15" s="2"/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/>
      <c r="P15" s="2"/>
      <c r="Q15" s="2"/>
    </row>
    <row r="16" spans="1:18" x14ac:dyDescent="0.25">
      <c r="A16" s="2" t="s">
        <v>63</v>
      </c>
      <c r="B16" s="2"/>
      <c r="C16" s="2"/>
      <c r="D16" s="2"/>
      <c r="E16" s="2"/>
      <c r="F16" s="2"/>
      <c r="G16" s="2"/>
      <c r="H16" s="2"/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/>
    </row>
    <row r="17" spans="1:18" x14ac:dyDescent="0.25">
      <c r="A17" s="2" t="s">
        <v>117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1</v>
      </c>
      <c r="N17" s="2">
        <v>1</v>
      </c>
      <c r="O17" s="2">
        <v>1</v>
      </c>
      <c r="P17" s="2">
        <v>1</v>
      </c>
      <c r="Q17" s="2"/>
    </row>
    <row r="18" spans="1:18" x14ac:dyDescent="0.25">
      <c r="A18" s="2" t="s">
        <v>66</v>
      </c>
      <c r="B18" s="2">
        <f t="shared" ref="B18:Q18" si="2">SUM(B12:B17)</f>
        <v>0</v>
      </c>
      <c r="C18" s="2">
        <f t="shared" si="2"/>
        <v>2</v>
      </c>
      <c r="D18" s="2">
        <f t="shared" si="2"/>
        <v>2</v>
      </c>
      <c r="E18" s="2">
        <f t="shared" si="2"/>
        <v>2</v>
      </c>
      <c r="F18" s="2">
        <f t="shared" si="2"/>
        <v>3</v>
      </c>
      <c r="G18" s="2">
        <f t="shared" si="2"/>
        <v>4</v>
      </c>
      <c r="H18" s="2">
        <f t="shared" si="2"/>
        <v>4</v>
      </c>
      <c r="I18" s="2">
        <f t="shared" si="2"/>
        <v>4</v>
      </c>
      <c r="J18" s="2">
        <f t="shared" si="2"/>
        <v>4</v>
      </c>
      <c r="K18" s="2">
        <f t="shared" si="2"/>
        <v>3</v>
      </c>
      <c r="L18" s="2">
        <f t="shared" si="2"/>
        <v>3</v>
      </c>
      <c r="M18" s="2">
        <f t="shared" si="2"/>
        <v>4</v>
      </c>
      <c r="N18" s="2">
        <f t="shared" si="2"/>
        <v>3</v>
      </c>
      <c r="O18" s="2">
        <f t="shared" si="2"/>
        <v>2</v>
      </c>
      <c r="P18" s="2">
        <f t="shared" si="2"/>
        <v>2</v>
      </c>
      <c r="Q18" s="2">
        <f t="shared" si="2"/>
        <v>0</v>
      </c>
      <c r="R18" s="1">
        <f>SUM(B18:Q18)</f>
        <v>42</v>
      </c>
    </row>
    <row r="20" spans="1:18" x14ac:dyDescent="0.25">
      <c r="A20" s="5" t="s">
        <v>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8" x14ac:dyDescent="0.25">
      <c r="A21" s="2" t="s">
        <v>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8" x14ac:dyDescent="0.25">
      <c r="A22" s="2" t="s">
        <v>19</v>
      </c>
      <c r="B22" s="2"/>
      <c r="C22" s="2">
        <v>4</v>
      </c>
      <c r="D22" s="2">
        <v>19</v>
      </c>
      <c r="E22" s="2">
        <v>24</v>
      </c>
      <c r="F22" s="2">
        <v>32</v>
      </c>
      <c r="G22" s="2">
        <v>34</v>
      </c>
      <c r="H22" s="2">
        <v>22</v>
      </c>
      <c r="I22" s="2">
        <v>31</v>
      </c>
      <c r="J22" s="2">
        <v>24</v>
      </c>
      <c r="K22" s="2">
        <v>25</v>
      </c>
      <c r="L22" s="2">
        <v>27</v>
      </c>
      <c r="M22" s="2">
        <v>39</v>
      </c>
      <c r="N22" s="2">
        <v>56</v>
      </c>
      <c r="O22" s="2">
        <v>52</v>
      </c>
      <c r="P22" s="2">
        <v>23</v>
      </c>
      <c r="Q22" s="2"/>
    </row>
    <row r="23" spans="1:18" x14ac:dyDescent="0.25">
      <c r="A23" s="2" t="s">
        <v>20</v>
      </c>
      <c r="B23" s="2"/>
      <c r="C23" s="2">
        <v>1</v>
      </c>
      <c r="D23" s="2">
        <v>16</v>
      </c>
      <c r="E23" s="2">
        <v>33</v>
      </c>
      <c r="F23" s="2">
        <v>50</v>
      </c>
      <c r="G23" s="2">
        <v>51</v>
      </c>
      <c r="H23" s="2">
        <v>42</v>
      </c>
      <c r="I23" s="2">
        <v>36</v>
      </c>
      <c r="J23" s="2">
        <v>45</v>
      </c>
      <c r="K23" s="2">
        <v>25</v>
      </c>
      <c r="L23" s="2">
        <v>28</v>
      </c>
      <c r="M23" s="2">
        <v>29</v>
      </c>
      <c r="N23" s="2">
        <v>50</v>
      </c>
      <c r="O23" s="2">
        <v>46</v>
      </c>
      <c r="P23" s="2">
        <v>4</v>
      </c>
      <c r="Q23" s="2"/>
    </row>
    <row r="24" spans="1:18" x14ac:dyDescent="0.25">
      <c r="A24" s="4">
        <v>2</v>
      </c>
      <c r="B24" s="4">
        <f>ROUND((B22+B23)/$A$24,0)</f>
        <v>0</v>
      </c>
      <c r="C24" s="4">
        <f t="shared" ref="C24:Q24" si="3">ROUND((C22+C23)/$A$24,0)</f>
        <v>3</v>
      </c>
      <c r="D24" s="4">
        <f t="shared" si="3"/>
        <v>18</v>
      </c>
      <c r="E24" s="4">
        <f t="shared" si="3"/>
        <v>29</v>
      </c>
      <c r="F24" s="4">
        <f t="shared" si="3"/>
        <v>41</v>
      </c>
      <c r="G24" s="4">
        <f t="shared" si="3"/>
        <v>43</v>
      </c>
      <c r="H24" s="4">
        <f t="shared" si="3"/>
        <v>32</v>
      </c>
      <c r="I24" s="4">
        <f t="shared" si="3"/>
        <v>34</v>
      </c>
      <c r="J24" s="4">
        <f t="shared" si="3"/>
        <v>35</v>
      </c>
      <c r="K24" s="4">
        <f t="shared" si="3"/>
        <v>25</v>
      </c>
      <c r="L24" s="4">
        <f t="shared" si="3"/>
        <v>28</v>
      </c>
      <c r="M24" s="4">
        <f t="shared" si="3"/>
        <v>34</v>
      </c>
      <c r="N24" s="4">
        <f t="shared" si="3"/>
        <v>53</v>
      </c>
      <c r="O24" s="4">
        <f t="shared" si="3"/>
        <v>49</v>
      </c>
      <c r="P24" s="4">
        <f t="shared" si="3"/>
        <v>14</v>
      </c>
      <c r="Q24" s="4">
        <f t="shared" si="3"/>
        <v>0</v>
      </c>
      <c r="R24" s="1">
        <f t="shared" ref="R24:R25" si="4">SUM(B24:Q24)</f>
        <v>438</v>
      </c>
    </row>
    <row r="25" spans="1:18" x14ac:dyDescent="0.25">
      <c r="A25" s="12" t="s">
        <v>60</v>
      </c>
      <c r="B25" s="12"/>
      <c r="C25" s="12">
        <v>1</v>
      </c>
      <c r="D25" s="12">
        <v>2</v>
      </c>
      <c r="E25" s="12">
        <v>3</v>
      </c>
      <c r="F25" s="12">
        <v>4</v>
      </c>
      <c r="G25" s="12">
        <v>4</v>
      </c>
      <c r="H25" s="12">
        <v>3</v>
      </c>
      <c r="I25" s="12">
        <v>3</v>
      </c>
      <c r="J25" s="12">
        <v>3</v>
      </c>
      <c r="K25" s="12">
        <v>3</v>
      </c>
      <c r="L25" s="12">
        <v>3</v>
      </c>
      <c r="M25" s="12">
        <v>3</v>
      </c>
      <c r="N25" s="12">
        <v>4</v>
      </c>
      <c r="O25" s="12">
        <v>4</v>
      </c>
      <c r="P25" s="12">
        <v>2</v>
      </c>
      <c r="Q25" s="12"/>
      <c r="R25" s="1">
        <f t="shared" si="4"/>
        <v>42</v>
      </c>
    </row>
    <row r="26" spans="1:18" x14ac:dyDescent="0.25">
      <c r="A26" s="12" t="s">
        <v>61</v>
      </c>
      <c r="B26" s="12"/>
      <c r="C26" s="12">
        <v>1</v>
      </c>
      <c r="D26" s="12">
        <v>2</v>
      </c>
      <c r="E26" s="12">
        <v>3</v>
      </c>
      <c r="F26" s="12">
        <v>4</v>
      </c>
      <c r="G26" s="12">
        <v>4</v>
      </c>
      <c r="H26" s="12">
        <v>3</v>
      </c>
      <c r="I26" s="12">
        <v>3</v>
      </c>
      <c r="J26" s="12">
        <v>3</v>
      </c>
      <c r="K26" s="12">
        <v>3</v>
      </c>
      <c r="L26" s="12">
        <v>3</v>
      </c>
      <c r="M26" s="12">
        <v>3</v>
      </c>
      <c r="N26" s="12">
        <v>4</v>
      </c>
      <c r="O26" s="12">
        <v>4</v>
      </c>
      <c r="P26" s="12">
        <v>2</v>
      </c>
      <c r="Q26" s="12"/>
      <c r="R26" s="1">
        <f>SUM(B26:Q26)</f>
        <v>42</v>
      </c>
    </row>
    <row r="28" spans="1:18" x14ac:dyDescent="0.25">
      <c r="A28" s="13" t="s">
        <v>75</v>
      </c>
    </row>
    <row r="29" spans="1:18" x14ac:dyDescent="0.25">
      <c r="A29" s="2" t="s">
        <v>108</v>
      </c>
      <c r="B29" s="2"/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/>
      <c r="L29" s="2"/>
      <c r="M29" s="2"/>
      <c r="N29" s="2"/>
      <c r="O29" s="2"/>
      <c r="P29" s="2"/>
      <c r="Q29" s="2"/>
    </row>
    <row r="30" spans="1:18" x14ac:dyDescent="0.25">
      <c r="A30" s="2" t="s">
        <v>115</v>
      </c>
      <c r="B30" s="2"/>
      <c r="C30" s="2"/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/>
      <c r="K30" s="2"/>
      <c r="L30" s="2"/>
      <c r="M30" s="2"/>
      <c r="N30" s="2"/>
      <c r="O30" s="2"/>
      <c r="P30" s="2"/>
      <c r="Q30" s="2"/>
    </row>
    <row r="31" spans="1:18" x14ac:dyDescent="0.25">
      <c r="A31" s="2" t="s">
        <v>116</v>
      </c>
      <c r="B31" s="2"/>
      <c r="C31" s="2"/>
      <c r="D31" s="2"/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/>
      <c r="N31" s="2"/>
      <c r="O31" s="2"/>
      <c r="P31" s="2"/>
      <c r="Q31" s="2"/>
    </row>
    <row r="32" spans="1:18" x14ac:dyDescent="0.25">
      <c r="A32" s="2" t="s">
        <v>109</v>
      </c>
      <c r="B32" s="2"/>
      <c r="C32" s="2"/>
      <c r="D32" s="2"/>
      <c r="E32" s="2"/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/>
      <c r="O32" s="2"/>
      <c r="P32" s="2"/>
      <c r="Q32" s="2"/>
    </row>
    <row r="33" spans="1:18" x14ac:dyDescent="0.25">
      <c r="A33" s="2" t="s">
        <v>63</v>
      </c>
      <c r="B33" s="2"/>
      <c r="C33" s="2"/>
      <c r="D33" s="2"/>
      <c r="E33" s="2"/>
      <c r="F33" s="2"/>
      <c r="G33" s="2"/>
      <c r="H33" s="2"/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/>
    </row>
    <row r="34" spans="1:18" x14ac:dyDescent="0.25">
      <c r="A34" s="2" t="s">
        <v>77</v>
      </c>
      <c r="B34" s="2"/>
      <c r="C34" s="2"/>
      <c r="D34" s="2"/>
      <c r="E34" s="2"/>
      <c r="F34" s="2"/>
      <c r="G34" s="2"/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/>
      <c r="Q34" s="2"/>
    </row>
    <row r="35" spans="1:18" x14ac:dyDescent="0.25">
      <c r="A35" s="2" t="s">
        <v>117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>
        <v>1</v>
      </c>
      <c r="N35" s="2">
        <v>1</v>
      </c>
      <c r="O35" s="2">
        <v>1</v>
      </c>
      <c r="P35" s="2">
        <v>1</v>
      </c>
      <c r="Q35" s="2"/>
    </row>
    <row r="36" spans="1:18" x14ac:dyDescent="0.25">
      <c r="A36" s="2" t="s">
        <v>117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>
        <v>1</v>
      </c>
      <c r="N36" s="2">
        <v>1</v>
      </c>
      <c r="O36" s="2">
        <v>1</v>
      </c>
      <c r="P36" s="2">
        <v>1</v>
      </c>
      <c r="Q36" s="2"/>
    </row>
    <row r="37" spans="1:18" x14ac:dyDescent="0.25">
      <c r="A37" s="2" t="s">
        <v>66</v>
      </c>
      <c r="B37" s="2">
        <f>SUM(B29:B36)</f>
        <v>0</v>
      </c>
      <c r="C37" s="2">
        <f t="shared" ref="C37:N37" si="5">SUM(C29:C36)</f>
        <v>1</v>
      </c>
      <c r="D37" s="2">
        <f t="shared" si="5"/>
        <v>2</v>
      </c>
      <c r="E37" s="2">
        <f t="shared" si="5"/>
        <v>3</v>
      </c>
      <c r="F37" s="2">
        <f t="shared" si="5"/>
        <v>4</v>
      </c>
      <c r="G37" s="2">
        <f t="shared" si="5"/>
        <v>4</v>
      </c>
      <c r="H37" s="2">
        <f t="shared" si="5"/>
        <v>5</v>
      </c>
      <c r="I37" s="2">
        <f t="shared" si="5"/>
        <v>6</v>
      </c>
      <c r="J37" s="2">
        <f t="shared" si="5"/>
        <v>5</v>
      </c>
      <c r="K37" s="2">
        <f t="shared" si="5"/>
        <v>4</v>
      </c>
      <c r="L37" s="2">
        <f t="shared" si="5"/>
        <v>4</v>
      </c>
      <c r="M37" s="2">
        <f t="shared" si="5"/>
        <v>5</v>
      </c>
      <c r="N37" s="2">
        <f t="shared" si="5"/>
        <v>4</v>
      </c>
      <c r="O37" s="2">
        <f>SUM(O29:O36)</f>
        <v>4</v>
      </c>
      <c r="P37" s="2">
        <f t="shared" ref="P37" si="6">SUM(P29:P36)</f>
        <v>3</v>
      </c>
      <c r="Q37" s="2">
        <f t="shared" ref="Q37" si="7">SUM(Q29:Q36)</f>
        <v>0</v>
      </c>
      <c r="R37" s="1">
        <f>SUM(B37:Q37)</f>
        <v>54</v>
      </c>
    </row>
    <row r="40" spans="1:18" x14ac:dyDescent="0.25">
      <c r="A40" s="2" t="s">
        <v>22</v>
      </c>
      <c r="B40" s="2"/>
      <c r="C40" s="2"/>
      <c r="E40" s="1" t="s">
        <v>64</v>
      </c>
      <c r="F40" s="1" t="s">
        <v>70</v>
      </c>
    </row>
    <row r="41" spans="1:18" x14ac:dyDescent="0.25">
      <c r="A41" s="3" t="s">
        <v>0</v>
      </c>
      <c r="B41" s="2"/>
      <c r="C41" s="2"/>
      <c r="E41" s="1" t="s">
        <v>69</v>
      </c>
      <c r="F41" s="1" t="s">
        <v>71</v>
      </c>
    </row>
    <row r="42" spans="1:18" x14ac:dyDescent="0.25">
      <c r="A42" s="11" t="s">
        <v>56</v>
      </c>
      <c r="B42" s="2">
        <f>22-ROUND(7+(40/60),0)</f>
        <v>14</v>
      </c>
      <c r="C42" s="2" t="s">
        <v>24</v>
      </c>
      <c r="E42" s="1">
        <f>D61</f>
        <v>42</v>
      </c>
      <c r="F42" s="1" t="s">
        <v>24</v>
      </c>
      <c r="G42" s="1">
        <f>E42/B42</f>
        <v>3</v>
      </c>
      <c r="H42" s="1" t="s">
        <v>76</v>
      </c>
    </row>
    <row r="43" spans="1:18" x14ac:dyDescent="0.25">
      <c r="A43" s="3" t="s">
        <v>2</v>
      </c>
      <c r="B43" s="2"/>
      <c r="C43" s="2"/>
    </row>
    <row r="44" spans="1:18" x14ac:dyDescent="0.25">
      <c r="A44" s="11" t="s">
        <v>56</v>
      </c>
      <c r="B44" s="2">
        <f>22-ROUND(7+(40/60),0)</f>
        <v>14</v>
      </c>
      <c r="C44" s="2" t="s">
        <v>24</v>
      </c>
      <c r="E44" s="1">
        <f>D72</f>
        <v>54</v>
      </c>
      <c r="F44" s="1" t="str">
        <f>F42</f>
        <v>H</v>
      </c>
      <c r="G44" s="1">
        <f>E44/B44</f>
        <v>3.8571428571428572</v>
      </c>
      <c r="H44" s="1" t="s">
        <v>76</v>
      </c>
    </row>
    <row r="47" spans="1:18" x14ac:dyDescent="0.25">
      <c r="A47" s="2"/>
      <c r="B47" s="2" t="s">
        <v>26</v>
      </c>
      <c r="C47" s="2" t="s">
        <v>27</v>
      </c>
    </row>
    <row r="48" spans="1:18" x14ac:dyDescent="0.25">
      <c r="A48" s="3" t="s">
        <v>0</v>
      </c>
      <c r="B48" s="2"/>
      <c r="C48" s="2">
        <f>B48*8</f>
        <v>0</v>
      </c>
    </row>
    <row r="49" spans="1:14" x14ac:dyDescent="0.25">
      <c r="A49" s="3" t="s">
        <v>2</v>
      </c>
      <c r="B49" s="2"/>
      <c r="C49" s="2">
        <f>B49*8</f>
        <v>0</v>
      </c>
    </row>
    <row r="51" spans="1:14" x14ac:dyDescent="0.25">
      <c r="A51" s="2" t="s">
        <v>72</v>
      </c>
      <c r="B51" s="2"/>
      <c r="C51" s="2" t="s">
        <v>26</v>
      </c>
      <c r="D51" s="2" t="s">
        <v>27</v>
      </c>
    </row>
    <row r="52" spans="1:14" x14ac:dyDescent="0.25">
      <c r="A52" s="3" t="s">
        <v>0</v>
      </c>
      <c r="B52" s="2"/>
      <c r="C52" s="2"/>
      <c r="D52" s="2"/>
    </row>
    <row r="53" spans="1:14" x14ac:dyDescent="0.25">
      <c r="A53" s="2" t="s">
        <v>108</v>
      </c>
      <c r="B53" s="2" t="s">
        <v>67</v>
      </c>
      <c r="C53" s="2">
        <v>1</v>
      </c>
      <c r="D53" s="2">
        <f>C53*8</f>
        <v>8</v>
      </c>
    </row>
    <row r="54" spans="1:14" x14ac:dyDescent="0.25">
      <c r="A54" s="2" t="s">
        <v>109</v>
      </c>
      <c r="B54" s="2" t="s">
        <v>67</v>
      </c>
      <c r="C54" s="2">
        <v>1</v>
      </c>
      <c r="D54" s="2">
        <v>8</v>
      </c>
    </row>
    <row r="55" spans="1:14" x14ac:dyDescent="0.25">
      <c r="A55" s="2" t="s">
        <v>110</v>
      </c>
      <c r="B55" s="2" t="s">
        <v>67</v>
      </c>
      <c r="C55" s="2">
        <v>1</v>
      </c>
      <c r="D55" s="2">
        <v>8</v>
      </c>
    </row>
    <row r="56" spans="1:14" x14ac:dyDescent="0.25">
      <c r="A56" s="2" t="s">
        <v>63</v>
      </c>
      <c r="B56" s="2" t="s">
        <v>67</v>
      </c>
      <c r="C56" s="2">
        <v>1</v>
      </c>
      <c r="D56" s="2">
        <v>8</v>
      </c>
    </row>
    <row r="57" spans="1:14" x14ac:dyDescent="0.25">
      <c r="A57" s="2" t="s">
        <v>112</v>
      </c>
      <c r="B57" s="2" t="s">
        <v>68</v>
      </c>
      <c r="C57" s="2">
        <v>1</v>
      </c>
      <c r="D57" s="2">
        <v>4</v>
      </c>
      <c r="F57" s="8" t="s">
        <v>114</v>
      </c>
      <c r="G57" s="3" t="s">
        <v>67</v>
      </c>
      <c r="H57" s="3" t="s">
        <v>68</v>
      </c>
      <c r="I57" s="3" t="s">
        <v>90</v>
      </c>
    </row>
    <row r="58" spans="1:14" x14ac:dyDescent="0.25">
      <c r="A58" s="2" t="s">
        <v>111</v>
      </c>
      <c r="B58" s="2" t="s">
        <v>68</v>
      </c>
      <c r="C58" s="2">
        <v>1</v>
      </c>
      <c r="D58" s="2">
        <f>14-8</f>
        <v>6</v>
      </c>
      <c r="F58" s="11">
        <f>SUM(G58:I58)</f>
        <v>9</v>
      </c>
      <c r="G58" s="2">
        <v>4</v>
      </c>
      <c r="H58" s="2">
        <v>3</v>
      </c>
      <c r="I58" s="2">
        <v>2</v>
      </c>
    </row>
    <row r="59" spans="1:14" x14ac:dyDescent="0.25">
      <c r="A59" s="2" t="s">
        <v>87</v>
      </c>
      <c r="B59" s="2" t="s">
        <v>113</v>
      </c>
      <c r="C59" s="2">
        <v>2</v>
      </c>
      <c r="D59" s="2"/>
    </row>
    <row r="60" spans="1:14" x14ac:dyDescent="0.25">
      <c r="A60" s="2" t="s">
        <v>88</v>
      </c>
      <c r="B60" s="2"/>
      <c r="C60" s="2">
        <v>1</v>
      </c>
      <c r="D60" s="2"/>
      <c r="F60" s="8" t="s">
        <v>89</v>
      </c>
      <c r="G60" s="3" t="s">
        <v>67</v>
      </c>
      <c r="H60" s="3" t="s">
        <v>68</v>
      </c>
      <c r="I60" s="3" t="s">
        <v>90</v>
      </c>
      <c r="K60" s="8" t="s">
        <v>93</v>
      </c>
      <c r="L60" s="3" t="s">
        <v>67</v>
      </c>
      <c r="M60" s="3" t="s">
        <v>68</v>
      </c>
      <c r="N60" s="3" t="s">
        <v>90</v>
      </c>
    </row>
    <row r="61" spans="1:14" x14ac:dyDescent="0.25">
      <c r="A61" s="3" t="s">
        <v>66</v>
      </c>
      <c r="B61" s="3"/>
      <c r="C61" s="3">
        <f>SUM(C53:C60)</f>
        <v>9</v>
      </c>
      <c r="D61" s="3">
        <f>SUM(D53:D60)</f>
        <v>42</v>
      </c>
      <c r="F61" s="11">
        <f>SUM(G61:I61)</f>
        <v>10</v>
      </c>
      <c r="G61" s="2">
        <v>6</v>
      </c>
      <c r="H61" s="2">
        <v>3</v>
      </c>
      <c r="I61" s="2">
        <v>1</v>
      </c>
      <c r="K61" s="11">
        <f>F61-F58</f>
        <v>1</v>
      </c>
      <c r="L61" s="11">
        <f t="shared" ref="L61:M61" si="8">G61-G58</f>
        <v>2</v>
      </c>
      <c r="M61" s="11">
        <f t="shared" si="8"/>
        <v>0</v>
      </c>
      <c r="N61" s="11">
        <f>I61-I58</f>
        <v>-1</v>
      </c>
    </row>
    <row r="62" spans="1:14" x14ac:dyDescent="0.25">
      <c r="A62" s="3" t="s">
        <v>2</v>
      </c>
      <c r="B62" s="2"/>
      <c r="C62" s="2"/>
      <c r="D62" s="2"/>
    </row>
    <row r="63" spans="1:14" x14ac:dyDescent="0.25">
      <c r="A63" s="2" t="s">
        <v>108</v>
      </c>
      <c r="B63" s="2" t="s">
        <v>67</v>
      </c>
      <c r="C63" s="2">
        <v>1</v>
      </c>
      <c r="D63" s="2">
        <f>C63*8</f>
        <v>8</v>
      </c>
    </row>
    <row r="64" spans="1:14" x14ac:dyDescent="0.25">
      <c r="A64" s="2" t="s">
        <v>116</v>
      </c>
      <c r="B64" s="2" t="s">
        <v>67</v>
      </c>
      <c r="C64" s="2">
        <v>1</v>
      </c>
      <c r="D64" s="2">
        <f t="shared" ref="D64:D67" si="9">C64*8</f>
        <v>8</v>
      </c>
    </row>
    <row r="65" spans="1:12" x14ac:dyDescent="0.25">
      <c r="A65" s="2" t="s">
        <v>109</v>
      </c>
      <c r="B65" s="2" t="s">
        <v>67</v>
      </c>
      <c r="C65" s="2">
        <v>1</v>
      </c>
      <c r="D65" s="2">
        <f t="shared" si="9"/>
        <v>8</v>
      </c>
    </row>
    <row r="66" spans="1:12" x14ac:dyDescent="0.25">
      <c r="A66" s="2" t="s">
        <v>63</v>
      </c>
      <c r="B66" s="2" t="s">
        <v>67</v>
      </c>
      <c r="C66" s="2">
        <v>1</v>
      </c>
      <c r="D66" s="2">
        <f t="shared" si="9"/>
        <v>8</v>
      </c>
    </row>
    <row r="67" spans="1:12" x14ac:dyDescent="0.25">
      <c r="A67" s="2" t="s">
        <v>77</v>
      </c>
      <c r="B67" s="2" t="s">
        <v>67</v>
      </c>
      <c r="C67" s="2">
        <v>1</v>
      </c>
      <c r="D67" s="2">
        <f t="shared" si="9"/>
        <v>8</v>
      </c>
    </row>
    <row r="68" spans="1:12" x14ac:dyDescent="0.25">
      <c r="A68" s="2" t="s">
        <v>115</v>
      </c>
      <c r="B68" s="2" t="s">
        <v>68</v>
      </c>
      <c r="C68" s="2">
        <v>1</v>
      </c>
      <c r="D68" s="2">
        <v>6</v>
      </c>
    </row>
    <row r="69" spans="1:12" x14ac:dyDescent="0.25">
      <c r="A69" s="2" t="s">
        <v>117</v>
      </c>
      <c r="B69" s="2" t="s">
        <v>68</v>
      </c>
      <c r="C69" s="2">
        <v>1</v>
      </c>
      <c r="D69" s="2">
        <v>4</v>
      </c>
    </row>
    <row r="70" spans="1:12" x14ac:dyDescent="0.25">
      <c r="A70" s="2" t="s">
        <v>117</v>
      </c>
      <c r="B70" s="2" t="s">
        <v>68</v>
      </c>
      <c r="C70" s="2">
        <v>1</v>
      </c>
      <c r="D70" s="2">
        <v>4</v>
      </c>
    </row>
    <row r="71" spans="1:12" x14ac:dyDescent="0.25">
      <c r="A71" s="2" t="s">
        <v>88</v>
      </c>
      <c r="B71" s="2"/>
      <c r="C71" s="2">
        <v>1</v>
      </c>
      <c r="D71" s="2"/>
    </row>
    <row r="72" spans="1:12" x14ac:dyDescent="0.25">
      <c r="A72" s="3" t="s">
        <v>66</v>
      </c>
      <c r="B72" s="3"/>
      <c r="C72" s="3">
        <f>SUM(C63:C71)</f>
        <v>9</v>
      </c>
      <c r="D72" s="3">
        <f>SUM(D63:D71)</f>
        <v>54</v>
      </c>
    </row>
    <row r="73" spans="1:12" x14ac:dyDescent="0.25">
      <c r="F73" s="1" t="s">
        <v>106</v>
      </c>
      <c r="G73" s="1" t="s">
        <v>95</v>
      </c>
      <c r="H73" s="1" t="s">
        <v>99</v>
      </c>
    </row>
    <row r="74" spans="1:12" ht="25.5" x14ac:dyDescent="0.35">
      <c r="A74" s="14" t="s">
        <v>84</v>
      </c>
      <c r="B74" s="15"/>
      <c r="C74" s="15"/>
      <c r="D74" s="15"/>
      <c r="E74" s="15"/>
      <c r="F74" s="1" t="s">
        <v>104</v>
      </c>
      <c r="G74" s="1" t="s">
        <v>105</v>
      </c>
      <c r="H74" s="1" t="s">
        <v>100</v>
      </c>
    </row>
    <row r="76" spans="1:12" x14ac:dyDescent="0.25">
      <c r="A76" s="8" t="s">
        <v>80</v>
      </c>
      <c r="B76" s="8" t="s">
        <v>81</v>
      </c>
      <c r="C76" s="8" t="s">
        <v>82</v>
      </c>
      <c r="D76" s="8" t="s">
        <v>66</v>
      </c>
    </row>
    <row r="77" spans="1:12" x14ac:dyDescent="0.25">
      <c r="A77" s="3" t="s">
        <v>0</v>
      </c>
      <c r="B77" s="2">
        <v>645</v>
      </c>
      <c r="C77" s="2">
        <v>105</v>
      </c>
      <c r="D77" s="8">
        <f>B77+C77</f>
        <v>750</v>
      </c>
    </row>
    <row r="78" spans="1:12" x14ac:dyDescent="0.25">
      <c r="A78" s="3" t="s">
        <v>2</v>
      </c>
      <c r="B78" s="2">
        <v>1080</v>
      </c>
      <c r="C78" s="2">
        <v>118</v>
      </c>
      <c r="D78" s="8">
        <f>B78+C78</f>
        <v>1198</v>
      </c>
    </row>
    <row r="80" spans="1:12" x14ac:dyDescent="0.25">
      <c r="A80" s="8" t="s">
        <v>103</v>
      </c>
      <c r="B80" s="3" t="s">
        <v>67</v>
      </c>
      <c r="C80" s="8" t="s">
        <v>101</v>
      </c>
      <c r="D80" s="3" t="s">
        <v>90</v>
      </c>
      <c r="F80" s="8" t="s">
        <v>89</v>
      </c>
      <c r="G80" s="3" t="s">
        <v>67</v>
      </c>
      <c r="H80" s="3" t="s">
        <v>90</v>
      </c>
      <c r="J80" s="8" t="s">
        <v>93</v>
      </c>
      <c r="K80" s="3" t="s">
        <v>67</v>
      </c>
      <c r="L80" s="3" t="s">
        <v>90</v>
      </c>
    </row>
    <row r="81" spans="1:12" x14ac:dyDescent="0.25">
      <c r="A81" s="11">
        <f>SUM(B81:D81)</f>
        <v>7</v>
      </c>
      <c r="B81" s="2">
        <v>5</v>
      </c>
      <c r="C81" s="2">
        <v>1</v>
      </c>
      <c r="D81" s="2">
        <v>1</v>
      </c>
      <c r="F81" s="11">
        <f>SUM(G81:H81)</f>
        <v>8</v>
      </c>
      <c r="G81" s="2">
        <v>7</v>
      </c>
      <c r="H81" s="2">
        <v>1</v>
      </c>
      <c r="J81" s="11">
        <f>F81-A81</f>
        <v>1</v>
      </c>
      <c r="K81" s="2">
        <v>1</v>
      </c>
      <c r="L81" s="2"/>
    </row>
    <row r="83" spans="1:12" x14ac:dyDescent="0.25">
      <c r="J83" s="1" t="s">
        <v>128</v>
      </c>
    </row>
  </sheetData>
  <pageMargins left="0.25" right="0.25" top="0.75" bottom="0.75" header="0.3" footer="0.3"/>
  <pageSetup paperSize="9" scale="68" orientation="landscape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V101"/>
  <sheetViews>
    <sheetView workbookViewId="0">
      <pane xSplit="1" ySplit="4" topLeftCell="B74" activePane="bottomRight" state="frozen"/>
      <selection pane="topRight" activeCell="B1" sqref="B1"/>
      <selection pane="bottomLeft" activeCell="A5" sqref="A5"/>
      <selection pane="bottomRight" activeCell="D89" sqref="D89"/>
    </sheetView>
  </sheetViews>
  <sheetFormatPr defaultRowHeight="15.75" x14ac:dyDescent="0.25"/>
  <cols>
    <col min="1" max="1" width="34.42578125" style="1" customWidth="1"/>
    <col min="2" max="2" width="15.7109375" style="1" bestFit="1" customWidth="1"/>
    <col min="3" max="5" width="17.28515625" style="1" bestFit="1" customWidth="1"/>
    <col min="6" max="7" width="18.5703125" style="1" bestFit="1" customWidth="1"/>
    <col min="8" max="8" width="13.5703125" style="1" customWidth="1"/>
    <col min="9" max="9" width="18.5703125" style="1" bestFit="1" customWidth="1"/>
    <col min="10" max="10" width="11.85546875" style="1" customWidth="1"/>
    <col min="11" max="13" width="17.28515625" style="1" bestFit="1" customWidth="1"/>
    <col min="14" max="14" width="18.5703125" style="1" bestFit="1" customWidth="1"/>
    <col min="15" max="16" width="17.28515625" style="1" bestFit="1" customWidth="1"/>
    <col min="17" max="17" width="10.42578125" style="1" bestFit="1" customWidth="1"/>
    <col min="18" max="18" width="18.5703125" style="43" bestFit="1" customWidth="1"/>
    <col min="19" max="19" width="18.140625" style="1" bestFit="1" customWidth="1"/>
    <col min="20" max="16384" width="9.140625" style="1"/>
  </cols>
  <sheetData>
    <row r="2" spans="1:19" ht="25.5" x14ac:dyDescent="0.35">
      <c r="A2" s="14" t="s">
        <v>83</v>
      </c>
      <c r="B2" s="15"/>
      <c r="C2" s="15"/>
      <c r="D2" s="15"/>
      <c r="E2" s="15"/>
      <c r="F2" s="1" t="s">
        <v>385</v>
      </c>
    </row>
    <row r="4" spans="1:19" x14ac:dyDescent="0.25">
      <c r="A4" s="2"/>
      <c r="B4" s="3" t="s">
        <v>21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</row>
    <row r="5" spans="1:19" x14ac:dyDescent="0.25">
      <c r="A5" s="5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s="43" customFormat="1" x14ac:dyDescent="0.25">
      <c r="A6" s="42" t="s">
        <v>1</v>
      </c>
      <c r="B6" s="42">
        <v>0</v>
      </c>
      <c r="C6" s="42">
        <v>1323358</v>
      </c>
      <c r="D6" s="42">
        <v>4446367</v>
      </c>
      <c r="E6" s="42">
        <v>6225640</v>
      </c>
      <c r="F6" s="42">
        <v>10138545</v>
      </c>
      <c r="G6" s="42">
        <v>15912641</v>
      </c>
      <c r="H6" s="42">
        <v>10744560</v>
      </c>
      <c r="I6" s="42">
        <v>11229088</v>
      </c>
      <c r="J6" s="42">
        <v>9793997</v>
      </c>
      <c r="K6" s="42">
        <v>9659910</v>
      </c>
      <c r="L6" s="42">
        <v>8941274</v>
      </c>
      <c r="M6" s="42">
        <v>9830923</v>
      </c>
      <c r="N6" s="42">
        <v>10723634</v>
      </c>
      <c r="O6" s="42">
        <v>9521913</v>
      </c>
      <c r="P6" s="42">
        <v>2981818</v>
      </c>
      <c r="Q6" s="42">
        <v>0</v>
      </c>
    </row>
    <row r="7" spans="1:19" s="43" customFormat="1" x14ac:dyDescent="0.25">
      <c r="A7" s="44">
        <v>5</v>
      </c>
      <c r="B7" s="44">
        <f>ROUND(B6/$A$7,0)</f>
        <v>0</v>
      </c>
      <c r="C7" s="44">
        <f t="shared" ref="C7:Q7" si="0">ROUND(C6/$A$7,0)</f>
        <v>264672</v>
      </c>
      <c r="D7" s="44">
        <f t="shared" si="0"/>
        <v>889273</v>
      </c>
      <c r="E7" s="44">
        <f t="shared" si="0"/>
        <v>1245128</v>
      </c>
      <c r="F7" s="44">
        <f t="shared" si="0"/>
        <v>2027709</v>
      </c>
      <c r="G7" s="44">
        <f t="shared" si="0"/>
        <v>3182528</v>
      </c>
      <c r="H7" s="44">
        <f t="shared" si="0"/>
        <v>2148912</v>
      </c>
      <c r="I7" s="44">
        <f t="shared" si="0"/>
        <v>2245818</v>
      </c>
      <c r="J7" s="44">
        <f t="shared" si="0"/>
        <v>1958799</v>
      </c>
      <c r="K7" s="44">
        <f t="shared" si="0"/>
        <v>1931982</v>
      </c>
      <c r="L7" s="44">
        <f t="shared" si="0"/>
        <v>1788255</v>
      </c>
      <c r="M7" s="44">
        <f t="shared" si="0"/>
        <v>1966185</v>
      </c>
      <c r="N7" s="44">
        <f t="shared" si="0"/>
        <v>2144727</v>
      </c>
      <c r="O7" s="44">
        <f t="shared" si="0"/>
        <v>1904383</v>
      </c>
      <c r="P7" s="44">
        <f t="shared" si="0"/>
        <v>596364</v>
      </c>
      <c r="Q7" s="44">
        <f t="shared" si="0"/>
        <v>0</v>
      </c>
    </row>
    <row r="8" spans="1:19" s="37" customFormat="1" x14ac:dyDescent="0.25">
      <c r="A8" s="45" t="s">
        <v>302</v>
      </c>
      <c r="B8" s="45">
        <f>B7</f>
        <v>0</v>
      </c>
      <c r="C8" s="45">
        <f t="shared" ref="C8:Q8" si="1">C7</f>
        <v>264672</v>
      </c>
      <c r="D8" s="45">
        <f t="shared" si="1"/>
        <v>889273</v>
      </c>
      <c r="E8" s="45">
        <f t="shared" si="1"/>
        <v>1245128</v>
      </c>
      <c r="F8" s="45">
        <f t="shared" si="1"/>
        <v>2027709</v>
      </c>
      <c r="G8" s="45">
        <f t="shared" si="1"/>
        <v>3182528</v>
      </c>
      <c r="H8" s="45">
        <f t="shared" si="1"/>
        <v>2148912</v>
      </c>
      <c r="I8" s="45">
        <f t="shared" si="1"/>
        <v>2245818</v>
      </c>
      <c r="J8" s="45">
        <f t="shared" si="1"/>
        <v>1958799</v>
      </c>
      <c r="K8" s="45">
        <f t="shared" si="1"/>
        <v>1931982</v>
      </c>
      <c r="L8" s="45">
        <f t="shared" si="1"/>
        <v>1788255</v>
      </c>
      <c r="M8" s="45">
        <f t="shared" si="1"/>
        <v>1966185</v>
      </c>
      <c r="N8" s="45">
        <f t="shared" si="1"/>
        <v>2144727</v>
      </c>
      <c r="O8" s="45">
        <f t="shared" si="1"/>
        <v>1904383</v>
      </c>
      <c r="P8" s="45">
        <f t="shared" si="1"/>
        <v>596364</v>
      </c>
      <c r="Q8" s="45">
        <f t="shared" si="1"/>
        <v>0</v>
      </c>
      <c r="R8" s="43">
        <f>SUM(B8:Q8)</f>
        <v>24294735</v>
      </c>
    </row>
    <row r="9" spans="1:19" x14ac:dyDescent="0.25">
      <c r="A9" s="12" t="s">
        <v>303</v>
      </c>
      <c r="B9" s="12"/>
      <c r="C9" s="12">
        <v>2</v>
      </c>
      <c r="D9" s="12">
        <v>2</v>
      </c>
      <c r="E9" s="12">
        <v>3</v>
      </c>
      <c r="F9" s="12">
        <v>3</v>
      </c>
      <c r="G9" s="12">
        <v>4</v>
      </c>
      <c r="H9" s="12">
        <v>3</v>
      </c>
      <c r="I9" s="12">
        <v>3</v>
      </c>
      <c r="J9" s="12">
        <v>3</v>
      </c>
      <c r="K9" s="12">
        <v>3</v>
      </c>
      <c r="L9" s="12">
        <v>3</v>
      </c>
      <c r="M9" s="12">
        <v>3</v>
      </c>
      <c r="N9" s="12">
        <v>3</v>
      </c>
      <c r="O9" s="12">
        <v>3</v>
      </c>
      <c r="P9" s="12">
        <v>2</v>
      </c>
      <c r="Q9" s="12"/>
      <c r="R9" s="43">
        <f t="shared" ref="R9:R10" si="2">SUM(B9:Q9)</f>
        <v>40</v>
      </c>
    </row>
    <row r="10" spans="1:19" x14ac:dyDescent="0.25">
      <c r="A10" s="12" t="s">
        <v>304</v>
      </c>
      <c r="B10" s="46">
        <f t="shared" ref="B10:Q10" si="3">B9*18000</f>
        <v>0</v>
      </c>
      <c r="C10" s="46">
        <f t="shared" si="3"/>
        <v>36000</v>
      </c>
      <c r="D10" s="46">
        <f t="shared" si="3"/>
        <v>36000</v>
      </c>
      <c r="E10" s="46">
        <f t="shared" si="3"/>
        <v>54000</v>
      </c>
      <c r="F10" s="46">
        <f t="shared" si="3"/>
        <v>54000</v>
      </c>
      <c r="G10" s="46">
        <f t="shared" si="3"/>
        <v>72000</v>
      </c>
      <c r="H10" s="46">
        <f t="shared" si="3"/>
        <v>54000</v>
      </c>
      <c r="I10" s="46">
        <f t="shared" si="3"/>
        <v>54000</v>
      </c>
      <c r="J10" s="46">
        <f t="shared" si="3"/>
        <v>54000</v>
      </c>
      <c r="K10" s="46">
        <f t="shared" si="3"/>
        <v>54000</v>
      </c>
      <c r="L10" s="46">
        <f t="shared" si="3"/>
        <v>54000</v>
      </c>
      <c r="M10" s="46">
        <f t="shared" si="3"/>
        <v>54000</v>
      </c>
      <c r="N10" s="46">
        <f t="shared" si="3"/>
        <v>54000</v>
      </c>
      <c r="O10" s="46">
        <f t="shared" si="3"/>
        <v>54000</v>
      </c>
      <c r="P10" s="46">
        <f t="shared" si="3"/>
        <v>36000</v>
      </c>
      <c r="Q10" s="46">
        <f t="shared" si="3"/>
        <v>0</v>
      </c>
      <c r="R10" s="43">
        <f t="shared" si="2"/>
        <v>720000</v>
      </c>
      <c r="S10" s="47">
        <f>R10/R8</f>
        <v>2.9636050773963987E-2</v>
      </c>
    </row>
    <row r="12" spans="1:19" x14ac:dyDescent="0.25">
      <c r="A12" s="13" t="s">
        <v>75</v>
      </c>
    </row>
    <row r="13" spans="1:19" x14ac:dyDescent="0.25">
      <c r="A13" s="2" t="s">
        <v>108</v>
      </c>
      <c r="B13" s="2"/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  <c r="O13" s="2"/>
      <c r="P13" s="2"/>
      <c r="Q13" s="2"/>
    </row>
    <row r="14" spans="1:19" x14ac:dyDescent="0.25">
      <c r="A14" s="2" t="s">
        <v>111</v>
      </c>
      <c r="B14" s="2"/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/>
      <c r="J14" s="2"/>
      <c r="K14" s="2"/>
      <c r="L14" s="2"/>
      <c r="M14" s="2"/>
      <c r="N14" s="2"/>
      <c r="O14" s="2"/>
      <c r="P14" s="2"/>
      <c r="Q14" s="2"/>
    </row>
    <row r="15" spans="1:19" x14ac:dyDescent="0.25">
      <c r="A15" s="2" t="s">
        <v>116</v>
      </c>
      <c r="B15" s="2"/>
      <c r="C15" s="2"/>
      <c r="D15" s="2"/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/>
      <c r="N15" s="2"/>
      <c r="O15" s="2"/>
      <c r="P15" s="2"/>
      <c r="Q15" s="2"/>
    </row>
    <row r="16" spans="1:19" x14ac:dyDescent="0.25">
      <c r="A16" s="2" t="s">
        <v>110</v>
      </c>
      <c r="B16" s="2"/>
      <c r="C16" s="2"/>
      <c r="D16" s="2"/>
      <c r="E16" s="2"/>
      <c r="F16" s="2"/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/>
      <c r="P16" s="2"/>
      <c r="Q16" s="2"/>
    </row>
    <row r="17" spans="1:19" x14ac:dyDescent="0.25">
      <c r="A17" s="2" t="s">
        <v>63</v>
      </c>
      <c r="B17" s="2"/>
      <c r="C17" s="2"/>
      <c r="D17" s="2"/>
      <c r="E17" s="2"/>
      <c r="F17" s="2"/>
      <c r="G17" s="2"/>
      <c r="H17" s="2"/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/>
    </row>
    <row r="18" spans="1:19" x14ac:dyDescent="0.25">
      <c r="A18" s="2" t="s">
        <v>117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>
        <v>1</v>
      </c>
      <c r="N18" s="2">
        <v>1</v>
      </c>
      <c r="O18" s="2">
        <v>1</v>
      </c>
      <c r="P18" s="2">
        <v>1</v>
      </c>
      <c r="Q18" s="2"/>
    </row>
    <row r="19" spans="1:19" x14ac:dyDescent="0.25">
      <c r="A19" s="2" t="s">
        <v>117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>
        <v>1</v>
      </c>
      <c r="N19" s="2">
        <v>1</v>
      </c>
      <c r="O19" s="2">
        <v>1</v>
      </c>
      <c r="P19" s="2">
        <v>1</v>
      </c>
      <c r="Q19" s="2"/>
    </row>
    <row r="20" spans="1:19" x14ac:dyDescent="0.25">
      <c r="A20" s="7" t="s">
        <v>303</v>
      </c>
      <c r="B20" s="7">
        <f>SUM(B13:B19)</f>
        <v>0</v>
      </c>
      <c r="C20" s="7">
        <f t="shared" ref="C20:Q20" si="4">SUM(C13:C19)</f>
        <v>2</v>
      </c>
      <c r="D20" s="7">
        <f t="shared" si="4"/>
        <v>2</v>
      </c>
      <c r="E20" s="7">
        <f t="shared" si="4"/>
        <v>3</v>
      </c>
      <c r="F20" s="7">
        <f t="shared" si="4"/>
        <v>3</v>
      </c>
      <c r="G20" s="7">
        <f t="shared" si="4"/>
        <v>4</v>
      </c>
      <c r="H20" s="7">
        <f t="shared" si="4"/>
        <v>4</v>
      </c>
      <c r="I20" s="7">
        <f t="shared" si="4"/>
        <v>4</v>
      </c>
      <c r="J20" s="7">
        <f t="shared" si="4"/>
        <v>4</v>
      </c>
      <c r="K20" s="7">
        <f t="shared" si="4"/>
        <v>3</v>
      </c>
      <c r="L20" s="7">
        <f t="shared" si="4"/>
        <v>3</v>
      </c>
      <c r="M20" s="7">
        <f t="shared" si="4"/>
        <v>4</v>
      </c>
      <c r="N20" s="7">
        <f t="shared" si="4"/>
        <v>4</v>
      </c>
      <c r="O20" s="7">
        <f t="shared" si="4"/>
        <v>3</v>
      </c>
      <c r="P20" s="7">
        <f t="shared" si="4"/>
        <v>3</v>
      </c>
      <c r="Q20" s="7">
        <f t="shared" si="4"/>
        <v>0</v>
      </c>
      <c r="R20" s="43">
        <f>SUM(B20:Q20)</f>
        <v>46</v>
      </c>
    </row>
    <row r="21" spans="1:19" x14ac:dyDescent="0.25">
      <c r="A21" s="12" t="s">
        <v>304</v>
      </c>
      <c r="B21" s="46">
        <f t="shared" ref="B21:Q21" si="5">B20*18000</f>
        <v>0</v>
      </c>
      <c r="C21" s="46">
        <f t="shared" si="5"/>
        <v>36000</v>
      </c>
      <c r="D21" s="46">
        <f t="shared" si="5"/>
        <v>36000</v>
      </c>
      <c r="E21" s="46">
        <f t="shared" si="5"/>
        <v>54000</v>
      </c>
      <c r="F21" s="46">
        <f t="shared" si="5"/>
        <v>54000</v>
      </c>
      <c r="G21" s="46">
        <f t="shared" si="5"/>
        <v>72000</v>
      </c>
      <c r="H21" s="46">
        <f t="shared" si="5"/>
        <v>72000</v>
      </c>
      <c r="I21" s="46">
        <f t="shared" si="5"/>
        <v>72000</v>
      </c>
      <c r="J21" s="46">
        <f t="shared" si="5"/>
        <v>72000</v>
      </c>
      <c r="K21" s="46">
        <f t="shared" si="5"/>
        <v>54000</v>
      </c>
      <c r="L21" s="46">
        <f t="shared" si="5"/>
        <v>54000</v>
      </c>
      <c r="M21" s="46">
        <f t="shared" si="5"/>
        <v>72000</v>
      </c>
      <c r="N21" s="46">
        <f t="shared" si="5"/>
        <v>72000</v>
      </c>
      <c r="O21" s="46">
        <f t="shared" si="5"/>
        <v>54000</v>
      </c>
      <c r="P21" s="46">
        <f t="shared" si="5"/>
        <v>54000</v>
      </c>
      <c r="Q21" s="46">
        <f t="shared" si="5"/>
        <v>0</v>
      </c>
      <c r="R21" s="43">
        <f>SUM(B21:Q21)</f>
        <v>828000</v>
      </c>
      <c r="S21" s="47">
        <f>R21/R8</f>
        <v>3.4081458390058585E-2</v>
      </c>
    </row>
    <row r="23" spans="1:19" x14ac:dyDescent="0.25">
      <c r="A23" s="5" t="s">
        <v>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9" x14ac:dyDescent="0.25">
      <c r="A24" s="2" t="s">
        <v>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9" s="43" customFormat="1" x14ac:dyDescent="0.25">
      <c r="A25" s="42" t="s">
        <v>19</v>
      </c>
      <c r="B25" s="42">
        <v>0</v>
      </c>
      <c r="C25" s="42">
        <v>208182</v>
      </c>
      <c r="D25" s="42">
        <v>755455</v>
      </c>
      <c r="E25" s="42">
        <v>1499093</v>
      </c>
      <c r="F25" s="42">
        <v>1568187</v>
      </c>
      <c r="G25" s="42">
        <v>2718551</v>
      </c>
      <c r="H25" s="42">
        <v>1912725</v>
      </c>
      <c r="I25" s="42">
        <v>2809144</v>
      </c>
      <c r="J25" s="42">
        <v>2094538</v>
      </c>
      <c r="K25" s="42">
        <v>1728181</v>
      </c>
      <c r="L25" s="42">
        <v>2325637</v>
      </c>
      <c r="M25" s="42">
        <v>3272704</v>
      </c>
      <c r="N25" s="42">
        <v>3957269</v>
      </c>
      <c r="O25" s="42">
        <v>2745455</v>
      </c>
      <c r="P25" s="42">
        <v>1727274</v>
      </c>
      <c r="Q25" s="42">
        <v>0</v>
      </c>
    </row>
    <row r="26" spans="1:19" s="43" customFormat="1" x14ac:dyDescent="0.25">
      <c r="A26" s="42" t="s">
        <v>20</v>
      </c>
      <c r="B26" s="42">
        <v>0</v>
      </c>
      <c r="C26" s="42">
        <v>106364</v>
      </c>
      <c r="D26" s="42">
        <v>701819</v>
      </c>
      <c r="E26" s="42">
        <v>1739096</v>
      </c>
      <c r="F26" s="42">
        <v>3654989</v>
      </c>
      <c r="G26" s="42">
        <v>3906363</v>
      </c>
      <c r="H26" s="42">
        <v>2917090</v>
      </c>
      <c r="I26" s="42">
        <v>3371181</v>
      </c>
      <c r="J26" s="42">
        <v>3695638</v>
      </c>
      <c r="K26" s="42">
        <v>1967270</v>
      </c>
      <c r="L26" s="42">
        <v>2324541</v>
      </c>
      <c r="M26" s="42">
        <v>1724547</v>
      </c>
      <c r="N26" s="42">
        <v>3535726</v>
      </c>
      <c r="O26" s="42">
        <v>3149080</v>
      </c>
      <c r="P26" s="42">
        <v>360000</v>
      </c>
      <c r="Q26" s="42">
        <v>0</v>
      </c>
    </row>
    <row r="27" spans="1:19" s="43" customFormat="1" x14ac:dyDescent="0.25">
      <c r="A27" s="44">
        <v>2</v>
      </c>
      <c r="B27" s="44">
        <f>ROUND((B25+B26)/$A$27,0)</f>
        <v>0</v>
      </c>
      <c r="C27" s="44">
        <f t="shared" ref="C27:Q27" si="6">ROUND((C25+C26)/$A$27,0)</f>
        <v>157273</v>
      </c>
      <c r="D27" s="44">
        <f t="shared" si="6"/>
        <v>728637</v>
      </c>
      <c r="E27" s="44">
        <f t="shared" si="6"/>
        <v>1619095</v>
      </c>
      <c r="F27" s="44">
        <f t="shared" si="6"/>
        <v>2611588</v>
      </c>
      <c r="G27" s="44">
        <f t="shared" si="6"/>
        <v>3312457</v>
      </c>
      <c r="H27" s="44">
        <f t="shared" si="6"/>
        <v>2414908</v>
      </c>
      <c r="I27" s="44">
        <f t="shared" si="6"/>
        <v>3090163</v>
      </c>
      <c r="J27" s="44">
        <f t="shared" si="6"/>
        <v>2895088</v>
      </c>
      <c r="K27" s="44">
        <f t="shared" si="6"/>
        <v>1847726</v>
      </c>
      <c r="L27" s="44">
        <f t="shared" si="6"/>
        <v>2325089</v>
      </c>
      <c r="M27" s="44">
        <f t="shared" si="6"/>
        <v>2498626</v>
      </c>
      <c r="N27" s="44">
        <f t="shared" si="6"/>
        <v>3746498</v>
      </c>
      <c r="O27" s="44">
        <f t="shared" si="6"/>
        <v>2947268</v>
      </c>
      <c r="P27" s="44">
        <f t="shared" si="6"/>
        <v>1043637</v>
      </c>
      <c r="Q27" s="44">
        <f t="shared" si="6"/>
        <v>0</v>
      </c>
    </row>
    <row r="28" spans="1:19" s="43" customFormat="1" x14ac:dyDescent="0.25">
      <c r="A28" s="70" t="s">
        <v>302</v>
      </c>
      <c r="B28" s="70">
        <f>B27</f>
        <v>0</v>
      </c>
      <c r="C28" s="70">
        <f t="shared" ref="C28:Q28" si="7">C27</f>
        <v>157273</v>
      </c>
      <c r="D28" s="70">
        <f t="shared" si="7"/>
        <v>728637</v>
      </c>
      <c r="E28" s="70">
        <f t="shared" si="7"/>
        <v>1619095</v>
      </c>
      <c r="F28" s="70">
        <f t="shared" si="7"/>
        <v>2611588</v>
      </c>
      <c r="G28" s="70">
        <f t="shared" si="7"/>
        <v>3312457</v>
      </c>
      <c r="H28" s="70">
        <f t="shared" si="7"/>
        <v>2414908</v>
      </c>
      <c r="I28" s="70">
        <f t="shared" si="7"/>
        <v>3090163</v>
      </c>
      <c r="J28" s="70">
        <f t="shared" si="7"/>
        <v>2895088</v>
      </c>
      <c r="K28" s="70">
        <f t="shared" si="7"/>
        <v>1847726</v>
      </c>
      <c r="L28" s="70">
        <f t="shared" si="7"/>
        <v>2325089</v>
      </c>
      <c r="M28" s="70">
        <f t="shared" si="7"/>
        <v>2498626</v>
      </c>
      <c r="N28" s="70">
        <f t="shared" si="7"/>
        <v>3746498</v>
      </c>
      <c r="O28" s="70">
        <f t="shared" si="7"/>
        <v>2947268</v>
      </c>
      <c r="P28" s="70">
        <f t="shared" si="7"/>
        <v>1043637</v>
      </c>
      <c r="Q28" s="70">
        <f t="shared" si="7"/>
        <v>0</v>
      </c>
      <c r="R28" s="43">
        <f t="shared" ref="R28:R29" si="8">SUM(B28:Q28)</f>
        <v>31238053</v>
      </c>
    </row>
    <row r="29" spans="1:19" x14ac:dyDescent="0.25">
      <c r="A29" s="12" t="s">
        <v>303</v>
      </c>
      <c r="B29" s="12"/>
      <c r="C29" s="12">
        <v>2</v>
      </c>
      <c r="D29" s="12">
        <v>2</v>
      </c>
      <c r="E29" s="12">
        <v>3</v>
      </c>
      <c r="F29" s="12">
        <v>3</v>
      </c>
      <c r="G29" s="12">
        <v>4</v>
      </c>
      <c r="H29" s="12">
        <v>3</v>
      </c>
      <c r="I29" s="12">
        <v>4</v>
      </c>
      <c r="J29" s="12">
        <v>3</v>
      </c>
      <c r="K29" s="12">
        <v>3</v>
      </c>
      <c r="L29" s="12">
        <v>3</v>
      </c>
      <c r="M29" s="12">
        <v>3</v>
      </c>
      <c r="N29" s="12">
        <v>4</v>
      </c>
      <c r="O29" s="12">
        <v>3</v>
      </c>
      <c r="P29" s="12">
        <v>3</v>
      </c>
      <c r="Q29" s="12"/>
      <c r="R29" s="43">
        <f t="shared" si="8"/>
        <v>43</v>
      </c>
    </row>
    <row r="30" spans="1:19" x14ac:dyDescent="0.25">
      <c r="A30" s="12" t="s">
        <v>304</v>
      </c>
      <c r="B30" s="46">
        <f t="shared" ref="B30:Q30" si="9">B29*18000</f>
        <v>0</v>
      </c>
      <c r="C30" s="46">
        <f t="shared" si="9"/>
        <v>36000</v>
      </c>
      <c r="D30" s="46">
        <f t="shared" si="9"/>
        <v>36000</v>
      </c>
      <c r="E30" s="46">
        <f t="shared" si="9"/>
        <v>54000</v>
      </c>
      <c r="F30" s="46">
        <f t="shared" si="9"/>
        <v>54000</v>
      </c>
      <c r="G30" s="46">
        <f t="shared" si="9"/>
        <v>72000</v>
      </c>
      <c r="H30" s="46">
        <f t="shared" si="9"/>
        <v>54000</v>
      </c>
      <c r="I30" s="46">
        <f t="shared" si="9"/>
        <v>72000</v>
      </c>
      <c r="J30" s="46">
        <f t="shared" si="9"/>
        <v>54000</v>
      </c>
      <c r="K30" s="46">
        <f t="shared" si="9"/>
        <v>54000</v>
      </c>
      <c r="L30" s="46">
        <f t="shared" si="9"/>
        <v>54000</v>
      </c>
      <c r="M30" s="46">
        <f t="shared" si="9"/>
        <v>54000</v>
      </c>
      <c r="N30" s="46">
        <f t="shared" si="9"/>
        <v>72000</v>
      </c>
      <c r="O30" s="46">
        <f t="shared" si="9"/>
        <v>54000</v>
      </c>
      <c r="P30" s="46">
        <f t="shared" si="9"/>
        <v>54000</v>
      </c>
      <c r="Q30" s="46">
        <f t="shared" si="9"/>
        <v>0</v>
      </c>
      <c r="R30" s="43">
        <f>SUM(B30:Q30)</f>
        <v>774000</v>
      </c>
      <c r="S30" s="47">
        <f>R30/R28</f>
        <v>2.4777472526856907E-2</v>
      </c>
    </row>
    <row r="32" spans="1:19" x14ac:dyDescent="0.25">
      <c r="A32" s="13" t="s">
        <v>75</v>
      </c>
    </row>
    <row r="33" spans="1:18" x14ac:dyDescent="0.25">
      <c r="A33" s="2" t="s">
        <v>108</v>
      </c>
      <c r="B33" s="2"/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/>
      <c r="L33" s="2"/>
      <c r="M33" s="2"/>
      <c r="N33" s="2"/>
      <c r="O33" s="2"/>
      <c r="P33" s="2"/>
      <c r="Q33" s="2"/>
    </row>
    <row r="34" spans="1:18" x14ac:dyDescent="0.25">
      <c r="A34" s="2" t="s">
        <v>111</v>
      </c>
      <c r="B34" s="2"/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/>
      <c r="J34" s="2"/>
      <c r="K34" s="2"/>
      <c r="L34" s="2"/>
      <c r="M34" s="2"/>
      <c r="N34" s="2"/>
      <c r="O34" s="2"/>
      <c r="P34" s="2"/>
      <c r="Q34" s="2"/>
    </row>
    <row r="35" spans="1:18" x14ac:dyDescent="0.25">
      <c r="A35" s="2" t="s">
        <v>116</v>
      </c>
      <c r="B35" s="2"/>
      <c r="C35" s="2"/>
      <c r="D35" s="2"/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/>
      <c r="N35" s="2"/>
      <c r="O35" s="2"/>
      <c r="P35" s="2"/>
      <c r="Q35" s="2"/>
    </row>
    <row r="36" spans="1:18" x14ac:dyDescent="0.25">
      <c r="A36" s="2" t="s">
        <v>109</v>
      </c>
      <c r="B36" s="2"/>
      <c r="C36" s="2"/>
      <c r="D36" s="2"/>
      <c r="E36" s="2"/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/>
      <c r="O36" s="2"/>
      <c r="P36" s="2"/>
      <c r="Q36" s="2"/>
    </row>
    <row r="37" spans="1:18" x14ac:dyDescent="0.25">
      <c r="A37" s="2" t="s">
        <v>63</v>
      </c>
      <c r="B37" s="2"/>
      <c r="C37" s="2"/>
      <c r="D37" s="2"/>
      <c r="E37" s="2"/>
      <c r="F37" s="2"/>
      <c r="G37" s="2"/>
      <c r="H37" s="2"/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/>
    </row>
    <row r="38" spans="1:18" x14ac:dyDescent="0.25">
      <c r="A38" s="2" t="s">
        <v>386</v>
      </c>
      <c r="B38" s="2"/>
      <c r="C38" s="2"/>
      <c r="D38" s="2"/>
      <c r="E38" s="2"/>
      <c r="F38" s="2"/>
      <c r="G38" s="2"/>
      <c r="H38" s="2"/>
      <c r="I38" s="2"/>
      <c r="J38" s="2"/>
      <c r="K38" s="2">
        <v>1</v>
      </c>
      <c r="L38" s="2">
        <v>1</v>
      </c>
      <c r="M38" s="2">
        <v>1</v>
      </c>
      <c r="N38" s="2">
        <v>1</v>
      </c>
      <c r="O38" s="2"/>
      <c r="P38" s="2"/>
      <c r="Q38" s="2"/>
    </row>
    <row r="39" spans="1:18" x14ac:dyDescent="0.25">
      <c r="A39" s="2" t="s">
        <v>117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v>1</v>
      </c>
      <c r="N39" s="2">
        <v>1</v>
      </c>
      <c r="O39" s="2">
        <v>1</v>
      </c>
      <c r="P39" s="2">
        <v>1</v>
      </c>
      <c r="Q39" s="2"/>
    </row>
    <row r="40" spans="1:18" x14ac:dyDescent="0.25">
      <c r="A40" s="2" t="s">
        <v>117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1</v>
      </c>
      <c r="N40" s="2">
        <v>1</v>
      </c>
      <c r="O40" s="2">
        <v>1</v>
      </c>
      <c r="P40" s="2">
        <v>1</v>
      </c>
      <c r="Q40" s="2"/>
    </row>
    <row r="41" spans="1:18" x14ac:dyDescent="0.25">
      <c r="A41" s="7" t="s">
        <v>303</v>
      </c>
      <c r="B41" s="7">
        <f>SUM(B33:B40)</f>
        <v>0</v>
      </c>
      <c r="C41" s="7">
        <f t="shared" ref="C41:Q41" si="10">SUM(C33:C40)</f>
        <v>2</v>
      </c>
      <c r="D41" s="7">
        <f t="shared" si="10"/>
        <v>2</v>
      </c>
      <c r="E41" s="7">
        <f t="shared" si="10"/>
        <v>3</v>
      </c>
      <c r="F41" s="7">
        <f t="shared" si="10"/>
        <v>4</v>
      </c>
      <c r="G41" s="7">
        <f t="shared" si="10"/>
        <v>4</v>
      </c>
      <c r="H41" s="7">
        <f t="shared" si="10"/>
        <v>4</v>
      </c>
      <c r="I41" s="7">
        <f t="shared" si="10"/>
        <v>4</v>
      </c>
      <c r="J41" s="7">
        <f t="shared" si="10"/>
        <v>4</v>
      </c>
      <c r="K41" s="7">
        <f t="shared" si="10"/>
        <v>4</v>
      </c>
      <c r="L41" s="7">
        <f t="shared" si="10"/>
        <v>4</v>
      </c>
      <c r="M41" s="7">
        <f t="shared" si="10"/>
        <v>5</v>
      </c>
      <c r="N41" s="7">
        <f t="shared" si="10"/>
        <v>4</v>
      </c>
      <c r="O41" s="7">
        <f t="shared" si="10"/>
        <v>3</v>
      </c>
      <c r="P41" s="7">
        <f t="shared" si="10"/>
        <v>3</v>
      </c>
      <c r="Q41" s="7">
        <f t="shared" si="10"/>
        <v>0</v>
      </c>
      <c r="R41" s="43">
        <f>SUM(B41:Q41)</f>
        <v>50</v>
      </c>
    </row>
    <row r="42" spans="1:18" x14ac:dyDescent="0.25">
      <c r="A42" s="12" t="s">
        <v>303</v>
      </c>
      <c r="B42" s="12"/>
      <c r="C42" s="12">
        <v>1</v>
      </c>
      <c r="D42" s="12">
        <v>2</v>
      </c>
      <c r="E42" s="12">
        <v>3</v>
      </c>
      <c r="F42" s="12">
        <v>4</v>
      </c>
      <c r="G42" s="12">
        <v>4</v>
      </c>
      <c r="H42" s="12">
        <v>3</v>
      </c>
      <c r="I42" s="12">
        <v>3</v>
      </c>
      <c r="J42" s="12">
        <v>3</v>
      </c>
      <c r="K42" s="12">
        <v>3</v>
      </c>
      <c r="L42" s="12">
        <v>3</v>
      </c>
      <c r="M42" s="12">
        <v>3</v>
      </c>
      <c r="N42" s="12">
        <v>4</v>
      </c>
      <c r="O42" s="12">
        <v>4</v>
      </c>
      <c r="P42" s="12">
        <v>2</v>
      </c>
      <c r="Q42" s="12"/>
    </row>
    <row r="43" spans="1:18" x14ac:dyDescent="0.25">
      <c r="A43" s="12" t="s">
        <v>304</v>
      </c>
      <c r="B43" s="46">
        <f t="shared" ref="B43:Q43" si="11">B42*18000</f>
        <v>0</v>
      </c>
      <c r="C43" s="46">
        <f t="shared" si="11"/>
        <v>18000</v>
      </c>
      <c r="D43" s="46">
        <f t="shared" si="11"/>
        <v>36000</v>
      </c>
      <c r="E43" s="46">
        <f t="shared" si="11"/>
        <v>54000</v>
      </c>
      <c r="F43" s="46">
        <f t="shared" si="11"/>
        <v>72000</v>
      </c>
      <c r="G43" s="46">
        <f t="shared" si="11"/>
        <v>72000</v>
      </c>
      <c r="H43" s="46">
        <f t="shared" si="11"/>
        <v>54000</v>
      </c>
      <c r="I43" s="46">
        <f t="shared" si="11"/>
        <v>54000</v>
      </c>
      <c r="J43" s="46">
        <f t="shared" si="11"/>
        <v>54000</v>
      </c>
      <c r="K43" s="46">
        <f t="shared" si="11"/>
        <v>54000</v>
      </c>
      <c r="L43" s="46">
        <f t="shared" si="11"/>
        <v>54000</v>
      </c>
      <c r="M43" s="46">
        <f t="shared" si="11"/>
        <v>54000</v>
      </c>
      <c r="N43" s="46">
        <f t="shared" si="11"/>
        <v>72000</v>
      </c>
      <c r="O43" s="46">
        <f t="shared" si="11"/>
        <v>72000</v>
      </c>
      <c r="P43" s="46">
        <f t="shared" si="11"/>
        <v>36000</v>
      </c>
      <c r="Q43" s="46">
        <f t="shared" si="11"/>
        <v>0</v>
      </c>
      <c r="R43" s="43">
        <f>SUM(B43:Q43)</f>
        <v>756000</v>
      </c>
    </row>
    <row r="45" spans="1:18" x14ac:dyDescent="0.25">
      <c r="A45" s="2" t="s">
        <v>72</v>
      </c>
      <c r="B45" s="2"/>
      <c r="C45" s="2" t="s">
        <v>26</v>
      </c>
      <c r="D45" s="2" t="s">
        <v>27</v>
      </c>
    </row>
    <row r="46" spans="1:18" x14ac:dyDescent="0.25">
      <c r="A46" s="3" t="s">
        <v>0</v>
      </c>
      <c r="B46" s="2"/>
      <c r="C46" s="2"/>
      <c r="D46" s="2"/>
    </row>
    <row r="47" spans="1:18" x14ac:dyDescent="0.25">
      <c r="A47" s="2" t="s">
        <v>108</v>
      </c>
      <c r="B47" s="2" t="s">
        <v>67</v>
      </c>
      <c r="C47" s="2">
        <v>1</v>
      </c>
      <c r="D47" s="2">
        <f>C47*8</f>
        <v>8</v>
      </c>
    </row>
    <row r="48" spans="1:18" x14ac:dyDescent="0.25">
      <c r="A48" s="2" t="s">
        <v>111</v>
      </c>
      <c r="B48" s="2" t="s">
        <v>68</v>
      </c>
      <c r="C48" s="2">
        <v>1</v>
      </c>
      <c r="D48" s="2">
        <f>14-8</f>
        <v>6</v>
      </c>
    </row>
    <row r="49" spans="1:14" x14ac:dyDescent="0.25">
      <c r="A49" s="2" t="s">
        <v>116</v>
      </c>
      <c r="B49" s="2" t="s">
        <v>67</v>
      </c>
      <c r="C49" s="2">
        <v>1</v>
      </c>
      <c r="D49" s="2">
        <v>8</v>
      </c>
    </row>
    <row r="50" spans="1:14" x14ac:dyDescent="0.25">
      <c r="A50" s="2" t="s">
        <v>110</v>
      </c>
      <c r="B50" s="2" t="s">
        <v>67</v>
      </c>
      <c r="C50" s="2">
        <v>1</v>
      </c>
      <c r="D50" s="2">
        <v>8</v>
      </c>
    </row>
    <row r="51" spans="1:14" x14ac:dyDescent="0.25">
      <c r="A51" s="2" t="s">
        <v>63</v>
      </c>
      <c r="B51" s="2" t="s">
        <v>67</v>
      </c>
      <c r="C51" s="2">
        <v>1</v>
      </c>
      <c r="D51" s="2">
        <v>8</v>
      </c>
      <c r="F51" s="68" t="s">
        <v>114</v>
      </c>
      <c r="G51" s="3" t="s">
        <v>67</v>
      </c>
      <c r="H51" s="3" t="s">
        <v>68</v>
      </c>
      <c r="I51" s="3" t="s">
        <v>90</v>
      </c>
    </row>
    <row r="52" spans="1:14" x14ac:dyDescent="0.25">
      <c r="A52" s="2" t="s">
        <v>117</v>
      </c>
      <c r="B52" s="2" t="s">
        <v>68</v>
      </c>
      <c r="C52" s="2">
        <v>1</v>
      </c>
      <c r="D52" s="2">
        <v>4</v>
      </c>
      <c r="F52" s="11">
        <f>SUM(G52:I52)</f>
        <v>9</v>
      </c>
      <c r="G52" s="2">
        <v>4</v>
      </c>
      <c r="H52" s="2">
        <v>4</v>
      </c>
      <c r="I52" s="2">
        <v>1</v>
      </c>
    </row>
    <row r="53" spans="1:14" x14ac:dyDescent="0.25">
      <c r="A53" s="2" t="s">
        <v>117</v>
      </c>
      <c r="B53" s="2" t="s">
        <v>68</v>
      </c>
      <c r="C53" s="2">
        <v>1</v>
      </c>
      <c r="D53" s="2">
        <v>4</v>
      </c>
      <c r="F53" s="21"/>
      <c r="G53" s="22"/>
      <c r="H53" s="22"/>
      <c r="I53" s="22"/>
    </row>
    <row r="54" spans="1:14" x14ac:dyDescent="0.25">
      <c r="A54" s="2" t="s">
        <v>87</v>
      </c>
      <c r="B54" s="2" t="s">
        <v>387</v>
      </c>
      <c r="C54" s="2">
        <v>1</v>
      </c>
      <c r="D54" s="2"/>
    </row>
    <row r="55" spans="1:14" x14ac:dyDescent="0.25">
      <c r="A55" s="2" t="s">
        <v>88</v>
      </c>
      <c r="B55" s="2"/>
      <c r="C55" s="2">
        <v>1</v>
      </c>
      <c r="D55" s="2"/>
      <c r="F55" s="68" t="s">
        <v>89</v>
      </c>
      <c r="G55" s="3" t="s">
        <v>67</v>
      </c>
      <c r="H55" s="3" t="s">
        <v>68</v>
      </c>
      <c r="I55" s="3" t="s">
        <v>90</v>
      </c>
      <c r="K55" s="68" t="s">
        <v>93</v>
      </c>
      <c r="L55" s="3" t="s">
        <v>67</v>
      </c>
      <c r="M55" s="3" t="s">
        <v>68</v>
      </c>
      <c r="N55" s="3" t="s">
        <v>90</v>
      </c>
    </row>
    <row r="56" spans="1:14" x14ac:dyDescent="0.25">
      <c r="A56" s="3" t="s">
        <v>66</v>
      </c>
      <c r="B56" s="3"/>
      <c r="C56" s="3">
        <f>SUM(C47:C55)</f>
        <v>9</v>
      </c>
      <c r="D56" s="3">
        <f>SUM(D47:D55)</f>
        <v>46</v>
      </c>
      <c r="F56" s="11">
        <f>SUM(G56:I56)</f>
        <v>10</v>
      </c>
      <c r="G56" s="2">
        <v>6</v>
      </c>
      <c r="H56" s="2">
        <v>3</v>
      </c>
      <c r="I56" s="2">
        <v>1</v>
      </c>
      <c r="K56" s="11">
        <f>F56-F52</f>
        <v>1</v>
      </c>
      <c r="L56" s="11">
        <f>G56-G52</f>
        <v>2</v>
      </c>
      <c r="M56" s="11">
        <f>H56-H52</f>
        <v>-1</v>
      </c>
      <c r="N56" s="11">
        <f>I56-I52</f>
        <v>0</v>
      </c>
    </row>
    <row r="57" spans="1:14" x14ac:dyDescent="0.25">
      <c r="A57" s="3" t="s">
        <v>2</v>
      </c>
      <c r="B57" s="2"/>
      <c r="C57" s="2"/>
      <c r="D57" s="2"/>
    </row>
    <row r="58" spans="1:14" x14ac:dyDescent="0.25">
      <c r="A58" s="2" t="s">
        <v>108</v>
      </c>
      <c r="B58" s="2" t="s">
        <v>67</v>
      </c>
      <c r="C58" s="2">
        <v>1</v>
      </c>
      <c r="D58" s="2">
        <f>C58*8</f>
        <v>8</v>
      </c>
      <c r="L58" s="1" t="s">
        <v>388</v>
      </c>
    </row>
    <row r="59" spans="1:14" x14ac:dyDescent="0.25">
      <c r="A59" s="2" t="s">
        <v>111</v>
      </c>
      <c r="B59" s="2" t="s">
        <v>68</v>
      </c>
      <c r="C59" s="2">
        <v>1</v>
      </c>
      <c r="D59" s="2">
        <f>14-8</f>
        <v>6</v>
      </c>
    </row>
    <row r="60" spans="1:14" x14ac:dyDescent="0.25">
      <c r="A60" s="2" t="s">
        <v>116</v>
      </c>
      <c r="B60" s="2" t="s">
        <v>67</v>
      </c>
      <c r="C60" s="2">
        <v>1</v>
      </c>
      <c r="D60" s="2">
        <f t="shared" ref="D60:D62" si="12">C60*8</f>
        <v>8</v>
      </c>
    </row>
    <row r="61" spans="1:14" x14ac:dyDescent="0.25">
      <c r="A61" s="2" t="s">
        <v>109</v>
      </c>
      <c r="B61" s="2" t="s">
        <v>67</v>
      </c>
      <c r="C61" s="2">
        <v>1</v>
      </c>
      <c r="D61" s="2">
        <f t="shared" si="12"/>
        <v>8</v>
      </c>
    </row>
    <row r="62" spans="1:14" x14ac:dyDescent="0.25">
      <c r="A62" s="2" t="s">
        <v>63</v>
      </c>
      <c r="B62" s="2" t="s">
        <v>67</v>
      </c>
      <c r="C62" s="2">
        <v>1</v>
      </c>
      <c r="D62" s="2">
        <f t="shared" si="12"/>
        <v>8</v>
      </c>
    </row>
    <row r="63" spans="1:14" x14ac:dyDescent="0.25">
      <c r="A63" s="2" t="s">
        <v>386</v>
      </c>
      <c r="B63" s="2" t="s">
        <v>68</v>
      </c>
      <c r="C63" s="2">
        <v>1</v>
      </c>
      <c r="D63" s="2">
        <f>20-16</f>
        <v>4</v>
      </c>
    </row>
    <row r="64" spans="1:14" x14ac:dyDescent="0.25">
      <c r="A64" s="2" t="s">
        <v>117</v>
      </c>
      <c r="B64" s="2" t="s">
        <v>68</v>
      </c>
      <c r="C64" s="2">
        <v>1</v>
      </c>
      <c r="D64" s="2">
        <f>22-18</f>
        <v>4</v>
      </c>
    </row>
    <row r="65" spans="1:22" x14ac:dyDescent="0.25">
      <c r="A65" s="2" t="s">
        <v>117</v>
      </c>
      <c r="B65" s="2" t="s">
        <v>68</v>
      </c>
      <c r="C65" s="2">
        <v>1</v>
      </c>
      <c r="D65" s="2">
        <v>4</v>
      </c>
    </row>
    <row r="66" spans="1:22" x14ac:dyDescent="0.25">
      <c r="A66" s="2" t="s">
        <v>88</v>
      </c>
      <c r="B66" s="2"/>
      <c r="C66" s="2">
        <v>1</v>
      </c>
      <c r="D66" s="2"/>
    </row>
    <row r="67" spans="1:22" x14ac:dyDescent="0.25">
      <c r="A67" s="3" t="s">
        <v>66</v>
      </c>
      <c r="B67" s="3"/>
      <c r="C67" s="3">
        <f>SUM(C58:C66)</f>
        <v>9</v>
      </c>
      <c r="D67" s="3">
        <f>SUM(D58:D66)</f>
        <v>50</v>
      </c>
    </row>
    <row r="69" spans="1:22" x14ac:dyDescent="0.25">
      <c r="A69" s="2" t="s">
        <v>22</v>
      </c>
      <c r="B69" s="2"/>
      <c r="C69" s="2"/>
      <c r="E69" s="1" t="s">
        <v>64</v>
      </c>
      <c r="F69" s="1" t="s">
        <v>70</v>
      </c>
    </row>
    <row r="70" spans="1:22" x14ac:dyDescent="0.25">
      <c r="A70" s="3" t="s">
        <v>0</v>
      </c>
      <c r="B70" s="2"/>
      <c r="C70" s="2"/>
      <c r="E70" s="1" t="s">
        <v>69</v>
      </c>
      <c r="F70" s="1" t="s">
        <v>71</v>
      </c>
    </row>
    <row r="71" spans="1:22" x14ac:dyDescent="0.25">
      <c r="A71" s="11" t="s">
        <v>56</v>
      </c>
      <c r="B71" s="2">
        <f>22-ROUND(7+(40/60),0)</f>
        <v>14</v>
      </c>
      <c r="C71" s="2" t="s">
        <v>24</v>
      </c>
      <c r="E71" s="1">
        <f>D56</f>
        <v>46</v>
      </c>
      <c r="F71" s="1" t="s">
        <v>24</v>
      </c>
      <c r="G71" s="1">
        <f>E71/B71</f>
        <v>3.2857142857142856</v>
      </c>
      <c r="H71" s="1" t="s">
        <v>76</v>
      </c>
    </row>
    <row r="72" spans="1:22" x14ac:dyDescent="0.25">
      <c r="A72" s="3" t="s">
        <v>2</v>
      </c>
      <c r="B72" s="2"/>
      <c r="C72" s="2"/>
    </row>
    <row r="73" spans="1:22" x14ac:dyDescent="0.25">
      <c r="A73" s="11" t="s">
        <v>56</v>
      </c>
      <c r="B73" s="2">
        <f>22-ROUND(7+(40/60),0)</f>
        <v>14</v>
      </c>
      <c r="C73" s="2" t="s">
        <v>24</v>
      </c>
      <c r="E73" s="1">
        <f>D67</f>
        <v>50</v>
      </c>
      <c r="F73" s="1" t="str">
        <f>F71</f>
        <v>H</v>
      </c>
      <c r="G73" s="1">
        <f>E73/B73</f>
        <v>3.5714285714285716</v>
      </c>
      <c r="H73" s="1" t="s">
        <v>76</v>
      </c>
    </row>
    <row r="75" spans="1:22" customFormat="1" x14ac:dyDescent="0.25">
      <c r="A75" s="48" t="s">
        <v>307</v>
      </c>
      <c r="B75" s="1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72"/>
      <c r="S75" s="49"/>
      <c r="T75" s="49"/>
      <c r="U75" s="49"/>
      <c r="V75" s="49"/>
    </row>
    <row r="76" spans="1:22" customFormat="1" x14ac:dyDescent="0.25">
      <c r="A76" s="48"/>
      <c r="B76" s="1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72"/>
      <c r="S76" s="49"/>
      <c r="T76" s="49"/>
      <c r="U76" s="49"/>
      <c r="V76" s="49"/>
    </row>
    <row r="77" spans="1:22" customFormat="1" x14ac:dyDescent="0.25">
      <c r="A77" s="50" t="s">
        <v>308</v>
      </c>
      <c r="B77" s="51" t="s">
        <v>309</v>
      </c>
      <c r="C77" s="52" t="s">
        <v>310</v>
      </c>
      <c r="D77" s="51" t="s">
        <v>311</v>
      </c>
      <c r="E77" s="51" t="s">
        <v>312</v>
      </c>
      <c r="F77" s="53" t="s">
        <v>313</v>
      </c>
      <c r="G77" s="51" t="s">
        <v>314</v>
      </c>
      <c r="H77" s="1"/>
      <c r="I77" s="49"/>
      <c r="J77" s="49"/>
      <c r="K77" s="49"/>
      <c r="L77" s="49"/>
      <c r="M77" s="49"/>
      <c r="N77" s="49"/>
      <c r="O77" s="49"/>
      <c r="P77" s="49"/>
      <c r="Q77" s="49"/>
      <c r="R77" s="72"/>
      <c r="S77" s="49"/>
      <c r="T77" s="49"/>
      <c r="U77" s="49"/>
      <c r="V77" s="49"/>
    </row>
    <row r="78" spans="1:22" customFormat="1" x14ac:dyDescent="0.25">
      <c r="A78" s="50" t="s">
        <v>315</v>
      </c>
      <c r="B78" s="51">
        <v>1</v>
      </c>
      <c r="C78" s="51">
        <v>1</v>
      </c>
      <c r="D78" s="51">
        <v>1</v>
      </c>
      <c r="E78" s="51">
        <v>1</v>
      </c>
      <c r="F78" s="51">
        <v>1</v>
      </c>
      <c r="G78" s="51">
        <v>1</v>
      </c>
      <c r="H78" s="1"/>
      <c r="I78" s="49"/>
      <c r="J78" s="49"/>
      <c r="K78" s="49"/>
      <c r="L78" s="49"/>
      <c r="M78" s="49"/>
      <c r="N78" s="49"/>
      <c r="O78" s="49"/>
      <c r="P78" s="49"/>
      <c r="Q78" s="49"/>
      <c r="R78" s="72"/>
      <c r="S78" s="49"/>
      <c r="T78" s="49"/>
      <c r="U78" s="49"/>
      <c r="V78" s="49"/>
    </row>
    <row r="79" spans="1:22" customFormat="1" x14ac:dyDescent="0.25">
      <c r="A79" s="50" t="s">
        <v>316</v>
      </c>
      <c r="B79" s="51">
        <v>1</v>
      </c>
      <c r="C79" s="51">
        <v>1</v>
      </c>
      <c r="D79" s="51">
        <v>1</v>
      </c>
      <c r="E79" s="51">
        <v>1</v>
      </c>
      <c r="F79" s="51">
        <v>1</v>
      </c>
      <c r="G79" s="51">
        <v>2</v>
      </c>
      <c r="H79" s="1"/>
      <c r="I79" s="49"/>
      <c r="J79" s="49"/>
      <c r="K79" s="49"/>
      <c r="L79" s="49"/>
      <c r="M79" s="49"/>
      <c r="N79" s="49"/>
      <c r="O79" s="49"/>
      <c r="P79" s="49"/>
      <c r="Q79" s="49"/>
      <c r="R79" s="72"/>
      <c r="S79" s="49"/>
      <c r="T79" s="49"/>
      <c r="U79" s="49"/>
      <c r="V79" s="49"/>
    </row>
    <row r="80" spans="1:22" customFormat="1" x14ac:dyDescent="0.25">
      <c r="A80" s="50" t="s">
        <v>317</v>
      </c>
      <c r="B80" s="51">
        <v>1</v>
      </c>
      <c r="C80" s="51">
        <v>1</v>
      </c>
      <c r="D80" s="51">
        <v>1</v>
      </c>
      <c r="E80" s="51">
        <v>2</v>
      </c>
      <c r="F80" s="51">
        <v>2</v>
      </c>
      <c r="G80" s="51">
        <v>2</v>
      </c>
      <c r="H80" s="1"/>
      <c r="I80" s="49"/>
      <c r="J80" s="49"/>
      <c r="K80" s="49"/>
      <c r="L80" s="49"/>
      <c r="M80" s="49"/>
      <c r="N80" s="49"/>
      <c r="O80" s="49"/>
      <c r="P80" s="49"/>
      <c r="Q80" s="49"/>
      <c r="R80" s="72"/>
      <c r="S80" s="49"/>
      <c r="T80" s="49"/>
      <c r="U80" s="49"/>
      <c r="V80" s="49"/>
    </row>
    <row r="81" spans="1:22" customFormat="1" x14ac:dyDescent="0.25">
      <c r="A81" s="50" t="s">
        <v>318</v>
      </c>
      <c r="B81" s="51">
        <v>0</v>
      </c>
      <c r="C81" s="51">
        <v>1</v>
      </c>
      <c r="D81" s="51">
        <v>1</v>
      </c>
      <c r="E81" s="51">
        <v>1</v>
      </c>
      <c r="F81" s="51">
        <v>1</v>
      </c>
      <c r="G81" s="51">
        <v>1</v>
      </c>
      <c r="H81" s="1"/>
      <c r="I81" s="49"/>
      <c r="J81" s="49"/>
      <c r="K81" s="49"/>
      <c r="L81" s="49"/>
      <c r="M81" s="49"/>
      <c r="N81" s="49"/>
      <c r="O81" s="49"/>
      <c r="P81" s="49"/>
      <c r="Q81" s="49"/>
      <c r="R81" s="72"/>
      <c r="S81" s="49"/>
      <c r="T81" s="49"/>
      <c r="U81" s="49"/>
      <c r="V81" s="49"/>
    </row>
    <row r="82" spans="1:22" customFormat="1" x14ac:dyDescent="0.25">
      <c r="A82" s="50" t="s">
        <v>319</v>
      </c>
      <c r="B82" s="51">
        <f t="shared" ref="B82:G82" si="13">SUM(B78:B81)</f>
        <v>3</v>
      </c>
      <c r="C82" s="51">
        <f t="shared" si="13"/>
        <v>4</v>
      </c>
      <c r="D82" s="51">
        <f t="shared" si="13"/>
        <v>4</v>
      </c>
      <c r="E82" s="51">
        <f t="shared" si="13"/>
        <v>5</v>
      </c>
      <c r="F82" s="51">
        <f t="shared" si="13"/>
        <v>5</v>
      </c>
      <c r="G82" s="51">
        <f t="shared" si="13"/>
        <v>6</v>
      </c>
      <c r="H82" s="1"/>
      <c r="I82" s="49"/>
      <c r="J82" s="49"/>
      <c r="K82" s="49"/>
      <c r="L82" s="49"/>
      <c r="M82" s="49"/>
      <c r="N82" s="49"/>
      <c r="O82" s="49"/>
      <c r="P82" s="49"/>
      <c r="Q82" s="49"/>
      <c r="R82" s="72"/>
      <c r="S82" s="49"/>
      <c r="T82" s="49"/>
      <c r="U82" s="49"/>
      <c r="V82" s="49"/>
    </row>
    <row r="83" spans="1:22" customFormat="1" x14ac:dyDescent="0.25">
      <c r="B83" s="49"/>
      <c r="C83" s="49"/>
      <c r="D83" s="49"/>
      <c r="E83" s="49"/>
      <c r="F83" s="49"/>
      <c r="G83" s="49"/>
      <c r="H83" s="1"/>
      <c r="I83" s="49"/>
      <c r="J83" s="49"/>
      <c r="K83" s="49"/>
      <c r="L83" s="49"/>
      <c r="M83" s="49"/>
      <c r="N83" s="49"/>
      <c r="O83" s="49"/>
      <c r="P83" s="49"/>
      <c r="Q83" s="49"/>
      <c r="R83" s="72"/>
      <c r="S83" s="49"/>
      <c r="T83" s="49"/>
      <c r="U83" s="49"/>
      <c r="V83" s="49"/>
    </row>
    <row r="84" spans="1:22" customFormat="1" x14ac:dyDescent="0.25">
      <c r="A84" s="50" t="s">
        <v>320</v>
      </c>
      <c r="B84" s="54">
        <f>22-8</f>
        <v>14</v>
      </c>
      <c r="C84" s="54">
        <f t="shared" ref="C84:G84" si="14">22-8</f>
        <v>14</v>
      </c>
      <c r="D84" s="54">
        <f t="shared" si="14"/>
        <v>14</v>
      </c>
      <c r="E84" s="54">
        <f t="shared" si="14"/>
        <v>14</v>
      </c>
      <c r="F84" s="54">
        <f t="shared" si="14"/>
        <v>14</v>
      </c>
      <c r="G84" s="54">
        <f t="shared" si="14"/>
        <v>14</v>
      </c>
      <c r="H84" s="1"/>
      <c r="I84" s="49"/>
      <c r="J84" s="49"/>
      <c r="K84" s="49"/>
      <c r="L84" s="49"/>
      <c r="M84" s="49"/>
      <c r="N84" s="49"/>
      <c r="O84" s="49"/>
      <c r="P84" s="49"/>
      <c r="Q84" s="49"/>
      <c r="R84" s="72"/>
      <c r="S84" s="49"/>
      <c r="T84" s="49"/>
      <c r="U84" s="49"/>
      <c r="V84" s="49"/>
    </row>
    <row r="85" spans="1:22" customFormat="1" x14ac:dyDescent="0.25">
      <c r="A85" s="50" t="s">
        <v>321</v>
      </c>
      <c r="B85" s="54">
        <v>2</v>
      </c>
      <c r="C85" s="54">
        <v>2</v>
      </c>
      <c r="D85" s="54">
        <v>2</v>
      </c>
      <c r="E85" s="54">
        <v>2</v>
      </c>
      <c r="F85" s="54">
        <v>2</v>
      </c>
      <c r="G85" s="54">
        <v>2</v>
      </c>
      <c r="H85" s="1"/>
      <c r="I85" s="49"/>
      <c r="J85" s="49"/>
      <c r="K85" s="49"/>
      <c r="L85" s="49"/>
      <c r="M85" s="49"/>
      <c r="N85" s="49"/>
      <c r="O85" s="49"/>
      <c r="P85" s="49"/>
      <c r="Q85" s="49"/>
      <c r="R85" s="72"/>
      <c r="S85" s="49"/>
      <c r="T85" s="49"/>
      <c r="U85" s="49"/>
      <c r="V85" s="49"/>
    </row>
    <row r="86" spans="1:22" customFormat="1" x14ac:dyDescent="0.25">
      <c r="A86" s="50" t="s">
        <v>322</v>
      </c>
      <c r="B86" s="55">
        <f t="shared" ref="B86:G86" si="15">SUM(B84+B85)/8</f>
        <v>2</v>
      </c>
      <c r="C86" s="55">
        <f t="shared" si="15"/>
        <v>2</v>
      </c>
      <c r="D86" s="55">
        <f t="shared" si="15"/>
        <v>2</v>
      </c>
      <c r="E86" s="55">
        <f t="shared" si="15"/>
        <v>2</v>
      </c>
      <c r="F86" s="55">
        <f t="shared" si="15"/>
        <v>2</v>
      </c>
      <c r="G86" s="55">
        <f t="shared" si="15"/>
        <v>2</v>
      </c>
      <c r="H86" s="1"/>
      <c r="I86" s="49"/>
      <c r="J86" s="49"/>
      <c r="K86" s="49"/>
      <c r="L86" s="49"/>
      <c r="M86" s="49"/>
      <c r="N86" s="49"/>
      <c r="O86" s="49"/>
      <c r="P86" s="49"/>
      <c r="Q86" s="49"/>
      <c r="R86" s="72"/>
      <c r="S86" s="49"/>
      <c r="T86" s="49"/>
      <c r="U86" s="49"/>
      <c r="V86" s="49"/>
    </row>
    <row r="87" spans="1:22" customFormat="1" x14ac:dyDescent="0.25">
      <c r="A87" s="50" t="s">
        <v>323</v>
      </c>
      <c r="B87" s="55">
        <f>SUM(B82*B86)</f>
        <v>6</v>
      </c>
      <c r="C87" s="55">
        <f t="shared" ref="C87:G87" si="16">SUM(C82*C86)</f>
        <v>8</v>
      </c>
      <c r="D87" s="55">
        <f t="shared" si="16"/>
        <v>8</v>
      </c>
      <c r="E87" s="55">
        <f t="shared" si="16"/>
        <v>10</v>
      </c>
      <c r="F87" s="55">
        <f t="shared" si="16"/>
        <v>10</v>
      </c>
      <c r="G87" s="55">
        <f t="shared" si="16"/>
        <v>12</v>
      </c>
      <c r="H87" s="1"/>
      <c r="I87" s="49"/>
      <c r="J87" s="49"/>
      <c r="K87" s="49"/>
      <c r="L87" s="49"/>
      <c r="M87" s="49"/>
      <c r="N87" s="49"/>
      <c r="O87" s="49"/>
      <c r="P87" s="49"/>
      <c r="Q87" s="49"/>
      <c r="R87" s="72"/>
      <c r="S87" s="49"/>
      <c r="T87" s="49"/>
      <c r="U87" s="49"/>
      <c r="V87" s="49"/>
    </row>
    <row r="88" spans="1:22" customFormat="1" x14ac:dyDescent="0.25">
      <c r="B88" s="49"/>
      <c r="C88" s="49"/>
      <c r="D88" s="49"/>
      <c r="E88" s="49"/>
      <c r="F88" s="49"/>
      <c r="G88" s="49"/>
      <c r="H88" s="1"/>
      <c r="I88" s="49"/>
      <c r="J88" s="49"/>
      <c r="K88" s="49"/>
      <c r="L88" s="49"/>
      <c r="M88" s="49"/>
      <c r="N88" s="49"/>
      <c r="O88" s="49"/>
      <c r="P88" s="49"/>
      <c r="Q88" s="49"/>
      <c r="R88" s="72"/>
      <c r="S88" s="49"/>
      <c r="T88" s="49"/>
      <c r="U88" s="49"/>
      <c r="V88" s="49"/>
    </row>
    <row r="89" spans="1:22" customFormat="1" x14ac:dyDescent="0.25">
      <c r="A89" s="50" t="s">
        <v>324</v>
      </c>
      <c r="B89" s="55">
        <f>SUM(B87*7)/6</f>
        <v>7</v>
      </c>
      <c r="C89" s="55">
        <f t="shared" ref="C89:G89" si="17">SUM(C87*7)/6</f>
        <v>9.3333333333333339</v>
      </c>
      <c r="D89" s="55">
        <f t="shared" si="17"/>
        <v>9.3333333333333339</v>
      </c>
      <c r="E89" s="55">
        <f t="shared" si="17"/>
        <v>11.666666666666666</v>
      </c>
      <c r="F89" s="55">
        <f t="shared" si="17"/>
        <v>11.666666666666666</v>
      </c>
      <c r="G89" s="55">
        <f t="shared" si="17"/>
        <v>14</v>
      </c>
      <c r="H89" s="1"/>
      <c r="I89" s="49"/>
      <c r="J89" s="49"/>
      <c r="K89" s="49"/>
      <c r="L89" s="49"/>
      <c r="M89" s="49"/>
      <c r="N89" s="49"/>
      <c r="O89" s="49"/>
      <c r="P89" s="49"/>
      <c r="Q89" s="49"/>
      <c r="R89" s="72"/>
      <c r="S89" s="49"/>
      <c r="T89" s="49"/>
      <c r="U89" s="49"/>
      <c r="V89" s="49"/>
    </row>
    <row r="91" spans="1:22" x14ac:dyDescent="0.25">
      <c r="F91" s="1" t="s">
        <v>106</v>
      </c>
      <c r="G91" s="1" t="s">
        <v>95</v>
      </c>
      <c r="H91" s="1" t="s">
        <v>99</v>
      </c>
    </row>
    <row r="92" spans="1:22" ht="25.5" x14ac:dyDescent="0.35">
      <c r="A92" s="14" t="s">
        <v>84</v>
      </c>
      <c r="B92" s="15"/>
      <c r="C92" s="15"/>
      <c r="D92" s="15"/>
      <c r="E92" s="15"/>
      <c r="F92" s="1" t="s">
        <v>104</v>
      </c>
      <c r="G92" s="1" t="s">
        <v>105</v>
      </c>
      <c r="H92" s="1" t="s">
        <v>100</v>
      </c>
    </row>
    <row r="94" spans="1:22" x14ac:dyDescent="0.25">
      <c r="A94" s="68" t="s">
        <v>80</v>
      </c>
      <c r="B94" s="68" t="s">
        <v>81</v>
      </c>
      <c r="C94" s="68" t="s">
        <v>82</v>
      </c>
      <c r="D94" s="68" t="s">
        <v>66</v>
      </c>
    </row>
    <row r="95" spans="1:22" x14ac:dyDescent="0.25">
      <c r="A95" s="3" t="s">
        <v>0</v>
      </c>
      <c r="B95" s="2">
        <v>645</v>
      </c>
      <c r="C95" s="2">
        <v>105</v>
      </c>
      <c r="D95" s="68">
        <f>B95+C95</f>
        <v>750</v>
      </c>
    </row>
    <row r="96" spans="1:22" x14ac:dyDescent="0.25">
      <c r="A96" s="3" t="s">
        <v>2</v>
      </c>
      <c r="B96" s="2">
        <v>1080</v>
      </c>
      <c r="C96" s="2">
        <v>118</v>
      </c>
      <c r="D96" s="68">
        <f>B96+C96</f>
        <v>1198</v>
      </c>
    </row>
    <row r="98" spans="1:12" x14ac:dyDescent="0.25">
      <c r="A98" s="68" t="s">
        <v>103</v>
      </c>
      <c r="B98" s="3" t="s">
        <v>67</v>
      </c>
      <c r="C98" s="68" t="s">
        <v>101</v>
      </c>
      <c r="D98" s="3" t="s">
        <v>90</v>
      </c>
      <c r="F98" s="68" t="s">
        <v>89</v>
      </c>
      <c r="G98" s="3" t="s">
        <v>67</v>
      </c>
      <c r="H98" s="3" t="s">
        <v>90</v>
      </c>
      <c r="J98" s="68" t="s">
        <v>93</v>
      </c>
      <c r="K98" s="3" t="s">
        <v>67</v>
      </c>
      <c r="L98" s="3" t="s">
        <v>90</v>
      </c>
    </row>
    <row r="99" spans="1:12" x14ac:dyDescent="0.25">
      <c r="A99" s="11">
        <f>SUM(B99:D99)</f>
        <v>7</v>
      </c>
      <c r="B99" s="2">
        <v>5</v>
      </c>
      <c r="C99" s="2">
        <v>1</v>
      </c>
      <c r="D99" s="2">
        <v>1</v>
      </c>
      <c r="F99" s="11">
        <f>SUM(G99:H99)</f>
        <v>8</v>
      </c>
      <c r="G99" s="2">
        <v>7</v>
      </c>
      <c r="H99" s="2">
        <v>1</v>
      </c>
      <c r="J99" s="11">
        <f>F99-A99</f>
        <v>1</v>
      </c>
      <c r="K99" s="2">
        <v>1</v>
      </c>
      <c r="L99" s="2"/>
    </row>
    <row r="101" spans="1:12" x14ac:dyDescent="0.25">
      <c r="J101" s="1" t="s">
        <v>128</v>
      </c>
    </row>
  </sheetData>
  <pageMargins left="0.25" right="0.25" top="0.75" bottom="0.75" header="0.3" footer="0.3"/>
  <pageSetup paperSize="9" scale="45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R115"/>
  <sheetViews>
    <sheetView topLeftCell="C10" workbookViewId="0">
      <selection activeCell="R42" sqref="R42"/>
    </sheetView>
  </sheetViews>
  <sheetFormatPr defaultRowHeight="15.75" x14ac:dyDescent="0.25"/>
  <cols>
    <col min="1" max="1" width="33.42578125" style="1" bestFit="1" customWidth="1"/>
    <col min="2" max="2" width="14.85546875" style="1" bestFit="1" customWidth="1"/>
    <col min="3" max="3" width="9.28515625" style="1" bestFit="1" customWidth="1"/>
    <col min="4" max="4" width="9.7109375" style="1" bestFit="1" customWidth="1"/>
    <col min="5" max="5" width="15.5703125" style="1" bestFit="1" customWidth="1"/>
    <col min="6" max="6" width="13.7109375" style="1" bestFit="1" customWidth="1"/>
    <col min="7" max="7" width="13.28515625" style="1" bestFit="1" customWidth="1"/>
    <col min="8" max="8" width="9.5703125" style="1" bestFit="1" customWidth="1"/>
    <col min="9" max="11" width="11.140625" style="1" bestFit="1" customWidth="1"/>
    <col min="12" max="12" width="17.5703125" style="1" bestFit="1" customWidth="1"/>
    <col min="13" max="17" width="9.5703125" style="1" bestFit="1" customWidth="1"/>
    <col min="18" max="16384" width="9.140625" style="1"/>
  </cols>
  <sheetData>
    <row r="2" spans="1:18" ht="25.5" x14ac:dyDescent="0.35">
      <c r="A2" s="14" t="s">
        <v>83</v>
      </c>
      <c r="B2" s="15"/>
      <c r="C2" s="15"/>
      <c r="D2" s="15"/>
    </row>
    <row r="4" spans="1:18" x14ac:dyDescent="0.25">
      <c r="A4" s="2"/>
      <c r="B4" s="3" t="s">
        <v>21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</row>
    <row r="5" spans="1:18" x14ac:dyDescent="0.25">
      <c r="A5" s="5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8" x14ac:dyDescent="0.25">
      <c r="A6" s="2" t="s">
        <v>28</v>
      </c>
      <c r="B6" s="2"/>
      <c r="C6" s="2">
        <v>0</v>
      </c>
      <c r="D6" s="2">
        <v>8</v>
      </c>
      <c r="E6" s="2">
        <v>73</v>
      </c>
      <c r="F6" s="2">
        <v>110</v>
      </c>
      <c r="G6" s="2">
        <v>121</v>
      </c>
      <c r="H6" s="2">
        <v>110</v>
      </c>
      <c r="I6" s="2">
        <v>127</v>
      </c>
      <c r="J6" s="2">
        <v>92</v>
      </c>
      <c r="K6" s="2">
        <v>116</v>
      </c>
      <c r="L6" s="2">
        <v>168</v>
      </c>
      <c r="M6" s="2">
        <v>168</v>
      </c>
      <c r="N6" s="2">
        <v>218</v>
      </c>
      <c r="O6" s="2">
        <v>245</v>
      </c>
      <c r="P6" s="2">
        <v>103</v>
      </c>
      <c r="Q6" s="2">
        <v>1</v>
      </c>
    </row>
    <row r="7" spans="1:18" x14ac:dyDescent="0.25">
      <c r="A7" s="4">
        <v>5</v>
      </c>
      <c r="B7" s="4">
        <f>ROUND(B6/$A$7,0)</f>
        <v>0</v>
      </c>
      <c r="C7" s="4">
        <f t="shared" ref="C7:Q7" si="0">ROUND(C6/$A$7,0)</f>
        <v>0</v>
      </c>
      <c r="D7" s="4">
        <f t="shared" si="0"/>
        <v>2</v>
      </c>
      <c r="E7" s="4">
        <f t="shared" si="0"/>
        <v>15</v>
      </c>
      <c r="F7" s="4">
        <f t="shared" si="0"/>
        <v>22</v>
      </c>
      <c r="G7" s="4">
        <f t="shared" si="0"/>
        <v>24</v>
      </c>
      <c r="H7" s="4">
        <f t="shared" si="0"/>
        <v>22</v>
      </c>
      <c r="I7" s="4">
        <f t="shared" si="0"/>
        <v>25</v>
      </c>
      <c r="J7" s="4">
        <f t="shared" si="0"/>
        <v>18</v>
      </c>
      <c r="K7" s="4">
        <f t="shared" si="0"/>
        <v>23</v>
      </c>
      <c r="L7" s="4">
        <f t="shared" si="0"/>
        <v>34</v>
      </c>
      <c r="M7" s="4">
        <f t="shared" si="0"/>
        <v>34</v>
      </c>
      <c r="N7" s="4">
        <f t="shared" si="0"/>
        <v>44</v>
      </c>
      <c r="O7" s="4">
        <f t="shared" si="0"/>
        <v>49</v>
      </c>
      <c r="P7" s="4">
        <f t="shared" si="0"/>
        <v>21</v>
      </c>
      <c r="Q7" s="4">
        <f t="shared" si="0"/>
        <v>0</v>
      </c>
    </row>
    <row r="8" spans="1:18" x14ac:dyDescent="0.25">
      <c r="A8" s="2" t="s">
        <v>31</v>
      </c>
      <c r="B8" s="2"/>
      <c r="C8" s="2">
        <v>0</v>
      </c>
      <c r="D8" s="2">
        <v>6</v>
      </c>
      <c r="E8" s="2">
        <v>84</v>
      </c>
      <c r="F8" s="2">
        <v>106</v>
      </c>
      <c r="G8" s="2">
        <v>130</v>
      </c>
      <c r="H8" s="2">
        <v>105</v>
      </c>
      <c r="I8" s="2">
        <v>124</v>
      </c>
      <c r="J8" s="2">
        <v>119</v>
      </c>
      <c r="K8" s="2">
        <v>117</v>
      </c>
      <c r="L8" s="2">
        <v>164</v>
      </c>
      <c r="M8" s="2">
        <v>160</v>
      </c>
      <c r="N8" s="2">
        <v>194</v>
      </c>
      <c r="O8" s="2">
        <v>217</v>
      </c>
      <c r="P8" s="2">
        <v>135</v>
      </c>
      <c r="Q8" s="2">
        <v>8</v>
      </c>
    </row>
    <row r="9" spans="1:18" x14ac:dyDescent="0.25">
      <c r="A9" s="4">
        <v>5</v>
      </c>
      <c r="B9" s="4">
        <f>ROUND(B8/$A$7,0)</f>
        <v>0</v>
      </c>
      <c r="C9" s="4">
        <f t="shared" ref="C9:Q9" si="1">ROUND(C8/$A$7,0)</f>
        <v>0</v>
      </c>
      <c r="D9" s="4">
        <f t="shared" si="1"/>
        <v>1</v>
      </c>
      <c r="E9" s="4">
        <f t="shared" si="1"/>
        <v>17</v>
      </c>
      <c r="F9" s="4">
        <f t="shared" si="1"/>
        <v>21</v>
      </c>
      <c r="G9" s="4">
        <f t="shared" si="1"/>
        <v>26</v>
      </c>
      <c r="H9" s="4">
        <f t="shared" si="1"/>
        <v>21</v>
      </c>
      <c r="I9" s="4">
        <f t="shared" si="1"/>
        <v>25</v>
      </c>
      <c r="J9" s="4">
        <f t="shared" si="1"/>
        <v>24</v>
      </c>
      <c r="K9" s="4">
        <f t="shared" si="1"/>
        <v>23</v>
      </c>
      <c r="L9" s="4">
        <f t="shared" si="1"/>
        <v>33</v>
      </c>
      <c r="M9" s="4">
        <f t="shared" si="1"/>
        <v>32</v>
      </c>
      <c r="N9" s="4">
        <f t="shared" si="1"/>
        <v>39</v>
      </c>
      <c r="O9" s="4">
        <f t="shared" si="1"/>
        <v>43</v>
      </c>
      <c r="P9" s="4">
        <f t="shared" si="1"/>
        <v>27</v>
      </c>
      <c r="Q9" s="4">
        <f t="shared" si="1"/>
        <v>2</v>
      </c>
    </row>
    <row r="10" spans="1:18" x14ac:dyDescent="0.25">
      <c r="A10" s="2" t="s">
        <v>33</v>
      </c>
      <c r="B10" s="2"/>
      <c r="C10" s="2">
        <v>0</v>
      </c>
      <c r="D10" s="2">
        <v>10</v>
      </c>
      <c r="E10" s="2">
        <v>90</v>
      </c>
      <c r="F10" s="2">
        <v>131</v>
      </c>
      <c r="G10" s="2">
        <v>142</v>
      </c>
      <c r="H10" s="2">
        <v>144</v>
      </c>
      <c r="I10" s="2">
        <v>131</v>
      </c>
      <c r="J10" s="2">
        <v>141</v>
      </c>
      <c r="K10" s="2">
        <v>148</v>
      </c>
      <c r="L10" s="2">
        <v>213</v>
      </c>
      <c r="M10" s="2">
        <v>234</v>
      </c>
      <c r="N10" s="2">
        <v>246</v>
      </c>
      <c r="O10" s="2">
        <v>229</v>
      </c>
      <c r="P10" s="2">
        <v>143</v>
      </c>
      <c r="Q10" s="2">
        <v>4</v>
      </c>
    </row>
    <row r="11" spans="1:18" x14ac:dyDescent="0.25">
      <c r="A11" s="4">
        <v>5</v>
      </c>
      <c r="B11" s="4">
        <f>ROUND(B10/$A$7,0)</f>
        <v>0</v>
      </c>
      <c r="C11" s="4">
        <f t="shared" ref="C11:Q11" si="2">ROUND(C10/$A$7,0)</f>
        <v>0</v>
      </c>
      <c r="D11" s="4">
        <f t="shared" si="2"/>
        <v>2</v>
      </c>
      <c r="E11" s="4">
        <f t="shared" si="2"/>
        <v>18</v>
      </c>
      <c r="F11" s="4">
        <f t="shared" si="2"/>
        <v>26</v>
      </c>
      <c r="G11" s="4">
        <f t="shared" si="2"/>
        <v>28</v>
      </c>
      <c r="H11" s="4">
        <f t="shared" si="2"/>
        <v>29</v>
      </c>
      <c r="I11" s="4">
        <f t="shared" si="2"/>
        <v>26</v>
      </c>
      <c r="J11" s="4">
        <f t="shared" si="2"/>
        <v>28</v>
      </c>
      <c r="K11" s="4">
        <f t="shared" si="2"/>
        <v>30</v>
      </c>
      <c r="L11" s="4">
        <f t="shared" si="2"/>
        <v>43</v>
      </c>
      <c r="M11" s="4">
        <f t="shared" si="2"/>
        <v>47</v>
      </c>
      <c r="N11" s="4">
        <f t="shared" si="2"/>
        <v>49</v>
      </c>
      <c r="O11" s="4">
        <f t="shared" si="2"/>
        <v>46</v>
      </c>
      <c r="P11" s="4">
        <f t="shared" si="2"/>
        <v>29</v>
      </c>
      <c r="Q11" s="4">
        <f t="shared" si="2"/>
        <v>1</v>
      </c>
    </row>
    <row r="12" spans="1:18" x14ac:dyDescent="0.25">
      <c r="A12" s="2" t="s">
        <v>35</v>
      </c>
      <c r="B12" s="2"/>
      <c r="C12" s="2">
        <v>0</v>
      </c>
      <c r="D12" s="2">
        <v>7</v>
      </c>
      <c r="E12" s="2">
        <v>77</v>
      </c>
      <c r="F12" s="2">
        <v>119</v>
      </c>
      <c r="G12" s="2">
        <v>131</v>
      </c>
      <c r="H12" s="2">
        <v>142</v>
      </c>
      <c r="I12" s="2">
        <v>141</v>
      </c>
      <c r="J12" s="2">
        <v>115</v>
      </c>
      <c r="K12" s="2">
        <v>149</v>
      </c>
      <c r="L12" s="2">
        <v>177</v>
      </c>
      <c r="M12" s="2">
        <v>194</v>
      </c>
      <c r="N12" s="2">
        <v>230</v>
      </c>
      <c r="O12" s="2">
        <v>265</v>
      </c>
      <c r="P12" s="2">
        <v>155</v>
      </c>
      <c r="Q12" s="2">
        <v>4</v>
      </c>
    </row>
    <row r="13" spans="1:18" x14ac:dyDescent="0.25">
      <c r="A13" s="4">
        <v>5</v>
      </c>
      <c r="B13" s="4">
        <f>ROUND(B12/$A$7,0)</f>
        <v>0</v>
      </c>
      <c r="C13" s="4">
        <f t="shared" ref="C13:Q13" si="3">ROUND(C12/$A$7,0)</f>
        <v>0</v>
      </c>
      <c r="D13" s="4">
        <f t="shared" si="3"/>
        <v>1</v>
      </c>
      <c r="E13" s="4">
        <f t="shared" si="3"/>
        <v>15</v>
      </c>
      <c r="F13" s="4">
        <f t="shared" si="3"/>
        <v>24</v>
      </c>
      <c r="G13" s="4">
        <f t="shared" si="3"/>
        <v>26</v>
      </c>
      <c r="H13" s="4">
        <f t="shared" si="3"/>
        <v>28</v>
      </c>
      <c r="I13" s="4">
        <f t="shared" si="3"/>
        <v>28</v>
      </c>
      <c r="J13" s="4">
        <f t="shared" si="3"/>
        <v>23</v>
      </c>
      <c r="K13" s="4">
        <f t="shared" si="3"/>
        <v>30</v>
      </c>
      <c r="L13" s="4">
        <f t="shared" si="3"/>
        <v>35</v>
      </c>
      <c r="M13" s="4">
        <f t="shared" si="3"/>
        <v>39</v>
      </c>
      <c r="N13" s="4">
        <f t="shared" si="3"/>
        <v>46</v>
      </c>
      <c r="O13" s="4">
        <f t="shared" si="3"/>
        <v>53</v>
      </c>
      <c r="P13" s="4">
        <f t="shared" si="3"/>
        <v>31</v>
      </c>
      <c r="Q13" s="4">
        <f t="shared" si="3"/>
        <v>1</v>
      </c>
    </row>
    <row r="14" spans="1:18" x14ac:dyDescent="0.25">
      <c r="A14" s="2" t="s">
        <v>37</v>
      </c>
      <c r="B14" s="2"/>
      <c r="C14" s="2">
        <v>0</v>
      </c>
      <c r="D14" s="2">
        <v>19</v>
      </c>
      <c r="E14" s="2">
        <v>167</v>
      </c>
      <c r="F14" s="2">
        <v>161</v>
      </c>
      <c r="G14" s="2">
        <v>205</v>
      </c>
      <c r="H14" s="2">
        <v>195</v>
      </c>
      <c r="I14" s="2">
        <v>145</v>
      </c>
      <c r="J14" s="2">
        <v>224</v>
      </c>
      <c r="K14" s="2">
        <v>166</v>
      </c>
      <c r="L14" s="2">
        <v>264</v>
      </c>
      <c r="M14" s="2">
        <v>291</v>
      </c>
      <c r="N14" s="2">
        <v>337</v>
      </c>
      <c r="O14" s="2">
        <v>346</v>
      </c>
      <c r="P14" s="2">
        <v>142</v>
      </c>
      <c r="Q14" s="2">
        <v>0</v>
      </c>
    </row>
    <row r="15" spans="1:18" x14ac:dyDescent="0.25">
      <c r="A15" s="4">
        <v>5</v>
      </c>
      <c r="B15" s="4">
        <f>ROUND(B14/$A$7,0)</f>
        <v>0</v>
      </c>
      <c r="C15" s="4">
        <f t="shared" ref="C15:Q15" si="4">ROUND(C14/$A$7,0)</f>
        <v>0</v>
      </c>
      <c r="D15" s="4">
        <f t="shared" si="4"/>
        <v>4</v>
      </c>
      <c r="E15" s="4">
        <f t="shared" si="4"/>
        <v>33</v>
      </c>
      <c r="F15" s="4">
        <f t="shared" si="4"/>
        <v>32</v>
      </c>
      <c r="G15" s="4">
        <f t="shared" si="4"/>
        <v>41</v>
      </c>
      <c r="H15" s="4">
        <f t="shared" si="4"/>
        <v>39</v>
      </c>
      <c r="I15" s="4">
        <f t="shared" si="4"/>
        <v>29</v>
      </c>
      <c r="J15" s="4">
        <f t="shared" si="4"/>
        <v>45</v>
      </c>
      <c r="K15" s="4">
        <f t="shared" si="4"/>
        <v>33</v>
      </c>
      <c r="L15" s="4">
        <f t="shared" si="4"/>
        <v>53</v>
      </c>
      <c r="M15" s="4">
        <f t="shared" si="4"/>
        <v>58</v>
      </c>
      <c r="N15" s="4">
        <f t="shared" si="4"/>
        <v>67</v>
      </c>
      <c r="O15" s="4">
        <f t="shared" si="4"/>
        <v>69</v>
      </c>
      <c r="P15" s="4">
        <f t="shared" si="4"/>
        <v>28</v>
      </c>
      <c r="Q15" s="4">
        <f t="shared" si="4"/>
        <v>0</v>
      </c>
    </row>
    <row r="16" spans="1:18" x14ac:dyDescent="0.25">
      <c r="A16" s="7" t="s">
        <v>40</v>
      </c>
      <c r="B16" s="7">
        <f t="shared" ref="B16:Q16" si="5">ROUND((B7+B9+B11+B13+B15)/5,0)</f>
        <v>0</v>
      </c>
      <c r="C16" s="7">
        <f t="shared" si="5"/>
        <v>0</v>
      </c>
      <c r="D16" s="7">
        <f t="shared" si="5"/>
        <v>2</v>
      </c>
      <c r="E16" s="7">
        <f t="shared" si="5"/>
        <v>20</v>
      </c>
      <c r="F16" s="7">
        <f t="shared" si="5"/>
        <v>25</v>
      </c>
      <c r="G16" s="7">
        <f t="shared" si="5"/>
        <v>29</v>
      </c>
      <c r="H16" s="7">
        <f t="shared" si="5"/>
        <v>28</v>
      </c>
      <c r="I16" s="7">
        <f t="shared" si="5"/>
        <v>27</v>
      </c>
      <c r="J16" s="7">
        <f t="shared" si="5"/>
        <v>28</v>
      </c>
      <c r="K16" s="7">
        <f t="shared" si="5"/>
        <v>28</v>
      </c>
      <c r="L16" s="7">
        <f t="shared" si="5"/>
        <v>40</v>
      </c>
      <c r="M16" s="7">
        <f t="shared" si="5"/>
        <v>42</v>
      </c>
      <c r="N16" s="7">
        <f t="shared" si="5"/>
        <v>49</v>
      </c>
      <c r="O16" s="7">
        <f t="shared" si="5"/>
        <v>52</v>
      </c>
      <c r="P16" s="7">
        <f t="shared" si="5"/>
        <v>27</v>
      </c>
      <c r="Q16" s="7">
        <f t="shared" si="5"/>
        <v>1</v>
      </c>
      <c r="R16" s="1">
        <f t="shared" ref="R16:R17" si="6">SUM(B16:Q16)</f>
        <v>398</v>
      </c>
    </row>
    <row r="17" spans="1:18" x14ac:dyDescent="0.25">
      <c r="A17" s="12" t="s">
        <v>60</v>
      </c>
      <c r="B17" s="12"/>
      <c r="C17" s="12">
        <v>2</v>
      </c>
      <c r="D17" s="12">
        <v>2</v>
      </c>
      <c r="E17" s="12">
        <v>2</v>
      </c>
      <c r="F17" s="12">
        <v>2</v>
      </c>
      <c r="G17" s="12">
        <v>3</v>
      </c>
      <c r="H17" s="12">
        <v>3</v>
      </c>
      <c r="I17" s="12">
        <v>3</v>
      </c>
      <c r="J17" s="12">
        <v>3</v>
      </c>
      <c r="K17" s="12">
        <v>3</v>
      </c>
      <c r="L17" s="12">
        <v>4</v>
      </c>
      <c r="M17" s="12">
        <v>4</v>
      </c>
      <c r="N17" s="12">
        <v>5</v>
      </c>
      <c r="O17" s="12">
        <v>5</v>
      </c>
      <c r="P17" s="12">
        <v>3</v>
      </c>
      <c r="Q17" s="2"/>
      <c r="R17" s="1">
        <f t="shared" si="6"/>
        <v>44</v>
      </c>
    </row>
    <row r="18" spans="1:18" x14ac:dyDescent="0.25">
      <c r="A18" s="12" t="s">
        <v>61</v>
      </c>
      <c r="B18" s="12"/>
      <c r="C18" s="12">
        <v>2</v>
      </c>
      <c r="D18" s="12">
        <v>2</v>
      </c>
      <c r="E18" s="12">
        <v>2</v>
      </c>
      <c r="F18" s="12">
        <v>2</v>
      </c>
      <c r="G18" s="12">
        <v>3</v>
      </c>
      <c r="H18" s="12">
        <v>3</v>
      </c>
      <c r="I18" s="12">
        <v>3</v>
      </c>
      <c r="J18" s="12">
        <v>3</v>
      </c>
      <c r="K18" s="12">
        <v>3</v>
      </c>
      <c r="L18" s="12">
        <v>4</v>
      </c>
      <c r="M18" s="12">
        <v>4</v>
      </c>
      <c r="N18" s="12">
        <v>5</v>
      </c>
      <c r="O18" s="12">
        <v>5</v>
      </c>
      <c r="P18" s="12">
        <v>3</v>
      </c>
      <c r="Q18" s="2"/>
      <c r="R18" s="1">
        <f>SUM(B18:Q18)</f>
        <v>44</v>
      </c>
    </row>
    <row r="20" spans="1:18" x14ac:dyDescent="0.25">
      <c r="A20" s="13" t="s">
        <v>75</v>
      </c>
    </row>
    <row r="21" spans="1:18" x14ac:dyDescent="0.25">
      <c r="A21" s="2" t="s">
        <v>62</v>
      </c>
      <c r="B21" s="2"/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/>
      <c r="L21" s="2"/>
      <c r="M21" s="2"/>
      <c r="N21" s="2"/>
      <c r="O21" s="2"/>
      <c r="P21" s="2"/>
      <c r="Q21" s="2"/>
    </row>
    <row r="22" spans="1:18" x14ac:dyDescent="0.25">
      <c r="A22" s="2" t="s">
        <v>62</v>
      </c>
      <c r="B22" s="2"/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/>
      <c r="L22" s="2"/>
      <c r="M22" s="2"/>
      <c r="N22" s="2"/>
      <c r="O22" s="2"/>
      <c r="P22" s="2"/>
      <c r="Q22" s="2"/>
    </row>
    <row r="23" spans="1:18" x14ac:dyDescent="0.25">
      <c r="A23" s="2" t="s">
        <v>181</v>
      </c>
      <c r="B23" s="2"/>
      <c r="C23" s="2"/>
      <c r="D23" s="2">
        <v>1</v>
      </c>
      <c r="E23" s="2">
        <v>1</v>
      </c>
      <c r="F23" s="2">
        <v>1</v>
      </c>
      <c r="G23" s="2">
        <v>1</v>
      </c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8" x14ac:dyDescent="0.25">
      <c r="A24" s="2" t="s">
        <v>77</v>
      </c>
      <c r="B24" s="2"/>
      <c r="C24" s="2"/>
      <c r="D24" s="2"/>
      <c r="E24" s="2"/>
      <c r="F24" s="2"/>
      <c r="G24" s="2"/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/>
      <c r="Q24" s="2"/>
    </row>
    <row r="25" spans="1:18" x14ac:dyDescent="0.25">
      <c r="A25" s="2" t="s">
        <v>63</v>
      </c>
      <c r="B25" s="2"/>
      <c r="C25" s="2"/>
      <c r="D25" s="2"/>
      <c r="E25" s="2"/>
      <c r="F25" s="2"/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/>
    </row>
    <row r="26" spans="1:18" x14ac:dyDescent="0.25">
      <c r="A26" s="2" t="s">
        <v>63</v>
      </c>
      <c r="B26" s="2"/>
      <c r="C26" s="2"/>
      <c r="D26" s="2"/>
      <c r="E26" s="2"/>
      <c r="F26" s="2"/>
      <c r="G26" s="2"/>
      <c r="H26" s="2"/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/>
    </row>
    <row r="27" spans="1:18" x14ac:dyDescent="0.25">
      <c r="A27" s="2" t="s">
        <v>65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/>
    </row>
    <row r="28" spans="1:18" x14ac:dyDescent="0.25">
      <c r="A28" s="2" t="s">
        <v>65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/>
    </row>
    <row r="29" spans="1:18" x14ac:dyDescent="0.25">
      <c r="A29" s="2" t="s">
        <v>66</v>
      </c>
      <c r="B29" s="2">
        <f>SUM(B21:B28)</f>
        <v>0</v>
      </c>
      <c r="C29" s="2">
        <f t="shared" ref="C29:Q29" si="7">SUM(C21:C28)</f>
        <v>2</v>
      </c>
      <c r="D29" s="2">
        <f t="shared" si="7"/>
        <v>3</v>
      </c>
      <c r="E29" s="2">
        <f t="shared" si="7"/>
        <v>3</v>
      </c>
      <c r="F29" s="2">
        <f t="shared" si="7"/>
        <v>3</v>
      </c>
      <c r="G29" s="2">
        <f t="shared" si="7"/>
        <v>3</v>
      </c>
      <c r="H29" s="2">
        <f t="shared" si="7"/>
        <v>3</v>
      </c>
      <c r="I29" s="2">
        <f t="shared" si="7"/>
        <v>5</v>
      </c>
      <c r="J29" s="2">
        <f t="shared" si="7"/>
        <v>5</v>
      </c>
      <c r="K29" s="2">
        <f t="shared" si="7"/>
        <v>3</v>
      </c>
      <c r="L29" s="2">
        <f t="shared" si="7"/>
        <v>5</v>
      </c>
      <c r="M29" s="2">
        <f t="shared" si="7"/>
        <v>5</v>
      </c>
      <c r="N29" s="2">
        <f t="shared" si="7"/>
        <v>5</v>
      </c>
      <c r="O29" s="2">
        <f t="shared" si="7"/>
        <v>5</v>
      </c>
      <c r="P29" s="2">
        <f t="shared" si="7"/>
        <v>4</v>
      </c>
      <c r="Q29" s="2">
        <f t="shared" si="7"/>
        <v>0</v>
      </c>
      <c r="R29" s="1">
        <f>SUM(B29:Q29)</f>
        <v>54</v>
      </c>
    </row>
    <row r="31" spans="1:18" x14ac:dyDescent="0.25">
      <c r="A31" s="5" t="s">
        <v>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8" x14ac:dyDescent="0.25">
      <c r="A32" s="2" t="s">
        <v>30</v>
      </c>
      <c r="B32" s="2"/>
      <c r="C32" s="2">
        <v>0</v>
      </c>
      <c r="D32" s="2">
        <v>5</v>
      </c>
      <c r="E32" s="2">
        <v>100</v>
      </c>
      <c r="F32" s="2">
        <v>125</v>
      </c>
      <c r="G32" s="2">
        <v>129</v>
      </c>
      <c r="H32" s="2">
        <v>110</v>
      </c>
      <c r="I32" s="2">
        <v>99</v>
      </c>
      <c r="J32" s="2">
        <v>101</v>
      </c>
      <c r="K32" s="2">
        <v>120</v>
      </c>
      <c r="L32" s="2">
        <v>142</v>
      </c>
      <c r="M32" s="2">
        <v>177</v>
      </c>
      <c r="N32" s="2">
        <v>230</v>
      </c>
      <c r="O32" s="2">
        <v>217</v>
      </c>
      <c r="P32" s="2">
        <v>117</v>
      </c>
      <c r="Q32" s="2">
        <v>4</v>
      </c>
    </row>
    <row r="33" spans="1:18" x14ac:dyDescent="0.25">
      <c r="A33" s="4">
        <v>2</v>
      </c>
      <c r="B33" s="4">
        <f t="shared" ref="B33:Q33" si="8">ROUND((B32)/$A$33,0)</f>
        <v>0</v>
      </c>
      <c r="C33" s="4">
        <f t="shared" si="8"/>
        <v>0</v>
      </c>
      <c r="D33" s="4">
        <f t="shared" si="8"/>
        <v>3</v>
      </c>
      <c r="E33" s="4">
        <f t="shared" si="8"/>
        <v>50</v>
      </c>
      <c r="F33" s="4">
        <f t="shared" si="8"/>
        <v>63</v>
      </c>
      <c r="G33" s="4">
        <f t="shared" si="8"/>
        <v>65</v>
      </c>
      <c r="H33" s="4">
        <f t="shared" si="8"/>
        <v>55</v>
      </c>
      <c r="I33" s="4">
        <f t="shared" si="8"/>
        <v>50</v>
      </c>
      <c r="J33" s="4">
        <f t="shared" si="8"/>
        <v>51</v>
      </c>
      <c r="K33" s="4">
        <f t="shared" si="8"/>
        <v>60</v>
      </c>
      <c r="L33" s="4">
        <f t="shared" si="8"/>
        <v>71</v>
      </c>
      <c r="M33" s="4">
        <f t="shared" si="8"/>
        <v>89</v>
      </c>
      <c r="N33" s="4">
        <f t="shared" si="8"/>
        <v>115</v>
      </c>
      <c r="O33" s="4">
        <f t="shared" si="8"/>
        <v>109</v>
      </c>
      <c r="P33" s="4">
        <f t="shared" si="8"/>
        <v>59</v>
      </c>
      <c r="Q33" s="4">
        <f t="shared" si="8"/>
        <v>2</v>
      </c>
    </row>
    <row r="34" spans="1:18" x14ac:dyDescent="0.25">
      <c r="A34" s="2" t="s">
        <v>32</v>
      </c>
      <c r="B34" s="2"/>
      <c r="C34" s="2">
        <v>0</v>
      </c>
      <c r="D34" s="2">
        <v>29</v>
      </c>
      <c r="E34" s="2">
        <v>130</v>
      </c>
      <c r="F34" s="2">
        <v>153</v>
      </c>
      <c r="G34" s="2">
        <v>135</v>
      </c>
      <c r="H34" s="2">
        <v>150</v>
      </c>
      <c r="I34" s="2">
        <v>158</v>
      </c>
      <c r="J34" s="2">
        <v>138</v>
      </c>
      <c r="K34" s="2">
        <v>126</v>
      </c>
      <c r="L34" s="2">
        <v>188</v>
      </c>
      <c r="M34" s="2">
        <v>216</v>
      </c>
      <c r="N34" s="2">
        <v>264</v>
      </c>
      <c r="O34" s="2">
        <v>248</v>
      </c>
      <c r="P34" s="2">
        <v>134</v>
      </c>
      <c r="Q34" s="2">
        <v>4</v>
      </c>
    </row>
    <row r="35" spans="1:18" x14ac:dyDescent="0.25">
      <c r="A35" s="4">
        <v>2</v>
      </c>
      <c r="B35" s="4">
        <f t="shared" ref="B35:Q35" si="9">ROUND((B34)/$A$33,0)</f>
        <v>0</v>
      </c>
      <c r="C35" s="4">
        <f t="shared" si="9"/>
        <v>0</v>
      </c>
      <c r="D35" s="4">
        <f t="shared" si="9"/>
        <v>15</v>
      </c>
      <c r="E35" s="4">
        <f t="shared" si="9"/>
        <v>65</v>
      </c>
      <c r="F35" s="4">
        <f t="shared" si="9"/>
        <v>77</v>
      </c>
      <c r="G35" s="4">
        <f t="shared" si="9"/>
        <v>68</v>
      </c>
      <c r="H35" s="4">
        <f t="shared" si="9"/>
        <v>75</v>
      </c>
      <c r="I35" s="4">
        <f t="shared" si="9"/>
        <v>79</v>
      </c>
      <c r="J35" s="4">
        <f t="shared" si="9"/>
        <v>69</v>
      </c>
      <c r="K35" s="4">
        <f t="shared" si="9"/>
        <v>63</v>
      </c>
      <c r="L35" s="4">
        <f t="shared" si="9"/>
        <v>94</v>
      </c>
      <c r="M35" s="4">
        <f t="shared" si="9"/>
        <v>108</v>
      </c>
      <c r="N35" s="4">
        <f t="shared" si="9"/>
        <v>132</v>
      </c>
      <c r="O35" s="4">
        <f t="shared" si="9"/>
        <v>124</v>
      </c>
      <c r="P35" s="4">
        <f t="shared" si="9"/>
        <v>67</v>
      </c>
      <c r="Q35" s="4">
        <f t="shared" si="9"/>
        <v>2</v>
      </c>
    </row>
    <row r="36" spans="1:18" x14ac:dyDescent="0.25">
      <c r="A36" s="2" t="s">
        <v>34</v>
      </c>
      <c r="B36" s="2"/>
      <c r="C36" s="2">
        <v>0</v>
      </c>
      <c r="D36" s="2">
        <v>8</v>
      </c>
      <c r="E36" s="2">
        <v>91</v>
      </c>
      <c r="F36" s="2">
        <v>105</v>
      </c>
      <c r="G36" s="2">
        <v>123</v>
      </c>
      <c r="H36" s="2">
        <v>111</v>
      </c>
      <c r="I36" s="2">
        <v>80</v>
      </c>
      <c r="J36" s="2">
        <v>112</v>
      </c>
      <c r="K36" s="2">
        <v>121</v>
      </c>
      <c r="L36" s="2">
        <v>171</v>
      </c>
      <c r="M36" s="2">
        <v>165</v>
      </c>
      <c r="N36" s="2">
        <v>188</v>
      </c>
      <c r="O36" s="2">
        <v>184</v>
      </c>
      <c r="P36" s="2">
        <v>116</v>
      </c>
      <c r="Q36" s="2">
        <v>0</v>
      </c>
    </row>
    <row r="37" spans="1:18" x14ac:dyDescent="0.25">
      <c r="A37" s="4">
        <v>2</v>
      </c>
      <c r="B37" s="4">
        <f t="shared" ref="B37:Q37" si="10">ROUND((B36)/$A$33,0)</f>
        <v>0</v>
      </c>
      <c r="C37" s="4">
        <f t="shared" si="10"/>
        <v>0</v>
      </c>
      <c r="D37" s="4">
        <f t="shared" si="10"/>
        <v>4</v>
      </c>
      <c r="E37" s="4">
        <f t="shared" si="10"/>
        <v>46</v>
      </c>
      <c r="F37" s="4">
        <f t="shared" si="10"/>
        <v>53</v>
      </c>
      <c r="G37" s="4">
        <f t="shared" si="10"/>
        <v>62</v>
      </c>
      <c r="H37" s="4">
        <f t="shared" si="10"/>
        <v>56</v>
      </c>
      <c r="I37" s="4">
        <f t="shared" si="10"/>
        <v>40</v>
      </c>
      <c r="J37" s="4">
        <f t="shared" si="10"/>
        <v>56</v>
      </c>
      <c r="K37" s="4">
        <f t="shared" si="10"/>
        <v>61</v>
      </c>
      <c r="L37" s="4">
        <f t="shared" si="10"/>
        <v>86</v>
      </c>
      <c r="M37" s="4">
        <f t="shared" si="10"/>
        <v>83</v>
      </c>
      <c r="N37" s="4">
        <f t="shared" si="10"/>
        <v>94</v>
      </c>
      <c r="O37" s="4">
        <f t="shared" si="10"/>
        <v>92</v>
      </c>
      <c r="P37" s="4">
        <f t="shared" si="10"/>
        <v>58</v>
      </c>
      <c r="Q37" s="4">
        <f t="shared" si="10"/>
        <v>0</v>
      </c>
    </row>
    <row r="38" spans="1:18" x14ac:dyDescent="0.25">
      <c r="A38" s="2" t="s">
        <v>36</v>
      </c>
      <c r="B38" s="2">
        <v>0</v>
      </c>
      <c r="C38" s="2">
        <v>0</v>
      </c>
      <c r="D38" s="2">
        <v>27</v>
      </c>
      <c r="E38" s="2">
        <v>135</v>
      </c>
      <c r="F38" s="2">
        <v>169</v>
      </c>
      <c r="G38" s="2">
        <v>215</v>
      </c>
      <c r="H38" s="2">
        <v>209</v>
      </c>
      <c r="I38" s="2">
        <v>143</v>
      </c>
      <c r="J38" s="2">
        <v>164</v>
      </c>
      <c r="K38" s="2">
        <v>160</v>
      </c>
      <c r="L38" s="2">
        <v>226</v>
      </c>
      <c r="M38" s="2">
        <v>239</v>
      </c>
      <c r="N38" s="2">
        <v>282</v>
      </c>
      <c r="O38" s="2">
        <v>268</v>
      </c>
      <c r="P38" s="2">
        <v>173</v>
      </c>
      <c r="Q38" s="2">
        <v>11</v>
      </c>
    </row>
    <row r="39" spans="1:18" x14ac:dyDescent="0.25">
      <c r="A39" s="4">
        <v>2</v>
      </c>
      <c r="B39" s="4">
        <f t="shared" ref="B39:Q39" si="11">ROUND((B38)/$A$33,0)</f>
        <v>0</v>
      </c>
      <c r="C39" s="4">
        <f t="shared" si="11"/>
        <v>0</v>
      </c>
      <c r="D39" s="4">
        <f t="shared" si="11"/>
        <v>14</v>
      </c>
      <c r="E39" s="4">
        <f t="shared" si="11"/>
        <v>68</v>
      </c>
      <c r="F39" s="4">
        <f t="shared" si="11"/>
        <v>85</v>
      </c>
      <c r="G39" s="4">
        <f t="shared" si="11"/>
        <v>108</v>
      </c>
      <c r="H39" s="4">
        <f t="shared" si="11"/>
        <v>105</v>
      </c>
      <c r="I39" s="4">
        <f t="shared" si="11"/>
        <v>72</v>
      </c>
      <c r="J39" s="4">
        <f t="shared" si="11"/>
        <v>82</v>
      </c>
      <c r="K39" s="4">
        <f t="shared" si="11"/>
        <v>80</v>
      </c>
      <c r="L39" s="4">
        <f t="shared" si="11"/>
        <v>113</v>
      </c>
      <c r="M39" s="4">
        <f t="shared" si="11"/>
        <v>120</v>
      </c>
      <c r="N39" s="4">
        <f t="shared" si="11"/>
        <v>141</v>
      </c>
      <c r="O39" s="4">
        <f t="shared" si="11"/>
        <v>134</v>
      </c>
      <c r="P39" s="4">
        <f t="shared" si="11"/>
        <v>87</v>
      </c>
      <c r="Q39" s="4">
        <f t="shared" si="11"/>
        <v>6</v>
      </c>
    </row>
    <row r="40" spans="1:18" x14ac:dyDescent="0.25">
      <c r="A40" s="2" t="s">
        <v>41</v>
      </c>
      <c r="B40" s="2">
        <v>0</v>
      </c>
      <c r="C40" s="2">
        <v>0</v>
      </c>
      <c r="D40" s="2">
        <v>5</v>
      </c>
      <c r="E40" s="2">
        <v>98</v>
      </c>
      <c r="F40" s="2">
        <v>108</v>
      </c>
      <c r="G40" s="2">
        <v>121</v>
      </c>
      <c r="H40" s="2">
        <v>116</v>
      </c>
      <c r="I40" s="2">
        <v>99</v>
      </c>
      <c r="J40" s="2">
        <v>110</v>
      </c>
      <c r="K40" s="2">
        <v>141</v>
      </c>
      <c r="L40" s="2">
        <v>119</v>
      </c>
      <c r="M40" s="2">
        <v>190</v>
      </c>
      <c r="N40" s="2">
        <v>210</v>
      </c>
      <c r="O40" s="2">
        <v>187</v>
      </c>
      <c r="P40" s="2">
        <v>105</v>
      </c>
      <c r="Q40" s="2">
        <v>0</v>
      </c>
    </row>
    <row r="41" spans="1:18" x14ac:dyDescent="0.25">
      <c r="A41" s="4">
        <v>2</v>
      </c>
      <c r="B41" s="4">
        <f t="shared" ref="B41:Q41" si="12">ROUND((B40)/$A$33,0)</f>
        <v>0</v>
      </c>
      <c r="C41" s="4">
        <f t="shared" si="12"/>
        <v>0</v>
      </c>
      <c r="D41" s="4">
        <f t="shared" si="12"/>
        <v>3</v>
      </c>
      <c r="E41" s="4">
        <f t="shared" si="12"/>
        <v>49</v>
      </c>
      <c r="F41" s="4">
        <f t="shared" si="12"/>
        <v>54</v>
      </c>
      <c r="G41" s="4">
        <f t="shared" si="12"/>
        <v>61</v>
      </c>
      <c r="H41" s="4">
        <f t="shared" si="12"/>
        <v>58</v>
      </c>
      <c r="I41" s="4">
        <f t="shared" si="12"/>
        <v>50</v>
      </c>
      <c r="J41" s="4">
        <f t="shared" si="12"/>
        <v>55</v>
      </c>
      <c r="K41" s="4">
        <f t="shared" si="12"/>
        <v>71</v>
      </c>
      <c r="L41" s="4">
        <f t="shared" si="12"/>
        <v>60</v>
      </c>
      <c r="M41" s="4">
        <f t="shared" si="12"/>
        <v>95</v>
      </c>
      <c r="N41" s="4">
        <f t="shared" si="12"/>
        <v>105</v>
      </c>
      <c r="O41" s="4">
        <f t="shared" si="12"/>
        <v>94</v>
      </c>
      <c r="P41" s="4">
        <f t="shared" si="12"/>
        <v>53</v>
      </c>
      <c r="Q41" s="4">
        <f t="shared" si="12"/>
        <v>0</v>
      </c>
    </row>
    <row r="42" spans="1:18" x14ac:dyDescent="0.25">
      <c r="A42" s="7" t="s">
        <v>40</v>
      </c>
      <c r="B42" s="7">
        <f>ROUND((B41+B39+B37+B35+B33)/5,0)</f>
        <v>0</v>
      </c>
      <c r="C42" s="7">
        <f t="shared" ref="C42:Q42" si="13">ROUND((C41+C39+C37+C35+C33)/5,0)</f>
        <v>0</v>
      </c>
      <c r="D42" s="7">
        <f t="shared" si="13"/>
        <v>8</v>
      </c>
      <c r="E42" s="7">
        <f t="shared" si="13"/>
        <v>56</v>
      </c>
      <c r="F42" s="7">
        <f t="shared" si="13"/>
        <v>66</v>
      </c>
      <c r="G42" s="7">
        <f t="shared" si="13"/>
        <v>73</v>
      </c>
      <c r="H42" s="7">
        <f t="shared" si="13"/>
        <v>70</v>
      </c>
      <c r="I42" s="7">
        <f t="shared" si="13"/>
        <v>58</v>
      </c>
      <c r="J42" s="7">
        <f t="shared" si="13"/>
        <v>63</v>
      </c>
      <c r="K42" s="7">
        <f t="shared" si="13"/>
        <v>67</v>
      </c>
      <c r="L42" s="7">
        <f t="shared" si="13"/>
        <v>85</v>
      </c>
      <c r="M42" s="7">
        <f t="shared" si="13"/>
        <v>99</v>
      </c>
      <c r="N42" s="7">
        <f t="shared" si="13"/>
        <v>117</v>
      </c>
      <c r="O42" s="7">
        <f t="shared" si="13"/>
        <v>111</v>
      </c>
      <c r="P42" s="7">
        <f t="shared" si="13"/>
        <v>65</v>
      </c>
      <c r="Q42" s="7">
        <f t="shared" si="13"/>
        <v>2</v>
      </c>
      <c r="R42" s="1">
        <f t="shared" ref="R42:R43" si="14">SUM(B42:Q42)</f>
        <v>940</v>
      </c>
    </row>
    <row r="43" spans="1:18" x14ac:dyDescent="0.25">
      <c r="A43" s="12" t="s">
        <v>60</v>
      </c>
      <c r="B43" s="12"/>
      <c r="C43" s="12">
        <v>2</v>
      </c>
      <c r="D43" s="12">
        <v>2</v>
      </c>
      <c r="E43" s="12">
        <v>5</v>
      </c>
      <c r="F43" s="12">
        <v>6</v>
      </c>
      <c r="G43" s="12">
        <v>6</v>
      </c>
      <c r="H43" s="12">
        <v>6</v>
      </c>
      <c r="I43" s="12">
        <v>5</v>
      </c>
      <c r="J43" s="12">
        <v>6</v>
      </c>
      <c r="K43" s="12">
        <v>6</v>
      </c>
      <c r="L43" s="12">
        <v>7</v>
      </c>
      <c r="M43" s="12">
        <v>7</v>
      </c>
      <c r="N43" s="12">
        <v>7</v>
      </c>
      <c r="O43" s="12">
        <v>7</v>
      </c>
      <c r="P43" s="12">
        <v>6</v>
      </c>
      <c r="Q43" s="2"/>
      <c r="R43" s="1">
        <f t="shared" si="14"/>
        <v>78</v>
      </c>
    </row>
    <row r="44" spans="1:18" x14ac:dyDescent="0.25">
      <c r="A44" s="12" t="s">
        <v>61</v>
      </c>
      <c r="B44" s="12"/>
      <c r="C44" s="12">
        <v>2</v>
      </c>
      <c r="D44" s="12">
        <v>2</v>
      </c>
      <c r="E44" s="12">
        <v>5</v>
      </c>
      <c r="F44" s="12">
        <v>6</v>
      </c>
      <c r="G44" s="12">
        <v>6</v>
      </c>
      <c r="H44" s="12">
        <v>6</v>
      </c>
      <c r="I44" s="12">
        <v>5</v>
      </c>
      <c r="J44" s="12">
        <v>6</v>
      </c>
      <c r="K44" s="12">
        <v>6</v>
      </c>
      <c r="L44" s="12">
        <v>7</v>
      </c>
      <c r="M44" s="12">
        <v>7</v>
      </c>
      <c r="N44" s="12">
        <v>7</v>
      </c>
      <c r="O44" s="12">
        <v>7</v>
      </c>
      <c r="P44" s="12">
        <v>6</v>
      </c>
      <c r="Q44" s="2"/>
      <c r="R44" s="1">
        <f>SUM(B44:Q44)</f>
        <v>78</v>
      </c>
    </row>
    <row r="46" spans="1:18" x14ac:dyDescent="0.25">
      <c r="A46" s="13" t="s">
        <v>75</v>
      </c>
    </row>
    <row r="47" spans="1:18" x14ac:dyDescent="0.25">
      <c r="A47" s="2" t="s">
        <v>62</v>
      </c>
      <c r="B47" s="2"/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/>
      <c r="L47" s="2"/>
      <c r="M47" s="2"/>
      <c r="N47" s="2"/>
      <c r="O47" s="2"/>
      <c r="P47" s="2"/>
      <c r="Q47" s="2"/>
    </row>
    <row r="48" spans="1:18" x14ac:dyDescent="0.25">
      <c r="A48" s="2" t="s">
        <v>62</v>
      </c>
      <c r="B48" s="2"/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/>
      <c r="L48" s="2"/>
      <c r="M48" s="2"/>
      <c r="N48" s="2"/>
      <c r="O48" s="2"/>
      <c r="P48" s="2"/>
      <c r="Q48" s="2"/>
    </row>
    <row r="49" spans="1:18" x14ac:dyDescent="0.25">
      <c r="A49" s="2" t="s">
        <v>181</v>
      </c>
      <c r="B49" s="2"/>
      <c r="C49" s="2"/>
      <c r="D49" s="2">
        <v>1</v>
      </c>
      <c r="E49" s="2">
        <v>1</v>
      </c>
      <c r="F49" s="2">
        <v>1</v>
      </c>
      <c r="G49" s="2">
        <v>1</v>
      </c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8" x14ac:dyDescent="0.25">
      <c r="A50" s="2" t="s">
        <v>116</v>
      </c>
      <c r="B50" s="2"/>
      <c r="C50" s="2"/>
      <c r="D50" s="2"/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/>
      <c r="N50" s="2"/>
      <c r="O50" s="2"/>
      <c r="P50" s="2"/>
      <c r="Q50" s="2"/>
    </row>
    <row r="51" spans="1:18" x14ac:dyDescent="0.25">
      <c r="A51" s="2" t="s">
        <v>182</v>
      </c>
      <c r="B51" s="2"/>
      <c r="C51" s="2"/>
      <c r="D51" s="2"/>
      <c r="E51" s="2">
        <v>1</v>
      </c>
      <c r="F51" s="2">
        <v>1</v>
      </c>
      <c r="G51" s="2">
        <v>1</v>
      </c>
      <c r="H51" s="2">
        <v>1</v>
      </c>
      <c r="I51" s="2"/>
      <c r="J51" s="2"/>
      <c r="K51" s="2"/>
      <c r="L51" s="2"/>
      <c r="M51" s="2"/>
      <c r="N51" s="2"/>
      <c r="O51" s="2"/>
      <c r="P51" s="2"/>
      <c r="Q51" s="2"/>
    </row>
    <row r="52" spans="1:18" x14ac:dyDescent="0.25">
      <c r="A52" s="2" t="s">
        <v>182</v>
      </c>
      <c r="B52" s="2"/>
      <c r="C52" s="2"/>
      <c r="D52" s="2"/>
      <c r="E52" s="2">
        <v>1</v>
      </c>
      <c r="F52" s="2">
        <v>1</v>
      </c>
      <c r="G52" s="2">
        <v>1</v>
      </c>
      <c r="H52" s="2">
        <v>1</v>
      </c>
      <c r="I52" s="2"/>
      <c r="J52" s="2"/>
      <c r="K52" s="2"/>
      <c r="L52" s="2"/>
      <c r="M52" s="2"/>
      <c r="N52" s="2"/>
      <c r="O52" s="2"/>
      <c r="P52" s="2"/>
      <c r="Q52" s="2"/>
    </row>
    <row r="53" spans="1:18" x14ac:dyDescent="0.25">
      <c r="A53" s="2" t="s">
        <v>77</v>
      </c>
      <c r="B53" s="2"/>
      <c r="C53" s="2"/>
      <c r="D53" s="2"/>
      <c r="E53" s="2"/>
      <c r="F53" s="2"/>
      <c r="G53" s="2"/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/>
      <c r="Q53" s="2"/>
    </row>
    <row r="54" spans="1:18" x14ac:dyDescent="0.25">
      <c r="A54" s="2" t="s">
        <v>63</v>
      </c>
      <c r="B54" s="2"/>
      <c r="C54" s="2"/>
      <c r="D54" s="2"/>
      <c r="E54" s="2"/>
      <c r="F54" s="2"/>
      <c r="G54" s="2"/>
      <c r="H54" s="2"/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/>
    </row>
    <row r="55" spans="1:18" x14ac:dyDescent="0.25">
      <c r="A55" s="2" t="s">
        <v>63</v>
      </c>
      <c r="B55" s="2"/>
      <c r="C55" s="2"/>
      <c r="D55" s="2"/>
      <c r="E55" s="2"/>
      <c r="F55" s="2"/>
      <c r="G55" s="2"/>
      <c r="H55" s="2"/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/>
    </row>
    <row r="56" spans="1:18" x14ac:dyDescent="0.25">
      <c r="A56" s="2" t="s">
        <v>65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/>
    </row>
    <row r="57" spans="1:18" x14ac:dyDescent="0.25">
      <c r="A57" s="2" t="s">
        <v>65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/>
    </row>
    <row r="58" spans="1:18" x14ac:dyDescent="0.25">
      <c r="A58" s="2" t="s">
        <v>125</v>
      </c>
      <c r="B58" s="2"/>
      <c r="C58" s="2"/>
      <c r="D58" s="2"/>
      <c r="E58" s="2"/>
      <c r="F58" s="2"/>
      <c r="G58" s="2"/>
      <c r="H58" s="2"/>
      <c r="I58" s="2"/>
      <c r="J58" s="2"/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/>
    </row>
    <row r="59" spans="1:18" x14ac:dyDescent="0.25">
      <c r="A59" s="2" t="s">
        <v>125</v>
      </c>
      <c r="B59" s="2"/>
      <c r="C59" s="2"/>
      <c r="D59" s="2"/>
      <c r="E59" s="2"/>
      <c r="F59" s="2"/>
      <c r="G59" s="2"/>
      <c r="H59" s="2"/>
      <c r="I59" s="2"/>
      <c r="J59" s="2"/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/>
    </row>
    <row r="60" spans="1:18" x14ac:dyDescent="0.25">
      <c r="A60" s="2" t="s">
        <v>66</v>
      </c>
      <c r="B60" s="2">
        <f t="shared" ref="B60:Q60" si="15">SUM(B47:B59)</f>
        <v>0</v>
      </c>
      <c r="C60" s="2">
        <f t="shared" si="15"/>
        <v>2</v>
      </c>
      <c r="D60" s="2">
        <f t="shared" si="15"/>
        <v>3</v>
      </c>
      <c r="E60" s="2">
        <f t="shared" si="15"/>
        <v>6</v>
      </c>
      <c r="F60" s="2">
        <f t="shared" si="15"/>
        <v>6</v>
      </c>
      <c r="G60" s="2">
        <f t="shared" si="15"/>
        <v>6</v>
      </c>
      <c r="H60" s="2">
        <f t="shared" si="15"/>
        <v>6</v>
      </c>
      <c r="I60" s="2">
        <f t="shared" si="15"/>
        <v>6</v>
      </c>
      <c r="J60" s="2">
        <f t="shared" si="15"/>
        <v>6</v>
      </c>
      <c r="K60" s="2">
        <f t="shared" si="15"/>
        <v>6</v>
      </c>
      <c r="L60" s="2">
        <f t="shared" si="15"/>
        <v>8</v>
      </c>
      <c r="M60" s="2">
        <f t="shared" si="15"/>
        <v>7</v>
      </c>
      <c r="N60" s="2">
        <f t="shared" si="15"/>
        <v>7</v>
      </c>
      <c r="O60" s="2">
        <f t="shared" si="15"/>
        <v>7</v>
      </c>
      <c r="P60" s="2">
        <f t="shared" si="15"/>
        <v>6</v>
      </c>
      <c r="Q60" s="2">
        <f t="shared" si="15"/>
        <v>0</v>
      </c>
      <c r="R60" s="1">
        <f>SUM(B60:Q60)</f>
        <v>82</v>
      </c>
    </row>
    <row r="62" spans="1:18" x14ac:dyDescent="0.25">
      <c r="A62" s="2" t="s">
        <v>22</v>
      </c>
      <c r="B62" s="2"/>
      <c r="C62" s="2"/>
      <c r="E62" s="1" t="s">
        <v>64</v>
      </c>
      <c r="F62" s="1" t="s">
        <v>70</v>
      </c>
    </row>
    <row r="63" spans="1:18" x14ac:dyDescent="0.25">
      <c r="A63" s="3" t="s">
        <v>0</v>
      </c>
      <c r="B63" s="2"/>
      <c r="C63" s="2"/>
      <c r="E63" s="1" t="s">
        <v>69</v>
      </c>
      <c r="F63" s="1" t="s">
        <v>71</v>
      </c>
    </row>
    <row r="64" spans="1:18" x14ac:dyDescent="0.25">
      <c r="A64" s="2" t="s">
        <v>23</v>
      </c>
      <c r="B64" s="2">
        <f>22-10</f>
        <v>12</v>
      </c>
      <c r="C64" s="2" t="s">
        <v>24</v>
      </c>
      <c r="E64" s="1">
        <f>D84</f>
        <v>54</v>
      </c>
      <c r="F64" s="1" t="s">
        <v>24</v>
      </c>
      <c r="G64" s="1">
        <f>E64/B64</f>
        <v>4.5</v>
      </c>
      <c r="H64" s="1" t="s">
        <v>76</v>
      </c>
    </row>
    <row r="65" spans="1:9" x14ac:dyDescent="0.25">
      <c r="A65" s="3" t="s">
        <v>2</v>
      </c>
      <c r="B65" s="2"/>
      <c r="C65" s="2"/>
    </row>
    <row r="66" spans="1:9" x14ac:dyDescent="0.25">
      <c r="A66" s="2" t="s">
        <v>23</v>
      </c>
      <c r="B66" s="2">
        <f>22-10</f>
        <v>12</v>
      </c>
      <c r="C66" s="2" t="s">
        <v>24</v>
      </c>
      <c r="E66" s="1">
        <f>D100</f>
        <v>82</v>
      </c>
      <c r="F66" s="1" t="s">
        <v>24</v>
      </c>
      <c r="G66" s="1">
        <f>E66/B66</f>
        <v>6.833333333333333</v>
      </c>
      <c r="H66" s="1" t="s">
        <v>76</v>
      </c>
    </row>
    <row r="72" spans="1:9" x14ac:dyDescent="0.25">
      <c r="A72" s="2"/>
      <c r="B72" s="2" t="s">
        <v>26</v>
      </c>
      <c r="C72" s="2" t="s">
        <v>27</v>
      </c>
    </row>
    <row r="73" spans="1:9" x14ac:dyDescent="0.25">
      <c r="A73" s="3" t="s">
        <v>0</v>
      </c>
      <c r="B73" s="2"/>
      <c r="C73" s="2"/>
      <c r="D73" s="2"/>
    </row>
    <row r="74" spans="1:9" x14ac:dyDescent="0.25">
      <c r="A74" s="2" t="s">
        <v>62</v>
      </c>
      <c r="B74" s="2" t="s">
        <v>67</v>
      </c>
      <c r="C74" s="2">
        <v>1</v>
      </c>
      <c r="D74" s="2">
        <f>C74*8</f>
        <v>8</v>
      </c>
    </row>
    <row r="75" spans="1:9" x14ac:dyDescent="0.25">
      <c r="A75" s="2" t="s">
        <v>62</v>
      </c>
      <c r="B75" s="2" t="s">
        <v>67</v>
      </c>
      <c r="C75" s="2">
        <v>1</v>
      </c>
      <c r="D75" s="2">
        <f>C75*8</f>
        <v>8</v>
      </c>
    </row>
    <row r="76" spans="1:9" x14ac:dyDescent="0.25">
      <c r="A76" s="2" t="s">
        <v>181</v>
      </c>
      <c r="B76" s="2" t="s">
        <v>68</v>
      </c>
      <c r="C76" s="2">
        <v>1</v>
      </c>
      <c r="D76" s="2">
        <f>13-9</f>
        <v>4</v>
      </c>
      <c r="F76" s="8" t="s">
        <v>114</v>
      </c>
      <c r="G76" s="3" t="s">
        <v>67</v>
      </c>
      <c r="H76" s="3" t="s">
        <v>68</v>
      </c>
      <c r="I76" s="3" t="s">
        <v>90</v>
      </c>
    </row>
    <row r="77" spans="1:9" x14ac:dyDescent="0.25">
      <c r="A77" s="2" t="s">
        <v>77</v>
      </c>
      <c r="B77" s="2" t="s">
        <v>67</v>
      </c>
      <c r="C77" s="2">
        <v>1</v>
      </c>
      <c r="D77" s="2">
        <v>8</v>
      </c>
      <c r="F77" s="11">
        <f>SUM(G77:I77)</f>
        <v>14</v>
      </c>
      <c r="G77" s="2">
        <v>6</v>
      </c>
      <c r="H77" s="2">
        <v>7</v>
      </c>
      <c r="I77" s="2">
        <v>1</v>
      </c>
    </row>
    <row r="78" spans="1:9" x14ac:dyDescent="0.25">
      <c r="A78" s="2" t="s">
        <v>63</v>
      </c>
      <c r="B78" s="2" t="s">
        <v>67</v>
      </c>
      <c r="C78" s="2">
        <v>1</v>
      </c>
      <c r="D78" s="2">
        <v>8</v>
      </c>
      <c r="F78" s="21"/>
      <c r="G78" s="22"/>
      <c r="H78" s="22"/>
      <c r="I78" s="22"/>
    </row>
    <row r="79" spans="1:9" x14ac:dyDescent="0.25">
      <c r="A79" s="2" t="s">
        <v>63</v>
      </c>
      <c r="B79" s="2" t="s">
        <v>67</v>
      </c>
      <c r="C79" s="2">
        <v>1</v>
      </c>
      <c r="D79" s="2">
        <v>8</v>
      </c>
      <c r="F79" s="21"/>
      <c r="G79" s="22"/>
      <c r="H79" s="22"/>
      <c r="I79" s="22"/>
    </row>
    <row r="80" spans="1:9" x14ac:dyDescent="0.25">
      <c r="A80" s="2" t="s">
        <v>65</v>
      </c>
      <c r="B80" s="2" t="s">
        <v>68</v>
      </c>
      <c r="C80" s="2">
        <v>1</v>
      </c>
      <c r="D80" s="2">
        <f>22.5-17.5</f>
        <v>5</v>
      </c>
      <c r="F80" s="21"/>
      <c r="G80" s="22"/>
      <c r="H80" s="22"/>
      <c r="I80" s="22"/>
    </row>
    <row r="81" spans="1:14" x14ac:dyDescent="0.25">
      <c r="A81" s="2" t="s">
        <v>65</v>
      </c>
      <c r="B81" s="2" t="s">
        <v>68</v>
      </c>
      <c r="C81" s="2">
        <v>1</v>
      </c>
      <c r="D81" s="2">
        <f>22.5-17.5</f>
        <v>5</v>
      </c>
      <c r="F81" s="21"/>
      <c r="G81" s="22"/>
      <c r="H81" s="22"/>
      <c r="I81" s="22"/>
    </row>
    <row r="82" spans="1:14" x14ac:dyDescent="0.25">
      <c r="A82" s="2" t="s">
        <v>87</v>
      </c>
      <c r="B82" s="2" t="s">
        <v>183</v>
      </c>
      <c r="C82" s="2">
        <v>5</v>
      </c>
      <c r="D82" s="2"/>
    </row>
    <row r="83" spans="1:14" x14ac:dyDescent="0.25">
      <c r="A83" s="2" t="s">
        <v>88</v>
      </c>
      <c r="B83" s="2"/>
      <c r="C83" s="2">
        <v>1</v>
      </c>
      <c r="D83" s="2"/>
      <c r="F83" s="8" t="s">
        <v>89</v>
      </c>
      <c r="G83" s="3" t="s">
        <v>67</v>
      </c>
      <c r="H83" s="3" t="s">
        <v>68</v>
      </c>
      <c r="I83" s="3" t="s">
        <v>90</v>
      </c>
      <c r="K83" s="8" t="s">
        <v>102</v>
      </c>
      <c r="L83" s="3" t="s">
        <v>67</v>
      </c>
      <c r="M83" s="3" t="s">
        <v>68</v>
      </c>
      <c r="N83" s="3" t="s">
        <v>90</v>
      </c>
    </row>
    <row r="84" spans="1:14" x14ac:dyDescent="0.25">
      <c r="A84" s="3" t="s">
        <v>66</v>
      </c>
      <c r="B84" s="3"/>
      <c r="C84" s="3">
        <f>SUM(C74:C83)</f>
        <v>14</v>
      </c>
      <c r="D84" s="3">
        <f>SUM(D74:D83)</f>
        <v>54</v>
      </c>
      <c r="F84" s="11">
        <f>SUM(G84:I84)</f>
        <v>9</v>
      </c>
      <c r="G84" s="2">
        <v>3</v>
      </c>
      <c r="H84" s="2">
        <v>5</v>
      </c>
      <c r="I84" s="2">
        <v>1</v>
      </c>
      <c r="K84" s="11">
        <f>F84-F77</f>
        <v>-5</v>
      </c>
      <c r="L84" s="11">
        <f>G84-G77</f>
        <v>-3</v>
      </c>
      <c r="M84" s="11">
        <f>H84-H77</f>
        <v>-2</v>
      </c>
      <c r="N84" s="11">
        <f>I84-I77</f>
        <v>0</v>
      </c>
    </row>
    <row r="85" spans="1:14" x14ac:dyDescent="0.25">
      <c r="A85" s="3" t="s">
        <v>2</v>
      </c>
      <c r="B85" s="2"/>
      <c r="C85" s="2"/>
      <c r="D85" s="2"/>
    </row>
    <row r="86" spans="1:14" x14ac:dyDescent="0.25">
      <c r="A86" s="2" t="s">
        <v>62</v>
      </c>
      <c r="B86" s="2" t="s">
        <v>67</v>
      </c>
      <c r="C86" s="2">
        <v>1</v>
      </c>
      <c r="D86" s="2">
        <f>C86*8</f>
        <v>8</v>
      </c>
      <c r="L86" s="1" t="s">
        <v>184</v>
      </c>
    </row>
    <row r="87" spans="1:14" x14ac:dyDescent="0.25">
      <c r="A87" s="2" t="s">
        <v>62</v>
      </c>
      <c r="B87" s="2" t="s">
        <v>67</v>
      </c>
      <c r="C87" s="2">
        <v>1</v>
      </c>
      <c r="D87" s="2">
        <f t="shared" ref="D87" si="16">C87*8</f>
        <v>8</v>
      </c>
    </row>
    <row r="88" spans="1:14" x14ac:dyDescent="0.25">
      <c r="A88" s="2" t="s">
        <v>181</v>
      </c>
      <c r="B88" s="2" t="s">
        <v>68</v>
      </c>
      <c r="C88" s="2">
        <v>1</v>
      </c>
      <c r="D88" s="2">
        <f>13-9</f>
        <v>4</v>
      </c>
    </row>
    <row r="89" spans="1:14" x14ac:dyDescent="0.25">
      <c r="A89" s="2" t="s">
        <v>116</v>
      </c>
      <c r="B89" s="2" t="s">
        <v>67</v>
      </c>
      <c r="C89" s="2">
        <v>1</v>
      </c>
      <c r="D89" s="2">
        <f>C89*8</f>
        <v>8</v>
      </c>
    </row>
    <row r="90" spans="1:14" x14ac:dyDescent="0.25">
      <c r="A90" s="2" t="s">
        <v>182</v>
      </c>
      <c r="B90" s="2" t="s">
        <v>68</v>
      </c>
      <c r="C90" s="2">
        <v>1</v>
      </c>
      <c r="D90" s="2">
        <f>14-10</f>
        <v>4</v>
      </c>
    </row>
    <row r="91" spans="1:14" x14ac:dyDescent="0.25">
      <c r="A91" s="2" t="s">
        <v>182</v>
      </c>
      <c r="B91" s="2" t="s">
        <v>68</v>
      </c>
      <c r="C91" s="2">
        <v>1</v>
      </c>
      <c r="D91" s="2">
        <f>14-10</f>
        <v>4</v>
      </c>
    </row>
    <row r="92" spans="1:14" x14ac:dyDescent="0.25">
      <c r="A92" s="2" t="s">
        <v>77</v>
      </c>
      <c r="B92" s="2" t="s">
        <v>67</v>
      </c>
      <c r="C92" s="2">
        <v>1</v>
      </c>
      <c r="D92" s="2">
        <v>8</v>
      </c>
    </row>
    <row r="93" spans="1:14" x14ac:dyDescent="0.25">
      <c r="A93" s="2" t="s">
        <v>63</v>
      </c>
      <c r="B93" s="2" t="s">
        <v>67</v>
      </c>
      <c r="C93" s="2">
        <v>1</v>
      </c>
      <c r="D93" s="2">
        <v>8</v>
      </c>
    </row>
    <row r="94" spans="1:14" x14ac:dyDescent="0.25">
      <c r="A94" s="2" t="s">
        <v>63</v>
      </c>
      <c r="B94" s="2" t="s">
        <v>67</v>
      </c>
      <c r="C94" s="2">
        <v>1</v>
      </c>
      <c r="D94" s="2">
        <v>8</v>
      </c>
    </row>
    <row r="95" spans="1:14" x14ac:dyDescent="0.25">
      <c r="A95" s="2" t="s">
        <v>65</v>
      </c>
      <c r="B95" s="2" t="s">
        <v>68</v>
      </c>
      <c r="C95" s="2">
        <v>1</v>
      </c>
      <c r="D95" s="2">
        <f>22.5-17.5</f>
        <v>5</v>
      </c>
    </row>
    <row r="96" spans="1:14" x14ac:dyDescent="0.25">
      <c r="A96" s="2" t="s">
        <v>65</v>
      </c>
      <c r="B96" s="2" t="s">
        <v>68</v>
      </c>
      <c r="C96" s="2">
        <v>1</v>
      </c>
      <c r="D96" s="2">
        <f>22.5-17.5</f>
        <v>5</v>
      </c>
    </row>
    <row r="97" spans="1:18" x14ac:dyDescent="0.25">
      <c r="A97" s="2" t="s">
        <v>125</v>
      </c>
      <c r="B97" s="2" t="s">
        <v>68</v>
      </c>
      <c r="C97" s="2">
        <v>1</v>
      </c>
      <c r="D97" s="2">
        <f>22-16</f>
        <v>6</v>
      </c>
    </row>
    <row r="98" spans="1:18" x14ac:dyDescent="0.25">
      <c r="A98" s="2" t="s">
        <v>125</v>
      </c>
      <c r="B98" s="2" t="s">
        <v>68</v>
      </c>
      <c r="C98" s="2">
        <v>1</v>
      </c>
      <c r="D98" s="2">
        <f>22-16</f>
        <v>6</v>
      </c>
    </row>
    <row r="99" spans="1:18" x14ac:dyDescent="0.25">
      <c r="A99" s="2" t="s">
        <v>88</v>
      </c>
      <c r="B99" s="2"/>
      <c r="C99" s="2">
        <v>1</v>
      </c>
      <c r="D99" s="2"/>
    </row>
    <row r="100" spans="1:18" x14ac:dyDescent="0.25">
      <c r="A100" s="3" t="s">
        <v>66</v>
      </c>
      <c r="B100" s="3"/>
      <c r="C100" s="3">
        <f>SUM(C86:C99)</f>
        <v>14</v>
      </c>
      <c r="D100" s="3">
        <f>SUM(D86:D99)</f>
        <v>82</v>
      </c>
    </row>
    <row r="101" spans="1:18" x14ac:dyDescent="0.25">
      <c r="E101" s="1" t="s">
        <v>94</v>
      </c>
      <c r="F101" s="1" t="s">
        <v>95</v>
      </c>
      <c r="G101" s="1" t="s">
        <v>99</v>
      </c>
    </row>
    <row r="102" spans="1:18" ht="25.5" x14ac:dyDescent="0.35">
      <c r="A102" s="14" t="s">
        <v>84</v>
      </c>
      <c r="B102" s="15"/>
      <c r="C102" s="15"/>
      <c r="D102" s="15"/>
      <c r="E102" s="1" t="s">
        <v>104</v>
      </c>
      <c r="F102" s="1" t="s">
        <v>105</v>
      </c>
      <c r="G102" s="1" t="s">
        <v>100</v>
      </c>
    </row>
    <row r="104" spans="1:18" x14ac:dyDescent="0.25">
      <c r="A104" s="8" t="s">
        <v>80</v>
      </c>
      <c r="B104" s="8" t="s">
        <v>81</v>
      </c>
      <c r="C104" s="8" t="s">
        <v>82</v>
      </c>
      <c r="D104" s="8" t="s">
        <v>66</v>
      </c>
    </row>
    <row r="105" spans="1:18" x14ac:dyDescent="0.25">
      <c r="A105" s="3" t="s">
        <v>0</v>
      </c>
      <c r="B105" s="2"/>
      <c r="C105" s="2"/>
      <c r="D105" s="8"/>
    </row>
    <row r="106" spans="1:18" x14ac:dyDescent="0.25">
      <c r="A106" s="36" t="s">
        <v>143</v>
      </c>
      <c r="B106" s="2">
        <v>859</v>
      </c>
      <c r="C106" s="2">
        <v>133</v>
      </c>
      <c r="D106" s="34">
        <f>B106+C106</f>
        <v>992</v>
      </c>
      <c r="R106" s="37"/>
    </row>
    <row r="107" spans="1:18" x14ac:dyDescent="0.25">
      <c r="A107" s="2" t="s">
        <v>144</v>
      </c>
      <c r="B107" s="2">
        <v>51</v>
      </c>
      <c r="C107" s="2">
        <v>0</v>
      </c>
      <c r="D107" s="34">
        <f>B107+C107</f>
        <v>51</v>
      </c>
      <c r="E107" s="1">
        <f>D107+D108</f>
        <v>95</v>
      </c>
      <c r="R107" s="37"/>
    </row>
    <row r="108" spans="1:18" x14ac:dyDescent="0.25">
      <c r="A108" s="2" t="s">
        <v>301</v>
      </c>
      <c r="B108" s="2">
        <v>44</v>
      </c>
      <c r="C108" s="2">
        <v>0</v>
      </c>
      <c r="D108" s="34">
        <f>B108+C108</f>
        <v>44</v>
      </c>
      <c r="R108" s="37"/>
    </row>
    <row r="109" spans="1:18" x14ac:dyDescent="0.25">
      <c r="A109" s="3" t="s">
        <v>2</v>
      </c>
      <c r="B109" s="2"/>
      <c r="C109" s="2"/>
      <c r="D109" s="8"/>
    </row>
    <row r="110" spans="1:18" x14ac:dyDescent="0.25">
      <c r="A110" s="36" t="s">
        <v>143</v>
      </c>
      <c r="B110" s="2">
        <v>2281</v>
      </c>
      <c r="C110" s="2">
        <v>144</v>
      </c>
      <c r="D110" s="34">
        <f>B110+C110</f>
        <v>2425</v>
      </c>
      <c r="R110" s="37"/>
    </row>
    <row r="111" spans="1:18" x14ac:dyDescent="0.25">
      <c r="A111" s="2" t="s">
        <v>144</v>
      </c>
      <c r="B111" s="2">
        <v>103</v>
      </c>
      <c r="C111" s="2">
        <v>0</v>
      </c>
      <c r="D111" s="34">
        <f>B111+C111</f>
        <v>103</v>
      </c>
      <c r="E111" s="1">
        <f>D111+D112</f>
        <v>187</v>
      </c>
      <c r="R111" s="37"/>
    </row>
    <row r="112" spans="1:18" x14ac:dyDescent="0.25">
      <c r="A112" s="2" t="s">
        <v>301</v>
      </c>
      <c r="B112" s="2">
        <v>84</v>
      </c>
      <c r="C112" s="2">
        <v>0</v>
      </c>
      <c r="D112" s="34">
        <f>B112+C112</f>
        <v>84</v>
      </c>
      <c r="R112" s="37"/>
    </row>
    <row r="114" spans="1:12" x14ac:dyDescent="0.25">
      <c r="A114" s="8" t="s">
        <v>103</v>
      </c>
      <c r="B114" s="3" t="s">
        <v>67</v>
      </c>
      <c r="C114" s="8" t="s">
        <v>101</v>
      </c>
      <c r="D114" s="3" t="s">
        <v>90</v>
      </c>
      <c r="F114" s="8" t="s">
        <v>89</v>
      </c>
      <c r="G114" s="3" t="s">
        <v>67</v>
      </c>
      <c r="H114" s="3" t="s">
        <v>90</v>
      </c>
      <c r="J114" s="8" t="s">
        <v>102</v>
      </c>
      <c r="K114" s="3" t="s">
        <v>67</v>
      </c>
      <c r="L114" s="3" t="s">
        <v>90</v>
      </c>
    </row>
    <row r="115" spans="1:12" x14ac:dyDescent="0.25">
      <c r="A115" s="11">
        <f>SUM(B115:D115)</f>
        <v>7</v>
      </c>
      <c r="B115" s="2">
        <v>5</v>
      </c>
      <c r="C115" s="2">
        <v>1</v>
      </c>
      <c r="D115" s="2">
        <v>1</v>
      </c>
      <c r="F115" s="11">
        <f>SUM(G115:H115)</f>
        <v>7</v>
      </c>
      <c r="G115" s="2">
        <v>6</v>
      </c>
      <c r="H115" s="2">
        <v>1</v>
      </c>
      <c r="J115" s="11">
        <f>A115-F115</f>
        <v>0</v>
      </c>
      <c r="K115" s="2">
        <v>0</v>
      </c>
      <c r="L115" s="2"/>
    </row>
  </sheetData>
  <pageMargins left="0" right="0" top="0" bottom="0" header="0" footer="0"/>
  <pageSetup paperSize="9" scale="63" orientation="landscape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V124"/>
  <sheetViews>
    <sheetView topLeftCell="A103" workbookViewId="0">
      <selection activeCell="E120" sqref="E120"/>
    </sheetView>
  </sheetViews>
  <sheetFormatPr defaultRowHeight="15.75" x14ac:dyDescent="0.25"/>
  <cols>
    <col min="1" max="1" width="33.7109375" style="1" bestFit="1" customWidth="1"/>
    <col min="2" max="2" width="15.140625" style="1" bestFit="1" customWidth="1"/>
    <col min="3" max="3" width="11.5703125" style="1" bestFit="1" customWidth="1"/>
    <col min="4" max="4" width="15.42578125" style="1" bestFit="1" customWidth="1"/>
    <col min="5" max="5" width="11.5703125" style="1" bestFit="1" customWidth="1"/>
    <col min="6" max="6" width="15.5703125" style="1" bestFit="1" customWidth="1"/>
    <col min="7" max="7" width="32.42578125" style="1" bestFit="1" customWidth="1"/>
    <col min="8" max="8" width="11.28515625" style="1" bestFit="1" customWidth="1"/>
    <col min="9" max="11" width="11.42578125" style="1" bestFit="1" customWidth="1"/>
    <col min="12" max="12" width="17.85546875" style="1" bestFit="1" customWidth="1"/>
    <col min="13" max="15" width="11.42578125" style="1" bestFit="1" customWidth="1"/>
    <col min="16" max="16" width="11.28515625" style="1" bestFit="1" customWidth="1"/>
    <col min="17" max="17" width="10.140625" style="1" bestFit="1" customWidth="1"/>
    <col min="18" max="18" width="11.28515625" style="37" bestFit="1" customWidth="1"/>
    <col min="19" max="16384" width="9.140625" style="1"/>
  </cols>
  <sheetData>
    <row r="2" spans="1:18" ht="25.5" x14ac:dyDescent="0.35">
      <c r="A2" s="14" t="s">
        <v>83</v>
      </c>
      <c r="B2" s="15"/>
      <c r="C2" s="15"/>
      <c r="D2" s="15"/>
      <c r="F2" s="1" t="s">
        <v>45</v>
      </c>
    </row>
    <row r="4" spans="1:18" x14ac:dyDescent="0.25">
      <c r="A4" s="2"/>
      <c r="B4" s="3" t="s">
        <v>21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</row>
    <row r="5" spans="1:18" x14ac:dyDescent="0.25">
      <c r="A5" s="5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8" s="37" customFormat="1" x14ac:dyDescent="0.25">
      <c r="A6" s="73" t="s">
        <v>28</v>
      </c>
      <c r="B6" s="73"/>
      <c r="C6" s="73">
        <v>0</v>
      </c>
      <c r="D6" s="73">
        <v>561820</v>
      </c>
      <c r="E6" s="73">
        <v>7154164</v>
      </c>
      <c r="F6" s="73">
        <v>5900550</v>
      </c>
      <c r="G6" s="73">
        <v>7195202</v>
      </c>
      <c r="H6" s="73">
        <v>6610918</v>
      </c>
      <c r="I6" s="73">
        <v>7287377</v>
      </c>
      <c r="J6" s="73">
        <v>5384638</v>
      </c>
      <c r="K6" s="73">
        <v>6926547</v>
      </c>
      <c r="L6" s="73">
        <v>9141816</v>
      </c>
      <c r="M6" s="73">
        <v>10762279</v>
      </c>
      <c r="N6" s="73">
        <v>12914546</v>
      </c>
      <c r="O6" s="73">
        <v>15186278</v>
      </c>
      <c r="P6" s="73">
        <v>6539085</v>
      </c>
      <c r="Q6" s="73">
        <v>58182</v>
      </c>
    </row>
    <row r="7" spans="1:18" s="37" customFormat="1" x14ac:dyDescent="0.25">
      <c r="A7" s="74">
        <v>5</v>
      </c>
      <c r="B7" s="74">
        <f>ROUND(B6/$A$7,0)</f>
        <v>0</v>
      </c>
      <c r="C7" s="74">
        <f t="shared" ref="C7:Q7" si="0">ROUND(C6/$A$7,0)</f>
        <v>0</v>
      </c>
      <c r="D7" s="74">
        <f t="shared" si="0"/>
        <v>112364</v>
      </c>
      <c r="E7" s="74">
        <f t="shared" si="0"/>
        <v>1430833</v>
      </c>
      <c r="F7" s="74">
        <f t="shared" si="0"/>
        <v>1180110</v>
      </c>
      <c r="G7" s="74">
        <f t="shared" si="0"/>
        <v>1439040</v>
      </c>
      <c r="H7" s="74">
        <f t="shared" si="0"/>
        <v>1322184</v>
      </c>
      <c r="I7" s="74">
        <f t="shared" si="0"/>
        <v>1457475</v>
      </c>
      <c r="J7" s="74">
        <f t="shared" si="0"/>
        <v>1076928</v>
      </c>
      <c r="K7" s="74">
        <f t="shared" si="0"/>
        <v>1385309</v>
      </c>
      <c r="L7" s="74">
        <f t="shared" si="0"/>
        <v>1828363</v>
      </c>
      <c r="M7" s="74">
        <f t="shared" si="0"/>
        <v>2152456</v>
      </c>
      <c r="N7" s="74">
        <f t="shared" si="0"/>
        <v>2582909</v>
      </c>
      <c r="O7" s="74">
        <f t="shared" si="0"/>
        <v>3037256</v>
      </c>
      <c r="P7" s="74">
        <f t="shared" si="0"/>
        <v>1307817</v>
      </c>
      <c r="Q7" s="74">
        <f t="shared" si="0"/>
        <v>11636</v>
      </c>
    </row>
    <row r="8" spans="1:18" s="37" customFormat="1" x14ac:dyDescent="0.25">
      <c r="A8" s="73" t="s">
        <v>31</v>
      </c>
      <c r="B8" s="73"/>
      <c r="C8" s="73">
        <v>0</v>
      </c>
      <c r="D8" s="73">
        <v>422727</v>
      </c>
      <c r="E8" s="73">
        <v>5677549</v>
      </c>
      <c r="F8" s="73">
        <v>5390015</v>
      </c>
      <c r="G8" s="73">
        <v>8069097</v>
      </c>
      <c r="H8" s="73">
        <v>6523086</v>
      </c>
      <c r="I8" s="73">
        <v>7727731</v>
      </c>
      <c r="J8" s="73">
        <v>7771812</v>
      </c>
      <c r="K8" s="73">
        <v>7463467</v>
      </c>
      <c r="L8" s="73">
        <v>8912185</v>
      </c>
      <c r="M8" s="73">
        <v>8992641</v>
      </c>
      <c r="N8" s="73">
        <v>10968918</v>
      </c>
      <c r="O8" s="73">
        <v>12600540</v>
      </c>
      <c r="P8" s="73">
        <v>8202719</v>
      </c>
      <c r="Q8" s="73">
        <v>522727</v>
      </c>
    </row>
    <row r="9" spans="1:18" s="37" customFormat="1" x14ac:dyDescent="0.25">
      <c r="A9" s="74">
        <v>5</v>
      </c>
      <c r="B9" s="74">
        <f>ROUND(B8/$A$7,0)</f>
        <v>0</v>
      </c>
      <c r="C9" s="74">
        <f t="shared" ref="C9:Q9" si="1">ROUND(C8/$A$7,0)</f>
        <v>0</v>
      </c>
      <c r="D9" s="74">
        <f t="shared" si="1"/>
        <v>84545</v>
      </c>
      <c r="E9" s="74">
        <f t="shared" si="1"/>
        <v>1135510</v>
      </c>
      <c r="F9" s="74">
        <f t="shared" si="1"/>
        <v>1078003</v>
      </c>
      <c r="G9" s="74">
        <f t="shared" si="1"/>
        <v>1613819</v>
      </c>
      <c r="H9" s="74">
        <f t="shared" si="1"/>
        <v>1304617</v>
      </c>
      <c r="I9" s="74">
        <f t="shared" si="1"/>
        <v>1545546</v>
      </c>
      <c r="J9" s="74">
        <f t="shared" si="1"/>
        <v>1554362</v>
      </c>
      <c r="K9" s="74">
        <f t="shared" si="1"/>
        <v>1492693</v>
      </c>
      <c r="L9" s="74">
        <f t="shared" si="1"/>
        <v>1782437</v>
      </c>
      <c r="M9" s="74">
        <f t="shared" si="1"/>
        <v>1798528</v>
      </c>
      <c r="N9" s="74">
        <f t="shared" si="1"/>
        <v>2193784</v>
      </c>
      <c r="O9" s="74">
        <f t="shared" si="1"/>
        <v>2520108</v>
      </c>
      <c r="P9" s="74">
        <f t="shared" si="1"/>
        <v>1640544</v>
      </c>
      <c r="Q9" s="74">
        <f t="shared" si="1"/>
        <v>104545</v>
      </c>
    </row>
    <row r="10" spans="1:18" s="37" customFormat="1" x14ac:dyDescent="0.25">
      <c r="A10" s="73" t="s">
        <v>33</v>
      </c>
      <c r="B10" s="73"/>
      <c r="C10" s="73">
        <v>0</v>
      </c>
      <c r="D10" s="73">
        <v>461728</v>
      </c>
      <c r="E10" s="73">
        <v>4896821</v>
      </c>
      <c r="F10" s="73">
        <v>7737820</v>
      </c>
      <c r="G10" s="73">
        <v>8282540</v>
      </c>
      <c r="H10" s="73">
        <v>7920916</v>
      </c>
      <c r="I10" s="73">
        <v>8644547</v>
      </c>
      <c r="J10" s="73">
        <v>9533082</v>
      </c>
      <c r="K10" s="73">
        <v>10022734</v>
      </c>
      <c r="L10" s="73">
        <v>12648007</v>
      </c>
      <c r="M10" s="73">
        <v>13480002</v>
      </c>
      <c r="N10" s="73">
        <v>15305454</v>
      </c>
      <c r="O10" s="73">
        <v>13857366</v>
      </c>
      <c r="P10" s="73">
        <v>7524540</v>
      </c>
      <c r="Q10" s="73">
        <v>599993</v>
      </c>
    </row>
    <row r="11" spans="1:18" s="37" customFormat="1" x14ac:dyDescent="0.25">
      <c r="A11" s="74">
        <v>5</v>
      </c>
      <c r="B11" s="74">
        <f>ROUND(B10/$A$7,0)</f>
        <v>0</v>
      </c>
      <c r="C11" s="74">
        <f t="shared" ref="C11:Q11" si="2">ROUND(C10/$A$7,0)</f>
        <v>0</v>
      </c>
      <c r="D11" s="74">
        <f t="shared" si="2"/>
        <v>92346</v>
      </c>
      <c r="E11" s="74">
        <f t="shared" si="2"/>
        <v>979364</v>
      </c>
      <c r="F11" s="74">
        <f t="shared" si="2"/>
        <v>1547564</v>
      </c>
      <c r="G11" s="74">
        <f t="shared" si="2"/>
        <v>1656508</v>
      </c>
      <c r="H11" s="74">
        <f t="shared" si="2"/>
        <v>1584183</v>
      </c>
      <c r="I11" s="74">
        <f t="shared" si="2"/>
        <v>1728909</v>
      </c>
      <c r="J11" s="74">
        <f t="shared" si="2"/>
        <v>1906616</v>
      </c>
      <c r="K11" s="74">
        <f t="shared" si="2"/>
        <v>2004547</v>
      </c>
      <c r="L11" s="74">
        <f t="shared" si="2"/>
        <v>2529601</v>
      </c>
      <c r="M11" s="74">
        <f t="shared" si="2"/>
        <v>2696000</v>
      </c>
      <c r="N11" s="74">
        <f t="shared" si="2"/>
        <v>3061091</v>
      </c>
      <c r="O11" s="74">
        <f t="shared" si="2"/>
        <v>2771473</v>
      </c>
      <c r="P11" s="74">
        <f t="shared" si="2"/>
        <v>1504908</v>
      </c>
      <c r="Q11" s="74">
        <f t="shared" si="2"/>
        <v>119999</v>
      </c>
    </row>
    <row r="12" spans="1:18" s="37" customFormat="1" x14ac:dyDescent="0.25">
      <c r="A12" s="73" t="s">
        <v>35</v>
      </c>
      <c r="B12" s="73"/>
      <c r="C12" s="73">
        <v>0</v>
      </c>
      <c r="D12" s="73">
        <v>447274</v>
      </c>
      <c r="E12" s="73">
        <v>4294550</v>
      </c>
      <c r="F12" s="73">
        <v>7746098</v>
      </c>
      <c r="G12" s="73">
        <v>8485461</v>
      </c>
      <c r="H12" s="73">
        <v>9303268</v>
      </c>
      <c r="I12" s="73">
        <v>7508916</v>
      </c>
      <c r="J12" s="73">
        <v>7616095</v>
      </c>
      <c r="K12" s="73">
        <v>9570916</v>
      </c>
      <c r="L12" s="73">
        <v>9239094</v>
      </c>
      <c r="M12" s="73">
        <v>10651825</v>
      </c>
      <c r="N12" s="73">
        <v>14342720</v>
      </c>
      <c r="O12" s="73">
        <v>17246727</v>
      </c>
      <c r="P12" s="73">
        <v>9003086</v>
      </c>
      <c r="Q12" s="73">
        <v>235455</v>
      </c>
    </row>
    <row r="13" spans="1:18" s="37" customFormat="1" x14ac:dyDescent="0.25">
      <c r="A13" s="74">
        <v>5</v>
      </c>
      <c r="B13" s="74">
        <f>ROUND(B12/$A$7,0)</f>
        <v>0</v>
      </c>
      <c r="C13" s="74">
        <f t="shared" ref="C13:Q13" si="3">ROUND(C12/$A$7,0)</f>
        <v>0</v>
      </c>
      <c r="D13" s="74">
        <f t="shared" si="3"/>
        <v>89455</v>
      </c>
      <c r="E13" s="74">
        <f t="shared" si="3"/>
        <v>858910</v>
      </c>
      <c r="F13" s="74">
        <f t="shared" si="3"/>
        <v>1549220</v>
      </c>
      <c r="G13" s="74">
        <f t="shared" si="3"/>
        <v>1697092</v>
      </c>
      <c r="H13" s="74">
        <f t="shared" si="3"/>
        <v>1860654</v>
      </c>
      <c r="I13" s="74">
        <f t="shared" si="3"/>
        <v>1501783</v>
      </c>
      <c r="J13" s="74">
        <f t="shared" si="3"/>
        <v>1523219</v>
      </c>
      <c r="K13" s="74">
        <f t="shared" si="3"/>
        <v>1914183</v>
      </c>
      <c r="L13" s="74">
        <f t="shared" si="3"/>
        <v>1847819</v>
      </c>
      <c r="M13" s="74">
        <f t="shared" si="3"/>
        <v>2130365</v>
      </c>
      <c r="N13" s="74">
        <f t="shared" si="3"/>
        <v>2868544</v>
      </c>
      <c r="O13" s="74">
        <f t="shared" si="3"/>
        <v>3449345</v>
      </c>
      <c r="P13" s="74">
        <f t="shared" si="3"/>
        <v>1800617</v>
      </c>
      <c r="Q13" s="74">
        <f t="shared" si="3"/>
        <v>47091</v>
      </c>
    </row>
    <row r="14" spans="1:18" s="37" customFormat="1" x14ac:dyDescent="0.25">
      <c r="A14" s="73" t="s">
        <v>37</v>
      </c>
      <c r="B14" s="73"/>
      <c r="C14" s="73">
        <v>0</v>
      </c>
      <c r="D14" s="73">
        <v>1076365</v>
      </c>
      <c r="E14" s="73">
        <v>9726912</v>
      </c>
      <c r="F14" s="73">
        <v>10320905</v>
      </c>
      <c r="G14" s="73">
        <v>12364177</v>
      </c>
      <c r="H14" s="73">
        <v>12314552</v>
      </c>
      <c r="I14" s="73">
        <v>9450288</v>
      </c>
      <c r="J14" s="73">
        <v>14521843</v>
      </c>
      <c r="K14" s="73">
        <v>9850018</v>
      </c>
      <c r="L14" s="73">
        <v>15667556</v>
      </c>
      <c r="M14" s="73">
        <v>18262093</v>
      </c>
      <c r="N14" s="73">
        <v>20138086</v>
      </c>
      <c r="O14" s="73">
        <v>21719719</v>
      </c>
      <c r="P14" s="73">
        <v>9537277</v>
      </c>
      <c r="Q14" s="73">
        <v>0</v>
      </c>
    </row>
    <row r="15" spans="1:18" s="37" customFormat="1" x14ac:dyDescent="0.25">
      <c r="A15" s="74">
        <v>5</v>
      </c>
      <c r="B15" s="74">
        <f>ROUND(B14/$A$7,0)</f>
        <v>0</v>
      </c>
      <c r="C15" s="74">
        <f t="shared" ref="C15:Q15" si="4">ROUND(C14/$A$7,0)</f>
        <v>0</v>
      </c>
      <c r="D15" s="74">
        <f t="shared" si="4"/>
        <v>215273</v>
      </c>
      <c r="E15" s="74">
        <f t="shared" si="4"/>
        <v>1945382</v>
      </c>
      <c r="F15" s="74">
        <f t="shared" si="4"/>
        <v>2064181</v>
      </c>
      <c r="G15" s="74">
        <f t="shared" si="4"/>
        <v>2472835</v>
      </c>
      <c r="H15" s="74">
        <f t="shared" si="4"/>
        <v>2462910</v>
      </c>
      <c r="I15" s="74">
        <f t="shared" si="4"/>
        <v>1890058</v>
      </c>
      <c r="J15" s="74">
        <f t="shared" si="4"/>
        <v>2904369</v>
      </c>
      <c r="K15" s="74">
        <f t="shared" si="4"/>
        <v>1970004</v>
      </c>
      <c r="L15" s="74">
        <f t="shared" si="4"/>
        <v>3133511</v>
      </c>
      <c r="M15" s="74">
        <f t="shared" si="4"/>
        <v>3652419</v>
      </c>
      <c r="N15" s="74">
        <f t="shared" si="4"/>
        <v>4027617</v>
      </c>
      <c r="O15" s="74">
        <f t="shared" si="4"/>
        <v>4343944</v>
      </c>
      <c r="P15" s="74">
        <f t="shared" si="4"/>
        <v>1907455</v>
      </c>
      <c r="Q15" s="74">
        <f t="shared" si="4"/>
        <v>0</v>
      </c>
    </row>
    <row r="16" spans="1:18" s="37" customFormat="1" x14ac:dyDescent="0.25">
      <c r="A16" s="45" t="s">
        <v>302</v>
      </c>
      <c r="B16" s="45">
        <f t="shared" ref="B16:Q16" si="5">ROUND((B7+B9+B11+B13+B15)/5,0)</f>
        <v>0</v>
      </c>
      <c r="C16" s="45">
        <f t="shared" si="5"/>
        <v>0</v>
      </c>
      <c r="D16" s="45">
        <f t="shared" si="5"/>
        <v>118797</v>
      </c>
      <c r="E16" s="45">
        <f t="shared" si="5"/>
        <v>1270000</v>
      </c>
      <c r="F16" s="45">
        <f t="shared" si="5"/>
        <v>1483816</v>
      </c>
      <c r="G16" s="45">
        <f t="shared" si="5"/>
        <v>1775859</v>
      </c>
      <c r="H16" s="45">
        <f t="shared" si="5"/>
        <v>1706910</v>
      </c>
      <c r="I16" s="45">
        <f t="shared" si="5"/>
        <v>1624754</v>
      </c>
      <c r="J16" s="45">
        <f t="shared" si="5"/>
        <v>1793099</v>
      </c>
      <c r="K16" s="45">
        <f t="shared" si="5"/>
        <v>1753347</v>
      </c>
      <c r="L16" s="45">
        <f t="shared" si="5"/>
        <v>2224346</v>
      </c>
      <c r="M16" s="45">
        <f t="shared" si="5"/>
        <v>2485954</v>
      </c>
      <c r="N16" s="45">
        <f t="shared" si="5"/>
        <v>2946789</v>
      </c>
      <c r="O16" s="45">
        <f t="shared" si="5"/>
        <v>3224425</v>
      </c>
      <c r="P16" s="45">
        <f t="shared" si="5"/>
        <v>1632268</v>
      </c>
      <c r="Q16" s="45">
        <f t="shared" si="5"/>
        <v>56654</v>
      </c>
      <c r="R16" s="37">
        <f>SUM(B16:Q16)</f>
        <v>24097018</v>
      </c>
    </row>
    <row r="17" spans="1:19" x14ac:dyDescent="0.25">
      <c r="A17" s="12" t="s">
        <v>303</v>
      </c>
      <c r="B17" s="12"/>
      <c r="C17" s="12">
        <v>2</v>
      </c>
      <c r="D17" s="12">
        <v>2</v>
      </c>
      <c r="E17" s="12">
        <v>3</v>
      </c>
      <c r="F17" s="12">
        <v>3</v>
      </c>
      <c r="G17" s="12">
        <v>3</v>
      </c>
      <c r="H17" s="12">
        <v>3</v>
      </c>
      <c r="I17" s="12">
        <v>3</v>
      </c>
      <c r="J17" s="12">
        <v>3</v>
      </c>
      <c r="K17" s="12">
        <v>3</v>
      </c>
      <c r="L17" s="12">
        <v>3</v>
      </c>
      <c r="M17" s="12">
        <v>3</v>
      </c>
      <c r="N17" s="12">
        <v>3</v>
      </c>
      <c r="O17" s="12">
        <v>4</v>
      </c>
      <c r="P17" s="12">
        <v>3</v>
      </c>
      <c r="Q17" s="2"/>
      <c r="R17" s="37">
        <f>SUM(B17:Q17)</f>
        <v>41</v>
      </c>
    </row>
    <row r="18" spans="1:19" x14ac:dyDescent="0.25">
      <c r="A18" s="12" t="s">
        <v>304</v>
      </c>
      <c r="B18" s="46">
        <f>B17*18000</f>
        <v>0</v>
      </c>
      <c r="C18" s="46">
        <f t="shared" ref="C18:Q18" si="6">C17*18000</f>
        <v>36000</v>
      </c>
      <c r="D18" s="46">
        <f t="shared" si="6"/>
        <v>36000</v>
      </c>
      <c r="E18" s="46">
        <f t="shared" si="6"/>
        <v>54000</v>
      </c>
      <c r="F18" s="46">
        <f t="shared" si="6"/>
        <v>54000</v>
      </c>
      <c r="G18" s="46">
        <f t="shared" si="6"/>
        <v>54000</v>
      </c>
      <c r="H18" s="46">
        <f t="shared" si="6"/>
        <v>54000</v>
      </c>
      <c r="I18" s="46">
        <f t="shared" si="6"/>
        <v>54000</v>
      </c>
      <c r="J18" s="46">
        <f t="shared" si="6"/>
        <v>54000</v>
      </c>
      <c r="K18" s="46">
        <f t="shared" si="6"/>
        <v>54000</v>
      </c>
      <c r="L18" s="46">
        <f t="shared" si="6"/>
        <v>54000</v>
      </c>
      <c r="M18" s="46">
        <f t="shared" si="6"/>
        <v>54000</v>
      </c>
      <c r="N18" s="46">
        <f t="shared" si="6"/>
        <v>54000</v>
      </c>
      <c r="O18" s="46">
        <f t="shared" si="6"/>
        <v>72000</v>
      </c>
      <c r="P18" s="46">
        <f t="shared" si="6"/>
        <v>54000</v>
      </c>
      <c r="Q18" s="46">
        <f t="shared" si="6"/>
        <v>0</v>
      </c>
      <c r="R18" s="37">
        <f>SUM(B18:Q18)</f>
        <v>738000</v>
      </c>
      <c r="S18" s="47">
        <f>R18/R16</f>
        <v>3.062619615422954E-2</v>
      </c>
    </row>
    <row r="20" spans="1:19" x14ac:dyDescent="0.25">
      <c r="A20" s="13" t="s">
        <v>75</v>
      </c>
    </row>
    <row r="21" spans="1:19" x14ac:dyDescent="0.25">
      <c r="A21" s="2" t="s">
        <v>62</v>
      </c>
      <c r="B21" s="2"/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/>
      <c r="L21" s="2"/>
      <c r="M21" s="2"/>
      <c r="N21" s="2"/>
      <c r="O21" s="2"/>
      <c r="P21" s="2"/>
      <c r="Q21" s="2"/>
    </row>
    <row r="22" spans="1:19" x14ac:dyDescent="0.25">
      <c r="A22" s="2" t="s">
        <v>62</v>
      </c>
      <c r="B22" s="2"/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/>
      <c r="L22" s="2"/>
      <c r="M22" s="2"/>
      <c r="N22" s="2"/>
      <c r="O22" s="2"/>
      <c r="P22" s="2"/>
      <c r="Q22" s="2"/>
    </row>
    <row r="23" spans="1:19" x14ac:dyDescent="0.25">
      <c r="A23" s="2" t="s">
        <v>182</v>
      </c>
      <c r="B23" s="2"/>
      <c r="C23" s="2"/>
      <c r="D23" s="2"/>
      <c r="E23" s="2">
        <v>1</v>
      </c>
      <c r="F23" s="2">
        <v>1</v>
      </c>
      <c r="G23" s="2">
        <v>1</v>
      </c>
      <c r="H23" s="2">
        <v>1</v>
      </c>
      <c r="I23" s="2"/>
      <c r="J23" s="2"/>
      <c r="K23" s="2"/>
      <c r="L23" s="2"/>
      <c r="M23" s="2"/>
      <c r="N23" s="2"/>
      <c r="O23" s="2"/>
      <c r="P23" s="2"/>
      <c r="Q23" s="2"/>
    </row>
    <row r="24" spans="1:19" x14ac:dyDescent="0.25">
      <c r="A24" s="2" t="s">
        <v>63</v>
      </c>
      <c r="B24" s="2"/>
      <c r="C24" s="2"/>
      <c r="D24" s="2"/>
      <c r="E24" s="2"/>
      <c r="F24" s="2"/>
      <c r="G24" s="2"/>
      <c r="H24" s="2"/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/>
    </row>
    <row r="25" spans="1:19" x14ac:dyDescent="0.25">
      <c r="A25" s="2" t="s">
        <v>63</v>
      </c>
      <c r="B25" s="2"/>
      <c r="C25" s="2"/>
      <c r="D25" s="2"/>
      <c r="E25" s="2"/>
      <c r="F25" s="2"/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/>
    </row>
    <row r="26" spans="1:19" x14ac:dyDescent="0.25">
      <c r="A26" s="2" t="s">
        <v>389</v>
      </c>
      <c r="B26" s="2"/>
      <c r="C26" s="2"/>
      <c r="D26" s="2"/>
      <c r="E26" s="2"/>
      <c r="F26" s="2"/>
      <c r="G26" s="2"/>
      <c r="H26" s="2"/>
      <c r="I26" s="2"/>
      <c r="J26" s="2"/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/>
      <c r="Q26" s="2"/>
    </row>
    <row r="27" spans="1:19" x14ac:dyDescent="0.25">
      <c r="A27" s="2" t="s">
        <v>117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>
        <v>1</v>
      </c>
      <c r="N27" s="2">
        <v>1</v>
      </c>
      <c r="O27" s="2">
        <v>1</v>
      </c>
      <c r="P27" s="2">
        <v>1</v>
      </c>
      <c r="Q27" s="2"/>
    </row>
    <row r="28" spans="1:19" x14ac:dyDescent="0.25">
      <c r="A28" s="75" t="s">
        <v>303</v>
      </c>
      <c r="B28" s="75">
        <f t="shared" ref="B28:Q28" si="7">SUM(B21:B27)</f>
        <v>0</v>
      </c>
      <c r="C28" s="75">
        <f t="shared" si="7"/>
        <v>2</v>
      </c>
      <c r="D28" s="75">
        <f t="shared" si="7"/>
        <v>2</v>
      </c>
      <c r="E28" s="75">
        <f t="shared" si="7"/>
        <v>3</v>
      </c>
      <c r="F28" s="75">
        <f t="shared" si="7"/>
        <v>3</v>
      </c>
      <c r="G28" s="75">
        <f t="shared" si="7"/>
        <v>3</v>
      </c>
      <c r="H28" s="75">
        <f t="shared" si="7"/>
        <v>3</v>
      </c>
      <c r="I28" s="75">
        <f t="shared" si="7"/>
        <v>4</v>
      </c>
      <c r="J28" s="75">
        <f t="shared" si="7"/>
        <v>4</v>
      </c>
      <c r="K28" s="75">
        <f t="shared" si="7"/>
        <v>3</v>
      </c>
      <c r="L28" s="75">
        <f t="shared" si="7"/>
        <v>3</v>
      </c>
      <c r="M28" s="75">
        <f t="shared" si="7"/>
        <v>4</v>
      </c>
      <c r="N28" s="75">
        <f t="shared" si="7"/>
        <v>4</v>
      </c>
      <c r="O28" s="75">
        <f t="shared" si="7"/>
        <v>4</v>
      </c>
      <c r="P28" s="75">
        <f t="shared" si="7"/>
        <v>3</v>
      </c>
      <c r="Q28" s="75">
        <f t="shared" si="7"/>
        <v>0</v>
      </c>
      <c r="R28" s="37">
        <f>SUM(B28:Q28)</f>
        <v>45</v>
      </c>
    </row>
    <row r="29" spans="1:19" x14ac:dyDescent="0.25">
      <c r="A29" s="12" t="s">
        <v>304</v>
      </c>
      <c r="B29" s="46">
        <f>B28*18000</f>
        <v>0</v>
      </c>
      <c r="C29" s="46">
        <f t="shared" ref="C29:Q29" si="8">C28*18000</f>
        <v>36000</v>
      </c>
      <c r="D29" s="46">
        <f t="shared" si="8"/>
        <v>36000</v>
      </c>
      <c r="E29" s="46">
        <f t="shared" si="8"/>
        <v>54000</v>
      </c>
      <c r="F29" s="46">
        <f t="shared" si="8"/>
        <v>54000</v>
      </c>
      <c r="G29" s="46">
        <f t="shared" si="8"/>
        <v>54000</v>
      </c>
      <c r="H29" s="46">
        <f t="shared" si="8"/>
        <v>54000</v>
      </c>
      <c r="I29" s="46">
        <f t="shared" si="8"/>
        <v>72000</v>
      </c>
      <c r="J29" s="46">
        <f t="shared" si="8"/>
        <v>72000</v>
      </c>
      <c r="K29" s="46">
        <f t="shared" si="8"/>
        <v>54000</v>
      </c>
      <c r="L29" s="46">
        <f t="shared" si="8"/>
        <v>54000</v>
      </c>
      <c r="M29" s="46">
        <f t="shared" si="8"/>
        <v>72000</v>
      </c>
      <c r="N29" s="46">
        <f t="shared" si="8"/>
        <v>72000</v>
      </c>
      <c r="O29" s="46">
        <f t="shared" si="8"/>
        <v>72000</v>
      </c>
      <c r="P29" s="46">
        <f t="shared" si="8"/>
        <v>54000</v>
      </c>
      <c r="Q29" s="46">
        <f t="shared" si="8"/>
        <v>0</v>
      </c>
      <c r="R29" s="37">
        <f>SUM(B29:Q29)</f>
        <v>810000</v>
      </c>
      <c r="S29" s="47">
        <f>R29/R16</f>
        <v>3.3614117730251934E-2</v>
      </c>
    </row>
    <row r="31" spans="1:19" x14ac:dyDescent="0.25">
      <c r="A31" s="5" t="s">
        <v>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9" s="37" customFormat="1" x14ac:dyDescent="0.25">
      <c r="A32" s="73" t="s">
        <v>30</v>
      </c>
      <c r="B32" s="73"/>
      <c r="C32" s="73">
        <v>0</v>
      </c>
      <c r="D32" s="73">
        <v>200000</v>
      </c>
      <c r="E32" s="73">
        <v>6432362</v>
      </c>
      <c r="F32" s="73">
        <v>7321652</v>
      </c>
      <c r="G32" s="73">
        <v>8179090</v>
      </c>
      <c r="H32" s="73">
        <v>7152725</v>
      </c>
      <c r="I32" s="73">
        <v>6829006</v>
      </c>
      <c r="J32" s="73">
        <v>7732547</v>
      </c>
      <c r="K32" s="73">
        <v>7467279</v>
      </c>
      <c r="L32" s="73">
        <v>8462360</v>
      </c>
      <c r="M32" s="73">
        <v>11263544</v>
      </c>
      <c r="N32" s="73">
        <v>14962893</v>
      </c>
      <c r="O32" s="73">
        <v>13772707</v>
      </c>
      <c r="P32" s="73">
        <v>7212727</v>
      </c>
      <c r="Q32" s="73">
        <v>412727</v>
      </c>
    </row>
    <row r="33" spans="1:19" s="37" customFormat="1" x14ac:dyDescent="0.25">
      <c r="A33" s="74">
        <v>2</v>
      </c>
      <c r="B33" s="74">
        <f t="shared" ref="B33:Q33" si="9">ROUND((B32)/$A$33,0)</f>
        <v>0</v>
      </c>
      <c r="C33" s="74">
        <f t="shared" si="9"/>
        <v>0</v>
      </c>
      <c r="D33" s="74">
        <f t="shared" si="9"/>
        <v>100000</v>
      </c>
      <c r="E33" s="74">
        <f t="shared" si="9"/>
        <v>3216181</v>
      </c>
      <c r="F33" s="74">
        <f t="shared" si="9"/>
        <v>3660826</v>
      </c>
      <c r="G33" s="74">
        <f t="shared" si="9"/>
        <v>4089545</v>
      </c>
      <c r="H33" s="74">
        <f t="shared" si="9"/>
        <v>3576363</v>
      </c>
      <c r="I33" s="74">
        <f t="shared" si="9"/>
        <v>3414503</v>
      </c>
      <c r="J33" s="74">
        <f t="shared" si="9"/>
        <v>3866274</v>
      </c>
      <c r="K33" s="74">
        <f t="shared" si="9"/>
        <v>3733640</v>
      </c>
      <c r="L33" s="74">
        <f t="shared" si="9"/>
        <v>4231180</v>
      </c>
      <c r="M33" s="74">
        <f t="shared" si="9"/>
        <v>5631772</v>
      </c>
      <c r="N33" s="74">
        <f t="shared" si="9"/>
        <v>7481447</v>
      </c>
      <c r="O33" s="74">
        <f t="shared" si="9"/>
        <v>6886354</v>
      </c>
      <c r="P33" s="74">
        <f t="shared" si="9"/>
        <v>3606364</v>
      </c>
      <c r="Q33" s="74">
        <f t="shared" si="9"/>
        <v>206364</v>
      </c>
    </row>
    <row r="34" spans="1:19" s="37" customFormat="1" x14ac:dyDescent="0.25">
      <c r="A34" s="73" t="s">
        <v>32</v>
      </c>
      <c r="B34" s="73"/>
      <c r="C34" s="73">
        <v>0</v>
      </c>
      <c r="D34" s="73">
        <v>1627271</v>
      </c>
      <c r="E34" s="73">
        <v>8216364</v>
      </c>
      <c r="F34" s="73">
        <v>9128280</v>
      </c>
      <c r="G34" s="73">
        <v>8780006</v>
      </c>
      <c r="H34" s="73">
        <v>10998819</v>
      </c>
      <c r="I34" s="73">
        <v>11418188</v>
      </c>
      <c r="J34" s="73">
        <v>8810453</v>
      </c>
      <c r="K34" s="73">
        <v>7900999</v>
      </c>
      <c r="L34" s="73">
        <v>12282080</v>
      </c>
      <c r="M34" s="73">
        <v>14260909</v>
      </c>
      <c r="N34" s="73">
        <v>17388170</v>
      </c>
      <c r="O34" s="73">
        <v>15796351</v>
      </c>
      <c r="P34" s="73">
        <v>9599447</v>
      </c>
      <c r="Q34" s="73">
        <v>140909</v>
      </c>
    </row>
    <row r="35" spans="1:19" s="37" customFormat="1" x14ac:dyDescent="0.25">
      <c r="A35" s="74">
        <v>2</v>
      </c>
      <c r="B35" s="74">
        <f t="shared" ref="B35:Q35" si="10">ROUND((B34)/$A$33,0)</f>
        <v>0</v>
      </c>
      <c r="C35" s="74">
        <f t="shared" si="10"/>
        <v>0</v>
      </c>
      <c r="D35" s="74">
        <f t="shared" si="10"/>
        <v>813636</v>
      </c>
      <c r="E35" s="74">
        <f t="shared" si="10"/>
        <v>4108182</v>
      </c>
      <c r="F35" s="74">
        <f t="shared" si="10"/>
        <v>4564140</v>
      </c>
      <c r="G35" s="74">
        <f t="shared" si="10"/>
        <v>4390003</v>
      </c>
      <c r="H35" s="74">
        <f t="shared" si="10"/>
        <v>5499410</v>
      </c>
      <c r="I35" s="74">
        <f t="shared" si="10"/>
        <v>5709094</v>
      </c>
      <c r="J35" s="74">
        <f t="shared" si="10"/>
        <v>4405227</v>
      </c>
      <c r="K35" s="74">
        <f t="shared" si="10"/>
        <v>3950500</v>
      </c>
      <c r="L35" s="74">
        <f t="shared" si="10"/>
        <v>6141040</v>
      </c>
      <c r="M35" s="74">
        <f t="shared" si="10"/>
        <v>7130455</v>
      </c>
      <c r="N35" s="74">
        <f t="shared" si="10"/>
        <v>8694085</v>
      </c>
      <c r="O35" s="74">
        <f t="shared" si="10"/>
        <v>7898176</v>
      </c>
      <c r="P35" s="74">
        <f t="shared" si="10"/>
        <v>4799724</v>
      </c>
      <c r="Q35" s="74">
        <f t="shared" si="10"/>
        <v>70455</v>
      </c>
    </row>
    <row r="36" spans="1:19" s="37" customFormat="1" x14ac:dyDescent="0.25">
      <c r="A36" s="73" t="s">
        <v>34</v>
      </c>
      <c r="B36" s="73"/>
      <c r="C36" s="73">
        <v>0</v>
      </c>
      <c r="D36" s="73">
        <v>366364</v>
      </c>
      <c r="E36" s="73">
        <v>5079276</v>
      </c>
      <c r="F36" s="73">
        <v>6934547</v>
      </c>
      <c r="G36" s="73">
        <v>7928359</v>
      </c>
      <c r="H36" s="73">
        <v>8207255</v>
      </c>
      <c r="I36" s="73">
        <v>5089094</v>
      </c>
      <c r="J36" s="73">
        <v>6713633</v>
      </c>
      <c r="K36" s="73">
        <v>7457256</v>
      </c>
      <c r="L36" s="73">
        <v>9973633</v>
      </c>
      <c r="M36" s="73">
        <v>10945003</v>
      </c>
      <c r="N36" s="73">
        <v>12436525</v>
      </c>
      <c r="O36" s="73">
        <v>12449992</v>
      </c>
      <c r="P36" s="73">
        <v>6346905</v>
      </c>
      <c r="Q36" s="73">
        <v>0</v>
      </c>
    </row>
    <row r="37" spans="1:19" s="37" customFormat="1" x14ac:dyDescent="0.25">
      <c r="A37" s="74">
        <v>2</v>
      </c>
      <c r="B37" s="74">
        <f t="shared" ref="B37:Q37" si="11">ROUND((B36)/$A$33,0)</f>
        <v>0</v>
      </c>
      <c r="C37" s="74">
        <f t="shared" si="11"/>
        <v>0</v>
      </c>
      <c r="D37" s="74">
        <f t="shared" si="11"/>
        <v>183182</v>
      </c>
      <c r="E37" s="74">
        <f t="shared" si="11"/>
        <v>2539638</v>
      </c>
      <c r="F37" s="74">
        <f t="shared" si="11"/>
        <v>3467274</v>
      </c>
      <c r="G37" s="74">
        <f t="shared" si="11"/>
        <v>3964180</v>
      </c>
      <c r="H37" s="74">
        <f t="shared" si="11"/>
        <v>4103628</v>
      </c>
      <c r="I37" s="74">
        <f t="shared" si="11"/>
        <v>2544547</v>
      </c>
      <c r="J37" s="74">
        <f t="shared" si="11"/>
        <v>3356817</v>
      </c>
      <c r="K37" s="74">
        <f t="shared" si="11"/>
        <v>3728628</v>
      </c>
      <c r="L37" s="74">
        <f t="shared" si="11"/>
        <v>4986817</v>
      </c>
      <c r="M37" s="74">
        <f t="shared" si="11"/>
        <v>5472502</v>
      </c>
      <c r="N37" s="74">
        <f t="shared" si="11"/>
        <v>6218263</v>
      </c>
      <c r="O37" s="74">
        <f t="shared" si="11"/>
        <v>6224996</v>
      </c>
      <c r="P37" s="74">
        <f t="shared" si="11"/>
        <v>3173453</v>
      </c>
      <c r="Q37" s="74">
        <f t="shared" si="11"/>
        <v>0</v>
      </c>
    </row>
    <row r="38" spans="1:19" s="37" customFormat="1" x14ac:dyDescent="0.25">
      <c r="A38" s="73" t="s">
        <v>36</v>
      </c>
      <c r="B38" s="73">
        <v>0</v>
      </c>
      <c r="C38" s="73">
        <v>0</v>
      </c>
      <c r="D38" s="73">
        <v>1464545</v>
      </c>
      <c r="E38" s="73">
        <v>8387276</v>
      </c>
      <c r="F38" s="73">
        <v>11827279</v>
      </c>
      <c r="G38" s="73">
        <v>15505910</v>
      </c>
      <c r="H38" s="73">
        <v>14984540</v>
      </c>
      <c r="I38" s="73">
        <v>9379191</v>
      </c>
      <c r="J38" s="73">
        <v>11501366</v>
      </c>
      <c r="K38" s="73">
        <v>11159081</v>
      </c>
      <c r="L38" s="73">
        <v>14040900</v>
      </c>
      <c r="M38" s="73">
        <v>15355352</v>
      </c>
      <c r="N38" s="73">
        <v>20535448</v>
      </c>
      <c r="O38" s="73">
        <v>18003163</v>
      </c>
      <c r="P38" s="73">
        <v>12928999</v>
      </c>
      <c r="Q38" s="73">
        <v>1045545</v>
      </c>
    </row>
    <row r="39" spans="1:19" s="37" customFormat="1" x14ac:dyDescent="0.25">
      <c r="A39" s="74">
        <v>2</v>
      </c>
      <c r="B39" s="74">
        <f t="shared" ref="B39:Q39" si="12">ROUND((B38)/$A$33,0)</f>
        <v>0</v>
      </c>
      <c r="C39" s="74">
        <f t="shared" si="12"/>
        <v>0</v>
      </c>
      <c r="D39" s="74">
        <f t="shared" si="12"/>
        <v>732273</v>
      </c>
      <c r="E39" s="74">
        <f t="shared" si="12"/>
        <v>4193638</v>
      </c>
      <c r="F39" s="74">
        <f t="shared" si="12"/>
        <v>5913640</v>
      </c>
      <c r="G39" s="74">
        <f t="shared" si="12"/>
        <v>7752955</v>
      </c>
      <c r="H39" s="74">
        <f t="shared" si="12"/>
        <v>7492270</v>
      </c>
      <c r="I39" s="74">
        <f t="shared" si="12"/>
        <v>4689596</v>
      </c>
      <c r="J39" s="74">
        <f t="shared" si="12"/>
        <v>5750683</v>
      </c>
      <c r="K39" s="74">
        <f t="shared" si="12"/>
        <v>5579541</v>
      </c>
      <c r="L39" s="74">
        <f t="shared" si="12"/>
        <v>7020450</v>
      </c>
      <c r="M39" s="74">
        <f t="shared" si="12"/>
        <v>7677676</v>
      </c>
      <c r="N39" s="74">
        <f t="shared" si="12"/>
        <v>10267724</v>
      </c>
      <c r="O39" s="74">
        <f t="shared" si="12"/>
        <v>9001582</v>
      </c>
      <c r="P39" s="74">
        <f t="shared" si="12"/>
        <v>6464500</v>
      </c>
      <c r="Q39" s="74">
        <f t="shared" si="12"/>
        <v>522773</v>
      </c>
    </row>
    <row r="40" spans="1:19" s="37" customFormat="1" x14ac:dyDescent="0.25">
      <c r="A40" s="73" t="s">
        <v>41</v>
      </c>
      <c r="B40" s="73">
        <v>0</v>
      </c>
      <c r="C40" s="73">
        <v>0</v>
      </c>
      <c r="D40" s="73">
        <f>5*32182</f>
        <v>160910</v>
      </c>
      <c r="E40" s="73">
        <v>5087280</v>
      </c>
      <c r="F40" s="73">
        <v>8827279</v>
      </c>
      <c r="G40" s="73">
        <v>7426364</v>
      </c>
      <c r="H40" s="73">
        <v>8399630</v>
      </c>
      <c r="I40" s="73">
        <v>7174002</v>
      </c>
      <c r="J40" s="73">
        <v>8347276</v>
      </c>
      <c r="K40" s="73">
        <v>9787533</v>
      </c>
      <c r="L40" s="73">
        <v>6983641</v>
      </c>
      <c r="M40" s="73">
        <v>12976913</v>
      </c>
      <c r="N40" s="73">
        <v>13023628</v>
      </c>
      <c r="O40" s="73">
        <v>11800350</v>
      </c>
      <c r="P40" s="73">
        <v>7161905</v>
      </c>
      <c r="Q40" s="73">
        <v>0</v>
      </c>
    </row>
    <row r="41" spans="1:19" s="37" customFormat="1" x14ac:dyDescent="0.25">
      <c r="A41" s="74">
        <v>2</v>
      </c>
      <c r="B41" s="74">
        <f t="shared" ref="B41:Q41" si="13">ROUND((B40)/$A$33,0)</f>
        <v>0</v>
      </c>
      <c r="C41" s="74">
        <f t="shared" si="13"/>
        <v>0</v>
      </c>
      <c r="D41" s="74">
        <f t="shared" si="13"/>
        <v>80455</v>
      </c>
      <c r="E41" s="74">
        <f t="shared" si="13"/>
        <v>2543640</v>
      </c>
      <c r="F41" s="74">
        <f t="shared" si="13"/>
        <v>4413640</v>
      </c>
      <c r="G41" s="74">
        <f t="shared" si="13"/>
        <v>3713182</v>
      </c>
      <c r="H41" s="74">
        <f t="shared" si="13"/>
        <v>4199815</v>
      </c>
      <c r="I41" s="74">
        <f t="shared" si="13"/>
        <v>3587001</v>
      </c>
      <c r="J41" s="74">
        <f t="shared" si="13"/>
        <v>4173638</v>
      </c>
      <c r="K41" s="74">
        <f t="shared" si="13"/>
        <v>4893767</v>
      </c>
      <c r="L41" s="74">
        <f t="shared" si="13"/>
        <v>3491821</v>
      </c>
      <c r="M41" s="74">
        <f t="shared" si="13"/>
        <v>6488457</v>
      </c>
      <c r="N41" s="74">
        <f t="shared" si="13"/>
        <v>6511814</v>
      </c>
      <c r="O41" s="74">
        <f t="shared" si="13"/>
        <v>5900175</v>
      </c>
      <c r="P41" s="74">
        <f t="shared" si="13"/>
        <v>3580953</v>
      </c>
      <c r="Q41" s="74">
        <f t="shared" si="13"/>
        <v>0</v>
      </c>
    </row>
    <row r="42" spans="1:19" s="37" customFormat="1" x14ac:dyDescent="0.25">
      <c r="A42" s="45" t="s">
        <v>302</v>
      </c>
      <c r="B42" s="45">
        <f>ROUND((B41+B39+B37+B35+B33)/5,0)</f>
        <v>0</v>
      </c>
      <c r="C42" s="45">
        <f t="shared" ref="C42:Q42" si="14">ROUND((C41+C39+C37+C35+C33)/5,0)</f>
        <v>0</v>
      </c>
      <c r="D42" s="45">
        <f t="shared" si="14"/>
        <v>381909</v>
      </c>
      <c r="E42" s="45">
        <f t="shared" si="14"/>
        <v>3320256</v>
      </c>
      <c r="F42" s="45">
        <f t="shared" si="14"/>
        <v>4403904</v>
      </c>
      <c r="G42" s="45">
        <f t="shared" si="14"/>
        <v>4781973</v>
      </c>
      <c r="H42" s="45">
        <f t="shared" si="14"/>
        <v>4974297</v>
      </c>
      <c r="I42" s="45">
        <f t="shared" si="14"/>
        <v>3988948</v>
      </c>
      <c r="J42" s="45">
        <f t="shared" si="14"/>
        <v>4310528</v>
      </c>
      <c r="K42" s="45">
        <f t="shared" si="14"/>
        <v>4377215</v>
      </c>
      <c r="L42" s="45">
        <f t="shared" si="14"/>
        <v>5174262</v>
      </c>
      <c r="M42" s="45">
        <f t="shared" si="14"/>
        <v>6480172</v>
      </c>
      <c r="N42" s="45">
        <f t="shared" si="14"/>
        <v>7834667</v>
      </c>
      <c r="O42" s="45">
        <f t="shared" si="14"/>
        <v>7182257</v>
      </c>
      <c r="P42" s="45">
        <f t="shared" si="14"/>
        <v>4324999</v>
      </c>
      <c r="Q42" s="45">
        <f t="shared" si="14"/>
        <v>159918</v>
      </c>
      <c r="R42" s="37">
        <f>SUM(B42:Q42)</f>
        <v>61695305</v>
      </c>
    </row>
    <row r="43" spans="1:19" x14ac:dyDescent="0.25">
      <c r="A43" s="12" t="s">
        <v>303</v>
      </c>
      <c r="B43" s="12"/>
      <c r="C43" s="12">
        <v>2</v>
      </c>
      <c r="D43" s="12">
        <v>2</v>
      </c>
      <c r="E43" s="12">
        <v>4</v>
      </c>
      <c r="F43" s="12">
        <v>4</v>
      </c>
      <c r="G43" s="12">
        <v>4</v>
      </c>
      <c r="H43" s="12">
        <v>4</v>
      </c>
      <c r="I43" s="12">
        <v>4</v>
      </c>
      <c r="J43" s="12">
        <v>4</v>
      </c>
      <c r="K43" s="12">
        <v>4</v>
      </c>
      <c r="L43" s="12">
        <v>5</v>
      </c>
      <c r="M43" s="12">
        <v>5</v>
      </c>
      <c r="N43" s="12">
        <v>6</v>
      </c>
      <c r="O43" s="12">
        <v>6</v>
      </c>
      <c r="P43" s="12">
        <v>4</v>
      </c>
      <c r="Q43" s="2"/>
      <c r="R43" s="37">
        <f>SUM(B43:Q43)</f>
        <v>58</v>
      </c>
    </row>
    <row r="44" spans="1:19" x14ac:dyDescent="0.25">
      <c r="A44" s="12" t="s">
        <v>304</v>
      </c>
      <c r="B44" s="46">
        <f>B43*18000</f>
        <v>0</v>
      </c>
      <c r="C44" s="46">
        <f t="shared" ref="C44:Q44" si="15">C43*18000</f>
        <v>36000</v>
      </c>
      <c r="D44" s="46">
        <f t="shared" si="15"/>
        <v>36000</v>
      </c>
      <c r="E44" s="46">
        <f t="shared" si="15"/>
        <v>72000</v>
      </c>
      <c r="F44" s="46">
        <f t="shared" si="15"/>
        <v>72000</v>
      </c>
      <c r="G44" s="46">
        <f t="shared" si="15"/>
        <v>72000</v>
      </c>
      <c r="H44" s="46">
        <f t="shared" si="15"/>
        <v>72000</v>
      </c>
      <c r="I44" s="46">
        <f t="shared" si="15"/>
        <v>72000</v>
      </c>
      <c r="J44" s="46">
        <f t="shared" si="15"/>
        <v>72000</v>
      </c>
      <c r="K44" s="46">
        <f t="shared" si="15"/>
        <v>72000</v>
      </c>
      <c r="L44" s="46">
        <f>L43*18000</f>
        <v>90000</v>
      </c>
      <c r="M44" s="46">
        <f t="shared" si="15"/>
        <v>90000</v>
      </c>
      <c r="N44" s="46">
        <f t="shared" si="15"/>
        <v>108000</v>
      </c>
      <c r="O44" s="46">
        <f t="shared" si="15"/>
        <v>108000</v>
      </c>
      <c r="P44" s="46">
        <f t="shared" si="15"/>
        <v>72000</v>
      </c>
      <c r="Q44" s="46">
        <f t="shared" si="15"/>
        <v>0</v>
      </c>
      <c r="R44" s="37">
        <f>SUM(B44:Q44)</f>
        <v>1044000</v>
      </c>
      <c r="S44" s="47">
        <f>R44/R42</f>
        <v>1.6921871121311421E-2</v>
      </c>
    </row>
    <row r="46" spans="1:19" x14ac:dyDescent="0.25">
      <c r="A46" s="13" t="s">
        <v>75</v>
      </c>
    </row>
    <row r="47" spans="1:19" x14ac:dyDescent="0.25">
      <c r="A47" s="2" t="s">
        <v>62</v>
      </c>
      <c r="B47" s="2"/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/>
      <c r="L47" s="2"/>
      <c r="M47" s="2"/>
      <c r="N47" s="2"/>
      <c r="O47" s="2"/>
      <c r="P47" s="2"/>
      <c r="Q47" s="2"/>
    </row>
    <row r="48" spans="1:19" x14ac:dyDescent="0.25">
      <c r="A48" s="2" t="s">
        <v>62</v>
      </c>
      <c r="B48" s="2"/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/>
      <c r="L48" s="2"/>
      <c r="M48" s="2"/>
      <c r="N48" s="2"/>
      <c r="O48" s="2"/>
      <c r="P48" s="2"/>
      <c r="Q48" s="2"/>
    </row>
    <row r="49" spans="1:19" x14ac:dyDescent="0.25">
      <c r="A49" s="2" t="s">
        <v>182</v>
      </c>
      <c r="B49" s="2"/>
      <c r="C49" s="2"/>
      <c r="D49" s="2"/>
      <c r="E49" s="2">
        <v>1</v>
      </c>
      <c r="F49" s="2">
        <v>1</v>
      </c>
      <c r="G49" s="2">
        <v>1</v>
      </c>
      <c r="H49" s="2">
        <v>1</v>
      </c>
      <c r="I49" s="2"/>
      <c r="J49" s="2"/>
      <c r="K49" s="2"/>
      <c r="L49" s="2"/>
      <c r="M49" s="2"/>
      <c r="N49" s="2"/>
      <c r="O49" s="2"/>
      <c r="P49" s="2"/>
      <c r="Q49" s="2"/>
    </row>
    <row r="50" spans="1:19" x14ac:dyDescent="0.25">
      <c r="A50" s="2" t="s">
        <v>182</v>
      </c>
      <c r="B50" s="2"/>
      <c r="C50" s="2"/>
      <c r="D50" s="2"/>
      <c r="E50" s="2">
        <v>1</v>
      </c>
      <c r="F50" s="2">
        <v>1</v>
      </c>
      <c r="G50" s="2">
        <v>1</v>
      </c>
      <c r="H50" s="2">
        <v>1</v>
      </c>
      <c r="I50" s="2"/>
      <c r="J50" s="2"/>
      <c r="K50" s="2"/>
      <c r="L50" s="2"/>
      <c r="M50" s="2"/>
      <c r="N50" s="2"/>
      <c r="O50" s="2"/>
      <c r="P50" s="2"/>
      <c r="Q50" s="2"/>
    </row>
    <row r="51" spans="1:19" x14ac:dyDescent="0.25">
      <c r="A51" s="2" t="s">
        <v>390</v>
      </c>
      <c r="B51" s="2"/>
      <c r="C51" s="2"/>
      <c r="D51" s="2"/>
      <c r="E51" s="2"/>
      <c r="F51" s="2"/>
      <c r="G51" s="2"/>
      <c r="H51" s="2">
        <v>1</v>
      </c>
      <c r="I51" s="2">
        <v>1</v>
      </c>
      <c r="J51" s="2">
        <v>1</v>
      </c>
      <c r="K51" s="2">
        <v>1</v>
      </c>
      <c r="L51" s="2"/>
      <c r="M51" s="2"/>
      <c r="N51" s="2"/>
      <c r="O51" s="2"/>
      <c r="P51" s="2"/>
      <c r="Q51" s="2"/>
    </row>
    <row r="52" spans="1:19" x14ac:dyDescent="0.25">
      <c r="A52" s="2" t="s">
        <v>63</v>
      </c>
      <c r="B52" s="2"/>
      <c r="C52" s="2"/>
      <c r="D52" s="2"/>
      <c r="E52" s="2"/>
      <c r="F52" s="2"/>
      <c r="G52" s="2"/>
      <c r="H52" s="2"/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/>
    </row>
    <row r="53" spans="1:19" x14ac:dyDescent="0.25">
      <c r="A53" s="2" t="s">
        <v>63</v>
      </c>
      <c r="B53" s="2"/>
      <c r="C53" s="2"/>
      <c r="D53" s="2"/>
      <c r="E53" s="2"/>
      <c r="F53" s="2"/>
      <c r="G53" s="2"/>
      <c r="H53" s="2"/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/>
    </row>
    <row r="54" spans="1:19" x14ac:dyDescent="0.25">
      <c r="A54" s="2" t="s">
        <v>389</v>
      </c>
      <c r="B54" s="2"/>
      <c r="C54" s="2"/>
      <c r="D54" s="2"/>
      <c r="E54" s="2"/>
      <c r="F54" s="2"/>
      <c r="G54" s="2"/>
      <c r="H54" s="2"/>
      <c r="I54" s="2"/>
      <c r="J54" s="2"/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/>
      <c r="Q54" s="2"/>
    </row>
    <row r="55" spans="1:19" x14ac:dyDescent="0.25">
      <c r="A55" s="2" t="s">
        <v>161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/>
    </row>
    <row r="56" spans="1:19" x14ac:dyDescent="0.25">
      <c r="A56" s="2" t="s">
        <v>282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>
        <v>1</v>
      </c>
      <c r="M56" s="2">
        <v>1</v>
      </c>
      <c r="N56" s="2">
        <v>1</v>
      </c>
      <c r="O56" s="2">
        <v>1</v>
      </c>
      <c r="P56" s="2"/>
      <c r="Q56" s="2"/>
    </row>
    <row r="57" spans="1:19" x14ac:dyDescent="0.25">
      <c r="A57" s="2" t="s">
        <v>117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>
        <v>1</v>
      </c>
      <c r="N57" s="2">
        <v>1</v>
      </c>
      <c r="O57" s="2">
        <v>1</v>
      </c>
      <c r="P57" s="2">
        <v>1</v>
      </c>
      <c r="Q57" s="2"/>
    </row>
    <row r="58" spans="1:19" s="13" customFormat="1" x14ac:dyDescent="0.25">
      <c r="A58" s="7" t="s">
        <v>303</v>
      </c>
      <c r="B58" s="7">
        <f t="shared" ref="B58:Q58" si="16">SUM(B47:B57)</f>
        <v>0</v>
      </c>
      <c r="C58" s="7">
        <f t="shared" si="16"/>
        <v>2</v>
      </c>
      <c r="D58" s="7">
        <f t="shared" si="16"/>
        <v>2</v>
      </c>
      <c r="E58" s="7">
        <f t="shared" si="16"/>
        <v>4</v>
      </c>
      <c r="F58" s="7">
        <f t="shared" si="16"/>
        <v>4</v>
      </c>
      <c r="G58" s="7">
        <f t="shared" si="16"/>
        <v>4</v>
      </c>
      <c r="H58" s="7">
        <f t="shared" si="16"/>
        <v>5</v>
      </c>
      <c r="I58" s="7">
        <f t="shared" si="16"/>
        <v>5</v>
      </c>
      <c r="J58" s="7">
        <f t="shared" si="16"/>
        <v>5</v>
      </c>
      <c r="K58" s="7">
        <f t="shared" si="16"/>
        <v>4</v>
      </c>
      <c r="L58" s="7">
        <f t="shared" si="16"/>
        <v>5</v>
      </c>
      <c r="M58" s="7">
        <f t="shared" si="16"/>
        <v>6</v>
      </c>
      <c r="N58" s="7">
        <f t="shared" si="16"/>
        <v>6</v>
      </c>
      <c r="O58" s="7">
        <f t="shared" si="16"/>
        <v>6</v>
      </c>
      <c r="P58" s="7">
        <f t="shared" si="16"/>
        <v>4</v>
      </c>
      <c r="Q58" s="7">
        <f t="shared" si="16"/>
        <v>0</v>
      </c>
      <c r="R58" s="76">
        <f>SUM(B58:Q58)</f>
        <v>62</v>
      </c>
    </row>
    <row r="59" spans="1:19" x14ac:dyDescent="0.25">
      <c r="A59" s="12" t="s">
        <v>304</v>
      </c>
      <c r="B59" s="46">
        <f>B58*18000</f>
        <v>0</v>
      </c>
      <c r="C59" s="46">
        <f t="shared" ref="C59:Q59" si="17">C58*18000</f>
        <v>36000</v>
      </c>
      <c r="D59" s="46">
        <f t="shared" si="17"/>
        <v>36000</v>
      </c>
      <c r="E59" s="46">
        <f t="shared" si="17"/>
        <v>72000</v>
      </c>
      <c r="F59" s="46">
        <f t="shared" si="17"/>
        <v>72000</v>
      </c>
      <c r="G59" s="46">
        <f t="shared" si="17"/>
        <v>72000</v>
      </c>
      <c r="H59" s="46">
        <f t="shared" si="17"/>
        <v>90000</v>
      </c>
      <c r="I59" s="46">
        <f t="shared" si="17"/>
        <v>90000</v>
      </c>
      <c r="J59" s="46">
        <f t="shared" si="17"/>
        <v>90000</v>
      </c>
      <c r="K59" s="46">
        <f t="shared" si="17"/>
        <v>72000</v>
      </c>
      <c r="L59" s="46">
        <f t="shared" si="17"/>
        <v>90000</v>
      </c>
      <c r="M59" s="46">
        <f t="shared" si="17"/>
        <v>108000</v>
      </c>
      <c r="N59" s="46">
        <f t="shared" si="17"/>
        <v>108000</v>
      </c>
      <c r="O59" s="46">
        <f t="shared" si="17"/>
        <v>108000</v>
      </c>
      <c r="P59" s="46">
        <f t="shared" si="17"/>
        <v>72000</v>
      </c>
      <c r="Q59" s="46">
        <f t="shared" si="17"/>
        <v>0</v>
      </c>
      <c r="R59" s="37">
        <f>SUM(B59:Q59)</f>
        <v>1116000</v>
      </c>
      <c r="S59" s="47">
        <f>R59/R42</f>
        <v>1.8088896715884619E-2</v>
      </c>
    </row>
    <row r="61" spans="1:19" x14ac:dyDescent="0.25">
      <c r="A61" s="2"/>
      <c r="B61" s="2" t="s">
        <v>26</v>
      </c>
      <c r="C61" s="2" t="s">
        <v>27</v>
      </c>
    </row>
    <row r="62" spans="1:19" x14ac:dyDescent="0.25">
      <c r="A62" s="3" t="s">
        <v>0</v>
      </c>
      <c r="B62" s="2"/>
      <c r="C62" s="2"/>
      <c r="D62" s="2"/>
    </row>
    <row r="63" spans="1:19" x14ac:dyDescent="0.25">
      <c r="A63" s="2" t="s">
        <v>62</v>
      </c>
      <c r="B63" s="2" t="s">
        <v>67</v>
      </c>
      <c r="C63" s="2">
        <v>1</v>
      </c>
      <c r="D63" s="2">
        <f>C63*8</f>
        <v>8</v>
      </c>
    </row>
    <row r="64" spans="1:19" x14ac:dyDescent="0.25">
      <c r="A64" s="2" t="s">
        <v>62</v>
      </c>
      <c r="B64" s="2" t="s">
        <v>67</v>
      </c>
      <c r="C64" s="2">
        <v>1</v>
      </c>
      <c r="D64" s="2">
        <f>C64*8</f>
        <v>8</v>
      </c>
    </row>
    <row r="65" spans="1:14" x14ac:dyDescent="0.25">
      <c r="A65" s="2" t="s">
        <v>182</v>
      </c>
      <c r="B65" s="2" t="s">
        <v>68</v>
      </c>
      <c r="C65" s="2">
        <v>1</v>
      </c>
      <c r="D65" s="2">
        <f>14-10</f>
        <v>4</v>
      </c>
      <c r="F65" s="68" t="s">
        <v>114</v>
      </c>
      <c r="G65" s="3" t="s">
        <v>67</v>
      </c>
      <c r="H65" s="3" t="s">
        <v>68</v>
      </c>
      <c r="I65" s="3" t="s">
        <v>90</v>
      </c>
    </row>
    <row r="66" spans="1:14" x14ac:dyDescent="0.25">
      <c r="A66" s="2" t="s">
        <v>63</v>
      </c>
      <c r="B66" s="2" t="s">
        <v>67</v>
      </c>
      <c r="C66" s="2">
        <v>1</v>
      </c>
      <c r="D66" s="2">
        <v>8</v>
      </c>
      <c r="F66" s="11">
        <f>SUM(G66:I66)</f>
        <v>12</v>
      </c>
      <c r="G66" s="2">
        <v>4</v>
      </c>
      <c r="H66" s="2">
        <v>7</v>
      </c>
      <c r="I66" s="2">
        <v>1</v>
      </c>
    </row>
    <row r="67" spans="1:14" x14ac:dyDescent="0.25">
      <c r="A67" s="2" t="s">
        <v>63</v>
      </c>
      <c r="B67" s="2" t="s">
        <v>67</v>
      </c>
      <c r="C67" s="2">
        <v>1</v>
      </c>
      <c r="D67" s="2">
        <v>8</v>
      </c>
      <c r="F67" s="21"/>
      <c r="G67" s="22"/>
      <c r="H67" s="22"/>
      <c r="I67" s="22"/>
    </row>
    <row r="68" spans="1:14" x14ac:dyDescent="0.25">
      <c r="A68" s="2" t="s">
        <v>389</v>
      </c>
      <c r="B68" s="2" t="s">
        <v>68</v>
      </c>
      <c r="C68" s="2">
        <v>1</v>
      </c>
      <c r="D68" s="2">
        <f>21-16</f>
        <v>5</v>
      </c>
      <c r="F68" s="21"/>
      <c r="G68" s="22"/>
      <c r="H68" s="22"/>
      <c r="I68" s="22"/>
    </row>
    <row r="69" spans="1:14" x14ac:dyDescent="0.25">
      <c r="A69" s="2" t="s">
        <v>117</v>
      </c>
      <c r="B69" s="2" t="s">
        <v>68</v>
      </c>
      <c r="C69" s="2">
        <v>1</v>
      </c>
      <c r="D69" s="2">
        <f>22-18</f>
        <v>4</v>
      </c>
      <c r="F69" s="21"/>
      <c r="G69" s="22"/>
      <c r="H69" s="22"/>
      <c r="I69" s="22"/>
    </row>
    <row r="70" spans="1:14" x14ac:dyDescent="0.25">
      <c r="A70" s="2" t="s">
        <v>87</v>
      </c>
      <c r="B70" s="2" t="s">
        <v>391</v>
      </c>
      <c r="C70" s="2">
        <v>4</v>
      </c>
      <c r="D70" s="2"/>
    </row>
    <row r="71" spans="1:14" x14ac:dyDescent="0.25">
      <c r="A71" s="2" t="s">
        <v>88</v>
      </c>
      <c r="B71" s="2"/>
      <c r="C71" s="2">
        <v>1</v>
      </c>
      <c r="D71" s="2"/>
      <c r="F71" s="68" t="s">
        <v>89</v>
      </c>
      <c r="G71" s="3" t="s">
        <v>67</v>
      </c>
      <c r="H71" s="3" t="s">
        <v>68</v>
      </c>
      <c r="I71" s="3" t="s">
        <v>90</v>
      </c>
      <c r="K71" s="68" t="s">
        <v>102</v>
      </c>
      <c r="L71" s="3" t="s">
        <v>67</v>
      </c>
      <c r="M71" s="3" t="s">
        <v>68</v>
      </c>
      <c r="N71" s="3" t="s">
        <v>90</v>
      </c>
    </row>
    <row r="72" spans="1:14" x14ac:dyDescent="0.25">
      <c r="A72" s="3" t="s">
        <v>66</v>
      </c>
      <c r="B72" s="3"/>
      <c r="C72" s="3">
        <f>SUM(C63:C71)</f>
        <v>12</v>
      </c>
      <c r="D72" s="3">
        <f>SUM(D63:D71)</f>
        <v>45</v>
      </c>
      <c r="F72" s="11">
        <f>SUM(G72:I72)</f>
        <v>9</v>
      </c>
      <c r="G72" s="2">
        <v>3</v>
      </c>
      <c r="H72" s="2">
        <v>5</v>
      </c>
      <c r="I72" s="2">
        <v>1</v>
      </c>
      <c r="K72" s="11">
        <f>F72-F66</f>
        <v>-3</v>
      </c>
      <c r="L72" s="11">
        <f>G72-G66</f>
        <v>-1</v>
      </c>
      <c r="M72" s="11">
        <f>H72-H66</f>
        <v>-2</v>
      </c>
      <c r="N72" s="11">
        <f>I72-I66</f>
        <v>0</v>
      </c>
    </row>
    <row r="73" spans="1:14" x14ac:dyDescent="0.25">
      <c r="A73" s="3" t="s">
        <v>2</v>
      </c>
      <c r="B73" s="2"/>
      <c r="C73" s="2"/>
      <c r="D73" s="2"/>
    </row>
    <row r="74" spans="1:14" x14ac:dyDescent="0.25">
      <c r="A74" s="2" t="s">
        <v>62</v>
      </c>
      <c r="B74" s="2" t="s">
        <v>67</v>
      </c>
      <c r="C74" s="2">
        <v>1</v>
      </c>
      <c r="D74" s="2">
        <f>C74*8</f>
        <v>8</v>
      </c>
      <c r="L74" s="1" t="s">
        <v>392</v>
      </c>
    </row>
    <row r="75" spans="1:14" x14ac:dyDescent="0.25">
      <c r="A75" s="2" t="s">
        <v>62</v>
      </c>
      <c r="B75" s="2" t="s">
        <v>67</v>
      </c>
      <c r="C75" s="2">
        <v>1</v>
      </c>
      <c r="D75" s="2">
        <f t="shared" ref="D75" si="18">C75*8</f>
        <v>8</v>
      </c>
    </row>
    <row r="76" spans="1:14" x14ac:dyDescent="0.25">
      <c r="A76" s="2" t="s">
        <v>182</v>
      </c>
      <c r="B76" s="2" t="s">
        <v>68</v>
      </c>
      <c r="C76" s="2">
        <v>1</v>
      </c>
      <c r="D76" s="2">
        <f>14-10</f>
        <v>4</v>
      </c>
    </row>
    <row r="77" spans="1:14" x14ac:dyDescent="0.25">
      <c r="A77" s="2" t="s">
        <v>182</v>
      </c>
      <c r="B77" s="2" t="s">
        <v>68</v>
      </c>
      <c r="C77" s="2">
        <v>1</v>
      </c>
      <c r="D77" s="2">
        <f>14-10</f>
        <v>4</v>
      </c>
    </row>
    <row r="78" spans="1:14" x14ac:dyDescent="0.25">
      <c r="A78" s="2" t="s">
        <v>390</v>
      </c>
      <c r="B78" s="2" t="s">
        <v>68</v>
      </c>
      <c r="C78" s="2">
        <v>1</v>
      </c>
      <c r="D78" s="2">
        <f>17-13</f>
        <v>4</v>
      </c>
    </row>
    <row r="79" spans="1:14" x14ac:dyDescent="0.25">
      <c r="A79" s="2" t="s">
        <v>63</v>
      </c>
      <c r="B79" s="2" t="s">
        <v>67</v>
      </c>
      <c r="C79" s="2">
        <v>1</v>
      </c>
      <c r="D79" s="2">
        <f>22-14</f>
        <v>8</v>
      </c>
    </row>
    <row r="80" spans="1:14" x14ac:dyDescent="0.25">
      <c r="A80" s="2" t="s">
        <v>63</v>
      </c>
      <c r="B80" s="2" t="s">
        <v>67</v>
      </c>
      <c r="C80" s="2">
        <v>1</v>
      </c>
      <c r="D80" s="2">
        <v>8</v>
      </c>
    </row>
    <row r="81" spans="1:22" x14ac:dyDescent="0.25">
      <c r="A81" s="2" t="s">
        <v>389</v>
      </c>
      <c r="B81" s="2" t="s">
        <v>68</v>
      </c>
      <c r="C81" s="2">
        <v>1</v>
      </c>
      <c r="D81" s="2">
        <f>21-16</f>
        <v>5</v>
      </c>
    </row>
    <row r="82" spans="1:22" x14ac:dyDescent="0.25">
      <c r="A82" s="2" t="s">
        <v>161</v>
      </c>
      <c r="B82" s="2" t="s">
        <v>68</v>
      </c>
      <c r="C82" s="2">
        <v>1</v>
      </c>
      <c r="D82" s="2">
        <f>22-17</f>
        <v>5</v>
      </c>
    </row>
    <row r="83" spans="1:22" x14ac:dyDescent="0.25">
      <c r="A83" s="2" t="s">
        <v>282</v>
      </c>
      <c r="B83" s="2" t="s">
        <v>68</v>
      </c>
      <c r="C83" s="2">
        <v>1</v>
      </c>
      <c r="D83" s="2">
        <f>21-17</f>
        <v>4</v>
      </c>
    </row>
    <row r="84" spans="1:22" x14ac:dyDescent="0.25">
      <c r="A84" s="2" t="s">
        <v>117</v>
      </c>
      <c r="B84" s="2" t="s">
        <v>68</v>
      </c>
      <c r="C84" s="2">
        <v>1</v>
      </c>
      <c r="D84" s="2">
        <f>22-18</f>
        <v>4</v>
      </c>
    </row>
    <row r="85" spans="1:22" x14ac:dyDescent="0.25">
      <c r="A85" s="2" t="s">
        <v>88</v>
      </c>
      <c r="B85" s="2"/>
      <c r="C85" s="2">
        <v>1</v>
      </c>
      <c r="D85" s="2"/>
    </row>
    <row r="86" spans="1:22" x14ac:dyDescent="0.25">
      <c r="A86" s="3" t="s">
        <v>66</v>
      </c>
      <c r="B86" s="3"/>
      <c r="C86" s="3">
        <f>SUM(C74:C85)</f>
        <v>12</v>
      </c>
      <c r="D86" s="3">
        <f>SUM(D74:D85)</f>
        <v>62</v>
      </c>
    </row>
    <row r="88" spans="1:22" x14ac:dyDescent="0.25">
      <c r="A88" s="2" t="s">
        <v>22</v>
      </c>
      <c r="B88" s="2"/>
      <c r="C88" s="2"/>
      <c r="E88" s="1" t="s">
        <v>64</v>
      </c>
      <c r="F88" s="1" t="s">
        <v>70</v>
      </c>
    </row>
    <row r="89" spans="1:22" x14ac:dyDescent="0.25">
      <c r="A89" s="3" t="s">
        <v>0</v>
      </c>
      <c r="B89" s="2"/>
      <c r="C89" s="2"/>
      <c r="E89" s="1" t="s">
        <v>69</v>
      </c>
      <c r="F89" s="1" t="s">
        <v>71</v>
      </c>
    </row>
    <row r="90" spans="1:22" x14ac:dyDescent="0.25">
      <c r="A90" s="2" t="s">
        <v>23</v>
      </c>
      <c r="B90" s="2">
        <f>22-10</f>
        <v>12</v>
      </c>
      <c r="C90" s="2" t="s">
        <v>24</v>
      </c>
      <c r="E90" s="1">
        <f>D72</f>
        <v>45</v>
      </c>
      <c r="F90" s="1" t="s">
        <v>24</v>
      </c>
      <c r="G90" s="1">
        <f>E90/B90</f>
        <v>3.75</v>
      </c>
      <c r="H90" s="1" t="s">
        <v>76</v>
      </c>
    </row>
    <row r="91" spans="1:22" x14ac:dyDescent="0.25">
      <c r="A91" s="3" t="s">
        <v>2</v>
      </c>
      <c r="B91" s="2"/>
      <c r="C91" s="2"/>
    </row>
    <row r="92" spans="1:22" x14ac:dyDescent="0.25">
      <c r="A92" s="2" t="s">
        <v>23</v>
      </c>
      <c r="B92" s="2">
        <f>22-10</f>
        <v>12</v>
      </c>
      <c r="C92" s="2" t="s">
        <v>24</v>
      </c>
      <c r="E92" s="1">
        <f>D86</f>
        <v>62</v>
      </c>
      <c r="F92" s="1" t="s">
        <v>24</v>
      </c>
      <c r="G92" s="1">
        <f>E92/B92</f>
        <v>5.166666666666667</v>
      </c>
      <c r="H92" s="1" t="s">
        <v>76</v>
      </c>
    </row>
    <row r="94" spans="1:22" customFormat="1" x14ac:dyDescent="0.25">
      <c r="A94" s="48" t="s">
        <v>307</v>
      </c>
      <c r="B94" s="1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</row>
    <row r="95" spans="1:22" customFormat="1" x14ac:dyDescent="0.25">
      <c r="A95" s="48"/>
      <c r="B95" s="1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</row>
    <row r="96" spans="1:22" customFormat="1" x14ac:dyDescent="0.25">
      <c r="A96" s="50" t="s">
        <v>308</v>
      </c>
      <c r="B96" s="51" t="s">
        <v>309</v>
      </c>
      <c r="C96" s="52" t="s">
        <v>310</v>
      </c>
      <c r="D96" s="51" t="s">
        <v>311</v>
      </c>
      <c r="E96" s="51" t="s">
        <v>312</v>
      </c>
      <c r="F96" s="53" t="s">
        <v>313</v>
      </c>
      <c r="G96" s="51" t="s">
        <v>314</v>
      </c>
      <c r="H96" s="1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</row>
    <row r="97" spans="1:22" customFormat="1" x14ac:dyDescent="0.25">
      <c r="A97" s="50" t="s">
        <v>315</v>
      </c>
      <c r="B97" s="51">
        <v>1</v>
      </c>
      <c r="C97" s="51">
        <v>1</v>
      </c>
      <c r="D97" s="51">
        <v>1</v>
      </c>
      <c r="E97" s="51">
        <v>1</v>
      </c>
      <c r="F97" s="51">
        <v>1</v>
      </c>
      <c r="G97" s="51">
        <v>1</v>
      </c>
      <c r="H97" s="1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</row>
    <row r="98" spans="1:22" customFormat="1" x14ac:dyDescent="0.25">
      <c r="A98" s="50" t="s">
        <v>316</v>
      </c>
      <c r="B98" s="51">
        <v>1</v>
      </c>
      <c r="C98" s="51">
        <v>1</v>
      </c>
      <c r="D98" s="51">
        <v>1</v>
      </c>
      <c r="E98" s="51">
        <v>1</v>
      </c>
      <c r="F98" s="51">
        <v>1</v>
      </c>
      <c r="G98" s="51">
        <v>2</v>
      </c>
      <c r="H98" s="1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</row>
    <row r="99" spans="1:22" customFormat="1" x14ac:dyDescent="0.25">
      <c r="A99" s="50" t="s">
        <v>317</v>
      </c>
      <c r="B99" s="51">
        <v>1</v>
      </c>
      <c r="C99" s="51">
        <v>1</v>
      </c>
      <c r="D99" s="51">
        <v>1</v>
      </c>
      <c r="E99" s="51">
        <v>2</v>
      </c>
      <c r="F99" s="51">
        <v>2</v>
      </c>
      <c r="G99" s="51">
        <v>2</v>
      </c>
      <c r="H99" s="1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</row>
    <row r="100" spans="1:22" customFormat="1" x14ac:dyDescent="0.25">
      <c r="A100" s="50" t="s">
        <v>318</v>
      </c>
      <c r="B100" s="51">
        <v>0</v>
      </c>
      <c r="C100" s="51">
        <v>1</v>
      </c>
      <c r="D100" s="51">
        <v>1</v>
      </c>
      <c r="E100" s="51">
        <v>1</v>
      </c>
      <c r="F100" s="51">
        <v>1</v>
      </c>
      <c r="G100" s="51">
        <v>1</v>
      </c>
      <c r="H100" s="1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</row>
    <row r="101" spans="1:22" customFormat="1" x14ac:dyDescent="0.25">
      <c r="A101" s="50" t="s">
        <v>319</v>
      </c>
      <c r="B101" s="51">
        <f t="shared" ref="B101:G101" si="19">SUM(B97:B100)</f>
        <v>3</v>
      </c>
      <c r="C101" s="51">
        <f t="shared" si="19"/>
        <v>4</v>
      </c>
      <c r="D101" s="51">
        <f t="shared" si="19"/>
        <v>4</v>
      </c>
      <c r="E101" s="51">
        <f t="shared" si="19"/>
        <v>5</v>
      </c>
      <c r="F101" s="51">
        <f t="shared" si="19"/>
        <v>5</v>
      </c>
      <c r="G101" s="51">
        <f t="shared" si="19"/>
        <v>6</v>
      </c>
      <c r="H101" s="1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</row>
    <row r="102" spans="1:22" customFormat="1" x14ac:dyDescent="0.25">
      <c r="B102" s="49"/>
      <c r="C102" s="49"/>
      <c r="D102" s="49"/>
      <c r="E102" s="49"/>
      <c r="F102" s="49"/>
      <c r="G102" s="49"/>
      <c r="H102" s="1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</row>
    <row r="103" spans="1:22" customFormat="1" x14ac:dyDescent="0.25">
      <c r="A103" s="50" t="s">
        <v>320</v>
      </c>
      <c r="B103" s="54">
        <f>22-10</f>
        <v>12</v>
      </c>
      <c r="C103" s="54">
        <f t="shared" ref="C103:G103" si="20">22-10</f>
        <v>12</v>
      </c>
      <c r="D103" s="54">
        <f t="shared" si="20"/>
        <v>12</v>
      </c>
      <c r="E103" s="54">
        <f t="shared" si="20"/>
        <v>12</v>
      </c>
      <c r="F103" s="54">
        <f t="shared" si="20"/>
        <v>12</v>
      </c>
      <c r="G103" s="54">
        <f t="shared" si="20"/>
        <v>12</v>
      </c>
      <c r="H103" s="1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</row>
    <row r="104" spans="1:22" customFormat="1" x14ac:dyDescent="0.25">
      <c r="A104" s="50" t="s">
        <v>321</v>
      </c>
      <c r="B104" s="54">
        <v>2</v>
      </c>
      <c r="C104" s="54">
        <v>2</v>
      </c>
      <c r="D104" s="54">
        <v>2</v>
      </c>
      <c r="E104" s="54">
        <v>2</v>
      </c>
      <c r="F104" s="54">
        <v>2</v>
      </c>
      <c r="G104" s="54">
        <v>2</v>
      </c>
      <c r="H104" s="1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</row>
    <row r="105" spans="1:22" customFormat="1" x14ac:dyDescent="0.25">
      <c r="A105" s="50" t="s">
        <v>322</v>
      </c>
      <c r="B105" s="55">
        <f t="shared" ref="B105:G105" si="21">SUM(B103+B104)/8</f>
        <v>1.75</v>
      </c>
      <c r="C105" s="55">
        <f t="shared" si="21"/>
        <v>1.75</v>
      </c>
      <c r="D105" s="55">
        <f t="shared" si="21"/>
        <v>1.75</v>
      </c>
      <c r="E105" s="55">
        <f t="shared" si="21"/>
        <v>1.75</v>
      </c>
      <c r="F105" s="55">
        <f t="shared" si="21"/>
        <v>1.75</v>
      </c>
      <c r="G105" s="55">
        <f t="shared" si="21"/>
        <v>1.75</v>
      </c>
      <c r="H105" s="1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</row>
    <row r="106" spans="1:22" customFormat="1" x14ac:dyDescent="0.25">
      <c r="A106" s="50" t="s">
        <v>323</v>
      </c>
      <c r="B106" s="55">
        <f>SUM(B101*B105)</f>
        <v>5.25</v>
      </c>
      <c r="C106" s="55">
        <f t="shared" ref="C106:G106" si="22">SUM(C101*C105)</f>
        <v>7</v>
      </c>
      <c r="D106" s="55">
        <f t="shared" si="22"/>
        <v>7</v>
      </c>
      <c r="E106" s="55">
        <f t="shared" si="22"/>
        <v>8.75</v>
      </c>
      <c r="F106" s="55">
        <f t="shared" si="22"/>
        <v>8.75</v>
      </c>
      <c r="G106" s="55">
        <f t="shared" si="22"/>
        <v>10.5</v>
      </c>
      <c r="H106" s="1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</row>
    <row r="107" spans="1:22" customFormat="1" x14ac:dyDescent="0.25">
      <c r="B107" s="49"/>
      <c r="C107" s="49"/>
      <c r="D107" s="49"/>
      <c r="E107" s="49"/>
      <c r="F107" s="49"/>
      <c r="G107" s="49"/>
      <c r="H107" s="1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</row>
    <row r="108" spans="1:22" customFormat="1" x14ac:dyDescent="0.25">
      <c r="A108" s="50" t="s">
        <v>324</v>
      </c>
      <c r="B108" s="55">
        <f>SUM(B106*7)/6</f>
        <v>6.125</v>
      </c>
      <c r="C108" s="55">
        <f t="shared" ref="C108:G108" si="23">SUM(C106*7)/6</f>
        <v>8.1666666666666661</v>
      </c>
      <c r="D108" s="55">
        <f t="shared" si="23"/>
        <v>8.1666666666666661</v>
      </c>
      <c r="E108" s="55">
        <f t="shared" si="23"/>
        <v>10.208333333333334</v>
      </c>
      <c r="F108" s="55">
        <f t="shared" si="23"/>
        <v>10.208333333333334</v>
      </c>
      <c r="G108" s="55">
        <f t="shared" si="23"/>
        <v>12.25</v>
      </c>
      <c r="H108" s="1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</row>
    <row r="110" spans="1:22" x14ac:dyDescent="0.25">
      <c r="E110" s="1" t="s">
        <v>94</v>
      </c>
      <c r="F110" s="1" t="s">
        <v>95</v>
      </c>
      <c r="G110" s="1" t="s">
        <v>99</v>
      </c>
    </row>
    <row r="111" spans="1:22" ht="25.5" x14ac:dyDescent="0.35">
      <c r="A111" s="14" t="s">
        <v>84</v>
      </c>
      <c r="B111" s="15"/>
      <c r="C111" s="15"/>
      <c r="D111" s="15"/>
      <c r="E111" s="1" t="s">
        <v>104</v>
      </c>
      <c r="F111" s="1" t="s">
        <v>105</v>
      </c>
      <c r="G111" s="1" t="s">
        <v>100</v>
      </c>
    </row>
    <row r="113" spans="1:12" x14ac:dyDescent="0.25">
      <c r="A113" s="68" t="s">
        <v>80</v>
      </c>
      <c r="B113" s="68" t="s">
        <v>81</v>
      </c>
      <c r="C113" s="68" t="s">
        <v>82</v>
      </c>
      <c r="D113" s="68" t="s">
        <v>66</v>
      </c>
    </row>
    <row r="114" spans="1:12" x14ac:dyDescent="0.25">
      <c r="A114" s="3" t="s">
        <v>0</v>
      </c>
      <c r="B114" s="2"/>
      <c r="C114" s="2"/>
      <c r="D114" s="68"/>
    </row>
    <row r="115" spans="1:12" x14ac:dyDescent="0.25">
      <c r="A115" s="36" t="s">
        <v>143</v>
      </c>
      <c r="B115" s="2">
        <v>859</v>
      </c>
      <c r="C115" s="2">
        <v>133</v>
      </c>
      <c r="D115" s="68">
        <f>B115+C115</f>
        <v>992</v>
      </c>
    </row>
    <row r="116" spans="1:12" x14ac:dyDescent="0.25">
      <c r="A116" s="2" t="s">
        <v>144</v>
      </c>
      <c r="B116" s="2">
        <v>51</v>
      </c>
      <c r="C116" s="2">
        <v>0</v>
      </c>
      <c r="D116" s="68">
        <f>B116+C116</f>
        <v>51</v>
      </c>
      <c r="E116" s="1">
        <f>D116+D117</f>
        <v>95</v>
      </c>
    </row>
    <row r="117" spans="1:12" x14ac:dyDescent="0.25">
      <c r="A117" s="2" t="s">
        <v>301</v>
      </c>
      <c r="B117" s="2">
        <v>44</v>
      </c>
      <c r="C117" s="2">
        <v>0</v>
      </c>
      <c r="D117" s="68">
        <f>B117+C117</f>
        <v>44</v>
      </c>
    </row>
    <row r="118" spans="1:12" x14ac:dyDescent="0.25">
      <c r="A118" s="3" t="s">
        <v>2</v>
      </c>
      <c r="B118" s="2"/>
      <c r="C118" s="2"/>
      <c r="D118" s="68"/>
    </row>
    <row r="119" spans="1:12" x14ac:dyDescent="0.25">
      <c r="A119" s="36" t="s">
        <v>143</v>
      </c>
      <c r="B119" s="2">
        <v>2281</v>
      </c>
      <c r="C119" s="2">
        <v>144</v>
      </c>
      <c r="D119" s="68">
        <f>B119+C119</f>
        <v>2425</v>
      </c>
    </row>
    <row r="120" spans="1:12" x14ac:dyDescent="0.25">
      <c r="A120" s="2" t="s">
        <v>144</v>
      </c>
      <c r="B120" s="2">
        <v>103</v>
      </c>
      <c r="C120" s="2">
        <v>0</v>
      </c>
      <c r="D120" s="68">
        <f>B120+C120</f>
        <v>103</v>
      </c>
      <c r="E120" s="1">
        <f>D120+D121</f>
        <v>187</v>
      </c>
    </row>
    <row r="121" spans="1:12" x14ac:dyDescent="0.25">
      <c r="A121" s="2" t="s">
        <v>301</v>
      </c>
      <c r="B121" s="2">
        <v>84</v>
      </c>
      <c r="C121" s="2">
        <v>0</v>
      </c>
      <c r="D121" s="68">
        <f>B121+C121</f>
        <v>84</v>
      </c>
    </row>
    <row r="123" spans="1:12" x14ac:dyDescent="0.25">
      <c r="A123" s="68" t="s">
        <v>103</v>
      </c>
      <c r="B123" s="3" t="s">
        <v>67</v>
      </c>
      <c r="C123" s="68" t="s">
        <v>101</v>
      </c>
      <c r="D123" s="3" t="s">
        <v>90</v>
      </c>
      <c r="F123" s="68" t="s">
        <v>89</v>
      </c>
      <c r="G123" s="3" t="s">
        <v>67</v>
      </c>
      <c r="H123" s="3" t="s">
        <v>90</v>
      </c>
      <c r="J123" s="68" t="s">
        <v>102</v>
      </c>
      <c r="K123" s="3" t="s">
        <v>67</v>
      </c>
      <c r="L123" s="3" t="s">
        <v>90</v>
      </c>
    </row>
    <row r="124" spans="1:12" x14ac:dyDescent="0.25">
      <c r="A124" s="11">
        <f>SUM(B124:D124)</f>
        <v>7</v>
      </c>
      <c r="B124" s="2">
        <v>5</v>
      </c>
      <c r="C124" s="2">
        <v>1</v>
      </c>
      <c r="D124" s="2">
        <v>1</v>
      </c>
      <c r="F124" s="11">
        <f>SUM(G124:H124)</f>
        <v>7</v>
      </c>
      <c r="G124" s="2">
        <v>6</v>
      </c>
      <c r="H124" s="2">
        <v>1</v>
      </c>
      <c r="J124" s="11">
        <f>A124-F124</f>
        <v>0</v>
      </c>
      <c r="K124" s="2">
        <v>0</v>
      </c>
      <c r="L124" s="2"/>
    </row>
  </sheetData>
  <pageMargins left="0" right="0" top="0" bottom="0" header="0" footer="0"/>
  <pageSetup paperSize="9" scale="5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Q103"/>
  <sheetViews>
    <sheetView topLeftCell="B22" workbookViewId="0">
      <selection activeCell="Q36" sqref="Q36"/>
    </sheetView>
  </sheetViews>
  <sheetFormatPr defaultRowHeight="15.75" x14ac:dyDescent="0.25"/>
  <cols>
    <col min="1" max="1" width="26.5703125" style="1" bestFit="1" customWidth="1"/>
    <col min="2" max="3" width="14.85546875" style="1" bestFit="1" customWidth="1"/>
    <col min="4" max="5" width="9.7109375" style="1" bestFit="1" customWidth="1"/>
    <col min="6" max="6" width="9.5703125" style="1" bestFit="1" customWidth="1"/>
    <col min="7" max="7" width="13.85546875" style="1" bestFit="1" customWidth="1"/>
    <col min="8" max="9" width="9.5703125" style="1" bestFit="1" customWidth="1"/>
    <col min="10" max="10" width="12" style="1" customWidth="1"/>
    <col min="11" max="16" width="9.5703125" style="1" bestFit="1" customWidth="1"/>
    <col min="17" max="16384" width="9.140625" style="1"/>
  </cols>
  <sheetData>
    <row r="2" spans="1:17" x14ac:dyDescent="0.25">
      <c r="A2" s="2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</row>
    <row r="3" spans="1:17" x14ac:dyDescent="0.25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5">
      <c r="A4" s="2" t="s">
        <v>28</v>
      </c>
      <c r="B4" s="2">
        <v>11</v>
      </c>
      <c r="C4" s="2">
        <v>31</v>
      </c>
      <c r="D4" s="2">
        <v>36</v>
      </c>
      <c r="E4" s="2">
        <v>41</v>
      </c>
      <c r="F4" s="2">
        <v>49</v>
      </c>
      <c r="G4" s="2">
        <v>34</v>
      </c>
      <c r="H4" s="2">
        <v>41</v>
      </c>
      <c r="I4" s="2">
        <v>55</v>
      </c>
      <c r="J4" s="2">
        <v>54</v>
      </c>
      <c r="K4" s="2">
        <v>66</v>
      </c>
      <c r="L4" s="2">
        <v>84</v>
      </c>
      <c r="M4" s="2">
        <v>88</v>
      </c>
      <c r="N4" s="2">
        <v>128</v>
      </c>
      <c r="O4" s="2">
        <v>77</v>
      </c>
      <c r="P4" s="2">
        <v>5</v>
      </c>
    </row>
    <row r="5" spans="1:17" x14ac:dyDescent="0.25">
      <c r="A5" s="4">
        <v>5</v>
      </c>
      <c r="B5" s="4">
        <f t="shared" ref="B5:P5" si="0">ROUND(B4/$A$5,0)</f>
        <v>2</v>
      </c>
      <c r="C5" s="4">
        <f t="shared" si="0"/>
        <v>6</v>
      </c>
      <c r="D5" s="4">
        <f t="shared" si="0"/>
        <v>7</v>
      </c>
      <c r="E5" s="4">
        <f t="shared" si="0"/>
        <v>8</v>
      </c>
      <c r="F5" s="4">
        <f t="shared" si="0"/>
        <v>10</v>
      </c>
      <c r="G5" s="4">
        <f t="shared" si="0"/>
        <v>7</v>
      </c>
      <c r="H5" s="4">
        <f t="shared" si="0"/>
        <v>8</v>
      </c>
      <c r="I5" s="4">
        <f t="shared" si="0"/>
        <v>11</v>
      </c>
      <c r="J5" s="4">
        <f t="shared" si="0"/>
        <v>11</v>
      </c>
      <c r="K5" s="4">
        <f t="shared" si="0"/>
        <v>13</v>
      </c>
      <c r="L5" s="4">
        <f t="shared" si="0"/>
        <v>17</v>
      </c>
      <c r="M5" s="4">
        <f t="shared" si="0"/>
        <v>18</v>
      </c>
      <c r="N5" s="4">
        <f t="shared" si="0"/>
        <v>26</v>
      </c>
      <c r="O5" s="4">
        <f t="shared" si="0"/>
        <v>15</v>
      </c>
      <c r="P5" s="4">
        <f t="shared" si="0"/>
        <v>1</v>
      </c>
    </row>
    <row r="6" spans="1:17" x14ac:dyDescent="0.25">
      <c r="A6" s="2" t="s">
        <v>31</v>
      </c>
      <c r="B6" s="2">
        <v>31</v>
      </c>
      <c r="C6" s="2">
        <v>49</v>
      </c>
      <c r="D6" s="2">
        <v>58</v>
      </c>
      <c r="E6" s="2">
        <v>56</v>
      </c>
      <c r="F6" s="2">
        <v>57</v>
      </c>
      <c r="G6" s="2">
        <v>40</v>
      </c>
      <c r="H6" s="2">
        <v>46</v>
      </c>
      <c r="I6" s="2">
        <v>55</v>
      </c>
      <c r="J6" s="2">
        <v>84</v>
      </c>
      <c r="K6" s="2">
        <v>63</v>
      </c>
      <c r="L6" s="2">
        <v>79</v>
      </c>
      <c r="M6" s="2">
        <v>117</v>
      </c>
      <c r="N6" s="2">
        <v>111</v>
      </c>
      <c r="O6" s="2">
        <v>84</v>
      </c>
      <c r="P6" s="2">
        <v>2</v>
      </c>
    </row>
    <row r="7" spans="1:17" x14ac:dyDescent="0.25">
      <c r="A7" s="4">
        <v>5</v>
      </c>
      <c r="B7" s="4">
        <f t="shared" ref="B7:P7" si="1">ROUND(B6/$A$5,0)</f>
        <v>6</v>
      </c>
      <c r="C7" s="4">
        <f t="shared" si="1"/>
        <v>10</v>
      </c>
      <c r="D7" s="4">
        <f t="shared" si="1"/>
        <v>12</v>
      </c>
      <c r="E7" s="4">
        <f t="shared" si="1"/>
        <v>11</v>
      </c>
      <c r="F7" s="4">
        <f t="shared" si="1"/>
        <v>11</v>
      </c>
      <c r="G7" s="4">
        <f t="shared" si="1"/>
        <v>8</v>
      </c>
      <c r="H7" s="4">
        <f t="shared" si="1"/>
        <v>9</v>
      </c>
      <c r="I7" s="4">
        <f t="shared" si="1"/>
        <v>11</v>
      </c>
      <c r="J7" s="4">
        <f t="shared" si="1"/>
        <v>17</v>
      </c>
      <c r="K7" s="4">
        <f t="shared" si="1"/>
        <v>13</v>
      </c>
      <c r="L7" s="4">
        <f t="shared" si="1"/>
        <v>16</v>
      </c>
      <c r="M7" s="4">
        <f t="shared" si="1"/>
        <v>23</v>
      </c>
      <c r="N7" s="4">
        <f t="shared" si="1"/>
        <v>22</v>
      </c>
      <c r="O7" s="4">
        <f t="shared" si="1"/>
        <v>17</v>
      </c>
      <c r="P7" s="4">
        <f t="shared" si="1"/>
        <v>0</v>
      </c>
    </row>
    <row r="8" spans="1:17" x14ac:dyDescent="0.25">
      <c r="A8" s="2" t="s">
        <v>33</v>
      </c>
      <c r="B8" s="2">
        <v>13</v>
      </c>
      <c r="C8" s="2">
        <v>35</v>
      </c>
      <c r="D8" s="2">
        <v>56</v>
      </c>
      <c r="E8" s="2">
        <v>66</v>
      </c>
      <c r="F8" s="2">
        <v>60</v>
      </c>
      <c r="G8" s="2">
        <v>50</v>
      </c>
      <c r="H8" s="2">
        <v>51</v>
      </c>
      <c r="I8" s="2">
        <v>58</v>
      </c>
      <c r="J8" s="2">
        <v>76</v>
      </c>
      <c r="K8" s="2">
        <v>77</v>
      </c>
      <c r="L8" s="2">
        <v>80</v>
      </c>
      <c r="M8" s="2">
        <v>89</v>
      </c>
      <c r="N8" s="2">
        <v>124</v>
      </c>
      <c r="O8" s="2">
        <v>84</v>
      </c>
      <c r="P8" s="2">
        <v>5</v>
      </c>
    </row>
    <row r="9" spans="1:17" x14ac:dyDescent="0.25">
      <c r="A9" s="4">
        <v>5</v>
      </c>
      <c r="B9" s="4">
        <f t="shared" ref="B9:P9" si="2">ROUND(B8/$A$5,0)</f>
        <v>3</v>
      </c>
      <c r="C9" s="4">
        <f t="shared" si="2"/>
        <v>7</v>
      </c>
      <c r="D9" s="4">
        <f t="shared" si="2"/>
        <v>11</v>
      </c>
      <c r="E9" s="4">
        <f t="shared" si="2"/>
        <v>13</v>
      </c>
      <c r="F9" s="4">
        <f t="shared" si="2"/>
        <v>12</v>
      </c>
      <c r="G9" s="4">
        <f t="shared" si="2"/>
        <v>10</v>
      </c>
      <c r="H9" s="4">
        <f t="shared" si="2"/>
        <v>10</v>
      </c>
      <c r="I9" s="4">
        <f t="shared" si="2"/>
        <v>12</v>
      </c>
      <c r="J9" s="4">
        <f t="shared" si="2"/>
        <v>15</v>
      </c>
      <c r="K9" s="4">
        <f t="shared" si="2"/>
        <v>15</v>
      </c>
      <c r="L9" s="4">
        <f t="shared" si="2"/>
        <v>16</v>
      </c>
      <c r="M9" s="4">
        <f t="shared" si="2"/>
        <v>18</v>
      </c>
      <c r="N9" s="4">
        <f t="shared" si="2"/>
        <v>25</v>
      </c>
      <c r="O9" s="4">
        <f t="shared" si="2"/>
        <v>17</v>
      </c>
      <c r="P9" s="4">
        <f t="shared" si="2"/>
        <v>1</v>
      </c>
    </row>
    <row r="10" spans="1:17" x14ac:dyDescent="0.25">
      <c r="A10" s="2" t="s">
        <v>35</v>
      </c>
      <c r="B10" s="2">
        <v>14</v>
      </c>
      <c r="C10" s="2">
        <v>25</v>
      </c>
      <c r="D10" s="2">
        <v>49</v>
      </c>
      <c r="E10" s="2">
        <v>47</v>
      </c>
      <c r="F10" s="2">
        <v>52</v>
      </c>
      <c r="G10" s="2">
        <v>47</v>
      </c>
      <c r="H10" s="2">
        <v>43</v>
      </c>
      <c r="I10" s="2">
        <v>42</v>
      </c>
      <c r="J10" s="2">
        <v>44</v>
      </c>
      <c r="K10" s="2">
        <v>60</v>
      </c>
      <c r="L10" s="2">
        <v>69</v>
      </c>
      <c r="M10" s="2">
        <v>104</v>
      </c>
      <c r="N10" s="2">
        <v>118</v>
      </c>
      <c r="O10" s="2">
        <v>73</v>
      </c>
      <c r="P10" s="2">
        <v>2</v>
      </c>
    </row>
    <row r="11" spans="1:17" x14ac:dyDescent="0.25">
      <c r="A11" s="4">
        <v>5</v>
      </c>
      <c r="B11" s="4">
        <f t="shared" ref="B11:P11" si="3">ROUND(B10/$A$5,0)</f>
        <v>3</v>
      </c>
      <c r="C11" s="4">
        <f t="shared" si="3"/>
        <v>5</v>
      </c>
      <c r="D11" s="4">
        <f t="shared" si="3"/>
        <v>10</v>
      </c>
      <c r="E11" s="4">
        <f t="shared" si="3"/>
        <v>9</v>
      </c>
      <c r="F11" s="4">
        <f t="shared" si="3"/>
        <v>10</v>
      </c>
      <c r="G11" s="4">
        <f t="shared" si="3"/>
        <v>9</v>
      </c>
      <c r="H11" s="4">
        <f t="shared" si="3"/>
        <v>9</v>
      </c>
      <c r="I11" s="4">
        <f t="shared" si="3"/>
        <v>8</v>
      </c>
      <c r="J11" s="4">
        <f t="shared" si="3"/>
        <v>9</v>
      </c>
      <c r="K11" s="4">
        <f t="shared" si="3"/>
        <v>12</v>
      </c>
      <c r="L11" s="4">
        <f t="shared" si="3"/>
        <v>14</v>
      </c>
      <c r="M11" s="4">
        <f t="shared" si="3"/>
        <v>21</v>
      </c>
      <c r="N11" s="4">
        <f t="shared" si="3"/>
        <v>24</v>
      </c>
      <c r="O11" s="4">
        <f t="shared" si="3"/>
        <v>15</v>
      </c>
      <c r="P11" s="4">
        <f t="shared" si="3"/>
        <v>0</v>
      </c>
    </row>
    <row r="12" spans="1:17" x14ac:dyDescent="0.25">
      <c r="A12" s="2" t="s">
        <v>37</v>
      </c>
      <c r="B12" s="2">
        <v>34</v>
      </c>
      <c r="C12" s="2">
        <v>65</v>
      </c>
      <c r="D12" s="2">
        <v>98</v>
      </c>
      <c r="E12" s="2">
        <v>114</v>
      </c>
      <c r="F12" s="2">
        <v>102</v>
      </c>
      <c r="G12" s="2">
        <v>77</v>
      </c>
      <c r="H12" s="2">
        <v>90</v>
      </c>
      <c r="I12" s="2">
        <v>109</v>
      </c>
      <c r="J12" s="2">
        <v>82</v>
      </c>
      <c r="K12" s="2">
        <v>103</v>
      </c>
      <c r="L12" s="2">
        <v>89</v>
      </c>
      <c r="M12" s="2">
        <v>149</v>
      </c>
      <c r="N12" s="2">
        <v>168</v>
      </c>
      <c r="O12" s="2">
        <v>118</v>
      </c>
      <c r="P12" s="2">
        <v>3</v>
      </c>
    </row>
    <row r="13" spans="1:17" x14ac:dyDescent="0.25">
      <c r="A13" s="4">
        <v>5</v>
      </c>
      <c r="B13" s="4">
        <f t="shared" ref="B13:P13" si="4">ROUND(B12/$A$5,0)</f>
        <v>7</v>
      </c>
      <c r="C13" s="4">
        <f t="shared" si="4"/>
        <v>13</v>
      </c>
      <c r="D13" s="4">
        <f t="shared" si="4"/>
        <v>20</v>
      </c>
      <c r="E13" s="4">
        <f t="shared" si="4"/>
        <v>23</v>
      </c>
      <c r="F13" s="4">
        <f t="shared" si="4"/>
        <v>20</v>
      </c>
      <c r="G13" s="4">
        <f t="shared" si="4"/>
        <v>15</v>
      </c>
      <c r="H13" s="4">
        <f t="shared" si="4"/>
        <v>18</v>
      </c>
      <c r="I13" s="4">
        <f t="shared" si="4"/>
        <v>22</v>
      </c>
      <c r="J13" s="4">
        <f t="shared" si="4"/>
        <v>16</v>
      </c>
      <c r="K13" s="4">
        <f t="shared" si="4"/>
        <v>21</v>
      </c>
      <c r="L13" s="4">
        <f t="shared" si="4"/>
        <v>18</v>
      </c>
      <c r="M13" s="4">
        <f t="shared" si="4"/>
        <v>30</v>
      </c>
      <c r="N13" s="4">
        <f t="shared" si="4"/>
        <v>34</v>
      </c>
      <c r="O13" s="4">
        <f t="shared" si="4"/>
        <v>24</v>
      </c>
      <c r="P13" s="4">
        <f t="shared" si="4"/>
        <v>1</v>
      </c>
    </row>
    <row r="14" spans="1:17" x14ac:dyDescent="0.25">
      <c r="A14" s="7" t="s">
        <v>40</v>
      </c>
      <c r="B14" s="7">
        <f>ROUND((B5+B7+B9+B11+B13)/5,0)</f>
        <v>4</v>
      </c>
      <c r="C14" s="7">
        <f t="shared" ref="C14:P14" si="5">ROUND((C5+C7+C9+C11+C13)/5,0)</f>
        <v>8</v>
      </c>
      <c r="D14" s="7">
        <f t="shared" si="5"/>
        <v>12</v>
      </c>
      <c r="E14" s="7">
        <f t="shared" si="5"/>
        <v>13</v>
      </c>
      <c r="F14" s="7">
        <f t="shared" si="5"/>
        <v>13</v>
      </c>
      <c r="G14" s="7">
        <f t="shared" si="5"/>
        <v>10</v>
      </c>
      <c r="H14" s="7">
        <f t="shared" si="5"/>
        <v>11</v>
      </c>
      <c r="I14" s="7">
        <f t="shared" si="5"/>
        <v>13</v>
      </c>
      <c r="J14" s="7">
        <f t="shared" si="5"/>
        <v>14</v>
      </c>
      <c r="K14" s="7">
        <f t="shared" si="5"/>
        <v>15</v>
      </c>
      <c r="L14" s="7">
        <f t="shared" si="5"/>
        <v>16</v>
      </c>
      <c r="M14" s="7">
        <f t="shared" si="5"/>
        <v>22</v>
      </c>
      <c r="N14" s="7">
        <f t="shared" si="5"/>
        <v>26</v>
      </c>
      <c r="O14" s="7">
        <f t="shared" si="5"/>
        <v>18</v>
      </c>
      <c r="P14" s="7">
        <f t="shared" si="5"/>
        <v>1</v>
      </c>
      <c r="Q14" s="1">
        <f t="shared" ref="Q14:Q15" si="6">SUM(B14:P14)</f>
        <v>196</v>
      </c>
    </row>
    <row r="15" spans="1:17" x14ac:dyDescent="0.25">
      <c r="A15" s="12" t="s">
        <v>60</v>
      </c>
      <c r="B15" s="12">
        <v>1</v>
      </c>
      <c r="C15" s="12">
        <v>2</v>
      </c>
      <c r="D15" s="12">
        <v>2</v>
      </c>
      <c r="E15" s="12">
        <v>2</v>
      </c>
      <c r="F15" s="12">
        <v>2</v>
      </c>
      <c r="G15" s="12">
        <v>2</v>
      </c>
      <c r="H15" s="12">
        <v>2</v>
      </c>
      <c r="I15" s="12">
        <v>2</v>
      </c>
      <c r="J15" s="12">
        <v>2</v>
      </c>
      <c r="K15" s="12">
        <v>2</v>
      </c>
      <c r="L15" s="12">
        <v>2</v>
      </c>
      <c r="M15" s="12">
        <v>2</v>
      </c>
      <c r="N15" s="12">
        <v>3</v>
      </c>
      <c r="O15" s="12">
        <v>2</v>
      </c>
      <c r="P15" s="12"/>
      <c r="Q15" s="1">
        <f t="shared" si="6"/>
        <v>28</v>
      </c>
    </row>
    <row r="16" spans="1:17" x14ac:dyDescent="0.25">
      <c r="A16" s="12" t="s">
        <v>61</v>
      </c>
      <c r="B16" s="12">
        <v>1</v>
      </c>
      <c r="C16" s="12">
        <v>2</v>
      </c>
      <c r="D16" s="12">
        <v>2</v>
      </c>
      <c r="E16" s="12">
        <v>2</v>
      </c>
      <c r="F16" s="12">
        <v>2</v>
      </c>
      <c r="G16" s="12">
        <v>2</v>
      </c>
      <c r="H16" s="12">
        <v>2</v>
      </c>
      <c r="I16" s="12">
        <v>2</v>
      </c>
      <c r="J16" s="12">
        <v>2</v>
      </c>
      <c r="K16" s="12">
        <v>2</v>
      </c>
      <c r="L16" s="12">
        <v>2</v>
      </c>
      <c r="M16" s="12">
        <v>3</v>
      </c>
      <c r="N16" s="12">
        <v>3</v>
      </c>
      <c r="O16" s="12">
        <v>2</v>
      </c>
      <c r="P16" s="12"/>
      <c r="Q16" s="1">
        <f>SUM(B16:P16)</f>
        <v>29</v>
      </c>
    </row>
    <row r="17" spans="1:17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7" x14ac:dyDescent="0.25">
      <c r="A18" s="13" t="s">
        <v>75</v>
      </c>
    </row>
    <row r="19" spans="1:17" x14ac:dyDescent="0.25">
      <c r="A19" s="2" t="s">
        <v>62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/>
      <c r="L19" s="2"/>
      <c r="M19" s="2"/>
      <c r="N19" s="2"/>
      <c r="O19" s="2"/>
      <c r="P19" s="2"/>
    </row>
    <row r="20" spans="1:17" x14ac:dyDescent="0.25">
      <c r="A20" s="2" t="s">
        <v>123</v>
      </c>
      <c r="B20" s="2"/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/>
      <c r="J20" s="2"/>
      <c r="K20" s="2"/>
      <c r="L20" s="2"/>
      <c r="M20" s="2"/>
      <c r="N20" s="2"/>
      <c r="O20" s="2"/>
      <c r="P20" s="2"/>
    </row>
    <row r="21" spans="1:17" x14ac:dyDescent="0.25">
      <c r="A21" s="2" t="s">
        <v>86</v>
      </c>
      <c r="B21" s="2"/>
      <c r="C21" s="2"/>
      <c r="D21" s="2"/>
      <c r="E21" s="2"/>
      <c r="F21" s="2"/>
      <c r="G21" s="2"/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/>
    </row>
    <row r="22" spans="1:17" x14ac:dyDescent="0.25">
      <c r="A22" s="2" t="s">
        <v>125</v>
      </c>
      <c r="B22" s="2"/>
      <c r="C22" s="2"/>
      <c r="D22" s="2"/>
      <c r="E22" s="2"/>
      <c r="F22" s="2"/>
      <c r="G22" s="2"/>
      <c r="H22" s="2"/>
      <c r="I22" s="2"/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/>
    </row>
    <row r="23" spans="1:17" x14ac:dyDescent="0.25">
      <c r="A23" s="2" t="s">
        <v>66</v>
      </c>
      <c r="B23" s="2">
        <f t="shared" ref="B23:P23" si="7">SUM(B19:B22)</f>
        <v>1</v>
      </c>
      <c r="C23" s="2">
        <f t="shared" si="7"/>
        <v>2</v>
      </c>
      <c r="D23" s="2">
        <f t="shared" si="7"/>
        <v>2</v>
      </c>
      <c r="E23" s="2">
        <f t="shared" si="7"/>
        <v>2</v>
      </c>
      <c r="F23" s="2">
        <f t="shared" si="7"/>
        <v>2</v>
      </c>
      <c r="G23" s="2">
        <f t="shared" si="7"/>
        <v>2</v>
      </c>
      <c r="H23" s="2">
        <f t="shared" si="7"/>
        <v>3</v>
      </c>
      <c r="I23" s="2">
        <f t="shared" si="7"/>
        <v>2</v>
      </c>
      <c r="J23" s="2">
        <f t="shared" si="7"/>
        <v>2</v>
      </c>
      <c r="K23" s="2">
        <f t="shared" si="7"/>
        <v>2</v>
      </c>
      <c r="L23" s="2">
        <f t="shared" si="7"/>
        <v>2</v>
      </c>
      <c r="M23" s="2">
        <f t="shared" si="7"/>
        <v>2</v>
      </c>
      <c r="N23" s="2">
        <f t="shared" si="7"/>
        <v>2</v>
      </c>
      <c r="O23" s="2">
        <f t="shared" si="7"/>
        <v>2</v>
      </c>
      <c r="P23" s="2">
        <f t="shared" si="7"/>
        <v>0</v>
      </c>
      <c r="Q23" s="1">
        <f>SUM(B23:P23)</f>
        <v>28</v>
      </c>
    </row>
    <row r="25" spans="1:17" x14ac:dyDescent="0.25">
      <c r="A25" s="5" t="s">
        <v>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7" x14ac:dyDescent="0.25">
      <c r="A26" s="2" t="s">
        <v>30</v>
      </c>
      <c r="B26" s="2">
        <v>14</v>
      </c>
      <c r="C26" s="2">
        <v>33</v>
      </c>
      <c r="D26" s="2">
        <v>62</v>
      </c>
      <c r="E26" s="2">
        <v>64</v>
      </c>
      <c r="F26" s="2">
        <v>34</v>
      </c>
      <c r="G26" s="2">
        <v>24</v>
      </c>
      <c r="H26" s="2">
        <v>45</v>
      </c>
      <c r="I26" s="2">
        <v>33</v>
      </c>
      <c r="J26" s="2">
        <v>37</v>
      </c>
      <c r="K26" s="2">
        <v>50</v>
      </c>
      <c r="L26" s="2">
        <v>65</v>
      </c>
      <c r="M26" s="2">
        <v>75</v>
      </c>
      <c r="N26" s="2">
        <v>91</v>
      </c>
      <c r="O26" s="2">
        <v>52</v>
      </c>
      <c r="P26" s="2">
        <v>6</v>
      </c>
    </row>
    <row r="27" spans="1:17" x14ac:dyDescent="0.25">
      <c r="A27" s="4">
        <v>2</v>
      </c>
      <c r="B27" s="4">
        <f t="shared" ref="B27:P27" si="8">ROUND((B26)/$A$27,0)</f>
        <v>7</v>
      </c>
      <c r="C27" s="4">
        <f t="shared" si="8"/>
        <v>17</v>
      </c>
      <c r="D27" s="4">
        <f t="shared" si="8"/>
        <v>31</v>
      </c>
      <c r="E27" s="4">
        <f t="shared" si="8"/>
        <v>32</v>
      </c>
      <c r="F27" s="4">
        <f t="shared" si="8"/>
        <v>17</v>
      </c>
      <c r="G27" s="4">
        <f t="shared" si="8"/>
        <v>12</v>
      </c>
      <c r="H27" s="4">
        <f t="shared" si="8"/>
        <v>23</v>
      </c>
      <c r="I27" s="4">
        <f t="shared" si="8"/>
        <v>17</v>
      </c>
      <c r="J27" s="4">
        <f t="shared" si="8"/>
        <v>19</v>
      </c>
      <c r="K27" s="4">
        <f t="shared" si="8"/>
        <v>25</v>
      </c>
      <c r="L27" s="4">
        <f t="shared" si="8"/>
        <v>33</v>
      </c>
      <c r="M27" s="4">
        <f t="shared" si="8"/>
        <v>38</v>
      </c>
      <c r="N27" s="4">
        <f t="shared" si="8"/>
        <v>46</v>
      </c>
      <c r="O27" s="4">
        <f t="shared" si="8"/>
        <v>26</v>
      </c>
      <c r="P27" s="4">
        <f t="shared" si="8"/>
        <v>3</v>
      </c>
    </row>
    <row r="28" spans="1:17" x14ac:dyDescent="0.25">
      <c r="A28" s="2" t="s">
        <v>32</v>
      </c>
      <c r="B28" s="2">
        <v>16</v>
      </c>
      <c r="C28" s="2">
        <v>59</v>
      </c>
      <c r="D28" s="2">
        <v>95</v>
      </c>
      <c r="E28" s="2">
        <v>88</v>
      </c>
      <c r="F28" s="2">
        <v>58</v>
      </c>
      <c r="G28" s="2">
        <v>84</v>
      </c>
      <c r="H28" s="2">
        <v>58</v>
      </c>
      <c r="I28" s="2">
        <v>79</v>
      </c>
      <c r="J28" s="2">
        <v>63</v>
      </c>
      <c r="K28" s="2">
        <v>82</v>
      </c>
      <c r="L28" s="2">
        <v>111</v>
      </c>
      <c r="M28" s="2">
        <v>113</v>
      </c>
      <c r="N28" s="2">
        <v>138</v>
      </c>
      <c r="O28" s="2">
        <v>94</v>
      </c>
      <c r="P28" s="2">
        <v>5</v>
      </c>
    </row>
    <row r="29" spans="1:17" x14ac:dyDescent="0.25">
      <c r="A29" s="4">
        <v>2</v>
      </c>
      <c r="B29" s="4">
        <f t="shared" ref="B29:P29" si="9">ROUND((B28)/$A$27,0)</f>
        <v>8</v>
      </c>
      <c r="C29" s="4">
        <f t="shared" si="9"/>
        <v>30</v>
      </c>
      <c r="D29" s="4">
        <f t="shared" si="9"/>
        <v>48</v>
      </c>
      <c r="E29" s="4">
        <f t="shared" si="9"/>
        <v>44</v>
      </c>
      <c r="F29" s="4">
        <f t="shared" si="9"/>
        <v>29</v>
      </c>
      <c r="G29" s="4">
        <f t="shared" si="9"/>
        <v>42</v>
      </c>
      <c r="H29" s="4">
        <f t="shared" si="9"/>
        <v>29</v>
      </c>
      <c r="I29" s="4">
        <f t="shared" si="9"/>
        <v>40</v>
      </c>
      <c r="J29" s="4">
        <f t="shared" si="9"/>
        <v>32</v>
      </c>
      <c r="K29" s="4">
        <f t="shared" si="9"/>
        <v>41</v>
      </c>
      <c r="L29" s="4">
        <f t="shared" si="9"/>
        <v>56</v>
      </c>
      <c r="M29" s="4">
        <f t="shared" si="9"/>
        <v>57</v>
      </c>
      <c r="N29" s="4">
        <f t="shared" si="9"/>
        <v>69</v>
      </c>
      <c r="O29" s="4">
        <f t="shared" si="9"/>
        <v>47</v>
      </c>
      <c r="P29" s="4">
        <f t="shared" si="9"/>
        <v>3</v>
      </c>
    </row>
    <row r="30" spans="1:17" x14ac:dyDescent="0.25">
      <c r="A30" s="2" t="s">
        <v>34</v>
      </c>
      <c r="B30" s="2">
        <v>17</v>
      </c>
      <c r="C30" s="2">
        <v>24</v>
      </c>
      <c r="D30" s="2">
        <v>44</v>
      </c>
      <c r="E30" s="2">
        <v>50</v>
      </c>
      <c r="F30" s="2">
        <v>46</v>
      </c>
      <c r="G30" s="2">
        <v>42</v>
      </c>
      <c r="H30" s="2">
        <v>22</v>
      </c>
      <c r="I30" s="2">
        <v>28</v>
      </c>
      <c r="J30" s="2">
        <v>36</v>
      </c>
      <c r="K30" s="2">
        <v>44</v>
      </c>
      <c r="L30" s="2">
        <v>43</v>
      </c>
      <c r="M30" s="2">
        <v>61</v>
      </c>
      <c r="N30" s="2">
        <v>84</v>
      </c>
      <c r="O30" s="2">
        <v>46</v>
      </c>
      <c r="P30" s="2">
        <v>3</v>
      </c>
    </row>
    <row r="31" spans="1:17" x14ac:dyDescent="0.25">
      <c r="A31" s="4">
        <v>2</v>
      </c>
      <c r="B31" s="4">
        <f t="shared" ref="B31:P31" si="10">ROUND((B30)/$A$27,0)</f>
        <v>9</v>
      </c>
      <c r="C31" s="4">
        <f t="shared" si="10"/>
        <v>12</v>
      </c>
      <c r="D31" s="4">
        <f t="shared" si="10"/>
        <v>22</v>
      </c>
      <c r="E31" s="4">
        <f t="shared" si="10"/>
        <v>25</v>
      </c>
      <c r="F31" s="4">
        <f t="shared" si="10"/>
        <v>23</v>
      </c>
      <c r="G31" s="4">
        <f t="shared" si="10"/>
        <v>21</v>
      </c>
      <c r="H31" s="4">
        <f t="shared" si="10"/>
        <v>11</v>
      </c>
      <c r="I31" s="4">
        <f t="shared" si="10"/>
        <v>14</v>
      </c>
      <c r="J31" s="4">
        <f t="shared" si="10"/>
        <v>18</v>
      </c>
      <c r="K31" s="4">
        <f t="shared" si="10"/>
        <v>22</v>
      </c>
      <c r="L31" s="4">
        <f t="shared" si="10"/>
        <v>22</v>
      </c>
      <c r="M31" s="4">
        <f t="shared" si="10"/>
        <v>31</v>
      </c>
      <c r="N31" s="4">
        <f t="shared" si="10"/>
        <v>42</v>
      </c>
      <c r="O31" s="4">
        <f t="shared" si="10"/>
        <v>23</v>
      </c>
      <c r="P31" s="4">
        <f t="shared" si="10"/>
        <v>2</v>
      </c>
    </row>
    <row r="32" spans="1:17" x14ac:dyDescent="0.25">
      <c r="A32" s="2" t="s">
        <v>36</v>
      </c>
      <c r="B32" s="2">
        <v>22</v>
      </c>
      <c r="C32" s="2">
        <v>62</v>
      </c>
      <c r="D32" s="2">
        <v>92</v>
      </c>
      <c r="E32" s="2">
        <v>108</v>
      </c>
      <c r="F32" s="2">
        <v>129</v>
      </c>
      <c r="G32" s="2">
        <v>92</v>
      </c>
      <c r="H32" s="2">
        <v>93</v>
      </c>
      <c r="I32" s="2">
        <v>83</v>
      </c>
      <c r="J32" s="2">
        <v>67</v>
      </c>
      <c r="K32" s="2">
        <v>92</v>
      </c>
      <c r="L32" s="2">
        <v>96</v>
      </c>
      <c r="M32" s="2">
        <v>159</v>
      </c>
      <c r="N32" s="2">
        <v>146</v>
      </c>
      <c r="O32" s="2">
        <v>111</v>
      </c>
      <c r="P32" s="2">
        <v>24</v>
      </c>
    </row>
    <row r="33" spans="1:17" x14ac:dyDescent="0.25">
      <c r="A33" s="4">
        <v>2</v>
      </c>
      <c r="B33" s="4">
        <f t="shared" ref="B33:P33" si="11">ROUND((B32)/$A$27,0)</f>
        <v>11</v>
      </c>
      <c r="C33" s="4">
        <f t="shared" si="11"/>
        <v>31</v>
      </c>
      <c r="D33" s="4">
        <f t="shared" si="11"/>
        <v>46</v>
      </c>
      <c r="E33" s="4">
        <f t="shared" si="11"/>
        <v>54</v>
      </c>
      <c r="F33" s="4">
        <f t="shared" si="11"/>
        <v>65</v>
      </c>
      <c r="G33" s="4">
        <f t="shared" si="11"/>
        <v>46</v>
      </c>
      <c r="H33" s="4">
        <f t="shared" si="11"/>
        <v>47</v>
      </c>
      <c r="I33" s="4">
        <f t="shared" si="11"/>
        <v>42</v>
      </c>
      <c r="J33" s="4">
        <f t="shared" si="11"/>
        <v>34</v>
      </c>
      <c r="K33" s="4">
        <f t="shared" si="11"/>
        <v>46</v>
      </c>
      <c r="L33" s="4">
        <f t="shared" si="11"/>
        <v>48</v>
      </c>
      <c r="M33" s="4">
        <f t="shared" si="11"/>
        <v>80</v>
      </c>
      <c r="N33" s="4">
        <f t="shared" si="11"/>
        <v>73</v>
      </c>
      <c r="O33" s="4">
        <f t="shared" si="11"/>
        <v>56</v>
      </c>
      <c r="P33" s="4">
        <f t="shared" si="11"/>
        <v>12</v>
      </c>
    </row>
    <row r="34" spans="1:17" x14ac:dyDescent="0.25">
      <c r="A34" s="2" t="s">
        <v>41</v>
      </c>
      <c r="B34" s="2">
        <v>22</v>
      </c>
      <c r="C34" s="2">
        <v>37</v>
      </c>
      <c r="D34" s="2">
        <v>53</v>
      </c>
      <c r="E34" s="2">
        <v>56</v>
      </c>
      <c r="F34" s="2">
        <v>53</v>
      </c>
      <c r="G34" s="2">
        <v>29</v>
      </c>
      <c r="H34" s="2">
        <v>51</v>
      </c>
      <c r="I34" s="2">
        <v>37</v>
      </c>
      <c r="J34" s="2">
        <v>35</v>
      </c>
      <c r="K34" s="2">
        <v>78</v>
      </c>
      <c r="L34" s="2">
        <v>52</v>
      </c>
      <c r="M34" s="2">
        <v>81</v>
      </c>
      <c r="N34" s="2">
        <v>97</v>
      </c>
      <c r="O34" s="2">
        <v>64</v>
      </c>
      <c r="P34" s="2">
        <v>2</v>
      </c>
    </row>
    <row r="35" spans="1:17" x14ac:dyDescent="0.25">
      <c r="A35" s="4">
        <v>2</v>
      </c>
      <c r="B35" s="4">
        <f t="shared" ref="B35" si="12">ROUND((B34)/$A$27,0)</f>
        <v>11</v>
      </c>
      <c r="C35" s="4">
        <f t="shared" ref="C35" si="13">ROUND((C34)/$A$27,0)</f>
        <v>19</v>
      </c>
      <c r="D35" s="4">
        <f t="shared" ref="D35" si="14">ROUND((D34)/$A$27,0)</f>
        <v>27</v>
      </c>
      <c r="E35" s="4">
        <f t="shared" ref="E35" si="15">ROUND((E34)/$A$27,0)</f>
        <v>28</v>
      </c>
      <c r="F35" s="4">
        <f t="shared" ref="F35" si="16">ROUND((F34)/$A$27,0)</f>
        <v>27</v>
      </c>
      <c r="G35" s="4">
        <f t="shared" ref="G35" si="17">ROUND((G34)/$A$27,0)</f>
        <v>15</v>
      </c>
      <c r="H35" s="4">
        <f t="shared" ref="H35" si="18">ROUND((H34)/$A$27,0)</f>
        <v>26</v>
      </c>
      <c r="I35" s="4">
        <f t="shared" ref="I35" si="19">ROUND((I34)/$A$27,0)</f>
        <v>19</v>
      </c>
      <c r="J35" s="4">
        <f t="shared" ref="J35" si="20">ROUND((J34)/$A$27,0)</f>
        <v>18</v>
      </c>
      <c r="K35" s="4">
        <f t="shared" ref="K35" si="21">ROUND((K34)/$A$27,0)</f>
        <v>39</v>
      </c>
      <c r="L35" s="4">
        <f t="shared" ref="L35" si="22">ROUND((L34)/$A$27,0)</f>
        <v>26</v>
      </c>
      <c r="M35" s="4">
        <f t="shared" ref="M35" si="23">ROUND((M34)/$A$27,0)</f>
        <v>41</v>
      </c>
      <c r="N35" s="4">
        <f t="shared" ref="N35" si="24">ROUND((N34)/$A$27,0)</f>
        <v>49</v>
      </c>
      <c r="O35" s="4">
        <f t="shared" ref="O35" si="25">ROUND((O34)/$A$27,0)</f>
        <v>32</v>
      </c>
      <c r="P35" s="4">
        <f t="shared" ref="P35" si="26">ROUND((P34)/$A$27,0)</f>
        <v>1</v>
      </c>
    </row>
    <row r="36" spans="1:17" x14ac:dyDescent="0.25">
      <c r="A36" s="7" t="s">
        <v>40</v>
      </c>
      <c r="B36" s="7">
        <f>ROUND((B27+B29+B31+B33+B35)/5,0)</f>
        <v>9</v>
      </c>
      <c r="C36" s="7">
        <f t="shared" ref="C36:P36" si="27">ROUND((C27+C29+C31+C33+C35)/5,0)</f>
        <v>22</v>
      </c>
      <c r="D36" s="7">
        <f t="shared" si="27"/>
        <v>35</v>
      </c>
      <c r="E36" s="7">
        <f t="shared" si="27"/>
        <v>37</v>
      </c>
      <c r="F36" s="7">
        <f t="shared" si="27"/>
        <v>32</v>
      </c>
      <c r="G36" s="7">
        <f t="shared" si="27"/>
        <v>27</v>
      </c>
      <c r="H36" s="7">
        <f t="shared" si="27"/>
        <v>27</v>
      </c>
      <c r="I36" s="7">
        <f t="shared" si="27"/>
        <v>26</v>
      </c>
      <c r="J36" s="7">
        <f t="shared" si="27"/>
        <v>24</v>
      </c>
      <c r="K36" s="7">
        <f t="shared" si="27"/>
        <v>35</v>
      </c>
      <c r="L36" s="7">
        <f t="shared" si="27"/>
        <v>37</v>
      </c>
      <c r="M36" s="7">
        <f t="shared" si="27"/>
        <v>49</v>
      </c>
      <c r="N36" s="7">
        <f t="shared" si="27"/>
        <v>56</v>
      </c>
      <c r="O36" s="7">
        <f t="shared" si="27"/>
        <v>37</v>
      </c>
      <c r="P36" s="7">
        <f t="shared" si="27"/>
        <v>4</v>
      </c>
      <c r="Q36" s="1">
        <f t="shared" ref="Q36:Q37" si="28">SUM(B36:P36)</f>
        <v>457</v>
      </c>
    </row>
    <row r="37" spans="1:17" x14ac:dyDescent="0.25">
      <c r="A37" s="12" t="s">
        <v>60</v>
      </c>
      <c r="B37" s="12">
        <v>2</v>
      </c>
      <c r="C37" s="12">
        <v>2</v>
      </c>
      <c r="D37" s="12">
        <v>3</v>
      </c>
      <c r="E37" s="12">
        <v>4</v>
      </c>
      <c r="F37" s="12">
        <v>3</v>
      </c>
      <c r="G37" s="12">
        <v>3</v>
      </c>
      <c r="H37" s="12">
        <v>3</v>
      </c>
      <c r="I37" s="12">
        <v>3</v>
      </c>
      <c r="J37" s="12">
        <v>2</v>
      </c>
      <c r="K37" s="12">
        <v>3</v>
      </c>
      <c r="L37" s="12">
        <v>3</v>
      </c>
      <c r="M37" s="12">
        <v>5</v>
      </c>
      <c r="N37" s="12">
        <v>5</v>
      </c>
      <c r="O37" s="12">
        <v>4</v>
      </c>
      <c r="P37" s="12"/>
      <c r="Q37" s="1">
        <f t="shared" si="28"/>
        <v>45</v>
      </c>
    </row>
    <row r="38" spans="1:17" x14ac:dyDescent="0.25">
      <c r="A38" s="12" t="s">
        <v>61</v>
      </c>
      <c r="B38" s="12">
        <v>2</v>
      </c>
      <c r="C38" s="12">
        <v>2</v>
      </c>
      <c r="D38" s="12">
        <v>3</v>
      </c>
      <c r="E38" s="12">
        <v>4</v>
      </c>
      <c r="F38" s="12">
        <v>3</v>
      </c>
      <c r="G38" s="12">
        <v>3</v>
      </c>
      <c r="H38" s="12">
        <v>3</v>
      </c>
      <c r="I38" s="12">
        <v>3</v>
      </c>
      <c r="J38" s="12">
        <v>2</v>
      </c>
      <c r="K38" s="12">
        <v>3</v>
      </c>
      <c r="L38" s="12">
        <v>3</v>
      </c>
      <c r="M38" s="12">
        <v>5</v>
      </c>
      <c r="N38" s="12">
        <v>5</v>
      </c>
      <c r="O38" s="12">
        <v>4</v>
      </c>
      <c r="P38" s="12"/>
      <c r="Q38" s="1">
        <f>SUM(B38:P38)</f>
        <v>45</v>
      </c>
    </row>
    <row r="39" spans="1:1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7" x14ac:dyDescent="0.25">
      <c r="A40" s="13" t="s">
        <v>75</v>
      </c>
    </row>
    <row r="41" spans="1:17" x14ac:dyDescent="0.25">
      <c r="A41" s="2" t="s">
        <v>62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/>
      <c r="K41" s="2"/>
      <c r="L41" s="2"/>
      <c r="M41" s="2"/>
      <c r="N41" s="2"/>
      <c r="O41" s="2"/>
      <c r="P41" s="2"/>
    </row>
    <row r="42" spans="1:17" x14ac:dyDescent="0.25">
      <c r="A42" s="2" t="s">
        <v>62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/>
      <c r="K42" s="2"/>
      <c r="L42" s="2"/>
      <c r="M42" s="2"/>
      <c r="N42" s="2"/>
      <c r="O42" s="2"/>
      <c r="P42" s="2"/>
    </row>
    <row r="43" spans="1:17" x14ac:dyDescent="0.25">
      <c r="A43" s="2" t="s">
        <v>116</v>
      </c>
      <c r="B43" s="2"/>
      <c r="C43" s="2"/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  <c r="O43" s="2"/>
      <c r="P43" s="2"/>
    </row>
    <row r="44" spans="1:17" x14ac:dyDescent="0.25">
      <c r="A44" s="2" t="s">
        <v>86</v>
      </c>
      <c r="B44" s="2"/>
      <c r="C44" s="2"/>
      <c r="D44" s="2"/>
      <c r="E44" s="2"/>
      <c r="F44" s="2"/>
      <c r="G44" s="2"/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/>
    </row>
    <row r="45" spans="1:17" x14ac:dyDescent="0.25">
      <c r="A45" s="2" t="s">
        <v>86</v>
      </c>
      <c r="B45" s="2"/>
      <c r="C45" s="2"/>
      <c r="D45" s="2"/>
      <c r="E45" s="2"/>
      <c r="F45" s="2"/>
      <c r="G45" s="2"/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/>
    </row>
    <row r="46" spans="1:17" x14ac:dyDescent="0.25">
      <c r="A46" s="2" t="s">
        <v>117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1</v>
      </c>
      <c r="M46" s="2">
        <v>1</v>
      </c>
      <c r="N46" s="2">
        <v>1</v>
      </c>
      <c r="O46" s="2">
        <v>1</v>
      </c>
      <c r="P46" s="2"/>
    </row>
    <row r="47" spans="1:17" x14ac:dyDescent="0.25">
      <c r="A47" s="2" t="s">
        <v>90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1</v>
      </c>
      <c r="M47" s="2">
        <v>1</v>
      </c>
      <c r="N47" s="2">
        <v>1</v>
      </c>
      <c r="O47" s="2">
        <v>1</v>
      </c>
      <c r="P47" s="2"/>
    </row>
    <row r="48" spans="1:17" x14ac:dyDescent="0.25">
      <c r="A48" s="2" t="s">
        <v>66</v>
      </c>
      <c r="B48" s="2">
        <f>SUM(B41:B47)</f>
        <v>2</v>
      </c>
      <c r="C48" s="2">
        <f t="shared" ref="C48:P48" si="29">SUM(C41:C47)</f>
        <v>2</v>
      </c>
      <c r="D48" s="2">
        <f t="shared" si="29"/>
        <v>3</v>
      </c>
      <c r="E48" s="2">
        <f t="shared" si="29"/>
        <v>3</v>
      </c>
      <c r="F48" s="2">
        <f t="shared" si="29"/>
        <v>3</v>
      </c>
      <c r="G48" s="2">
        <f t="shared" si="29"/>
        <v>3</v>
      </c>
      <c r="H48" s="2">
        <f t="shared" si="29"/>
        <v>5</v>
      </c>
      <c r="I48" s="2">
        <f t="shared" si="29"/>
        <v>5</v>
      </c>
      <c r="J48" s="2">
        <f t="shared" si="29"/>
        <v>3</v>
      </c>
      <c r="K48" s="2">
        <f t="shared" si="29"/>
        <v>3</v>
      </c>
      <c r="L48" s="2">
        <f t="shared" si="29"/>
        <v>4</v>
      </c>
      <c r="M48" s="2">
        <f t="shared" si="29"/>
        <v>4</v>
      </c>
      <c r="N48" s="2">
        <f t="shared" si="29"/>
        <v>4</v>
      </c>
      <c r="O48" s="2">
        <f t="shared" si="29"/>
        <v>4</v>
      </c>
      <c r="P48" s="2">
        <f t="shared" si="29"/>
        <v>0</v>
      </c>
      <c r="Q48" s="1">
        <f>SUM(B48:P48)</f>
        <v>48</v>
      </c>
    </row>
    <row r="50" spans="1:9" x14ac:dyDescent="0.25">
      <c r="A50" s="2" t="s">
        <v>22</v>
      </c>
      <c r="B50" s="2"/>
      <c r="C50" s="2"/>
      <c r="E50" s="1" t="s">
        <v>64</v>
      </c>
      <c r="F50" s="1" t="s">
        <v>70</v>
      </c>
    </row>
    <row r="51" spans="1:9" x14ac:dyDescent="0.25">
      <c r="A51" s="3" t="s">
        <v>0</v>
      </c>
      <c r="B51" s="2"/>
      <c r="C51" s="2"/>
      <c r="E51" s="1" t="s">
        <v>69</v>
      </c>
      <c r="F51" s="1" t="s">
        <v>71</v>
      </c>
    </row>
    <row r="52" spans="1:9" x14ac:dyDescent="0.25">
      <c r="A52" s="2" t="s">
        <v>42</v>
      </c>
      <c r="B52" s="2">
        <f>22-8</f>
        <v>14</v>
      </c>
      <c r="C52" s="2" t="s">
        <v>24</v>
      </c>
      <c r="E52" s="1">
        <f>D68</f>
        <v>28</v>
      </c>
      <c r="F52" s="1" t="s">
        <v>24</v>
      </c>
      <c r="G52" s="1">
        <f>E52/B52</f>
        <v>2</v>
      </c>
      <c r="H52" s="1" t="s">
        <v>76</v>
      </c>
    </row>
    <row r="53" spans="1:9" x14ac:dyDescent="0.25">
      <c r="A53" s="3" t="s">
        <v>2</v>
      </c>
      <c r="B53" s="2"/>
      <c r="C53" s="2"/>
    </row>
    <row r="54" spans="1:9" x14ac:dyDescent="0.25">
      <c r="A54" s="2" t="s">
        <v>42</v>
      </c>
      <c r="B54" s="2">
        <f>22-8</f>
        <v>14</v>
      </c>
      <c r="C54" s="2" t="s">
        <v>24</v>
      </c>
      <c r="E54" s="1">
        <f>D77</f>
        <v>44</v>
      </c>
      <c r="F54" s="1" t="str">
        <f>F52</f>
        <v>H</v>
      </c>
      <c r="G54" s="1">
        <f>E54/B54</f>
        <v>3.1428571428571428</v>
      </c>
      <c r="H54" s="1" t="s">
        <v>76</v>
      </c>
    </row>
    <row r="56" spans="1:9" x14ac:dyDescent="0.25">
      <c r="A56" s="2"/>
      <c r="B56" s="2" t="s">
        <v>26</v>
      </c>
      <c r="C56" s="2" t="s">
        <v>27</v>
      </c>
    </row>
    <row r="57" spans="1:9" x14ac:dyDescent="0.25">
      <c r="A57" s="3" t="s">
        <v>0</v>
      </c>
      <c r="B57" s="2"/>
      <c r="C57" s="2">
        <f>B57*8</f>
        <v>0</v>
      </c>
    </row>
    <row r="58" spans="1:9" x14ac:dyDescent="0.25">
      <c r="A58" s="3" t="s">
        <v>2</v>
      </c>
      <c r="B58" s="2"/>
      <c r="C58" s="2">
        <f>B58*8</f>
        <v>0</v>
      </c>
    </row>
    <row r="60" spans="1:9" x14ac:dyDescent="0.25">
      <c r="A60" s="2" t="s">
        <v>72</v>
      </c>
      <c r="B60" s="2"/>
      <c r="C60" s="2" t="s">
        <v>26</v>
      </c>
      <c r="D60" s="2" t="s">
        <v>27</v>
      </c>
    </row>
    <row r="61" spans="1:9" x14ac:dyDescent="0.25">
      <c r="A61" s="3" t="s">
        <v>0</v>
      </c>
      <c r="B61" s="2"/>
      <c r="C61" s="2"/>
      <c r="D61" s="2"/>
    </row>
    <row r="62" spans="1:9" x14ac:dyDescent="0.25">
      <c r="A62" s="2" t="s">
        <v>62</v>
      </c>
      <c r="B62" s="2" t="s">
        <v>67</v>
      </c>
      <c r="C62" s="2">
        <v>1</v>
      </c>
      <c r="D62" s="2">
        <f>C62*8</f>
        <v>8</v>
      </c>
    </row>
    <row r="63" spans="1:9" x14ac:dyDescent="0.25">
      <c r="A63" s="2" t="s">
        <v>123</v>
      </c>
      <c r="B63" s="2" t="s">
        <v>68</v>
      </c>
      <c r="C63" s="2">
        <v>1</v>
      </c>
      <c r="D63" s="2">
        <f>15-9</f>
        <v>6</v>
      </c>
    </row>
    <row r="64" spans="1:9" x14ac:dyDescent="0.25">
      <c r="A64" s="2" t="s">
        <v>86</v>
      </c>
      <c r="B64" s="2" t="s">
        <v>67</v>
      </c>
      <c r="C64" s="2">
        <v>1</v>
      </c>
      <c r="D64" s="2">
        <v>8</v>
      </c>
      <c r="F64" s="8" t="s">
        <v>114</v>
      </c>
      <c r="G64" s="3" t="s">
        <v>67</v>
      </c>
      <c r="H64" s="3" t="s">
        <v>68</v>
      </c>
      <c r="I64" s="3" t="s">
        <v>90</v>
      </c>
    </row>
    <row r="65" spans="1:14" x14ac:dyDescent="0.25">
      <c r="A65" s="2" t="s">
        <v>125</v>
      </c>
      <c r="B65" s="2" t="s">
        <v>68</v>
      </c>
      <c r="C65" s="2">
        <v>1</v>
      </c>
      <c r="D65" s="2">
        <f>22-16</f>
        <v>6</v>
      </c>
      <c r="F65" s="11">
        <f>SUM(G65:I65)</f>
        <v>7</v>
      </c>
      <c r="G65" s="2">
        <v>5</v>
      </c>
      <c r="H65" s="2">
        <v>1</v>
      </c>
      <c r="I65" s="2">
        <v>1</v>
      </c>
    </row>
    <row r="66" spans="1:14" x14ac:dyDescent="0.25">
      <c r="A66" s="2" t="s">
        <v>87</v>
      </c>
      <c r="B66" s="2" t="s">
        <v>67</v>
      </c>
      <c r="C66" s="2">
        <v>1</v>
      </c>
      <c r="D66" s="2"/>
    </row>
    <row r="67" spans="1:14" x14ac:dyDescent="0.25">
      <c r="A67" s="2" t="s">
        <v>88</v>
      </c>
      <c r="B67" s="3"/>
      <c r="C67" s="2">
        <v>1</v>
      </c>
      <c r="D67" s="2"/>
    </row>
    <row r="68" spans="1:14" x14ac:dyDescent="0.25">
      <c r="A68" s="3" t="s">
        <v>66</v>
      </c>
      <c r="B68" s="3"/>
      <c r="C68" s="3">
        <f>SUM(C62:C67)</f>
        <v>6</v>
      </c>
      <c r="D68" s="3">
        <f>SUM(D62:D67)</f>
        <v>28</v>
      </c>
      <c r="F68" s="8" t="s">
        <v>89</v>
      </c>
      <c r="G68" s="3" t="s">
        <v>67</v>
      </c>
      <c r="H68" s="3" t="s">
        <v>68</v>
      </c>
      <c r="I68" s="3" t="s">
        <v>90</v>
      </c>
      <c r="K68" s="8" t="s">
        <v>91</v>
      </c>
      <c r="L68" s="3" t="s">
        <v>67</v>
      </c>
      <c r="M68" s="3" t="s">
        <v>68</v>
      </c>
      <c r="N68" s="3" t="s">
        <v>90</v>
      </c>
    </row>
    <row r="69" spans="1:14" x14ac:dyDescent="0.25">
      <c r="A69" s="3" t="s">
        <v>2</v>
      </c>
      <c r="B69" s="2"/>
      <c r="C69" s="2"/>
      <c r="D69" s="2"/>
      <c r="F69" s="11">
        <f>SUM(G69:I69)</f>
        <v>5</v>
      </c>
      <c r="G69" s="2">
        <v>4</v>
      </c>
      <c r="H69" s="2"/>
      <c r="I69" s="2">
        <v>1</v>
      </c>
      <c r="K69" s="11">
        <f>F65-F69</f>
        <v>2</v>
      </c>
      <c r="L69" s="11">
        <f t="shared" ref="L69:N69" si="30">G65-G69</f>
        <v>1</v>
      </c>
      <c r="M69" s="11">
        <v>1</v>
      </c>
      <c r="N69" s="11">
        <f t="shared" si="30"/>
        <v>0</v>
      </c>
    </row>
    <row r="70" spans="1:14" x14ac:dyDescent="0.25">
      <c r="A70" s="2" t="s">
        <v>62</v>
      </c>
      <c r="B70" s="2" t="s">
        <v>67</v>
      </c>
      <c r="C70" s="2">
        <v>1</v>
      </c>
      <c r="D70" s="2">
        <f>C70*8</f>
        <v>8</v>
      </c>
      <c r="M70" s="1" t="s">
        <v>152</v>
      </c>
    </row>
    <row r="71" spans="1:14" x14ac:dyDescent="0.25">
      <c r="A71" s="2" t="s">
        <v>62</v>
      </c>
      <c r="B71" s="2" t="s">
        <v>67</v>
      </c>
      <c r="C71" s="2">
        <v>1</v>
      </c>
      <c r="D71" s="2">
        <f>13-9</f>
        <v>4</v>
      </c>
      <c r="M71" s="1" t="s">
        <v>153</v>
      </c>
    </row>
    <row r="72" spans="1:14" x14ac:dyDescent="0.25">
      <c r="A72" s="2" t="s">
        <v>116</v>
      </c>
      <c r="B72" s="2" t="s">
        <v>67</v>
      </c>
      <c r="C72" s="2">
        <v>1</v>
      </c>
      <c r="D72" s="2">
        <f t="shared" ref="D72" si="31">C72*8</f>
        <v>8</v>
      </c>
    </row>
    <row r="73" spans="1:14" x14ac:dyDescent="0.25">
      <c r="A73" s="2" t="s">
        <v>86</v>
      </c>
      <c r="B73" s="2" t="s">
        <v>67</v>
      </c>
      <c r="C73" s="2">
        <v>1</v>
      </c>
      <c r="D73" s="2">
        <f>C73*8</f>
        <v>8</v>
      </c>
    </row>
    <row r="74" spans="1:14" x14ac:dyDescent="0.25">
      <c r="A74" s="2" t="s">
        <v>86</v>
      </c>
      <c r="B74" s="2" t="s">
        <v>67</v>
      </c>
      <c r="C74" s="2">
        <v>1</v>
      </c>
      <c r="D74" s="2">
        <v>8</v>
      </c>
    </row>
    <row r="75" spans="1:14" x14ac:dyDescent="0.25">
      <c r="A75" s="2" t="s">
        <v>117</v>
      </c>
      <c r="B75" s="2" t="s">
        <v>68</v>
      </c>
      <c r="C75" s="2">
        <v>1</v>
      </c>
      <c r="D75" s="2">
        <f>22-18</f>
        <v>4</v>
      </c>
    </row>
    <row r="76" spans="1:14" x14ac:dyDescent="0.25">
      <c r="A76" s="2" t="s">
        <v>88</v>
      </c>
      <c r="B76" s="2"/>
      <c r="C76" s="2">
        <v>1</v>
      </c>
      <c r="D76" s="2">
        <f>22-18</f>
        <v>4</v>
      </c>
    </row>
    <row r="77" spans="1:14" x14ac:dyDescent="0.25">
      <c r="A77" s="3" t="s">
        <v>66</v>
      </c>
      <c r="B77" s="3"/>
      <c r="C77" s="3">
        <f>SUM(C70:C76)</f>
        <v>7</v>
      </c>
      <c r="D77" s="3">
        <f>SUM(D70:D76)</f>
        <v>44</v>
      </c>
    </row>
    <row r="79" spans="1:14" x14ac:dyDescent="0.25">
      <c r="F79" s="1" t="s">
        <v>106</v>
      </c>
      <c r="G79" s="1" t="s">
        <v>95</v>
      </c>
      <c r="H79" s="1" t="s">
        <v>99</v>
      </c>
    </row>
    <row r="80" spans="1:14" ht="25.5" x14ac:dyDescent="0.35">
      <c r="A80" s="14" t="s">
        <v>84</v>
      </c>
      <c r="B80" s="15"/>
      <c r="C80" s="15"/>
      <c r="D80" s="15"/>
      <c r="E80" s="15"/>
      <c r="F80" s="1" t="s">
        <v>104</v>
      </c>
      <c r="G80" s="1" t="s">
        <v>105</v>
      </c>
      <c r="H80" s="1" t="s">
        <v>100</v>
      </c>
    </row>
    <row r="82" spans="1:4" x14ac:dyDescent="0.25">
      <c r="A82" s="8" t="s">
        <v>80</v>
      </c>
      <c r="B82" s="8" t="s">
        <v>81</v>
      </c>
      <c r="C82" s="8" t="s">
        <v>82</v>
      </c>
      <c r="D82" s="8" t="s">
        <v>66</v>
      </c>
    </row>
    <row r="83" spans="1:4" x14ac:dyDescent="0.25">
      <c r="A83" s="3" t="s">
        <v>0</v>
      </c>
      <c r="B83" s="2"/>
      <c r="C83" s="2"/>
      <c r="D83" s="8"/>
    </row>
    <row r="84" spans="1:4" x14ac:dyDescent="0.25">
      <c r="A84" s="2" t="s">
        <v>143</v>
      </c>
      <c r="B84" s="2">
        <v>319</v>
      </c>
      <c r="C84" s="2">
        <v>72</v>
      </c>
      <c r="D84" s="8">
        <f t="shared" ref="D84:D89" si="32">B84+C84</f>
        <v>391</v>
      </c>
    </row>
    <row r="85" spans="1:4" x14ac:dyDescent="0.25">
      <c r="A85" s="2" t="s">
        <v>144</v>
      </c>
      <c r="B85" s="2">
        <v>28</v>
      </c>
      <c r="C85" s="2">
        <v>0</v>
      </c>
      <c r="D85" s="8">
        <f t="shared" si="32"/>
        <v>28</v>
      </c>
    </row>
    <row r="86" spans="1:4" x14ac:dyDescent="0.25">
      <c r="A86" s="2" t="s">
        <v>145</v>
      </c>
      <c r="B86" s="2">
        <v>3</v>
      </c>
      <c r="C86" s="2">
        <v>1</v>
      </c>
      <c r="D86" s="8">
        <f t="shared" si="32"/>
        <v>4</v>
      </c>
    </row>
    <row r="87" spans="1:4" x14ac:dyDescent="0.25">
      <c r="A87" s="2" t="s">
        <v>146</v>
      </c>
      <c r="B87" s="2">
        <v>28</v>
      </c>
      <c r="C87" s="2">
        <v>3</v>
      </c>
      <c r="D87" s="8">
        <f t="shared" si="32"/>
        <v>31</v>
      </c>
    </row>
    <row r="88" spans="1:4" x14ac:dyDescent="0.25">
      <c r="A88" s="2" t="s">
        <v>147</v>
      </c>
      <c r="B88" s="2">
        <v>50</v>
      </c>
      <c r="C88" s="2">
        <v>0</v>
      </c>
      <c r="D88" s="8">
        <f t="shared" si="32"/>
        <v>50</v>
      </c>
    </row>
    <row r="89" spans="1:4" x14ac:dyDescent="0.25">
      <c r="A89" s="2" t="s">
        <v>148</v>
      </c>
      <c r="B89" s="2">
        <v>21</v>
      </c>
      <c r="C89" s="2">
        <v>0</v>
      </c>
      <c r="D89" s="8">
        <f t="shared" si="32"/>
        <v>21</v>
      </c>
    </row>
    <row r="90" spans="1:4" x14ac:dyDescent="0.25">
      <c r="A90" s="3"/>
      <c r="B90" s="2"/>
      <c r="C90" s="2"/>
      <c r="D90" s="8"/>
    </row>
    <row r="91" spans="1:4" x14ac:dyDescent="0.25">
      <c r="A91" s="3" t="s">
        <v>2</v>
      </c>
      <c r="B91" s="2"/>
      <c r="C91" s="2"/>
      <c r="D91" s="8"/>
    </row>
    <row r="92" spans="1:4" x14ac:dyDescent="0.25">
      <c r="A92" s="2" t="s">
        <v>143</v>
      </c>
      <c r="B92" s="2">
        <v>806</v>
      </c>
      <c r="C92" s="2">
        <v>91</v>
      </c>
      <c r="D92" s="8">
        <f t="shared" ref="D92:D97" si="33">B92+C92</f>
        <v>897</v>
      </c>
    </row>
    <row r="93" spans="1:4" x14ac:dyDescent="0.25">
      <c r="A93" s="2" t="s">
        <v>144</v>
      </c>
      <c r="B93" s="2">
        <v>51</v>
      </c>
      <c r="C93" s="2">
        <v>0</v>
      </c>
      <c r="D93" s="8">
        <f t="shared" si="33"/>
        <v>51</v>
      </c>
    </row>
    <row r="94" spans="1:4" x14ac:dyDescent="0.25">
      <c r="A94" s="2" t="s">
        <v>145</v>
      </c>
      <c r="B94" s="2">
        <v>9</v>
      </c>
      <c r="C94" s="2">
        <v>0</v>
      </c>
      <c r="D94" s="8">
        <f t="shared" si="33"/>
        <v>9</v>
      </c>
    </row>
    <row r="95" spans="1:4" x14ac:dyDescent="0.25">
      <c r="A95" s="2" t="s">
        <v>146</v>
      </c>
      <c r="B95" s="2">
        <v>91</v>
      </c>
      <c r="C95" s="2">
        <v>3</v>
      </c>
      <c r="D95" s="8">
        <f t="shared" si="33"/>
        <v>94</v>
      </c>
    </row>
    <row r="96" spans="1:4" x14ac:dyDescent="0.25">
      <c r="A96" s="2" t="s">
        <v>147</v>
      </c>
      <c r="B96" s="2">
        <v>120</v>
      </c>
      <c r="C96" s="2">
        <v>0</v>
      </c>
      <c r="D96" s="8">
        <f t="shared" si="33"/>
        <v>120</v>
      </c>
    </row>
    <row r="97" spans="1:12" x14ac:dyDescent="0.25">
      <c r="A97" s="2" t="s">
        <v>148</v>
      </c>
      <c r="B97" s="2">
        <v>61</v>
      </c>
      <c r="C97" s="2">
        <v>0</v>
      </c>
      <c r="D97" s="8">
        <f t="shared" si="33"/>
        <v>61</v>
      </c>
    </row>
    <row r="98" spans="1:12" x14ac:dyDescent="0.25">
      <c r="A98" s="3"/>
      <c r="B98" s="2"/>
      <c r="C98" s="2"/>
      <c r="D98" s="8"/>
    </row>
    <row r="100" spans="1:12" x14ac:dyDescent="0.25">
      <c r="A100" s="8" t="s">
        <v>103</v>
      </c>
      <c r="B100" s="3" t="s">
        <v>67</v>
      </c>
      <c r="C100" s="8" t="s">
        <v>101</v>
      </c>
      <c r="D100" s="3" t="s">
        <v>90</v>
      </c>
      <c r="F100" s="8" t="s">
        <v>89</v>
      </c>
      <c r="G100" s="3" t="s">
        <v>67</v>
      </c>
      <c r="H100" s="3" t="s">
        <v>90</v>
      </c>
      <c r="J100" s="8" t="s">
        <v>102</v>
      </c>
      <c r="K100" s="3" t="s">
        <v>67</v>
      </c>
      <c r="L100" s="3" t="s">
        <v>90</v>
      </c>
    </row>
    <row r="101" spans="1:12" x14ac:dyDescent="0.25">
      <c r="A101" s="11">
        <f>SUM(B101:D101)</f>
        <v>6</v>
      </c>
      <c r="B101" s="2">
        <v>4</v>
      </c>
      <c r="C101" s="2">
        <v>1</v>
      </c>
      <c r="D101" s="2">
        <v>1</v>
      </c>
      <c r="F101" s="11">
        <f>G101+H101</f>
        <v>6</v>
      </c>
      <c r="G101" s="2">
        <v>6</v>
      </c>
      <c r="H101" s="2"/>
      <c r="J101" s="11">
        <f>A101-F101</f>
        <v>0</v>
      </c>
      <c r="K101" s="2"/>
      <c r="L101" s="2"/>
    </row>
    <row r="103" spans="1:12" x14ac:dyDescent="0.25">
      <c r="J103" s="1" t="s">
        <v>155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29"/>
  <sheetViews>
    <sheetView workbookViewId="0">
      <pane xSplit="1" ySplit="3" topLeftCell="B100" activePane="bottomRight" state="frozen"/>
      <selection pane="topRight" activeCell="B1" sqref="B1"/>
      <selection pane="bottomLeft" activeCell="A3" sqref="A3"/>
      <selection pane="bottomRight" activeCell="D119" sqref="D119:D123"/>
    </sheetView>
  </sheetViews>
  <sheetFormatPr defaultRowHeight="15.75" x14ac:dyDescent="0.25"/>
  <cols>
    <col min="1" max="1" width="31.85546875" style="1" customWidth="1"/>
    <col min="2" max="9" width="17" style="1" bestFit="1" customWidth="1"/>
    <col min="10" max="10" width="12" style="1" customWidth="1"/>
    <col min="11" max="15" width="17" style="1" bestFit="1" customWidth="1"/>
    <col min="16" max="16" width="15.7109375" style="1" bestFit="1" customWidth="1"/>
    <col min="17" max="17" width="15.7109375" style="43" bestFit="1" customWidth="1"/>
    <col min="18" max="18" width="12.7109375" style="1" bestFit="1" customWidth="1"/>
    <col min="19" max="16384" width="9.140625" style="1"/>
  </cols>
  <sheetData>
    <row r="1" spans="1:18" ht="25.5" x14ac:dyDescent="0.35">
      <c r="A1" s="14" t="s">
        <v>83</v>
      </c>
      <c r="B1" s="15"/>
      <c r="C1" s="15"/>
      <c r="D1" s="15"/>
      <c r="E1" s="15"/>
      <c r="F1" s="1" t="s">
        <v>395</v>
      </c>
      <c r="Q1" s="1"/>
      <c r="R1" s="43"/>
    </row>
    <row r="3" spans="1:18" x14ac:dyDescent="0.25">
      <c r="A3" s="2"/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</row>
    <row r="4" spans="1:18" x14ac:dyDescent="0.25">
      <c r="A4" s="5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8" s="43" customFormat="1" x14ac:dyDescent="0.25">
      <c r="A5" s="42" t="s">
        <v>28</v>
      </c>
      <c r="B5" s="42">
        <v>772731</v>
      </c>
      <c r="C5" s="42">
        <v>1578276</v>
      </c>
      <c r="D5" s="42">
        <v>2586728</v>
      </c>
      <c r="E5" s="42">
        <v>3134538</v>
      </c>
      <c r="F5" s="42">
        <v>2767454</v>
      </c>
      <c r="G5" s="42">
        <v>1641818</v>
      </c>
      <c r="H5" s="42">
        <v>2636359</v>
      </c>
      <c r="I5" s="42">
        <v>3533455</v>
      </c>
      <c r="J5" s="42">
        <v>3657822</v>
      </c>
      <c r="K5" s="42">
        <v>4292554</v>
      </c>
      <c r="L5" s="42">
        <v>5504547</v>
      </c>
      <c r="M5" s="42">
        <v>5077277</v>
      </c>
      <c r="N5" s="42">
        <v>6940919</v>
      </c>
      <c r="O5" s="42">
        <v>4055460</v>
      </c>
      <c r="P5" s="42">
        <v>163637</v>
      </c>
    </row>
    <row r="6" spans="1:18" s="43" customFormat="1" x14ac:dyDescent="0.25">
      <c r="A6" s="44">
        <v>5</v>
      </c>
      <c r="B6" s="44">
        <f t="shared" ref="B6:P6" si="0">ROUND(B5/$A$6,0)</f>
        <v>154546</v>
      </c>
      <c r="C6" s="44">
        <f t="shared" si="0"/>
        <v>315655</v>
      </c>
      <c r="D6" s="44">
        <f t="shared" si="0"/>
        <v>517346</v>
      </c>
      <c r="E6" s="44">
        <f t="shared" si="0"/>
        <v>626908</v>
      </c>
      <c r="F6" s="44">
        <f t="shared" si="0"/>
        <v>553491</v>
      </c>
      <c r="G6" s="44">
        <f t="shared" si="0"/>
        <v>328364</v>
      </c>
      <c r="H6" s="44">
        <f t="shared" si="0"/>
        <v>527272</v>
      </c>
      <c r="I6" s="44">
        <f t="shared" si="0"/>
        <v>706691</v>
      </c>
      <c r="J6" s="44">
        <f t="shared" si="0"/>
        <v>731564</v>
      </c>
      <c r="K6" s="44">
        <f t="shared" si="0"/>
        <v>858511</v>
      </c>
      <c r="L6" s="44">
        <f t="shared" si="0"/>
        <v>1100909</v>
      </c>
      <c r="M6" s="44">
        <f t="shared" si="0"/>
        <v>1015455</v>
      </c>
      <c r="N6" s="44">
        <f t="shared" si="0"/>
        <v>1388184</v>
      </c>
      <c r="O6" s="44">
        <f t="shared" si="0"/>
        <v>811092</v>
      </c>
      <c r="P6" s="44">
        <f t="shared" si="0"/>
        <v>32727</v>
      </c>
    </row>
    <row r="7" spans="1:18" s="43" customFormat="1" x14ac:dyDescent="0.25">
      <c r="A7" s="42" t="s">
        <v>31</v>
      </c>
      <c r="B7" s="42">
        <v>1529100</v>
      </c>
      <c r="C7" s="42">
        <v>2757272</v>
      </c>
      <c r="D7" s="42">
        <v>4010010</v>
      </c>
      <c r="E7" s="42">
        <v>3459092</v>
      </c>
      <c r="F7" s="42">
        <v>2932749</v>
      </c>
      <c r="G7" s="42">
        <v>2179089</v>
      </c>
      <c r="H7" s="42">
        <v>3487638</v>
      </c>
      <c r="I7" s="42">
        <v>3562278</v>
      </c>
      <c r="J7" s="42">
        <v>4831092</v>
      </c>
      <c r="K7" s="42">
        <v>3585641</v>
      </c>
      <c r="L7" s="42">
        <v>5571374</v>
      </c>
      <c r="M7" s="42">
        <v>7070912</v>
      </c>
      <c r="N7" s="42">
        <v>6444543</v>
      </c>
      <c r="O7" s="42">
        <v>4946367</v>
      </c>
      <c r="P7" s="42">
        <v>150000</v>
      </c>
    </row>
    <row r="8" spans="1:18" s="43" customFormat="1" x14ac:dyDescent="0.25">
      <c r="A8" s="44">
        <v>5</v>
      </c>
      <c r="B8" s="44">
        <f t="shared" ref="B8:P8" si="1">ROUND(B7/$A$6,0)</f>
        <v>305820</v>
      </c>
      <c r="C8" s="44">
        <f t="shared" si="1"/>
        <v>551454</v>
      </c>
      <c r="D8" s="44">
        <f t="shared" si="1"/>
        <v>802002</v>
      </c>
      <c r="E8" s="44">
        <f t="shared" si="1"/>
        <v>691818</v>
      </c>
      <c r="F8" s="44">
        <f t="shared" si="1"/>
        <v>586550</v>
      </c>
      <c r="G8" s="44">
        <f t="shared" si="1"/>
        <v>435818</v>
      </c>
      <c r="H8" s="44">
        <f t="shared" si="1"/>
        <v>697528</v>
      </c>
      <c r="I8" s="44">
        <f t="shared" si="1"/>
        <v>712456</v>
      </c>
      <c r="J8" s="44">
        <f t="shared" si="1"/>
        <v>966218</v>
      </c>
      <c r="K8" s="44">
        <f t="shared" si="1"/>
        <v>717128</v>
      </c>
      <c r="L8" s="44">
        <f t="shared" si="1"/>
        <v>1114275</v>
      </c>
      <c r="M8" s="44">
        <f t="shared" si="1"/>
        <v>1414182</v>
      </c>
      <c r="N8" s="44">
        <f t="shared" si="1"/>
        <v>1288909</v>
      </c>
      <c r="O8" s="44">
        <f t="shared" si="1"/>
        <v>989273</v>
      </c>
      <c r="P8" s="44">
        <f t="shared" si="1"/>
        <v>30000</v>
      </c>
    </row>
    <row r="9" spans="1:18" s="43" customFormat="1" x14ac:dyDescent="0.25">
      <c r="A9" s="42" t="s">
        <v>33</v>
      </c>
      <c r="B9" s="42">
        <v>1091819</v>
      </c>
      <c r="C9" s="42">
        <v>2653636</v>
      </c>
      <c r="D9" s="42">
        <v>4120007</v>
      </c>
      <c r="E9" s="42">
        <v>3992545</v>
      </c>
      <c r="F9" s="42">
        <v>3860913</v>
      </c>
      <c r="G9" s="42">
        <v>2746002</v>
      </c>
      <c r="H9" s="42">
        <v>3378181</v>
      </c>
      <c r="I9" s="42">
        <v>3754542</v>
      </c>
      <c r="J9" s="42">
        <v>4110002</v>
      </c>
      <c r="K9" s="42">
        <v>4110555</v>
      </c>
      <c r="L9" s="42">
        <v>5541372</v>
      </c>
      <c r="M9" s="42">
        <v>6959093</v>
      </c>
      <c r="N9" s="42">
        <v>7176184</v>
      </c>
      <c r="O9" s="42">
        <v>4087276</v>
      </c>
      <c r="P9" s="42">
        <v>281911</v>
      </c>
    </row>
    <row r="10" spans="1:18" s="43" customFormat="1" x14ac:dyDescent="0.25">
      <c r="A10" s="44">
        <v>5</v>
      </c>
      <c r="B10" s="44">
        <f t="shared" ref="B10:P10" si="2">ROUND(B9/$A$6,0)</f>
        <v>218364</v>
      </c>
      <c r="C10" s="44">
        <f t="shared" si="2"/>
        <v>530727</v>
      </c>
      <c r="D10" s="44">
        <f t="shared" si="2"/>
        <v>824001</v>
      </c>
      <c r="E10" s="44">
        <f t="shared" si="2"/>
        <v>798509</v>
      </c>
      <c r="F10" s="44">
        <f t="shared" si="2"/>
        <v>772183</v>
      </c>
      <c r="G10" s="44">
        <f t="shared" si="2"/>
        <v>549200</v>
      </c>
      <c r="H10" s="44">
        <f t="shared" si="2"/>
        <v>675636</v>
      </c>
      <c r="I10" s="44">
        <f t="shared" si="2"/>
        <v>750908</v>
      </c>
      <c r="J10" s="44">
        <f t="shared" si="2"/>
        <v>822000</v>
      </c>
      <c r="K10" s="44">
        <f t="shared" si="2"/>
        <v>822111</v>
      </c>
      <c r="L10" s="44">
        <f t="shared" si="2"/>
        <v>1108274</v>
      </c>
      <c r="M10" s="44">
        <f t="shared" si="2"/>
        <v>1391819</v>
      </c>
      <c r="N10" s="44">
        <f t="shared" si="2"/>
        <v>1435237</v>
      </c>
      <c r="O10" s="44">
        <f t="shared" si="2"/>
        <v>817455</v>
      </c>
      <c r="P10" s="44">
        <f t="shared" si="2"/>
        <v>56382</v>
      </c>
    </row>
    <row r="11" spans="1:18" s="43" customFormat="1" x14ac:dyDescent="0.25">
      <c r="A11" s="42" t="s">
        <v>35</v>
      </c>
      <c r="B11" s="42">
        <v>790910</v>
      </c>
      <c r="C11" s="42">
        <v>1556546</v>
      </c>
      <c r="D11" s="42">
        <v>3608184</v>
      </c>
      <c r="E11" s="42">
        <v>2415456</v>
      </c>
      <c r="F11" s="42">
        <v>3365458</v>
      </c>
      <c r="G11" s="42">
        <v>2402637</v>
      </c>
      <c r="H11" s="42">
        <v>2421365</v>
      </c>
      <c r="I11" s="42">
        <v>2964913</v>
      </c>
      <c r="J11" s="42">
        <v>3523637</v>
      </c>
      <c r="K11" s="42">
        <v>4996370</v>
      </c>
      <c r="L11" s="42">
        <v>5164825</v>
      </c>
      <c r="M11" s="42">
        <v>6296910</v>
      </c>
      <c r="N11" s="42">
        <v>6566365</v>
      </c>
      <c r="O11" s="42">
        <v>5202372</v>
      </c>
      <c r="P11" s="42">
        <v>76364</v>
      </c>
    </row>
    <row r="12" spans="1:18" s="43" customFormat="1" x14ac:dyDescent="0.25">
      <c r="A12" s="44">
        <v>5</v>
      </c>
      <c r="B12" s="44">
        <f t="shared" ref="B12:P12" si="3">ROUND(B11/$A$6,0)</f>
        <v>158182</v>
      </c>
      <c r="C12" s="44">
        <f t="shared" si="3"/>
        <v>311309</v>
      </c>
      <c r="D12" s="44">
        <f t="shared" si="3"/>
        <v>721637</v>
      </c>
      <c r="E12" s="44">
        <f t="shared" si="3"/>
        <v>483091</v>
      </c>
      <c r="F12" s="44">
        <f t="shared" si="3"/>
        <v>673092</v>
      </c>
      <c r="G12" s="44">
        <f t="shared" si="3"/>
        <v>480527</v>
      </c>
      <c r="H12" s="44">
        <f t="shared" si="3"/>
        <v>484273</v>
      </c>
      <c r="I12" s="44">
        <f t="shared" si="3"/>
        <v>592983</v>
      </c>
      <c r="J12" s="44">
        <f t="shared" si="3"/>
        <v>704727</v>
      </c>
      <c r="K12" s="44">
        <f t="shared" si="3"/>
        <v>999274</v>
      </c>
      <c r="L12" s="44">
        <f t="shared" si="3"/>
        <v>1032965</v>
      </c>
      <c r="M12" s="44">
        <f t="shared" si="3"/>
        <v>1259382</v>
      </c>
      <c r="N12" s="44">
        <f t="shared" si="3"/>
        <v>1313273</v>
      </c>
      <c r="O12" s="44">
        <f t="shared" si="3"/>
        <v>1040474</v>
      </c>
      <c r="P12" s="44">
        <f t="shared" si="3"/>
        <v>15273</v>
      </c>
    </row>
    <row r="13" spans="1:18" s="43" customFormat="1" x14ac:dyDescent="0.25">
      <c r="A13" s="42" t="s">
        <v>37</v>
      </c>
      <c r="B13" s="42">
        <v>1750908</v>
      </c>
      <c r="C13" s="42">
        <v>4173634</v>
      </c>
      <c r="D13" s="42">
        <v>5966105</v>
      </c>
      <c r="E13" s="42">
        <v>6775281</v>
      </c>
      <c r="F13" s="42">
        <v>6296188</v>
      </c>
      <c r="G13" s="42">
        <v>5042735</v>
      </c>
      <c r="H13" s="42">
        <v>5288186</v>
      </c>
      <c r="I13" s="42">
        <v>8477731</v>
      </c>
      <c r="J13" s="42">
        <v>5870283</v>
      </c>
      <c r="K13" s="42">
        <v>5886185</v>
      </c>
      <c r="L13" s="42">
        <v>5700002</v>
      </c>
      <c r="M13" s="42">
        <v>8983642</v>
      </c>
      <c r="N13" s="42">
        <v>8541549</v>
      </c>
      <c r="O13" s="42">
        <v>6517821</v>
      </c>
      <c r="P13" s="42">
        <v>174546</v>
      </c>
    </row>
    <row r="14" spans="1:18" s="43" customFormat="1" x14ac:dyDescent="0.25">
      <c r="A14" s="44">
        <v>5</v>
      </c>
      <c r="B14" s="44">
        <f t="shared" ref="B14:P14" si="4">ROUND(B13/$A$6,0)</f>
        <v>350182</v>
      </c>
      <c r="C14" s="44">
        <f t="shared" si="4"/>
        <v>834727</v>
      </c>
      <c r="D14" s="44">
        <f t="shared" si="4"/>
        <v>1193221</v>
      </c>
      <c r="E14" s="44">
        <f t="shared" si="4"/>
        <v>1355056</v>
      </c>
      <c r="F14" s="44">
        <f t="shared" si="4"/>
        <v>1259238</v>
      </c>
      <c r="G14" s="44">
        <f t="shared" si="4"/>
        <v>1008547</v>
      </c>
      <c r="H14" s="44">
        <f t="shared" si="4"/>
        <v>1057637</v>
      </c>
      <c r="I14" s="44">
        <f t="shared" si="4"/>
        <v>1695546</v>
      </c>
      <c r="J14" s="44">
        <f t="shared" si="4"/>
        <v>1174057</v>
      </c>
      <c r="K14" s="44">
        <f t="shared" si="4"/>
        <v>1177237</v>
      </c>
      <c r="L14" s="44">
        <f t="shared" si="4"/>
        <v>1140000</v>
      </c>
      <c r="M14" s="44">
        <f t="shared" si="4"/>
        <v>1796728</v>
      </c>
      <c r="N14" s="44">
        <f t="shared" si="4"/>
        <v>1708310</v>
      </c>
      <c r="O14" s="44">
        <f t="shared" si="4"/>
        <v>1303564</v>
      </c>
      <c r="P14" s="44">
        <f t="shared" si="4"/>
        <v>34909</v>
      </c>
    </row>
    <row r="15" spans="1:18" s="43" customFormat="1" x14ac:dyDescent="0.25">
      <c r="A15" s="70" t="s">
        <v>40</v>
      </c>
      <c r="B15" s="70">
        <f>ROUND((B6+B8+B10+B12+B14)/5,0)</f>
        <v>237419</v>
      </c>
      <c r="C15" s="70">
        <f t="shared" ref="C15:P15" si="5">ROUND((C6+C8+C10+C12+C14)/5,0)</f>
        <v>508774</v>
      </c>
      <c r="D15" s="70">
        <f t="shared" si="5"/>
        <v>811641</v>
      </c>
      <c r="E15" s="70">
        <f t="shared" si="5"/>
        <v>791076</v>
      </c>
      <c r="F15" s="70">
        <f t="shared" si="5"/>
        <v>768911</v>
      </c>
      <c r="G15" s="70">
        <f t="shared" si="5"/>
        <v>560491</v>
      </c>
      <c r="H15" s="70">
        <f t="shared" si="5"/>
        <v>688469</v>
      </c>
      <c r="I15" s="70">
        <f t="shared" si="5"/>
        <v>891717</v>
      </c>
      <c r="J15" s="70">
        <f t="shared" si="5"/>
        <v>879713</v>
      </c>
      <c r="K15" s="70">
        <f t="shared" si="5"/>
        <v>914852</v>
      </c>
      <c r="L15" s="70">
        <f t="shared" si="5"/>
        <v>1099285</v>
      </c>
      <c r="M15" s="70">
        <f t="shared" si="5"/>
        <v>1375513</v>
      </c>
      <c r="N15" s="70">
        <f t="shared" si="5"/>
        <v>1426783</v>
      </c>
      <c r="O15" s="70">
        <f t="shared" si="5"/>
        <v>992372</v>
      </c>
      <c r="P15" s="70">
        <f t="shared" si="5"/>
        <v>33858</v>
      </c>
    </row>
    <row r="16" spans="1:18" s="37" customFormat="1" x14ac:dyDescent="0.25">
      <c r="A16" s="45" t="s">
        <v>302</v>
      </c>
      <c r="B16" s="45">
        <f>B15</f>
        <v>237419</v>
      </c>
      <c r="C16" s="45">
        <f t="shared" ref="C16:P16" si="6">C15</f>
        <v>508774</v>
      </c>
      <c r="D16" s="45">
        <f t="shared" si="6"/>
        <v>811641</v>
      </c>
      <c r="E16" s="45">
        <f t="shared" si="6"/>
        <v>791076</v>
      </c>
      <c r="F16" s="45">
        <f t="shared" si="6"/>
        <v>768911</v>
      </c>
      <c r="G16" s="45">
        <f t="shared" si="6"/>
        <v>560491</v>
      </c>
      <c r="H16" s="45">
        <f t="shared" si="6"/>
        <v>688469</v>
      </c>
      <c r="I16" s="45">
        <f t="shared" si="6"/>
        <v>891717</v>
      </c>
      <c r="J16" s="45">
        <f t="shared" si="6"/>
        <v>879713</v>
      </c>
      <c r="K16" s="45">
        <f t="shared" si="6"/>
        <v>914852</v>
      </c>
      <c r="L16" s="45">
        <f t="shared" si="6"/>
        <v>1099285</v>
      </c>
      <c r="M16" s="45">
        <f t="shared" si="6"/>
        <v>1375513</v>
      </c>
      <c r="N16" s="45">
        <f t="shared" si="6"/>
        <v>1426783</v>
      </c>
      <c r="O16" s="45">
        <f t="shared" si="6"/>
        <v>992372</v>
      </c>
      <c r="P16" s="45">
        <f t="shared" si="6"/>
        <v>33858</v>
      </c>
      <c r="Q16" s="43">
        <f t="shared" ref="Q16:Q17" si="7">SUM(B16:P16)</f>
        <v>11980874</v>
      </c>
      <c r="R16" s="43"/>
    </row>
    <row r="17" spans="1:19" x14ac:dyDescent="0.25">
      <c r="A17" s="12" t="s">
        <v>303</v>
      </c>
      <c r="B17" s="12">
        <v>2</v>
      </c>
      <c r="C17" s="12">
        <v>2</v>
      </c>
      <c r="D17" s="12">
        <v>2</v>
      </c>
      <c r="E17" s="12">
        <v>2</v>
      </c>
      <c r="F17" s="12">
        <v>2</v>
      </c>
      <c r="G17" s="12">
        <v>2</v>
      </c>
      <c r="H17" s="12">
        <v>2</v>
      </c>
      <c r="I17" s="12">
        <v>2</v>
      </c>
      <c r="J17" s="12">
        <v>2</v>
      </c>
      <c r="K17" s="12">
        <v>2</v>
      </c>
      <c r="L17" s="12">
        <v>3</v>
      </c>
      <c r="M17" s="12">
        <v>3</v>
      </c>
      <c r="N17" s="12">
        <v>3</v>
      </c>
      <c r="O17" s="12">
        <v>2</v>
      </c>
      <c r="P17" s="12"/>
      <c r="Q17" s="43">
        <f t="shared" si="7"/>
        <v>31</v>
      </c>
    </row>
    <row r="18" spans="1:19" x14ac:dyDescent="0.25">
      <c r="A18" s="12" t="s">
        <v>304</v>
      </c>
      <c r="B18" s="46">
        <f t="shared" ref="B18:P18" si="8">B17*18000</f>
        <v>36000</v>
      </c>
      <c r="C18" s="46">
        <f t="shared" si="8"/>
        <v>36000</v>
      </c>
      <c r="D18" s="46">
        <f t="shared" si="8"/>
        <v>36000</v>
      </c>
      <c r="E18" s="46">
        <f t="shared" si="8"/>
        <v>36000</v>
      </c>
      <c r="F18" s="46">
        <f t="shared" si="8"/>
        <v>36000</v>
      </c>
      <c r="G18" s="46">
        <f t="shared" si="8"/>
        <v>36000</v>
      </c>
      <c r="H18" s="46">
        <f t="shared" si="8"/>
        <v>36000</v>
      </c>
      <c r="I18" s="46">
        <f t="shared" si="8"/>
        <v>36000</v>
      </c>
      <c r="J18" s="46">
        <f t="shared" si="8"/>
        <v>36000</v>
      </c>
      <c r="K18" s="46">
        <f t="shared" si="8"/>
        <v>36000</v>
      </c>
      <c r="L18" s="46">
        <f t="shared" si="8"/>
        <v>54000</v>
      </c>
      <c r="M18" s="46">
        <f t="shared" si="8"/>
        <v>54000</v>
      </c>
      <c r="N18" s="46">
        <f t="shared" si="8"/>
        <v>54000</v>
      </c>
      <c r="O18" s="46">
        <f t="shared" si="8"/>
        <v>36000</v>
      </c>
      <c r="P18" s="46">
        <f t="shared" si="8"/>
        <v>0</v>
      </c>
      <c r="Q18" s="43">
        <f>SUM(B18:P18)</f>
        <v>558000</v>
      </c>
      <c r="R18" s="47">
        <f>Q18/Q16</f>
        <v>4.6574231562739078E-2</v>
      </c>
    </row>
    <row r="19" spans="1:19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9" x14ac:dyDescent="0.25">
      <c r="A20" s="13" t="s">
        <v>75</v>
      </c>
    </row>
    <row r="21" spans="1:19" x14ac:dyDescent="0.25">
      <c r="A21" s="2" t="s">
        <v>62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/>
      <c r="K21" s="2"/>
      <c r="L21" s="2"/>
      <c r="M21" s="2"/>
      <c r="N21" s="2"/>
      <c r="O21" s="2"/>
      <c r="P21" s="2"/>
    </row>
    <row r="22" spans="1:19" x14ac:dyDescent="0.25">
      <c r="A22" s="2" t="s">
        <v>396</v>
      </c>
      <c r="B22" s="2">
        <v>1</v>
      </c>
      <c r="C22" s="2">
        <v>1</v>
      </c>
      <c r="D22" s="2">
        <v>1</v>
      </c>
      <c r="E22" s="2">
        <v>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9" x14ac:dyDescent="0.25">
      <c r="A23" s="2" t="s">
        <v>110</v>
      </c>
      <c r="B23" s="2"/>
      <c r="C23" s="2"/>
      <c r="D23" s="2"/>
      <c r="E23" s="2"/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/>
      <c r="O23" s="2"/>
      <c r="P23" s="2"/>
    </row>
    <row r="24" spans="1:19" x14ac:dyDescent="0.25">
      <c r="A24" s="2" t="s">
        <v>86</v>
      </c>
      <c r="B24" s="2"/>
      <c r="C24" s="2"/>
      <c r="D24" s="2"/>
      <c r="E24" s="2"/>
      <c r="F24" s="2"/>
      <c r="G24" s="2"/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/>
    </row>
    <row r="25" spans="1:19" x14ac:dyDescent="0.25">
      <c r="A25" s="2" t="s">
        <v>125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</v>
      </c>
      <c r="M25" s="2">
        <v>1</v>
      </c>
      <c r="N25" s="2">
        <v>1</v>
      </c>
      <c r="O25" s="2">
        <v>1</v>
      </c>
      <c r="P25" s="2"/>
    </row>
    <row r="26" spans="1:19" x14ac:dyDescent="0.25">
      <c r="A26" s="7" t="s">
        <v>303</v>
      </c>
      <c r="B26" s="7">
        <f>SUM(B21:B25)</f>
        <v>2</v>
      </c>
      <c r="C26" s="7">
        <f t="shared" ref="C26:P26" si="9">SUM(C21:C25)</f>
        <v>2</v>
      </c>
      <c r="D26" s="7">
        <f t="shared" si="9"/>
        <v>2</v>
      </c>
      <c r="E26" s="7">
        <f t="shared" si="9"/>
        <v>2</v>
      </c>
      <c r="F26" s="7">
        <f t="shared" si="9"/>
        <v>2</v>
      </c>
      <c r="G26" s="7">
        <f t="shared" si="9"/>
        <v>2</v>
      </c>
      <c r="H26" s="7">
        <f t="shared" si="9"/>
        <v>3</v>
      </c>
      <c r="I26" s="7">
        <f t="shared" si="9"/>
        <v>3</v>
      </c>
      <c r="J26" s="7">
        <f t="shared" si="9"/>
        <v>2</v>
      </c>
      <c r="K26" s="7">
        <f t="shared" si="9"/>
        <v>2</v>
      </c>
      <c r="L26" s="7">
        <f t="shared" si="9"/>
        <v>3</v>
      </c>
      <c r="M26" s="7">
        <f t="shared" si="9"/>
        <v>3</v>
      </c>
      <c r="N26" s="7">
        <f t="shared" si="9"/>
        <v>2</v>
      </c>
      <c r="O26" s="7">
        <f t="shared" si="9"/>
        <v>2</v>
      </c>
      <c r="P26" s="7">
        <f t="shared" si="9"/>
        <v>0</v>
      </c>
      <c r="Q26" s="43">
        <f>SUM(B26:P26)</f>
        <v>32</v>
      </c>
    </row>
    <row r="27" spans="1:19" x14ac:dyDescent="0.25">
      <c r="A27" s="12" t="s">
        <v>304</v>
      </c>
      <c r="B27" s="46">
        <f t="shared" ref="B27:P27" si="10">B26*18000</f>
        <v>36000</v>
      </c>
      <c r="C27" s="46">
        <f t="shared" si="10"/>
        <v>36000</v>
      </c>
      <c r="D27" s="46">
        <f t="shared" si="10"/>
        <v>36000</v>
      </c>
      <c r="E27" s="46">
        <f t="shared" si="10"/>
        <v>36000</v>
      </c>
      <c r="F27" s="46">
        <f t="shared" si="10"/>
        <v>36000</v>
      </c>
      <c r="G27" s="46">
        <f t="shared" si="10"/>
        <v>36000</v>
      </c>
      <c r="H27" s="46">
        <f t="shared" si="10"/>
        <v>54000</v>
      </c>
      <c r="I27" s="46">
        <f t="shared" si="10"/>
        <v>54000</v>
      </c>
      <c r="J27" s="46">
        <f t="shared" si="10"/>
        <v>36000</v>
      </c>
      <c r="K27" s="46">
        <f t="shared" si="10"/>
        <v>36000</v>
      </c>
      <c r="L27" s="46">
        <f t="shared" si="10"/>
        <v>54000</v>
      </c>
      <c r="M27" s="46">
        <f t="shared" si="10"/>
        <v>54000</v>
      </c>
      <c r="N27" s="46">
        <f t="shared" si="10"/>
        <v>36000</v>
      </c>
      <c r="O27" s="46">
        <f t="shared" si="10"/>
        <v>36000</v>
      </c>
      <c r="P27" s="46">
        <f t="shared" si="10"/>
        <v>0</v>
      </c>
      <c r="Q27" s="43">
        <f>SUM(B27:P27)</f>
        <v>576000</v>
      </c>
      <c r="R27" s="47">
        <f>Q27/Q16</f>
        <v>4.807662612927905E-2</v>
      </c>
      <c r="S27" s="47"/>
    </row>
    <row r="29" spans="1:19" x14ac:dyDescent="0.25">
      <c r="A29" s="5" t="s">
        <v>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9" s="43" customFormat="1" x14ac:dyDescent="0.25">
      <c r="A30" s="42" t="s">
        <v>30</v>
      </c>
      <c r="B30" s="42">
        <v>626366</v>
      </c>
      <c r="C30" s="42">
        <v>2491094</v>
      </c>
      <c r="D30" s="42">
        <v>3469729</v>
      </c>
      <c r="E30" s="42">
        <v>5055913</v>
      </c>
      <c r="F30" s="42">
        <v>2327280</v>
      </c>
      <c r="G30" s="42">
        <v>1302730</v>
      </c>
      <c r="H30" s="42">
        <v>3544547</v>
      </c>
      <c r="I30" s="42">
        <v>2306362</v>
      </c>
      <c r="J30" s="42">
        <v>3851820</v>
      </c>
      <c r="K30" s="42">
        <v>3886364</v>
      </c>
      <c r="L30" s="42">
        <v>3441182</v>
      </c>
      <c r="M30" s="42">
        <v>4071823</v>
      </c>
      <c r="N30" s="42">
        <v>5406368</v>
      </c>
      <c r="O30" s="42">
        <v>3088907</v>
      </c>
      <c r="P30" s="42">
        <v>230000</v>
      </c>
    </row>
    <row r="31" spans="1:19" s="43" customFormat="1" x14ac:dyDescent="0.25">
      <c r="A31" s="44">
        <v>2</v>
      </c>
      <c r="B31" s="44">
        <f t="shared" ref="B31:P31" si="11">ROUND((B30)/$A$31,0)</f>
        <v>313183</v>
      </c>
      <c r="C31" s="44">
        <f t="shared" si="11"/>
        <v>1245547</v>
      </c>
      <c r="D31" s="44">
        <f t="shared" si="11"/>
        <v>1734865</v>
      </c>
      <c r="E31" s="44">
        <f t="shared" si="11"/>
        <v>2527957</v>
      </c>
      <c r="F31" s="44">
        <f t="shared" si="11"/>
        <v>1163640</v>
      </c>
      <c r="G31" s="44">
        <f t="shared" si="11"/>
        <v>651365</v>
      </c>
      <c r="H31" s="44">
        <f t="shared" si="11"/>
        <v>1772274</v>
      </c>
      <c r="I31" s="44">
        <f t="shared" si="11"/>
        <v>1153181</v>
      </c>
      <c r="J31" s="44">
        <f t="shared" si="11"/>
        <v>1925910</v>
      </c>
      <c r="K31" s="44">
        <f t="shared" si="11"/>
        <v>1943182</v>
      </c>
      <c r="L31" s="44">
        <f t="shared" si="11"/>
        <v>1720591</v>
      </c>
      <c r="M31" s="44">
        <f t="shared" si="11"/>
        <v>2035912</v>
      </c>
      <c r="N31" s="44">
        <f t="shared" si="11"/>
        <v>2703184</v>
      </c>
      <c r="O31" s="44">
        <f t="shared" si="11"/>
        <v>1544454</v>
      </c>
      <c r="P31" s="44">
        <f t="shared" si="11"/>
        <v>115000</v>
      </c>
    </row>
    <row r="32" spans="1:19" s="43" customFormat="1" x14ac:dyDescent="0.25">
      <c r="A32" s="42" t="s">
        <v>32</v>
      </c>
      <c r="B32" s="42">
        <v>971638</v>
      </c>
      <c r="C32" s="42">
        <v>3614366</v>
      </c>
      <c r="D32" s="42">
        <v>5815448</v>
      </c>
      <c r="E32" s="42">
        <v>5374553</v>
      </c>
      <c r="F32" s="42">
        <v>3885457</v>
      </c>
      <c r="G32" s="42">
        <v>5246548</v>
      </c>
      <c r="H32" s="42">
        <v>3498183</v>
      </c>
      <c r="I32" s="42">
        <v>4797272</v>
      </c>
      <c r="J32" s="42">
        <v>5408190</v>
      </c>
      <c r="K32" s="42">
        <v>6575444</v>
      </c>
      <c r="L32" s="42">
        <v>7157825</v>
      </c>
      <c r="M32" s="42">
        <v>6944546</v>
      </c>
      <c r="N32" s="42">
        <v>6157094</v>
      </c>
      <c r="O32" s="42">
        <v>5963650</v>
      </c>
      <c r="P32" s="42">
        <v>407273</v>
      </c>
    </row>
    <row r="33" spans="1:18" s="43" customFormat="1" x14ac:dyDescent="0.25">
      <c r="A33" s="44">
        <v>2</v>
      </c>
      <c r="B33" s="44">
        <f t="shared" ref="B33:P33" si="12">ROUND((B32)/$A$31,0)</f>
        <v>485819</v>
      </c>
      <c r="C33" s="44">
        <f t="shared" si="12"/>
        <v>1807183</v>
      </c>
      <c r="D33" s="44">
        <f t="shared" si="12"/>
        <v>2907724</v>
      </c>
      <c r="E33" s="44">
        <f t="shared" si="12"/>
        <v>2687277</v>
      </c>
      <c r="F33" s="44">
        <f t="shared" si="12"/>
        <v>1942729</v>
      </c>
      <c r="G33" s="44">
        <f t="shared" si="12"/>
        <v>2623274</v>
      </c>
      <c r="H33" s="44">
        <f t="shared" si="12"/>
        <v>1749092</v>
      </c>
      <c r="I33" s="44">
        <f t="shared" si="12"/>
        <v>2398636</v>
      </c>
      <c r="J33" s="44">
        <f t="shared" si="12"/>
        <v>2704095</v>
      </c>
      <c r="K33" s="44">
        <f t="shared" si="12"/>
        <v>3287722</v>
      </c>
      <c r="L33" s="44">
        <f t="shared" si="12"/>
        <v>3578913</v>
      </c>
      <c r="M33" s="44">
        <f t="shared" si="12"/>
        <v>3472273</v>
      </c>
      <c r="N33" s="44">
        <f t="shared" si="12"/>
        <v>3078547</v>
      </c>
      <c r="O33" s="44">
        <f t="shared" si="12"/>
        <v>2981825</v>
      </c>
      <c r="P33" s="44">
        <f t="shared" si="12"/>
        <v>203637</v>
      </c>
    </row>
    <row r="34" spans="1:18" s="43" customFormat="1" x14ac:dyDescent="0.25">
      <c r="A34" s="42" t="s">
        <v>34</v>
      </c>
      <c r="B34" s="42">
        <v>1367273</v>
      </c>
      <c r="C34" s="42">
        <v>1168184</v>
      </c>
      <c r="D34" s="42">
        <v>2421647</v>
      </c>
      <c r="E34" s="42">
        <v>3230000</v>
      </c>
      <c r="F34" s="42">
        <v>2958184</v>
      </c>
      <c r="G34" s="42">
        <v>3039279</v>
      </c>
      <c r="H34" s="42">
        <v>1549096</v>
      </c>
      <c r="I34" s="42">
        <v>1916908</v>
      </c>
      <c r="J34" s="42">
        <v>2051823</v>
      </c>
      <c r="K34" s="42">
        <v>2689090</v>
      </c>
      <c r="L34" s="42">
        <v>3106550</v>
      </c>
      <c r="M34" s="42">
        <v>4582184</v>
      </c>
      <c r="N34" s="42">
        <v>4269996</v>
      </c>
      <c r="O34" s="42">
        <v>2514734</v>
      </c>
      <c r="P34" s="42">
        <v>105454</v>
      </c>
    </row>
    <row r="35" spans="1:18" s="43" customFormat="1" x14ac:dyDescent="0.25">
      <c r="A35" s="44">
        <v>2</v>
      </c>
      <c r="B35" s="44">
        <f t="shared" ref="B35:P35" si="13">ROUND((B34)/$A$31,0)</f>
        <v>683637</v>
      </c>
      <c r="C35" s="44">
        <f t="shared" si="13"/>
        <v>584092</v>
      </c>
      <c r="D35" s="44">
        <f t="shared" si="13"/>
        <v>1210824</v>
      </c>
      <c r="E35" s="44">
        <f t="shared" si="13"/>
        <v>1615000</v>
      </c>
      <c r="F35" s="44">
        <f t="shared" si="13"/>
        <v>1479092</v>
      </c>
      <c r="G35" s="44">
        <f t="shared" si="13"/>
        <v>1519640</v>
      </c>
      <c r="H35" s="44">
        <f t="shared" si="13"/>
        <v>774548</v>
      </c>
      <c r="I35" s="44">
        <f t="shared" si="13"/>
        <v>958454</v>
      </c>
      <c r="J35" s="44">
        <f t="shared" si="13"/>
        <v>1025912</v>
      </c>
      <c r="K35" s="44">
        <f t="shared" si="13"/>
        <v>1344545</v>
      </c>
      <c r="L35" s="44">
        <f t="shared" si="13"/>
        <v>1553275</v>
      </c>
      <c r="M35" s="44">
        <f t="shared" si="13"/>
        <v>2291092</v>
      </c>
      <c r="N35" s="44">
        <f t="shared" si="13"/>
        <v>2134998</v>
      </c>
      <c r="O35" s="44">
        <f t="shared" si="13"/>
        <v>1257367</v>
      </c>
      <c r="P35" s="44">
        <f t="shared" si="13"/>
        <v>52727</v>
      </c>
    </row>
    <row r="36" spans="1:18" s="43" customFormat="1" x14ac:dyDescent="0.25">
      <c r="A36" s="42" t="s">
        <v>36</v>
      </c>
      <c r="B36" s="42">
        <v>1263637</v>
      </c>
      <c r="C36" s="42">
        <v>3139450</v>
      </c>
      <c r="D36" s="42">
        <v>6406554</v>
      </c>
      <c r="E36" s="42">
        <v>7164557</v>
      </c>
      <c r="F36" s="42">
        <v>8986366</v>
      </c>
      <c r="G36" s="42">
        <v>6297269</v>
      </c>
      <c r="H36" s="42">
        <v>5944633</v>
      </c>
      <c r="I36" s="42">
        <v>6459998</v>
      </c>
      <c r="J36" s="42">
        <v>4942552</v>
      </c>
      <c r="K36" s="42">
        <v>5610908</v>
      </c>
      <c r="L36" s="42">
        <v>5759090</v>
      </c>
      <c r="M36" s="42">
        <v>11015549</v>
      </c>
      <c r="N36" s="42">
        <v>9561102</v>
      </c>
      <c r="O36" s="42">
        <v>7543015</v>
      </c>
      <c r="P36" s="42">
        <v>1853638</v>
      </c>
    </row>
    <row r="37" spans="1:18" s="43" customFormat="1" x14ac:dyDescent="0.25">
      <c r="A37" s="44">
        <v>2</v>
      </c>
      <c r="B37" s="44">
        <f t="shared" ref="B37:P37" si="14">ROUND((B36)/$A$31,0)</f>
        <v>631819</v>
      </c>
      <c r="C37" s="44">
        <f t="shared" si="14"/>
        <v>1569725</v>
      </c>
      <c r="D37" s="44">
        <f t="shared" si="14"/>
        <v>3203277</v>
      </c>
      <c r="E37" s="44">
        <f t="shared" si="14"/>
        <v>3582279</v>
      </c>
      <c r="F37" s="44">
        <f t="shared" si="14"/>
        <v>4493183</v>
      </c>
      <c r="G37" s="44">
        <f t="shared" si="14"/>
        <v>3148635</v>
      </c>
      <c r="H37" s="44">
        <f t="shared" si="14"/>
        <v>2972317</v>
      </c>
      <c r="I37" s="44">
        <f t="shared" si="14"/>
        <v>3229999</v>
      </c>
      <c r="J37" s="44">
        <f t="shared" si="14"/>
        <v>2471276</v>
      </c>
      <c r="K37" s="44">
        <f t="shared" si="14"/>
        <v>2805454</v>
      </c>
      <c r="L37" s="44">
        <f t="shared" si="14"/>
        <v>2879545</v>
      </c>
      <c r="M37" s="44">
        <f t="shared" si="14"/>
        <v>5507775</v>
      </c>
      <c r="N37" s="44">
        <f t="shared" si="14"/>
        <v>4780551</v>
      </c>
      <c r="O37" s="44">
        <f t="shared" si="14"/>
        <v>3771508</v>
      </c>
      <c r="P37" s="44">
        <f t="shared" si="14"/>
        <v>926819</v>
      </c>
    </row>
    <row r="38" spans="1:18" s="43" customFormat="1" x14ac:dyDescent="0.25">
      <c r="A38" s="42" t="s">
        <v>41</v>
      </c>
      <c r="B38" s="42">
        <v>1291824</v>
      </c>
      <c r="C38" s="42">
        <v>2202734</v>
      </c>
      <c r="D38" s="42">
        <v>3294548</v>
      </c>
      <c r="E38" s="42">
        <v>3206367</v>
      </c>
      <c r="F38" s="42">
        <v>4118634</v>
      </c>
      <c r="G38" s="42">
        <v>1721817</v>
      </c>
      <c r="H38" s="42">
        <v>3813640</v>
      </c>
      <c r="I38" s="42">
        <v>2673636</v>
      </c>
      <c r="J38" s="42">
        <v>2008182</v>
      </c>
      <c r="K38" s="42">
        <v>6157640</v>
      </c>
      <c r="L38" s="42">
        <v>3604546</v>
      </c>
      <c r="M38" s="42">
        <v>4712728</v>
      </c>
      <c r="N38" s="42">
        <v>5548182</v>
      </c>
      <c r="O38" s="42">
        <v>3392726</v>
      </c>
      <c r="P38" s="42">
        <v>56364</v>
      </c>
    </row>
    <row r="39" spans="1:18" s="43" customFormat="1" x14ac:dyDescent="0.25">
      <c r="A39" s="44">
        <v>2</v>
      </c>
      <c r="B39" s="44">
        <f t="shared" ref="B39:P39" si="15">ROUND((B38)/$A$31,0)</f>
        <v>645912</v>
      </c>
      <c r="C39" s="44">
        <f t="shared" si="15"/>
        <v>1101367</v>
      </c>
      <c r="D39" s="44">
        <f t="shared" si="15"/>
        <v>1647274</v>
      </c>
      <c r="E39" s="44">
        <f t="shared" si="15"/>
        <v>1603184</v>
      </c>
      <c r="F39" s="44">
        <f t="shared" si="15"/>
        <v>2059317</v>
      </c>
      <c r="G39" s="44">
        <f t="shared" si="15"/>
        <v>860909</v>
      </c>
      <c r="H39" s="44">
        <f t="shared" si="15"/>
        <v>1906820</v>
      </c>
      <c r="I39" s="44">
        <f t="shared" si="15"/>
        <v>1336818</v>
      </c>
      <c r="J39" s="44">
        <f t="shared" si="15"/>
        <v>1004091</v>
      </c>
      <c r="K39" s="44">
        <f t="shared" si="15"/>
        <v>3078820</v>
      </c>
      <c r="L39" s="44">
        <f t="shared" si="15"/>
        <v>1802273</v>
      </c>
      <c r="M39" s="44">
        <f t="shared" si="15"/>
        <v>2356364</v>
      </c>
      <c r="N39" s="44">
        <f t="shared" si="15"/>
        <v>2774091</v>
      </c>
      <c r="O39" s="44">
        <f t="shared" si="15"/>
        <v>1696363</v>
      </c>
      <c r="P39" s="44">
        <f t="shared" si="15"/>
        <v>28182</v>
      </c>
    </row>
    <row r="40" spans="1:18" s="43" customFormat="1" x14ac:dyDescent="0.25">
      <c r="A40" s="70" t="s">
        <v>40</v>
      </c>
      <c r="B40" s="70">
        <f>ROUND((B31+B33+B35+B37+B39)/5,0)</f>
        <v>552074</v>
      </c>
      <c r="C40" s="70">
        <f t="shared" ref="C40:P40" si="16">ROUND((C31+C33+C35+C37+C39)/5,0)</f>
        <v>1261583</v>
      </c>
      <c r="D40" s="70">
        <f t="shared" si="16"/>
        <v>2140793</v>
      </c>
      <c r="E40" s="70">
        <f t="shared" si="16"/>
        <v>2403139</v>
      </c>
      <c r="F40" s="70">
        <f t="shared" si="16"/>
        <v>2227592</v>
      </c>
      <c r="G40" s="70">
        <f t="shared" si="16"/>
        <v>1760765</v>
      </c>
      <c r="H40" s="70">
        <f t="shared" si="16"/>
        <v>1835010</v>
      </c>
      <c r="I40" s="70">
        <f t="shared" si="16"/>
        <v>1815418</v>
      </c>
      <c r="J40" s="70">
        <f t="shared" si="16"/>
        <v>1826257</v>
      </c>
      <c r="K40" s="70">
        <f t="shared" si="16"/>
        <v>2491945</v>
      </c>
      <c r="L40" s="70">
        <f t="shared" si="16"/>
        <v>2306919</v>
      </c>
      <c r="M40" s="70">
        <f t="shared" si="16"/>
        <v>3132683</v>
      </c>
      <c r="N40" s="70">
        <f t="shared" si="16"/>
        <v>3094274</v>
      </c>
      <c r="O40" s="70">
        <f t="shared" si="16"/>
        <v>2250303</v>
      </c>
      <c r="P40" s="70">
        <f t="shared" si="16"/>
        <v>265273</v>
      </c>
    </row>
    <row r="41" spans="1:18" s="37" customFormat="1" x14ac:dyDescent="0.25">
      <c r="A41" s="45" t="s">
        <v>302</v>
      </c>
      <c r="B41" s="45">
        <f>B40</f>
        <v>552074</v>
      </c>
      <c r="C41" s="45">
        <f t="shared" ref="C41:P41" si="17">C40</f>
        <v>1261583</v>
      </c>
      <c r="D41" s="45">
        <f t="shared" si="17"/>
        <v>2140793</v>
      </c>
      <c r="E41" s="45">
        <f t="shared" si="17"/>
        <v>2403139</v>
      </c>
      <c r="F41" s="45">
        <f t="shared" si="17"/>
        <v>2227592</v>
      </c>
      <c r="G41" s="45">
        <f t="shared" si="17"/>
        <v>1760765</v>
      </c>
      <c r="H41" s="45">
        <f t="shared" si="17"/>
        <v>1835010</v>
      </c>
      <c r="I41" s="45">
        <f t="shared" si="17"/>
        <v>1815418</v>
      </c>
      <c r="J41" s="45">
        <f t="shared" si="17"/>
        <v>1826257</v>
      </c>
      <c r="K41" s="45">
        <f t="shared" si="17"/>
        <v>2491945</v>
      </c>
      <c r="L41" s="45">
        <f t="shared" si="17"/>
        <v>2306919</v>
      </c>
      <c r="M41" s="45">
        <f t="shared" si="17"/>
        <v>3132683</v>
      </c>
      <c r="N41" s="45">
        <f t="shared" si="17"/>
        <v>3094274</v>
      </c>
      <c r="O41" s="45">
        <f t="shared" si="17"/>
        <v>2250303</v>
      </c>
      <c r="P41" s="45">
        <f t="shared" si="17"/>
        <v>265273</v>
      </c>
      <c r="Q41" s="43">
        <f t="shared" ref="Q41:Q42" si="18">SUM(B41:P41)</f>
        <v>29364028</v>
      </c>
      <c r="R41" s="43"/>
    </row>
    <row r="42" spans="1:18" x14ac:dyDescent="0.25">
      <c r="A42" s="12" t="s">
        <v>303</v>
      </c>
      <c r="B42" s="12">
        <v>2</v>
      </c>
      <c r="C42" s="12">
        <v>2</v>
      </c>
      <c r="D42" s="12">
        <v>3</v>
      </c>
      <c r="E42" s="12">
        <v>4</v>
      </c>
      <c r="F42" s="12">
        <v>3</v>
      </c>
      <c r="G42" s="12">
        <v>3</v>
      </c>
      <c r="H42" s="12">
        <v>3</v>
      </c>
      <c r="I42" s="12">
        <v>3</v>
      </c>
      <c r="J42" s="12">
        <v>2</v>
      </c>
      <c r="K42" s="12">
        <v>3</v>
      </c>
      <c r="L42" s="12">
        <v>3</v>
      </c>
      <c r="M42" s="12">
        <v>5</v>
      </c>
      <c r="N42" s="12">
        <v>5</v>
      </c>
      <c r="O42" s="12">
        <v>4</v>
      </c>
      <c r="P42" s="12"/>
      <c r="Q42" s="43">
        <f t="shared" si="18"/>
        <v>45</v>
      </c>
    </row>
    <row r="43" spans="1:18" x14ac:dyDescent="0.25">
      <c r="A43" s="12" t="s">
        <v>304</v>
      </c>
      <c r="B43" s="46">
        <f t="shared" ref="B43:P43" si="19">B42*18000</f>
        <v>36000</v>
      </c>
      <c r="C43" s="46">
        <f t="shared" si="19"/>
        <v>36000</v>
      </c>
      <c r="D43" s="46">
        <f t="shared" si="19"/>
        <v>54000</v>
      </c>
      <c r="E43" s="46">
        <f t="shared" si="19"/>
        <v>72000</v>
      </c>
      <c r="F43" s="46">
        <f t="shared" si="19"/>
        <v>54000</v>
      </c>
      <c r="G43" s="46">
        <f t="shared" si="19"/>
        <v>54000</v>
      </c>
      <c r="H43" s="46">
        <f t="shared" si="19"/>
        <v>54000</v>
      </c>
      <c r="I43" s="46">
        <f t="shared" si="19"/>
        <v>54000</v>
      </c>
      <c r="J43" s="46">
        <f t="shared" si="19"/>
        <v>36000</v>
      </c>
      <c r="K43" s="46">
        <f t="shared" si="19"/>
        <v>54000</v>
      </c>
      <c r="L43" s="46">
        <f t="shared" si="19"/>
        <v>54000</v>
      </c>
      <c r="M43" s="46">
        <f t="shared" si="19"/>
        <v>90000</v>
      </c>
      <c r="N43" s="46">
        <f t="shared" si="19"/>
        <v>90000</v>
      </c>
      <c r="O43" s="46">
        <f t="shared" si="19"/>
        <v>72000</v>
      </c>
      <c r="P43" s="46">
        <f t="shared" si="19"/>
        <v>0</v>
      </c>
      <c r="Q43" s="43">
        <f>SUM(B43:P43)</f>
        <v>810000</v>
      </c>
      <c r="R43" s="47">
        <f>Q43/Q41</f>
        <v>2.7584771408064316E-2</v>
      </c>
    </row>
    <row r="44" spans="1:18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8" x14ac:dyDescent="0.25">
      <c r="A45" s="13" t="s">
        <v>75</v>
      </c>
    </row>
    <row r="46" spans="1:18" x14ac:dyDescent="0.25">
      <c r="A46" s="2" t="s">
        <v>62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/>
      <c r="K46" s="2"/>
      <c r="L46" s="2"/>
      <c r="M46" s="2"/>
      <c r="N46" s="2"/>
      <c r="O46" s="2"/>
      <c r="P46" s="2"/>
    </row>
    <row r="47" spans="1:18" x14ac:dyDescent="0.25">
      <c r="A47" s="2" t="s">
        <v>396</v>
      </c>
      <c r="B47" s="2">
        <v>1</v>
      </c>
      <c r="C47" s="2">
        <v>1</v>
      </c>
      <c r="D47" s="2">
        <v>1</v>
      </c>
      <c r="E47" s="2">
        <v>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8" x14ac:dyDescent="0.25">
      <c r="A48" s="2" t="s">
        <v>182</v>
      </c>
      <c r="B48" s="2"/>
      <c r="C48" s="2"/>
      <c r="D48" s="2">
        <v>1</v>
      </c>
      <c r="E48" s="2">
        <v>1</v>
      </c>
      <c r="F48" s="2">
        <v>1</v>
      </c>
      <c r="G48" s="2">
        <v>1</v>
      </c>
      <c r="H48" s="2"/>
      <c r="I48" s="2"/>
      <c r="J48" s="2"/>
      <c r="K48" s="2"/>
      <c r="L48" s="2"/>
      <c r="M48" s="2"/>
      <c r="N48" s="2"/>
      <c r="O48" s="2"/>
      <c r="P48" s="2"/>
    </row>
    <row r="49" spans="1:19" x14ac:dyDescent="0.25">
      <c r="A49" s="2" t="s">
        <v>369</v>
      </c>
      <c r="B49" s="2"/>
      <c r="C49" s="2"/>
      <c r="D49" s="2"/>
      <c r="E49" s="2">
        <v>1</v>
      </c>
      <c r="F49" s="2">
        <v>1</v>
      </c>
      <c r="G49" s="2">
        <v>1</v>
      </c>
      <c r="H49" s="2">
        <v>1</v>
      </c>
      <c r="I49" s="2"/>
      <c r="J49" s="2"/>
      <c r="K49" s="2"/>
      <c r="L49" s="2"/>
      <c r="M49" s="2"/>
      <c r="N49" s="2"/>
      <c r="O49" s="2"/>
      <c r="P49" s="2"/>
    </row>
    <row r="50" spans="1:19" x14ac:dyDescent="0.25">
      <c r="A50" s="2" t="s">
        <v>110</v>
      </c>
      <c r="B50" s="2"/>
      <c r="C50" s="2"/>
      <c r="D50" s="2"/>
      <c r="E50" s="2"/>
      <c r="F50" s="2"/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/>
      <c r="P50" s="2"/>
    </row>
    <row r="51" spans="1:19" x14ac:dyDescent="0.25">
      <c r="A51" s="2" t="s">
        <v>86</v>
      </c>
      <c r="B51" s="2"/>
      <c r="C51" s="2"/>
      <c r="D51" s="2"/>
      <c r="E51" s="2"/>
      <c r="F51" s="2"/>
      <c r="G51" s="2"/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/>
    </row>
    <row r="52" spans="1:19" x14ac:dyDescent="0.25">
      <c r="A52" s="2" t="s">
        <v>86</v>
      </c>
      <c r="B52" s="2"/>
      <c r="C52" s="2"/>
      <c r="D52" s="2"/>
      <c r="E52" s="2"/>
      <c r="F52" s="2"/>
      <c r="G52" s="2"/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/>
    </row>
    <row r="53" spans="1:19" x14ac:dyDescent="0.25">
      <c r="A53" s="2" t="s">
        <v>117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1</v>
      </c>
      <c r="M53" s="2">
        <v>1</v>
      </c>
      <c r="N53" s="2">
        <v>1</v>
      </c>
      <c r="O53" s="2">
        <v>1</v>
      </c>
      <c r="P53" s="2"/>
    </row>
    <row r="54" spans="1:19" x14ac:dyDescent="0.25">
      <c r="A54" s="2" t="s">
        <v>90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v>1</v>
      </c>
      <c r="M54" s="2">
        <v>1</v>
      </c>
      <c r="N54" s="2">
        <v>1</v>
      </c>
      <c r="O54" s="2">
        <v>1</v>
      </c>
      <c r="P54" s="2"/>
    </row>
    <row r="55" spans="1:19" x14ac:dyDescent="0.25">
      <c r="A55" s="7" t="s">
        <v>303</v>
      </c>
      <c r="B55" s="7">
        <f>SUM(B46:B54)</f>
        <v>2</v>
      </c>
      <c r="C55" s="7">
        <f t="shared" ref="C55:P55" si="20">SUM(C46:C54)</f>
        <v>2</v>
      </c>
      <c r="D55" s="7">
        <f t="shared" si="20"/>
        <v>3</v>
      </c>
      <c r="E55" s="7">
        <f t="shared" si="20"/>
        <v>4</v>
      </c>
      <c r="F55" s="7">
        <f t="shared" si="20"/>
        <v>3</v>
      </c>
      <c r="G55" s="7">
        <f t="shared" si="20"/>
        <v>4</v>
      </c>
      <c r="H55" s="7">
        <f t="shared" si="20"/>
        <v>5</v>
      </c>
      <c r="I55" s="7">
        <f t="shared" si="20"/>
        <v>4</v>
      </c>
      <c r="J55" s="7">
        <f t="shared" si="20"/>
        <v>3</v>
      </c>
      <c r="K55" s="7">
        <f t="shared" si="20"/>
        <v>3</v>
      </c>
      <c r="L55" s="7">
        <f t="shared" si="20"/>
        <v>5</v>
      </c>
      <c r="M55" s="7">
        <f t="shared" si="20"/>
        <v>5</v>
      </c>
      <c r="N55" s="7">
        <f t="shared" si="20"/>
        <v>5</v>
      </c>
      <c r="O55" s="7">
        <f t="shared" si="20"/>
        <v>4</v>
      </c>
      <c r="P55" s="7">
        <f t="shared" si="20"/>
        <v>0</v>
      </c>
      <c r="Q55" s="43">
        <f>SUM(B55:P55)</f>
        <v>52</v>
      </c>
    </row>
    <row r="56" spans="1:19" x14ac:dyDescent="0.25">
      <c r="A56" s="12" t="s">
        <v>304</v>
      </c>
      <c r="B56" s="46">
        <f t="shared" ref="B56:P56" si="21">B55*18000</f>
        <v>36000</v>
      </c>
      <c r="C56" s="46">
        <f t="shared" si="21"/>
        <v>36000</v>
      </c>
      <c r="D56" s="46">
        <f t="shared" si="21"/>
        <v>54000</v>
      </c>
      <c r="E56" s="46">
        <f t="shared" si="21"/>
        <v>72000</v>
      </c>
      <c r="F56" s="46">
        <f t="shared" si="21"/>
        <v>54000</v>
      </c>
      <c r="G56" s="46">
        <f t="shared" si="21"/>
        <v>72000</v>
      </c>
      <c r="H56" s="46">
        <f t="shared" si="21"/>
        <v>90000</v>
      </c>
      <c r="I56" s="46">
        <f t="shared" si="21"/>
        <v>72000</v>
      </c>
      <c r="J56" s="46">
        <f t="shared" si="21"/>
        <v>54000</v>
      </c>
      <c r="K56" s="46">
        <f t="shared" si="21"/>
        <v>54000</v>
      </c>
      <c r="L56" s="46">
        <f t="shared" si="21"/>
        <v>90000</v>
      </c>
      <c r="M56" s="46">
        <f t="shared" si="21"/>
        <v>90000</v>
      </c>
      <c r="N56" s="46">
        <f t="shared" si="21"/>
        <v>90000</v>
      </c>
      <c r="O56" s="46">
        <f t="shared" si="21"/>
        <v>72000</v>
      </c>
      <c r="P56" s="46">
        <f t="shared" si="21"/>
        <v>0</v>
      </c>
      <c r="Q56" s="43">
        <f>SUM(B56:P56)</f>
        <v>936000</v>
      </c>
      <c r="R56" s="47">
        <f>Q56/Q41</f>
        <v>3.1875735849318763E-2</v>
      </c>
      <c r="S56" s="47"/>
    </row>
    <row r="57" spans="1:19" x14ac:dyDescent="0.25">
      <c r="A57" s="2" t="s">
        <v>72</v>
      </c>
      <c r="B57" s="2"/>
      <c r="C57" s="2" t="s">
        <v>26</v>
      </c>
      <c r="D57" s="2" t="s">
        <v>27</v>
      </c>
    </row>
    <row r="58" spans="1:19" x14ac:dyDescent="0.25">
      <c r="A58" s="3" t="s">
        <v>0</v>
      </c>
      <c r="B58" s="2"/>
      <c r="C58" s="2"/>
      <c r="D58" s="2"/>
    </row>
    <row r="59" spans="1:19" x14ac:dyDescent="0.25">
      <c r="A59" s="2" t="s">
        <v>62</v>
      </c>
      <c r="B59" s="2" t="s">
        <v>67</v>
      </c>
      <c r="C59" s="2">
        <v>1</v>
      </c>
      <c r="D59" s="2">
        <f>C59*8</f>
        <v>8</v>
      </c>
    </row>
    <row r="60" spans="1:19" x14ac:dyDescent="0.25">
      <c r="A60" s="2" t="s">
        <v>396</v>
      </c>
      <c r="B60" s="2" t="s">
        <v>68</v>
      </c>
      <c r="C60" s="2">
        <v>1</v>
      </c>
      <c r="D60" s="2">
        <f>12-8</f>
        <v>4</v>
      </c>
    </row>
    <row r="61" spans="1:19" x14ac:dyDescent="0.25">
      <c r="A61" s="2" t="s">
        <v>110</v>
      </c>
      <c r="B61" s="2" t="s">
        <v>67</v>
      </c>
      <c r="C61" s="2">
        <v>1</v>
      </c>
      <c r="D61" s="2">
        <v>8</v>
      </c>
      <c r="F61" s="68" t="s">
        <v>114</v>
      </c>
      <c r="G61" s="3" t="s">
        <v>67</v>
      </c>
      <c r="H61" s="3" t="s">
        <v>68</v>
      </c>
      <c r="I61" s="3" t="s">
        <v>90</v>
      </c>
    </row>
    <row r="62" spans="1:19" x14ac:dyDescent="0.25">
      <c r="A62" s="2" t="s">
        <v>86</v>
      </c>
      <c r="B62" s="2" t="s">
        <v>67</v>
      </c>
      <c r="C62" s="2">
        <v>1</v>
      </c>
      <c r="D62" s="2">
        <v>8</v>
      </c>
      <c r="F62" s="11">
        <f>SUM(G62:I62)</f>
        <v>9</v>
      </c>
      <c r="G62" s="2">
        <v>4</v>
      </c>
      <c r="H62" s="2">
        <v>4</v>
      </c>
      <c r="I62" s="2">
        <v>1</v>
      </c>
    </row>
    <row r="63" spans="1:19" x14ac:dyDescent="0.25">
      <c r="A63" s="2" t="s">
        <v>125</v>
      </c>
      <c r="B63" s="2" t="s">
        <v>68</v>
      </c>
      <c r="C63" s="2">
        <v>1</v>
      </c>
      <c r="D63" s="2">
        <f>22-16</f>
        <v>6</v>
      </c>
      <c r="F63" s="21"/>
      <c r="G63" s="22"/>
      <c r="H63" s="22"/>
      <c r="I63" s="22"/>
    </row>
    <row r="64" spans="1:19" x14ac:dyDescent="0.25">
      <c r="A64" s="2" t="s">
        <v>87</v>
      </c>
      <c r="B64" s="2" t="s">
        <v>397</v>
      </c>
      <c r="C64" s="2">
        <v>3</v>
      </c>
      <c r="D64" s="2"/>
    </row>
    <row r="65" spans="1:14" x14ac:dyDescent="0.25">
      <c r="A65" s="2" t="s">
        <v>88</v>
      </c>
      <c r="B65" s="3"/>
      <c r="C65" s="2">
        <v>1</v>
      </c>
      <c r="D65" s="2"/>
    </row>
    <row r="66" spans="1:14" x14ac:dyDescent="0.25">
      <c r="A66" s="3" t="s">
        <v>66</v>
      </c>
      <c r="B66" s="3"/>
      <c r="C66" s="3">
        <f>SUM(C59:C65)</f>
        <v>9</v>
      </c>
      <c r="D66" s="3">
        <f>SUM(D59:D65)</f>
        <v>34</v>
      </c>
      <c r="F66" s="68" t="s">
        <v>89</v>
      </c>
      <c r="G66" s="3" t="s">
        <v>67</v>
      </c>
      <c r="H66" s="3" t="s">
        <v>68</v>
      </c>
      <c r="I66" s="3" t="s">
        <v>90</v>
      </c>
      <c r="K66" s="68" t="s">
        <v>91</v>
      </c>
      <c r="L66" s="3" t="s">
        <v>67</v>
      </c>
      <c r="M66" s="3" t="s">
        <v>68</v>
      </c>
      <c r="N66" s="3" t="s">
        <v>90</v>
      </c>
    </row>
    <row r="67" spans="1:14" x14ac:dyDescent="0.25">
      <c r="A67" s="3" t="s">
        <v>2</v>
      </c>
      <c r="B67" s="2"/>
      <c r="C67" s="2"/>
      <c r="D67" s="2"/>
      <c r="F67" s="11">
        <f>SUM(G67:I67)</f>
        <v>5</v>
      </c>
      <c r="G67" s="2">
        <v>4</v>
      </c>
      <c r="H67" s="2"/>
      <c r="I67" s="2">
        <v>1</v>
      </c>
      <c r="K67" s="11">
        <f>F62-F67</f>
        <v>4</v>
      </c>
      <c r="L67" s="11">
        <f t="shared" ref="L67:N67" si="22">G62-G67</f>
        <v>0</v>
      </c>
      <c r="M67" s="11">
        <v>4</v>
      </c>
      <c r="N67" s="11">
        <f t="shared" si="22"/>
        <v>0</v>
      </c>
    </row>
    <row r="68" spans="1:14" x14ac:dyDescent="0.25">
      <c r="A68" s="2" t="s">
        <v>62</v>
      </c>
      <c r="B68" s="2" t="s">
        <v>67</v>
      </c>
      <c r="C68" s="2">
        <v>1</v>
      </c>
      <c r="D68" s="2">
        <f>C68*8</f>
        <v>8</v>
      </c>
      <c r="M68" s="1" t="s">
        <v>152</v>
      </c>
    </row>
    <row r="69" spans="1:14" x14ac:dyDescent="0.25">
      <c r="A69" s="2" t="s">
        <v>396</v>
      </c>
      <c r="B69" s="2" t="s">
        <v>68</v>
      </c>
      <c r="C69" s="2">
        <v>1</v>
      </c>
      <c r="D69" s="2">
        <f>12-8</f>
        <v>4</v>
      </c>
      <c r="M69" s="1" t="s">
        <v>153</v>
      </c>
    </row>
    <row r="70" spans="1:14" x14ac:dyDescent="0.25">
      <c r="A70" s="2" t="s">
        <v>182</v>
      </c>
      <c r="B70" s="2" t="s">
        <v>68</v>
      </c>
      <c r="C70" s="2">
        <v>1</v>
      </c>
      <c r="D70" s="2">
        <f>14-10</f>
        <v>4</v>
      </c>
    </row>
    <row r="71" spans="1:14" x14ac:dyDescent="0.25">
      <c r="A71" s="2" t="s">
        <v>369</v>
      </c>
      <c r="B71" s="2" t="s">
        <v>68</v>
      </c>
      <c r="C71" s="2">
        <v>1</v>
      </c>
      <c r="D71" s="2">
        <f>15-11</f>
        <v>4</v>
      </c>
    </row>
    <row r="72" spans="1:14" x14ac:dyDescent="0.25">
      <c r="A72" s="2" t="s">
        <v>110</v>
      </c>
      <c r="B72" s="2" t="s">
        <v>67</v>
      </c>
      <c r="C72" s="2">
        <v>1</v>
      </c>
      <c r="D72" s="2">
        <v>8</v>
      </c>
    </row>
    <row r="73" spans="1:14" x14ac:dyDescent="0.25">
      <c r="A73" s="2" t="s">
        <v>86</v>
      </c>
      <c r="B73" s="2" t="s">
        <v>67</v>
      </c>
      <c r="C73" s="2">
        <v>1</v>
      </c>
      <c r="D73" s="2">
        <v>8</v>
      </c>
    </row>
    <row r="74" spans="1:14" x14ac:dyDescent="0.25">
      <c r="A74" s="2" t="s">
        <v>86</v>
      </c>
      <c r="B74" s="2" t="s">
        <v>67</v>
      </c>
      <c r="C74" s="2">
        <v>1</v>
      </c>
      <c r="D74" s="2">
        <v>8</v>
      </c>
    </row>
    <row r="75" spans="1:14" x14ac:dyDescent="0.25">
      <c r="A75" s="2" t="s">
        <v>117</v>
      </c>
      <c r="B75" s="2" t="s">
        <v>68</v>
      </c>
      <c r="C75" s="2">
        <v>1</v>
      </c>
      <c r="D75" s="2">
        <f>22-18</f>
        <v>4</v>
      </c>
    </row>
    <row r="76" spans="1:14" x14ac:dyDescent="0.25">
      <c r="A76" s="2" t="s">
        <v>88</v>
      </c>
      <c r="B76" s="2"/>
      <c r="C76" s="2">
        <v>1</v>
      </c>
      <c r="D76" s="2"/>
    </row>
    <row r="77" spans="1:14" x14ac:dyDescent="0.25">
      <c r="A77" s="3" t="s">
        <v>66</v>
      </c>
      <c r="B77" s="3"/>
      <c r="C77" s="3">
        <f>SUM(C68:C76)</f>
        <v>9</v>
      </c>
      <c r="D77" s="3">
        <f>SUM(D68:D76)</f>
        <v>48</v>
      </c>
    </row>
    <row r="79" spans="1:14" x14ac:dyDescent="0.25">
      <c r="A79" s="2" t="s">
        <v>22</v>
      </c>
      <c r="B79" s="2"/>
      <c r="C79" s="2"/>
      <c r="E79" s="1" t="s">
        <v>64</v>
      </c>
      <c r="F79" s="1" t="s">
        <v>70</v>
      </c>
    </row>
    <row r="80" spans="1:14" x14ac:dyDescent="0.25">
      <c r="A80" s="3" t="s">
        <v>0</v>
      </c>
      <c r="B80" s="2"/>
      <c r="C80" s="2"/>
      <c r="E80" s="1" t="s">
        <v>69</v>
      </c>
      <c r="F80" s="1" t="s">
        <v>71</v>
      </c>
    </row>
    <row r="81" spans="1:22" x14ac:dyDescent="0.25">
      <c r="A81" s="2" t="s">
        <v>42</v>
      </c>
      <c r="B81" s="2">
        <f>22-8</f>
        <v>14</v>
      </c>
      <c r="C81" s="2" t="s">
        <v>24</v>
      </c>
      <c r="E81" s="1">
        <f>D66</f>
        <v>34</v>
      </c>
      <c r="F81" s="1" t="s">
        <v>24</v>
      </c>
      <c r="G81" s="1">
        <f>E81/B81</f>
        <v>2.4285714285714284</v>
      </c>
      <c r="H81" s="1" t="s">
        <v>76</v>
      </c>
    </row>
    <row r="82" spans="1:22" x14ac:dyDescent="0.25">
      <c r="A82" s="3" t="s">
        <v>2</v>
      </c>
      <c r="B82" s="2"/>
      <c r="C82" s="2"/>
    </row>
    <row r="83" spans="1:22" x14ac:dyDescent="0.25">
      <c r="A83" s="2" t="s">
        <v>42</v>
      </c>
      <c r="B83" s="2">
        <f>22-8</f>
        <v>14</v>
      </c>
      <c r="C83" s="2" t="s">
        <v>24</v>
      </c>
      <c r="E83" s="1">
        <f>D77</f>
        <v>48</v>
      </c>
      <c r="F83" s="1" t="str">
        <f>F81</f>
        <v>H</v>
      </c>
      <c r="G83" s="1">
        <f>E83/B83</f>
        <v>3.4285714285714284</v>
      </c>
      <c r="H83" s="1" t="s">
        <v>76</v>
      </c>
    </row>
    <row r="85" spans="1:22" x14ac:dyDescent="0.25">
      <c r="A85" s="2"/>
      <c r="B85" s="2" t="s">
        <v>26</v>
      </c>
      <c r="C85" s="2" t="s">
        <v>27</v>
      </c>
    </row>
    <row r="86" spans="1:22" x14ac:dyDescent="0.25">
      <c r="A86" s="3" t="s">
        <v>0</v>
      </c>
      <c r="B86" s="2"/>
      <c r="C86" s="2">
        <f>B86*8</f>
        <v>0</v>
      </c>
    </row>
    <row r="87" spans="1:22" x14ac:dyDescent="0.25">
      <c r="A87" s="3" t="s">
        <v>2</v>
      </c>
      <c r="B87" s="2"/>
      <c r="C87" s="2">
        <f>B87*8</f>
        <v>0</v>
      </c>
    </row>
    <row r="89" spans="1:22" customFormat="1" x14ac:dyDescent="0.25">
      <c r="A89" s="48" t="s">
        <v>307</v>
      </c>
      <c r="B89" s="1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72"/>
      <c r="S89" s="49"/>
      <c r="T89" s="49"/>
      <c r="U89" s="49"/>
      <c r="V89" s="49"/>
    </row>
    <row r="90" spans="1:22" customFormat="1" x14ac:dyDescent="0.25">
      <c r="A90" s="48"/>
      <c r="B90" s="1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72"/>
      <c r="S90" s="49"/>
      <c r="T90" s="49"/>
      <c r="U90" s="49"/>
      <c r="V90" s="49"/>
    </row>
    <row r="91" spans="1:22" customFormat="1" x14ac:dyDescent="0.25">
      <c r="A91" s="50" t="s">
        <v>308</v>
      </c>
      <c r="B91" s="51" t="s">
        <v>309</v>
      </c>
      <c r="C91" s="52" t="s">
        <v>310</v>
      </c>
      <c r="D91" s="51" t="s">
        <v>311</v>
      </c>
      <c r="E91" s="51" t="s">
        <v>312</v>
      </c>
      <c r="F91" s="53" t="s">
        <v>313</v>
      </c>
      <c r="G91" s="51" t="s">
        <v>314</v>
      </c>
      <c r="H91" s="1"/>
      <c r="I91" s="49"/>
      <c r="J91" s="49"/>
      <c r="K91" s="49"/>
      <c r="L91" s="49"/>
      <c r="M91" s="49"/>
      <c r="N91" s="49"/>
      <c r="O91" s="49"/>
      <c r="P91" s="49"/>
      <c r="Q91" s="49"/>
      <c r="R91" s="72"/>
      <c r="S91" s="49"/>
      <c r="T91" s="49"/>
      <c r="U91" s="49"/>
      <c r="V91" s="49"/>
    </row>
    <row r="92" spans="1:22" customFormat="1" x14ac:dyDescent="0.25">
      <c r="A92" s="50" t="s">
        <v>315</v>
      </c>
      <c r="B92" s="51">
        <v>1</v>
      </c>
      <c r="C92" s="51">
        <v>1</v>
      </c>
      <c r="D92" s="51">
        <v>1</v>
      </c>
      <c r="E92" s="51">
        <v>1</v>
      </c>
      <c r="F92" s="51">
        <v>1</v>
      </c>
      <c r="G92" s="51">
        <v>1</v>
      </c>
      <c r="H92" s="1"/>
      <c r="I92" s="49"/>
      <c r="J92" s="49"/>
      <c r="K92" s="49"/>
      <c r="L92" s="49"/>
      <c r="M92" s="49"/>
      <c r="N92" s="49"/>
      <c r="O92" s="49"/>
      <c r="P92" s="49"/>
      <c r="Q92" s="49"/>
      <c r="R92" s="72"/>
      <c r="S92" s="49"/>
      <c r="T92" s="49"/>
      <c r="U92" s="49"/>
      <c r="V92" s="49"/>
    </row>
    <row r="93" spans="1:22" customFormat="1" x14ac:dyDescent="0.25">
      <c r="A93" s="50" t="s">
        <v>316</v>
      </c>
      <c r="B93" s="51">
        <v>1</v>
      </c>
      <c r="C93" s="51">
        <v>1</v>
      </c>
      <c r="D93" s="51">
        <v>1</v>
      </c>
      <c r="E93" s="51">
        <v>1</v>
      </c>
      <c r="F93" s="51">
        <v>1</v>
      </c>
      <c r="G93" s="51">
        <v>2</v>
      </c>
      <c r="H93" s="1"/>
      <c r="I93" s="49"/>
      <c r="J93" s="49"/>
      <c r="K93" s="49"/>
      <c r="L93" s="49"/>
      <c r="M93" s="49"/>
      <c r="N93" s="49"/>
      <c r="O93" s="49"/>
      <c r="P93" s="49"/>
      <c r="Q93" s="49"/>
      <c r="R93" s="72"/>
      <c r="S93" s="49"/>
      <c r="T93" s="49"/>
      <c r="U93" s="49"/>
      <c r="V93" s="49"/>
    </row>
    <row r="94" spans="1:22" customFormat="1" x14ac:dyDescent="0.25">
      <c r="A94" s="50" t="s">
        <v>317</v>
      </c>
      <c r="B94" s="51">
        <v>1</v>
      </c>
      <c r="C94" s="51">
        <v>1</v>
      </c>
      <c r="D94" s="51">
        <v>1</v>
      </c>
      <c r="E94" s="51">
        <v>2</v>
      </c>
      <c r="F94" s="51">
        <v>2</v>
      </c>
      <c r="G94" s="51">
        <v>2</v>
      </c>
      <c r="H94" s="1"/>
      <c r="I94" s="49"/>
      <c r="J94" s="49"/>
      <c r="K94" s="49"/>
      <c r="L94" s="49"/>
      <c r="M94" s="49"/>
      <c r="N94" s="49"/>
      <c r="O94" s="49"/>
      <c r="P94" s="49"/>
      <c r="Q94" s="49"/>
      <c r="R94" s="72"/>
      <c r="S94" s="49"/>
      <c r="T94" s="49"/>
      <c r="U94" s="49"/>
      <c r="V94" s="49"/>
    </row>
    <row r="95" spans="1:22" customFormat="1" x14ac:dyDescent="0.25">
      <c r="A95" s="50" t="s">
        <v>318</v>
      </c>
      <c r="B95" s="51">
        <v>0</v>
      </c>
      <c r="C95" s="51">
        <v>1</v>
      </c>
      <c r="D95" s="51">
        <v>1</v>
      </c>
      <c r="E95" s="51">
        <v>1</v>
      </c>
      <c r="F95" s="51">
        <v>1</v>
      </c>
      <c r="G95" s="51">
        <v>1</v>
      </c>
      <c r="H95" s="1"/>
      <c r="I95" s="49"/>
      <c r="J95" s="49"/>
      <c r="K95" s="49"/>
      <c r="L95" s="49"/>
      <c r="M95" s="49"/>
      <c r="N95" s="49"/>
      <c r="O95" s="49"/>
      <c r="P95" s="49"/>
      <c r="Q95" s="49"/>
      <c r="R95" s="72"/>
      <c r="S95" s="49"/>
      <c r="T95" s="49"/>
      <c r="U95" s="49"/>
      <c r="V95" s="49"/>
    </row>
    <row r="96" spans="1:22" customFormat="1" x14ac:dyDescent="0.25">
      <c r="A96" s="50" t="s">
        <v>319</v>
      </c>
      <c r="B96" s="51">
        <f t="shared" ref="B96:G96" si="23">SUM(B92:B95)</f>
        <v>3</v>
      </c>
      <c r="C96" s="51">
        <f t="shared" si="23"/>
        <v>4</v>
      </c>
      <c r="D96" s="51">
        <f t="shared" si="23"/>
        <v>4</v>
      </c>
      <c r="E96" s="51">
        <f t="shared" si="23"/>
        <v>5</v>
      </c>
      <c r="F96" s="51">
        <f t="shared" si="23"/>
        <v>5</v>
      </c>
      <c r="G96" s="51">
        <f t="shared" si="23"/>
        <v>6</v>
      </c>
      <c r="H96" s="1"/>
      <c r="I96" s="49"/>
      <c r="J96" s="49"/>
      <c r="K96" s="49"/>
      <c r="L96" s="49"/>
      <c r="M96" s="49"/>
      <c r="N96" s="49"/>
      <c r="O96" s="49"/>
      <c r="P96" s="49"/>
      <c r="Q96" s="49"/>
      <c r="R96" s="72"/>
      <c r="S96" s="49"/>
      <c r="T96" s="49"/>
      <c r="U96" s="49"/>
      <c r="V96" s="49"/>
    </row>
    <row r="97" spans="1:22" customFormat="1" x14ac:dyDescent="0.25">
      <c r="B97" s="49"/>
      <c r="C97" s="49"/>
      <c r="D97" s="49"/>
      <c r="E97" s="49"/>
      <c r="F97" s="49"/>
      <c r="G97" s="49"/>
      <c r="H97" s="1"/>
      <c r="I97" s="49"/>
      <c r="J97" s="49"/>
      <c r="K97" s="49"/>
      <c r="L97" s="49"/>
      <c r="M97" s="49"/>
      <c r="N97" s="49"/>
      <c r="O97" s="49"/>
      <c r="P97" s="49"/>
      <c r="Q97" s="49"/>
      <c r="R97" s="72"/>
      <c r="S97" s="49"/>
      <c r="T97" s="49"/>
      <c r="U97" s="49"/>
      <c r="V97" s="49"/>
    </row>
    <row r="98" spans="1:22" customFormat="1" x14ac:dyDescent="0.25">
      <c r="A98" s="50" t="s">
        <v>320</v>
      </c>
      <c r="B98" s="54">
        <f>22-8</f>
        <v>14</v>
      </c>
      <c r="C98" s="54">
        <f t="shared" ref="C98:G98" si="24">22-8</f>
        <v>14</v>
      </c>
      <c r="D98" s="54">
        <f t="shared" si="24"/>
        <v>14</v>
      </c>
      <c r="E98" s="54">
        <f t="shared" si="24"/>
        <v>14</v>
      </c>
      <c r="F98" s="54">
        <f t="shared" si="24"/>
        <v>14</v>
      </c>
      <c r="G98" s="54">
        <f t="shared" si="24"/>
        <v>14</v>
      </c>
      <c r="H98" s="1"/>
      <c r="I98" s="49"/>
      <c r="J98" s="49"/>
      <c r="K98" s="49"/>
      <c r="L98" s="49"/>
      <c r="M98" s="49"/>
      <c r="N98" s="49"/>
      <c r="O98" s="49"/>
      <c r="P98" s="49"/>
      <c r="Q98" s="49"/>
      <c r="R98" s="72"/>
      <c r="S98" s="49"/>
      <c r="T98" s="49"/>
      <c r="U98" s="49"/>
      <c r="V98" s="49"/>
    </row>
    <row r="99" spans="1:22" customFormat="1" x14ac:dyDescent="0.25">
      <c r="A99" s="50" t="s">
        <v>321</v>
      </c>
      <c r="B99" s="54">
        <v>2</v>
      </c>
      <c r="C99" s="54">
        <v>2</v>
      </c>
      <c r="D99" s="54">
        <v>2</v>
      </c>
      <c r="E99" s="54">
        <v>2</v>
      </c>
      <c r="F99" s="54">
        <v>2</v>
      </c>
      <c r="G99" s="54">
        <v>2</v>
      </c>
      <c r="H99" s="1"/>
      <c r="I99" s="49"/>
      <c r="J99" s="49"/>
      <c r="K99" s="49"/>
      <c r="L99" s="49"/>
      <c r="M99" s="49"/>
      <c r="N99" s="49"/>
      <c r="O99" s="49"/>
      <c r="P99" s="49"/>
      <c r="Q99" s="49"/>
      <c r="R99" s="72"/>
      <c r="S99" s="49"/>
      <c r="T99" s="49"/>
      <c r="U99" s="49"/>
      <c r="V99" s="49"/>
    </row>
    <row r="100" spans="1:22" customFormat="1" x14ac:dyDescent="0.25">
      <c r="A100" s="50" t="s">
        <v>322</v>
      </c>
      <c r="B100" s="55">
        <f t="shared" ref="B100:G100" si="25">SUM(B98+B99)/8</f>
        <v>2</v>
      </c>
      <c r="C100" s="55">
        <f t="shared" si="25"/>
        <v>2</v>
      </c>
      <c r="D100" s="55">
        <f t="shared" si="25"/>
        <v>2</v>
      </c>
      <c r="E100" s="55">
        <f t="shared" si="25"/>
        <v>2</v>
      </c>
      <c r="F100" s="55">
        <f t="shared" si="25"/>
        <v>2</v>
      </c>
      <c r="G100" s="55">
        <f t="shared" si="25"/>
        <v>2</v>
      </c>
      <c r="H100" s="1"/>
      <c r="I100" s="49"/>
      <c r="J100" s="49"/>
      <c r="K100" s="49"/>
      <c r="L100" s="49"/>
      <c r="M100" s="49"/>
      <c r="N100" s="49"/>
      <c r="O100" s="49"/>
      <c r="P100" s="49"/>
      <c r="Q100" s="49"/>
      <c r="R100" s="72"/>
      <c r="S100" s="49"/>
      <c r="T100" s="49"/>
      <c r="U100" s="49"/>
      <c r="V100" s="49"/>
    </row>
    <row r="101" spans="1:22" customFormat="1" x14ac:dyDescent="0.25">
      <c r="A101" s="50" t="s">
        <v>323</v>
      </c>
      <c r="B101" s="55">
        <f>SUM(B96*B100)</f>
        <v>6</v>
      </c>
      <c r="C101" s="55">
        <f t="shared" ref="C101:G101" si="26">SUM(C96*C100)</f>
        <v>8</v>
      </c>
      <c r="D101" s="55">
        <f t="shared" si="26"/>
        <v>8</v>
      </c>
      <c r="E101" s="55">
        <f t="shared" si="26"/>
        <v>10</v>
      </c>
      <c r="F101" s="55">
        <f t="shared" si="26"/>
        <v>10</v>
      </c>
      <c r="G101" s="55">
        <f t="shared" si="26"/>
        <v>12</v>
      </c>
      <c r="H101" s="1"/>
      <c r="I101" s="49"/>
      <c r="J101" s="49"/>
      <c r="K101" s="49"/>
      <c r="L101" s="49"/>
      <c r="M101" s="49"/>
      <c r="N101" s="49"/>
      <c r="O101" s="49"/>
      <c r="P101" s="49"/>
      <c r="Q101" s="49"/>
      <c r="R101" s="72"/>
      <c r="S101" s="49"/>
      <c r="T101" s="49"/>
      <c r="U101" s="49"/>
      <c r="V101" s="49"/>
    </row>
    <row r="102" spans="1:22" customFormat="1" x14ac:dyDescent="0.25">
      <c r="B102" s="49"/>
      <c r="C102" s="49"/>
      <c r="D102" s="49"/>
      <c r="E102" s="49"/>
      <c r="F102" s="49"/>
      <c r="G102" s="49"/>
      <c r="H102" s="1"/>
      <c r="I102" s="49"/>
      <c r="J102" s="49"/>
      <c r="K102" s="49"/>
      <c r="L102" s="49"/>
      <c r="M102" s="49"/>
      <c r="N102" s="49"/>
      <c r="O102" s="49"/>
      <c r="P102" s="49"/>
      <c r="Q102" s="49"/>
      <c r="R102" s="72"/>
      <c r="S102" s="49"/>
      <c r="T102" s="49"/>
      <c r="U102" s="49"/>
      <c r="V102" s="49"/>
    </row>
    <row r="103" spans="1:22" customFormat="1" x14ac:dyDescent="0.25">
      <c r="A103" s="50" t="s">
        <v>324</v>
      </c>
      <c r="B103" s="55">
        <f>SUM(B101*7)/6</f>
        <v>7</v>
      </c>
      <c r="C103" s="55">
        <f t="shared" ref="C103:G103" si="27">SUM(C101*7)/6</f>
        <v>9.3333333333333339</v>
      </c>
      <c r="D103" s="55">
        <f t="shared" si="27"/>
        <v>9.3333333333333339</v>
      </c>
      <c r="E103" s="55">
        <f t="shared" si="27"/>
        <v>11.666666666666666</v>
      </c>
      <c r="F103" s="55">
        <f t="shared" si="27"/>
        <v>11.666666666666666</v>
      </c>
      <c r="G103" s="55">
        <f t="shared" si="27"/>
        <v>14</v>
      </c>
      <c r="H103" s="1"/>
      <c r="I103" s="49"/>
      <c r="J103" s="49"/>
      <c r="K103" s="49"/>
      <c r="L103" s="49"/>
      <c r="M103" s="49"/>
      <c r="N103" s="49"/>
      <c r="O103" s="49"/>
      <c r="P103" s="49"/>
      <c r="Q103" s="49"/>
      <c r="R103" s="72"/>
      <c r="S103" s="49"/>
      <c r="T103" s="49"/>
      <c r="U103" s="49"/>
      <c r="V103" s="49"/>
    </row>
    <row r="104" spans="1:22" x14ac:dyDescent="0.25">
      <c r="Q104" s="1"/>
      <c r="R104" s="43"/>
    </row>
    <row r="105" spans="1:22" x14ac:dyDescent="0.25">
      <c r="F105" s="1" t="s">
        <v>106</v>
      </c>
      <c r="G105" s="1" t="s">
        <v>95</v>
      </c>
      <c r="H105" s="1" t="s">
        <v>99</v>
      </c>
    </row>
    <row r="106" spans="1:22" ht="25.5" x14ac:dyDescent="0.35">
      <c r="A106" s="14" t="s">
        <v>84</v>
      </c>
      <c r="B106" s="15"/>
      <c r="C106" s="15"/>
      <c r="D106" s="15"/>
      <c r="E106" s="15"/>
      <c r="F106" s="1" t="s">
        <v>104</v>
      </c>
      <c r="G106" s="1" t="s">
        <v>105</v>
      </c>
      <c r="H106" s="1" t="s">
        <v>100</v>
      </c>
    </row>
    <row r="108" spans="1:22" x14ac:dyDescent="0.25">
      <c r="A108" s="68" t="s">
        <v>80</v>
      </c>
      <c r="B108" s="68" t="s">
        <v>81</v>
      </c>
      <c r="C108" s="68" t="s">
        <v>82</v>
      </c>
      <c r="D108" s="68" t="s">
        <v>66</v>
      </c>
    </row>
    <row r="109" spans="1:22" x14ac:dyDescent="0.25">
      <c r="A109" s="3" t="s">
        <v>0</v>
      </c>
      <c r="B109" s="2"/>
      <c r="C109" s="2"/>
      <c r="D109" s="68"/>
    </row>
    <row r="110" spans="1:22" x14ac:dyDescent="0.25">
      <c r="A110" s="2" t="s">
        <v>143</v>
      </c>
      <c r="B110" s="2">
        <v>319</v>
      </c>
      <c r="C110" s="2">
        <v>72</v>
      </c>
      <c r="D110" s="68">
        <f t="shared" ref="D110:D115" si="28">B110+C110</f>
        <v>391</v>
      </c>
    </row>
    <row r="111" spans="1:22" x14ac:dyDescent="0.25">
      <c r="A111" s="2" t="s">
        <v>144</v>
      </c>
      <c r="B111" s="2">
        <v>28</v>
      </c>
      <c r="C111" s="2">
        <v>0</v>
      </c>
      <c r="D111" s="68">
        <f t="shared" si="28"/>
        <v>28</v>
      </c>
    </row>
    <row r="112" spans="1:22" x14ac:dyDescent="0.25">
      <c r="A112" s="2" t="s">
        <v>145</v>
      </c>
      <c r="B112" s="2">
        <v>3</v>
      </c>
      <c r="C112" s="2">
        <v>1</v>
      </c>
      <c r="D112" s="68">
        <f t="shared" si="28"/>
        <v>4</v>
      </c>
    </row>
    <row r="113" spans="1:12" x14ac:dyDescent="0.25">
      <c r="A113" s="2" t="s">
        <v>146</v>
      </c>
      <c r="B113" s="2">
        <v>28</v>
      </c>
      <c r="C113" s="2">
        <v>3</v>
      </c>
      <c r="D113" s="68">
        <f t="shared" si="28"/>
        <v>31</v>
      </c>
    </row>
    <row r="114" spans="1:12" x14ac:dyDescent="0.25">
      <c r="A114" s="2" t="s">
        <v>147</v>
      </c>
      <c r="B114" s="2">
        <v>50</v>
      </c>
      <c r="C114" s="2">
        <v>0</v>
      </c>
      <c r="D114" s="68">
        <f t="shared" si="28"/>
        <v>50</v>
      </c>
    </row>
    <row r="115" spans="1:12" x14ac:dyDescent="0.25">
      <c r="A115" s="2" t="s">
        <v>148</v>
      </c>
      <c r="B115" s="2">
        <v>21</v>
      </c>
      <c r="C115" s="2">
        <v>0</v>
      </c>
      <c r="D115" s="68">
        <f t="shared" si="28"/>
        <v>21</v>
      </c>
    </row>
    <row r="116" spans="1:12" x14ac:dyDescent="0.25">
      <c r="A116" s="3"/>
      <c r="B116" s="2"/>
      <c r="C116" s="2"/>
      <c r="D116" s="68"/>
    </row>
    <row r="117" spans="1:12" x14ac:dyDescent="0.25">
      <c r="A117" s="3" t="s">
        <v>2</v>
      </c>
      <c r="B117" s="2"/>
      <c r="C117" s="2"/>
      <c r="D117" s="68"/>
    </row>
    <row r="118" spans="1:12" x14ac:dyDescent="0.25">
      <c r="A118" s="2" t="s">
        <v>143</v>
      </c>
      <c r="B118" s="2">
        <v>806</v>
      </c>
      <c r="C118" s="2">
        <v>91</v>
      </c>
      <c r="D118" s="68">
        <f t="shared" ref="D118:D123" si="29">B118+C118</f>
        <v>897</v>
      </c>
    </row>
    <row r="119" spans="1:12" x14ac:dyDescent="0.25">
      <c r="A119" s="2" t="s">
        <v>144</v>
      </c>
      <c r="B119" s="2">
        <v>51</v>
      </c>
      <c r="C119" s="2">
        <v>0</v>
      </c>
      <c r="D119" s="68">
        <f t="shared" si="29"/>
        <v>51</v>
      </c>
    </row>
    <row r="120" spans="1:12" x14ac:dyDescent="0.25">
      <c r="A120" s="2" t="s">
        <v>145</v>
      </c>
      <c r="B120" s="2">
        <v>9</v>
      </c>
      <c r="C120" s="2">
        <v>0</v>
      </c>
      <c r="D120" s="68">
        <f t="shared" si="29"/>
        <v>9</v>
      </c>
    </row>
    <row r="121" spans="1:12" x14ac:dyDescent="0.25">
      <c r="A121" s="2" t="s">
        <v>146</v>
      </c>
      <c r="B121" s="2">
        <v>91</v>
      </c>
      <c r="C121" s="2">
        <v>3</v>
      </c>
      <c r="D121" s="68">
        <f t="shared" si="29"/>
        <v>94</v>
      </c>
    </row>
    <row r="122" spans="1:12" x14ac:dyDescent="0.25">
      <c r="A122" s="2" t="s">
        <v>147</v>
      </c>
      <c r="B122" s="2">
        <v>120</v>
      </c>
      <c r="C122" s="2">
        <v>0</v>
      </c>
      <c r="D122" s="68">
        <f t="shared" si="29"/>
        <v>120</v>
      </c>
    </row>
    <row r="123" spans="1:12" x14ac:dyDescent="0.25">
      <c r="A123" s="2" t="s">
        <v>148</v>
      </c>
      <c r="B123" s="2">
        <v>61</v>
      </c>
      <c r="C123" s="2">
        <v>0</v>
      </c>
      <c r="D123" s="68">
        <f t="shared" si="29"/>
        <v>61</v>
      </c>
    </row>
    <row r="124" spans="1:12" x14ac:dyDescent="0.25">
      <c r="A124" s="3"/>
      <c r="B124" s="2"/>
      <c r="C124" s="2"/>
      <c r="D124" s="68"/>
    </row>
    <row r="126" spans="1:12" x14ac:dyDescent="0.25">
      <c r="A126" s="68" t="s">
        <v>103</v>
      </c>
      <c r="B126" s="3" t="s">
        <v>67</v>
      </c>
      <c r="C126" s="68" t="s">
        <v>101</v>
      </c>
      <c r="D126" s="3" t="s">
        <v>90</v>
      </c>
      <c r="F126" s="68" t="s">
        <v>89</v>
      </c>
      <c r="G126" s="3" t="s">
        <v>67</v>
      </c>
      <c r="H126" s="3" t="s">
        <v>90</v>
      </c>
      <c r="J126" s="68" t="s">
        <v>102</v>
      </c>
      <c r="K126" s="3" t="s">
        <v>67</v>
      </c>
      <c r="L126" s="3" t="s">
        <v>90</v>
      </c>
    </row>
    <row r="127" spans="1:12" x14ac:dyDescent="0.25">
      <c r="A127" s="11">
        <f>SUM(B127:D127)</f>
        <v>6</v>
      </c>
      <c r="B127" s="2">
        <v>4</v>
      </c>
      <c r="C127" s="2">
        <v>1</v>
      </c>
      <c r="D127" s="2">
        <v>1</v>
      </c>
      <c r="F127" s="11">
        <f>G127+H127</f>
        <v>6</v>
      </c>
      <c r="G127" s="2">
        <v>6</v>
      </c>
      <c r="H127" s="2"/>
      <c r="J127" s="11">
        <f>A127-F127</f>
        <v>0</v>
      </c>
      <c r="K127" s="2"/>
      <c r="L127" s="2"/>
    </row>
    <row r="129" spans="10:10" x14ac:dyDescent="0.25">
      <c r="J129" s="1" t="s">
        <v>155</v>
      </c>
    </row>
  </sheetData>
  <pageMargins left="0.25" right="0.25" top="0.75" bottom="0.75" header="0.3" footer="0.3"/>
  <pageSetup paperSize="9" scale="45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Q92"/>
  <sheetViews>
    <sheetView tabSelected="1" topLeftCell="A9" zoomScale="70" zoomScaleNormal="70" workbookViewId="0">
      <selection activeCell="E40" sqref="E40"/>
    </sheetView>
  </sheetViews>
  <sheetFormatPr defaultRowHeight="15.75" x14ac:dyDescent="0.25"/>
  <cols>
    <col min="1" max="1" width="25.85546875" style="1" customWidth="1"/>
    <col min="2" max="3" width="14.85546875" style="1" bestFit="1" customWidth="1"/>
    <col min="4" max="5" width="9.7109375" style="1" bestFit="1" customWidth="1"/>
    <col min="6" max="6" width="9.5703125" style="1" bestFit="1" customWidth="1"/>
    <col min="7" max="7" width="13.85546875" style="1" bestFit="1" customWidth="1"/>
    <col min="8" max="9" width="9.5703125" style="1" bestFit="1" customWidth="1"/>
    <col min="10" max="10" width="11.28515625" style="1" customWidth="1"/>
    <col min="11" max="16" width="9.5703125" style="1" bestFit="1" customWidth="1"/>
    <col min="17" max="16384" width="9.140625" style="1"/>
  </cols>
  <sheetData>
    <row r="2" spans="1:17" ht="25.5" x14ac:dyDescent="0.35">
      <c r="A2" s="14" t="s">
        <v>83</v>
      </c>
      <c r="B2" s="15"/>
      <c r="C2" s="15"/>
      <c r="D2" s="15"/>
      <c r="E2" s="15"/>
    </row>
    <row r="4" spans="1:17" x14ac:dyDescent="0.25">
      <c r="A4" s="2"/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</row>
    <row r="5" spans="1:17" x14ac:dyDescent="0.25">
      <c r="A5" s="5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7" x14ac:dyDescent="0.25">
      <c r="A6" s="2" t="s">
        <v>1</v>
      </c>
      <c r="B6" s="2">
        <v>2</v>
      </c>
      <c r="C6" s="2">
        <v>28</v>
      </c>
      <c r="D6" s="2">
        <v>71</v>
      </c>
      <c r="E6" s="2">
        <v>70</v>
      </c>
      <c r="F6" s="2">
        <v>82</v>
      </c>
      <c r="G6" s="2">
        <v>69</v>
      </c>
      <c r="H6" s="2">
        <v>83</v>
      </c>
      <c r="I6" s="2">
        <v>70</v>
      </c>
      <c r="J6" s="2">
        <v>64</v>
      </c>
      <c r="K6" s="2">
        <v>81</v>
      </c>
      <c r="L6" s="2">
        <v>75</v>
      </c>
      <c r="M6" s="2">
        <v>122</v>
      </c>
      <c r="N6" s="2">
        <v>171</v>
      </c>
      <c r="O6" s="2">
        <v>75</v>
      </c>
      <c r="P6" s="2">
        <v>0</v>
      </c>
    </row>
    <row r="7" spans="1:17" x14ac:dyDescent="0.25">
      <c r="A7" s="4">
        <v>5</v>
      </c>
      <c r="B7" s="4">
        <f t="shared" ref="B7:P7" si="0">ROUND(B6/$A$7,0)</f>
        <v>0</v>
      </c>
      <c r="C7" s="4">
        <f t="shared" si="0"/>
        <v>6</v>
      </c>
      <c r="D7" s="4">
        <f t="shared" si="0"/>
        <v>14</v>
      </c>
      <c r="E7" s="4">
        <f t="shared" si="0"/>
        <v>14</v>
      </c>
      <c r="F7" s="4">
        <f t="shared" si="0"/>
        <v>16</v>
      </c>
      <c r="G7" s="4">
        <f t="shared" si="0"/>
        <v>14</v>
      </c>
      <c r="H7" s="4">
        <f t="shared" si="0"/>
        <v>17</v>
      </c>
      <c r="I7" s="4">
        <f t="shared" si="0"/>
        <v>14</v>
      </c>
      <c r="J7" s="4">
        <f t="shared" si="0"/>
        <v>13</v>
      </c>
      <c r="K7" s="4">
        <f t="shared" si="0"/>
        <v>16</v>
      </c>
      <c r="L7" s="4">
        <f t="shared" si="0"/>
        <v>15</v>
      </c>
      <c r="M7" s="4">
        <f t="shared" si="0"/>
        <v>24</v>
      </c>
      <c r="N7" s="4">
        <f t="shared" si="0"/>
        <v>34</v>
      </c>
      <c r="O7" s="4">
        <f t="shared" si="0"/>
        <v>15</v>
      </c>
      <c r="P7" s="4">
        <f t="shared" si="0"/>
        <v>0</v>
      </c>
      <c r="Q7" s="1">
        <f t="shared" ref="Q7:Q8" si="1">SUM(B7:P7)</f>
        <v>212</v>
      </c>
    </row>
    <row r="8" spans="1:17" x14ac:dyDescent="0.25">
      <c r="A8" s="12" t="s">
        <v>60</v>
      </c>
      <c r="B8" s="12">
        <v>1</v>
      </c>
      <c r="C8" s="12">
        <v>2</v>
      </c>
      <c r="D8" s="12">
        <v>2</v>
      </c>
      <c r="E8" s="12">
        <v>2</v>
      </c>
      <c r="F8" s="12">
        <v>2</v>
      </c>
      <c r="G8" s="12">
        <v>2</v>
      </c>
      <c r="H8" s="12">
        <v>2</v>
      </c>
      <c r="I8" s="12">
        <v>2</v>
      </c>
      <c r="J8" s="12">
        <v>2</v>
      </c>
      <c r="K8" s="12">
        <v>2</v>
      </c>
      <c r="L8" s="12">
        <v>2</v>
      </c>
      <c r="M8" s="12">
        <v>3</v>
      </c>
      <c r="N8" s="12">
        <v>3</v>
      </c>
      <c r="O8" s="12">
        <v>2</v>
      </c>
      <c r="P8" s="12"/>
      <c r="Q8" s="1">
        <f t="shared" si="1"/>
        <v>29</v>
      </c>
    </row>
    <row r="9" spans="1:17" x14ac:dyDescent="0.25">
      <c r="A9" s="12" t="s">
        <v>61</v>
      </c>
      <c r="B9" s="12">
        <v>1</v>
      </c>
      <c r="C9" s="12">
        <v>2</v>
      </c>
      <c r="D9" s="12">
        <v>2</v>
      </c>
      <c r="E9" s="12">
        <v>2</v>
      </c>
      <c r="F9" s="12">
        <v>2</v>
      </c>
      <c r="G9" s="12">
        <v>2</v>
      </c>
      <c r="H9" s="12">
        <v>2</v>
      </c>
      <c r="I9" s="12">
        <v>2</v>
      </c>
      <c r="J9" s="12">
        <v>2</v>
      </c>
      <c r="K9" s="12">
        <v>2</v>
      </c>
      <c r="L9" s="12">
        <v>2</v>
      </c>
      <c r="M9" s="12">
        <v>3</v>
      </c>
      <c r="N9" s="12">
        <v>3</v>
      </c>
      <c r="O9" s="12">
        <v>2</v>
      </c>
      <c r="P9" s="12"/>
      <c r="Q9" s="1">
        <f>SUM(B9:P9)</f>
        <v>29</v>
      </c>
    </row>
    <row r="10" spans="1:17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7" x14ac:dyDescent="0.25">
      <c r="A11" s="13" t="s">
        <v>75</v>
      </c>
    </row>
    <row r="12" spans="1:17" x14ac:dyDescent="0.25">
      <c r="A12" s="2" t="s">
        <v>62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/>
      <c r="K12" s="2"/>
      <c r="L12" s="2"/>
      <c r="M12" s="2"/>
      <c r="N12" s="2"/>
      <c r="O12" s="2"/>
      <c r="P12" s="2"/>
    </row>
    <row r="13" spans="1:17" x14ac:dyDescent="0.25">
      <c r="A13" s="2" t="s">
        <v>127</v>
      </c>
      <c r="B13" s="2"/>
      <c r="C13" s="2">
        <v>1</v>
      </c>
      <c r="D13" s="2">
        <v>1</v>
      </c>
      <c r="E13" s="2">
        <v>1</v>
      </c>
      <c r="F13" s="2">
        <v>1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7" x14ac:dyDescent="0.25">
      <c r="A14" s="2" t="s">
        <v>77</v>
      </c>
      <c r="B14" s="2"/>
      <c r="C14" s="2"/>
      <c r="D14" s="2"/>
      <c r="E14" s="2"/>
      <c r="F14" s="2"/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/>
      <c r="P14" s="2"/>
    </row>
    <row r="15" spans="1:17" x14ac:dyDescent="0.25">
      <c r="A15" s="2" t="s">
        <v>86</v>
      </c>
      <c r="B15" s="2"/>
      <c r="C15" s="2"/>
      <c r="D15" s="2"/>
      <c r="E15" s="2"/>
      <c r="F15" s="2"/>
      <c r="G15" s="2"/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/>
    </row>
    <row r="16" spans="1:17" x14ac:dyDescent="0.25">
      <c r="A16" s="2" t="s">
        <v>117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v>1</v>
      </c>
      <c r="M16" s="2">
        <v>1</v>
      </c>
      <c r="N16" s="2">
        <v>1</v>
      </c>
      <c r="O16" s="2">
        <v>1</v>
      </c>
      <c r="P16" s="2"/>
    </row>
    <row r="17" spans="1:17" x14ac:dyDescent="0.25">
      <c r="A17" s="2" t="s">
        <v>66</v>
      </c>
      <c r="B17" s="2">
        <f t="shared" ref="B17:P17" si="2">SUM(B12:B16)</f>
        <v>1</v>
      </c>
      <c r="C17" s="2">
        <f t="shared" si="2"/>
        <v>2</v>
      </c>
      <c r="D17" s="2">
        <f t="shared" si="2"/>
        <v>2</v>
      </c>
      <c r="E17" s="2">
        <f t="shared" si="2"/>
        <v>2</v>
      </c>
      <c r="F17" s="2">
        <f t="shared" si="2"/>
        <v>2</v>
      </c>
      <c r="G17" s="2">
        <f t="shared" si="2"/>
        <v>2</v>
      </c>
      <c r="H17" s="2">
        <f t="shared" si="2"/>
        <v>3</v>
      </c>
      <c r="I17" s="2">
        <f t="shared" si="2"/>
        <v>3</v>
      </c>
      <c r="J17" s="2">
        <f t="shared" si="2"/>
        <v>2</v>
      </c>
      <c r="K17" s="2">
        <f t="shared" si="2"/>
        <v>2</v>
      </c>
      <c r="L17" s="2">
        <f t="shared" si="2"/>
        <v>3</v>
      </c>
      <c r="M17" s="2">
        <f t="shared" si="2"/>
        <v>3</v>
      </c>
      <c r="N17" s="2">
        <f t="shared" si="2"/>
        <v>3</v>
      </c>
      <c r="O17" s="2">
        <f t="shared" si="2"/>
        <v>2</v>
      </c>
      <c r="P17" s="2">
        <f t="shared" si="2"/>
        <v>0</v>
      </c>
      <c r="Q17" s="1">
        <f>SUM(B17:P17)</f>
        <v>32</v>
      </c>
    </row>
    <row r="18" spans="1:17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20" spans="1:17" x14ac:dyDescent="0.25">
      <c r="A20" s="5" t="s">
        <v>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7" x14ac:dyDescent="0.25">
      <c r="A21" s="2" t="s">
        <v>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7" x14ac:dyDescent="0.25">
      <c r="A22" s="2" t="s">
        <v>19</v>
      </c>
      <c r="B22" s="2"/>
      <c r="C22" s="2">
        <v>9</v>
      </c>
      <c r="D22" s="2">
        <v>19</v>
      </c>
      <c r="E22" s="2">
        <v>9</v>
      </c>
      <c r="F22" s="2">
        <v>19</v>
      </c>
      <c r="G22" s="2">
        <v>13</v>
      </c>
      <c r="H22" s="2">
        <v>12</v>
      </c>
      <c r="I22" s="2">
        <v>19</v>
      </c>
      <c r="J22" s="2">
        <v>9</v>
      </c>
      <c r="K22" s="2">
        <v>18</v>
      </c>
      <c r="L22" s="2">
        <v>27</v>
      </c>
      <c r="M22" s="2">
        <v>27</v>
      </c>
      <c r="N22" s="2">
        <v>55</v>
      </c>
      <c r="O22" s="2">
        <v>32</v>
      </c>
      <c r="P22" s="2">
        <v>0</v>
      </c>
    </row>
    <row r="23" spans="1:17" x14ac:dyDescent="0.25">
      <c r="A23" s="2" t="s">
        <v>20</v>
      </c>
      <c r="B23" s="2"/>
      <c r="C23" s="2">
        <v>13</v>
      </c>
      <c r="D23" s="2">
        <v>23</v>
      </c>
      <c r="E23" s="2">
        <v>37</v>
      </c>
      <c r="F23" s="2">
        <v>34</v>
      </c>
      <c r="G23" s="2">
        <v>27</v>
      </c>
      <c r="H23" s="2">
        <v>26</v>
      </c>
      <c r="I23" s="2">
        <v>21</v>
      </c>
      <c r="J23" s="2">
        <v>12</v>
      </c>
      <c r="K23" s="2">
        <v>22</v>
      </c>
      <c r="L23" s="2">
        <v>29</v>
      </c>
      <c r="M23" s="2">
        <v>34</v>
      </c>
      <c r="N23" s="2">
        <v>54</v>
      </c>
      <c r="O23" s="2">
        <v>18</v>
      </c>
      <c r="P23" s="2">
        <v>0</v>
      </c>
    </row>
    <row r="24" spans="1:17" x14ac:dyDescent="0.25">
      <c r="A24" s="4">
        <v>2</v>
      </c>
      <c r="B24" s="4">
        <f t="shared" ref="B24:P24" si="3">ROUND((B22+B23)/$A$24,0)</f>
        <v>0</v>
      </c>
      <c r="C24" s="4">
        <f t="shared" si="3"/>
        <v>11</v>
      </c>
      <c r="D24" s="4">
        <f t="shared" si="3"/>
        <v>21</v>
      </c>
      <c r="E24" s="4">
        <f t="shared" si="3"/>
        <v>23</v>
      </c>
      <c r="F24" s="4">
        <f t="shared" si="3"/>
        <v>27</v>
      </c>
      <c r="G24" s="4">
        <f t="shared" si="3"/>
        <v>20</v>
      </c>
      <c r="H24" s="4">
        <f t="shared" si="3"/>
        <v>19</v>
      </c>
      <c r="I24" s="4">
        <f t="shared" si="3"/>
        <v>20</v>
      </c>
      <c r="J24" s="4">
        <f t="shared" si="3"/>
        <v>11</v>
      </c>
      <c r="K24" s="4">
        <f t="shared" si="3"/>
        <v>20</v>
      </c>
      <c r="L24" s="4">
        <f t="shared" si="3"/>
        <v>28</v>
      </c>
      <c r="M24" s="4">
        <f t="shared" si="3"/>
        <v>31</v>
      </c>
      <c r="N24" s="4">
        <f t="shared" si="3"/>
        <v>55</v>
      </c>
      <c r="O24" s="4">
        <f t="shared" si="3"/>
        <v>25</v>
      </c>
      <c r="P24" s="4">
        <f t="shared" si="3"/>
        <v>0</v>
      </c>
      <c r="Q24" s="1">
        <f t="shared" ref="Q24:Q25" si="4">SUM(B24:P24)</f>
        <v>311</v>
      </c>
    </row>
    <row r="25" spans="1:17" x14ac:dyDescent="0.25">
      <c r="A25" s="12" t="s">
        <v>60</v>
      </c>
      <c r="B25" s="12">
        <v>1</v>
      </c>
      <c r="C25" s="12">
        <v>2</v>
      </c>
      <c r="D25" s="12">
        <v>2</v>
      </c>
      <c r="E25" s="12">
        <v>2</v>
      </c>
      <c r="F25" s="12">
        <v>3</v>
      </c>
      <c r="G25" s="12">
        <v>2</v>
      </c>
      <c r="H25" s="12">
        <v>2</v>
      </c>
      <c r="I25" s="12">
        <v>2</v>
      </c>
      <c r="J25" s="12">
        <v>2</v>
      </c>
      <c r="K25" s="12">
        <v>2</v>
      </c>
      <c r="L25" s="12">
        <v>3</v>
      </c>
      <c r="M25" s="12">
        <v>3</v>
      </c>
      <c r="N25" s="12">
        <v>4</v>
      </c>
      <c r="O25" s="12">
        <v>2</v>
      </c>
      <c r="P25" s="12"/>
      <c r="Q25" s="1">
        <f t="shared" si="4"/>
        <v>32</v>
      </c>
    </row>
    <row r="26" spans="1:17" x14ac:dyDescent="0.25">
      <c r="A26" s="12" t="s">
        <v>61</v>
      </c>
      <c r="B26" s="12">
        <v>1</v>
      </c>
      <c r="C26" s="12">
        <v>2</v>
      </c>
      <c r="D26" s="12">
        <v>2</v>
      </c>
      <c r="E26" s="12">
        <v>2</v>
      </c>
      <c r="F26" s="12">
        <v>3</v>
      </c>
      <c r="G26" s="12">
        <v>2</v>
      </c>
      <c r="H26" s="12">
        <v>2</v>
      </c>
      <c r="I26" s="12">
        <v>2</v>
      </c>
      <c r="J26" s="12">
        <v>2</v>
      </c>
      <c r="K26" s="12">
        <v>2</v>
      </c>
      <c r="L26" s="12">
        <v>3</v>
      </c>
      <c r="M26" s="12">
        <v>3</v>
      </c>
      <c r="N26" s="12">
        <v>4</v>
      </c>
      <c r="O26" s="12">
        <v>2</v>
      </c>
      <c r="P26" s="12"/>
      <c r="Q26" s="1">
        <f>SUM(B26:P26)</f>
        <v>32</v>
      </c>
    </row>
    <row r="27" spans="1:17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7" x14ac:dyDescent="0.25">
      <c r="A28" s="13" t="s">
        <v>75</v>
      </c>
    </row>
    <row r="29" spans="1:17" x14ac:dyDescent="0.25">
      <c r="A29" s="2" t="s">
        <v>62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/>
      <c r="K29" s="2"/>
      <c r="L29" s="2"/>
      <c r="M29" s="2"/>
      <c r="N29" s="2"/>
      <c r="O29" s="2"/>
      <c r="P29" s="2"/>
    </row>
    <row r="30" spans="1:17" x14ac:dyDescent="0.25">
      <c r="A30" s="2" t="s">
        <v>127</v>
      </c>
      <c r="B30" s="2"/>
      <c r="C30" s="2">
        <v>1</v>
      </c>
      <c r="D30" s="2">
        <v>1</v>
      </c>
      <c r="E30" s="2">
        <v>1</v>
      </c>
      <c r="F30" s="2">
        <v>1</v>
      </c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 x14ac:dyDescent="0.25">
      <c r="A31" s="2" t="s">
        <v>110</v>
      </c>
      <c r="B31" s="2"/>
      <c r="C31" s="2"/>
      <c r="D31" s="2"/>
      <c r="E31" s="2"/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/>
      <c r="O31" s="2"/>
      <c r="P31" s="2"/>
    </row>
    <row r="32" spans="1:17" x14ac:dyDescent="0.25">
      <c r="A32" s="2" t="s">
        <v>86</v>
      </c>
      <c r="B32" s="2"/>
      <c r="C32" s="2"/>
      <c r="D32" s="2"/>
      <c r="E32" s="2"/>
      <c r="F32" s="2"/>
      <c r="G32" s="2"/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/>
    </row>
    <row r="33" spans="1:17" x14ac:dyDescent="0.25">
      <c r="A33" s="2" t="s">
        <v>86</v>
      </c>
      <c r="B33" s="2"/>
      <c r="C33" s="2"/>
      <c r="D33" s="2"/>
      <c r="E33" s="2"/>
      <c r="F33" s="2"/>
      <c r="G33" s="2"/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/>
    </row>
    <row r="34" spans="1:17" x14ac:dyDescent="0.25">
      <c r="A34" s="2" t="s">
        <v>117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1</v>
      </c>
      <c r="M34" s="2">
        <v>1</v>
      </c>
      <c r="N34" s="2">
        <v>1</v>
      </c>
      <c r="O34" s="2">
        <v>1</v>
      </c>
      <c r="P34" s="2"/>
    </row>
    <row r="35" spans="1:17" x14ac:dyDescent="0.25">
      <c r="A35" s="2" t="s">
        <v>66</v>
      </c>
      <c r="B35" s="2">
        <f>SUM(B29:B34)</f>
        <v>1</v>
      </c>
      <c r="C35" s="2">
        <f t="shared" ref="C35:P35" si="5">SUM(C29:C34)</f>
        <v>2</v>
      </c>
      <c r="D35" s="2">
        <f t="shared" si="5"/>
        <v>2</v>
      </c>
      <c r="E35" s="2">
        <f t="shared" si="5"/>
        <v>2</v>
      </c>
      <c r="F35" s="2">
        <f t="shared" si="5"/>
        <v>3</v>
      </c>
      <c r="G35" s="2">
        <f t="shared" si="5"/>
        <v>2</v>
      </c>
      <c r="H35" s="2">
        <f t="shared" si="5"/>
        <v>4</v>
      </c>
      <c r="I35" s="2">
        <f t="shared" si="5"/>
        <v>4</v>
      </c>
      <c r="J35" s="2">
        <f t="shared" si="5"/>
        <v>3</v>
      </c>
      <c r="K35" s="2">
        <f t="shared" si="5"/>
        <v>3</v>
      </c>
      <c r="L35" s="2">
        <f t="shared" si="5"/>
        <v>4</v>
      </c>
      <c r="M35" s="2">
        <f t="shared" si="5"/>
        <v>4</v>
      </c>
      <c r="N35" s="2">
        <f t="shared" si="5"/>
        <v>3</v>
      </c>
      <c r="O35" s="2">
        <f t="shared" si="5"/>
        <v>3</v>
      </c>
      <c r="P35" s="2">
        <f t="shared" si="5"/>
        <v>0</v>
      </c>
      <c r="Q35" s="1">
        <f>SUM(B35:P35)</f>
        <v>40</v>
      </c>
    </row>
    <row r="38" spans="1:17" x14ac:dyDescent="0.25">
      <c r="A38" s="2" t="s">
        <v>22</v>
      </c>
      <c r="B38" s="2"/>
      <c r="C38" s="2"/>
      <c r="E38" s="1" t="s">
        <v>64</v>
      </c>
      <c r="F38" s="1" t="s">
        <v>70</v>
      </c>
    </row>
    <row r="39" spans="1:17" x14ac:dyDescent="0.25">
      <c r="A39" s="3" t="s">
        <v>0</v>
      </c>
      <c r="B39" s="2"/>
      <c r="C39" s="2"/>
      <c r="E39" s="1" t="s">
        <v>69</v>
      </c>
      <c r="F39" s="1" t="s">
        <v>71</v>
      </c>
    </row>
    <row r="40" spans="1:17" x14ac:dyDescent="0.25">
      <c r="A40" s="11" t="s">
        <v>42</v>
      </c>
      <c r="B40" s="2">
        <f>22-8</f>
        <v>14</v>
      </c>
      <c r="C40" s="2" t="s">
        <v>24</v>
      </c>
      <c r="E40" s="1">
        <f>D57</f>
        <v>32</v>
      </c>
      <c r="F40" s="1" t="s">
        <v>24</v>
      </c>
      <c r="G40" s="1">
        <f>E40/B40</f>
        <v>2.2857142857142856</v>
      </c>
      <c r="H40" s="1" t="s">
        <v>76</v>
      </c>
    </row>
    <row r="41" spans="1:17" x14ac:dyDescent="0.25">
      <c r="A41" s="3" t="s">
        <v>2</v>
      </c>
      <c r="B41" s="2"/>
      <c r="C41" s="2"/>
    </row>
    <row r="42" spans="1:17" x14ac:dyDescent="0.25">
      <c r="A42" s="11" t="s">
        <v>42</v>
      </c>
      <c r="B42" s="2">
        <f>22-8</f>
        <v>14</v>
      </c>
      <c r="C42" s="2" t="s">
        <v>24</v>
      </c>
      <c r="E42" s="1">
        <f>D66</f>
        <v>40</v>
      </c>
      <c r="F42" s="1" t="str">
        <f>F40</f>
        <v>H</v>
      </c>
      <c r="G42" s="1">
        <f>E42/B42</f>
        <v>2.8571428571428572</v>
      </c>
      <c r="H42" s="1" t="s">
        <v>76</v>
      </c>
    </row>
    <row r="44" spans="1:17" x14ac:dyDescent="0.25">
      <c r="A44" s="2"/>
      <c r="B44" s="2" t="s">
        <v>26</v>
      </c>
      <c r="C44" s="2" t="s">
        <v>27</v>
      </c>
    </row>
    <row r="45" spans="1:17" x14ac:dyDescent="0.25">
      <c r="A45" s="3" t="s">
        <v>0</v>
      </c>
      <c r="B45" s="2"/>
      <c r="C45" s="2">
        <f>B45*8</f>
        <v>0</v>
      </c>
    </row>
    <row r="46" spans="1:17" x14ac:dyDescent="0.25">
      <c r="A46" s="3" t="s">
        <v>2</v>
      </c>
      <c r="B46" s="2"/>
      <c r="C46" s="2">
        <f>B46*8</f>
        <v>0</v>
      </c>
    </row>
    <row r="48" spans="1:17" x14ac:dyDescent="0.25">
      <c r="A48" s="2" t="s">
        <v>72</v>
      </c>
      <c r="B48" s="2"/>
      <c r="C48" s="2" t="s">
        <v>26</v>
      </c>
      <c r="D48" s="2" t="s">
        <v>27</v>
      </c>
    </row>
    <row r="49" spans="1:14" x14ac:dyDescent="0.25">
      <c r="A49" s="3" t="s">
        <v>0</v>
      </c>
      <c r="B49" s="2"/>
      <c r="C49" s="2"/>
      <c r="D49" s="2"/>
    </row>
    <row r="50" spans="1:14" x14ac:dyDescent="0.25">
      <c r="A50" s="2" t="s">
        <v>62</v>
      </c>
      <c r="B50" s="2" t="s">
        <v>67</v>
      </c>
      <c r="C50" s="2">
        <v>1</v>
      </c>
      <c r="D50" s="2">
        <f>C50*8</f>
        <v>8</v>
      </c>
    </row>
    <row r="51" spans="1:14" x14ac:dyDescent="0.25">
      <c r="A51" s="2" t="s">
        <v>127</v>
      </c>
      <c r="B51" s="2" t="s">
        <v>68</v>
      </c>
      <c r="C51" s="2">
        <v>1</v>
      </c>
      <c r="D51" s="2">
        <f>13-9</f>
        <v>4</v>
      </c>
    </row>
    <row r="52" spans="1:14" x14ac:dyDescent="0.25">
      <c r="A52" s="2" t="s">
        <v>77</v>
      </c>
      <c r="B52" s="2" t="s">
        <v>67</v>
      </c>
      <c r="C52" s="2">
        <v>1</v>
      </c>
      <c r="D52" s="2">
        <v>8</v>
      </c>
      <c r="F52" s="8" t="s">
        <v>114</v>
      </c>
      <c r="G52" s="3" t="s">
        <v>67</v>
      </c>
      <c r="H52" s="3" t="s">
        <v>68</v>
      </c>
      <c r="I52" s="3" t="s">
        <v>90</v>
      </c>
    </row>
    <row r="53" spans="1:14" x14ac:dyDescent="0.25">
      <c r="A53" s="2" t="s">
        <v>86</v>
      </c>
      <c r="B53" s="2" t="s">
        <v>67</v>
      </c>
      <c r="C53" s="2">
        <v>1</v>
      </c>
      <c r="D53" s="2">
        <v>8</v>
      </c>
      <c r="F53" s="11">
        <f>SUM(G53:I53)</f>
        <v>7</v>
      </c>
      <c r="G53" s="2">
        <v>4</v>
      </c>
      <c r="H53" s="2">
        <v>2</v>
      </c>
      <c r="I53" s="2">
        <v>1</v>
      </c>
    </row>
    <row r="54" spans="1:14" x14ac:dyDescent="0.25">
      <c r="A54" s="2" t="s">
        <v>117</v>
      </c>
      <c r="B54" s="2" t="s">
        <v>68</v>
      </c>
      <c r="C54" s="2">
        <v>1</v>
      </c>
      <c r="D54" s="2">
        <f>22-18</f>
        <v>4</v>
      </c>
    </row>
    <row r="55" spans="1:14" x14ac:dyDescent="0.25">
      <c r="A55" s="2" t="s">
        <v>87</v>
      </c>
      <c r="B55" s="2" t="s">
        <v>67</v>
      </c>
      <c r="C55" s="2">
        <v>1</v>
      </c>
      <c r="D55" s="2"/>
    </row>
    <row r="56" spans="1:14" x14ac:dyDescent="0.25">
      <c r="A56" s="2" t="s">
        <v>88</v>
      </c>
      <c r="B56" s="3"/>
      <c r="C56" s="2">
        <v>1</v>
      </c>
      <c r="D56" s="2"/>
      <c r="F56" s="8" t="s">
        <v>89</v>
      </c>
      <c r="G56" s="3" t="s">
        <v>67</v>
      </c>
      <c r="H56" s="3" t="s">
        <v>68</v>
      </c>
      <c r="I56" s="3" t="s">
        <v>90</v>
      </c>
      <c r="K56" s="8" t="s">
        <v>91</v>
      </c>
      <c r="L56" s="3" t="s">
        <v>67</v>
      </c>
      <c r="M56" s="3" t="s">
        <v>68</v>
      </c>
      <c r="N56" s="3" t="s">
        <v>90</v>
      </c>
    </row>
    <row r="57" spans="1:14" x14ac:dyDescent="0.25">
      <c r="A57" s="3" t="s">
        <v>66</v>
      </c>
      <c r="B57" s="3"/>
      <c r="C57" s="3">
        <f>SUM(C50:C56)</f>
        <v>7</v>
      </c>
      <c r="D57" s="3">
        <f>SUM(D50:D56)</f>
        <v>32</v>
      </c>
      <c r="F57" s="11">
        <f>SUM(G57:I57)</f>
        <v>7</v>
      </c>
      <c r="G57" s="2">
        <v>6</v>
      </c>
      <c r="H57" s="2"/>
      <c r="I57" s="2">
        <v>1</v>
      </c>
      <c r="K57" s="11">
        <f>F53-F57</f>
        <v>0</v>
      </c>
      <c r="L57" s="11">
        <f t="shared" ref="L57:N57" si="6">G53-G57</f>
        <v>-2</v>
      </c>
      <c r="M57" s="11"/>
      <c r="N57" s="11">
        <f t="shared" si="6"/>
        <v>0</v>
      </c>
    </row>
    <row r="58" spans="1:14" x14ac:dyDescent="0.25">
      <c r="A58" s="3" t="s">
        <v>2</v>
      </c>
      <c r="B58" s="2"/>
      <c r="C58" s="2"/>
      <c r="D58" s="2"/>
    </row>
    <row r="59" spans="1:14" x14ac:dyDescent="0.25">
      <c r="A59" s="2" t="s">
        <v>62</v>
      </c>
      <c r="B59" s="2" t="s">
        <v>67</v>
      </c>
      <c r="C59" s="2">
        <v>1</v>
      </c>
      <c r="D59" s="2">
        <f>C59*8</f>
        <v>8</v>
      </c>
      <c r="K59" s="1" t="s">
        <v>149</v>
      </c>
    </row>
    <row r="60" spans="1:14" x14ac:dyDescent="0.25">
      <c r="A60" s="2" t="s">
        <v>127</v>
      </c>
      <c r="B60" s="2" t="s">
        <v>68</v>
      </c>
      <c r="C60" s="2">
        <v>1</v>
      </c>
      <c r="D60" s="2">
        <f>13-9</f>
        <v>4</v>
      </c>
    </row>
    <row r="61" spans="1:14" x14ac:dyDescent="0.25">
      <c r="A61" s="2" t="s">
        <v>110</v>
      </c>
      <c r="B61" s="2" t="s">
        <v>67</v>
      </c>
      <c r="C61" s="2">
        <v>1</v>
      </c>
      <c r="D61" s="2">
        <f t="shared" ref="D61" si="7">C61*8</f>
        <v>8</v>
      </c>
    </row>
    <row r="62" spans="1:14" x14ac:dyDescent="0.25">
      <c r="A62" s="2" t="s">
        <v>86</v>
      </c>
      <c r="B62" s="2" t="s">
        <v>67</v>
      </c>
      <c r="C62" s="2">
        <v>1</v>
      </c>
      <c r="D62" s="2">
        <f>C62*8</f>
        <v>8</v>
      </c>
    </row>
    <row r="63" spans="1:14" x14ac:dyDescent="0.25">
      <c r="A63" s="2" t="s">
        <v>86</v>
      </c>
      <c r="B63" s="2" t="s">
        <v>67</v>
      </c>
      <c r="C63" s="2">
        <v>1</v>
      </c>
      <c r="D63" s="2">
        <v>8</v>
      </c>
    </row>
    <row r="64" spans="1:14" x14ac:dyDescent="0.25">
      <c r="A64" s="2" t="s">
        <v>117</v>
      </c>
      <c r="B64" s="2" t="s">
        <v>68</v>
      </c>
      <c r="C64" s="2">
        <v>1</v>
      </c>
      <c r="D64" s="2">
        <f>22-18</f>
        <v>4</v>
      </c>
    </row>
    <row r="65" spans="1:8" x14ac:dyDescent="0.25">
      <c r="A65" s="2" t="s">
        <v>88</v>
      </c>
      <c r="B65" s="2"/>
      <c r="C65" s="2">
        <v>1</v>
      </c>
      <c r="D65" s="2"/>
    </row>
    <row r="66" spans="1:8" x14ac:dyDescent="0.25">
      <c r="A66" s="3" t="s">
        <v>66</v>
      </c>
      <c r="B66" s="3"/>
      <c r="C66" s="3">
        <f>SUM(C59:C65)</f>
        <v>7</v>
      </c>
      <c r="D66" s="3">
        <f>SUM(D59:D65)</f>
        <v>40</v>
      </c>
    </row>
    <row r="67" spans="1:8" x14ac:dyDescent="0.25">
      <c r="F67" s="1" t="s">
        <v>106</v>
      </c>
      <c r="G67" s="1" t="s">
        <v>95</v>
      </c>
      <c r="H67" s="1" t="s">
        <v>99</v>
      </c>
    </row>
    <row r="68" spans="1:8" ht="25.5" x14ac:dyDescent="0.35">
      <c r="A68" s="14" t="s">
        <v>84</v>
      </c>
      <c r="B68" s="15"/>
      <c r="C68" s="15"/>
      <c r="D68" s="15"/>
      <c r="E68" s="15"/>
      <c r="F68" s="1" t="s">
        <v>104</v>
      </c>
      <c r="G68" s="1" t="s">
        <v>105</v>
      </c>
      <c r="H68" s="1" t="s">
        <v>100</v>
      </c>
    </row>
    <row r="70" spans="1:8" x14ac:dyDescent="0.25">
      <c r="A70" s="8" t="s">
        <v>80</v>
      </c>
      <c r="B70" s="8" t="s">
        <v>81</v>
      </c>
      <c r="C70" s="8" t="s">
        <v>82</v>
      </c>
      <c r="D70" s="8" t="s">
        <v>66</v>
      </c>
    </row>
    <row r="71" spans="1:8" x14ac:dyDescent="0.25">
      <c r="A71" s="3" t="s">
        <v>0</v>
      </c>
      <c r="B71" s="2"/>
      <c r="C71" s="2"/>
      <c r="D71" s="8"/>
    </row>
    <row r="72" spans="1:8" x14ac:dyDescent="0.25">
      <c r="A72" s="2" t="s">
        <v>143</v>
      </c>
      <c r="B72" s="2">
        <v>262</v>
      </c>
      <c r="C72" s="2">
        <v>100</v>
      </c>
      <c r="D72" s="8">
        <f t="shared" ref="D72:D77" si="8">B72+C72</f>
        <v>362</v>
      </c>
    </row>
    <row r="73" spans="1:8" x14ac:dyDescent="0.25">
      <c r="A73" s="2" t="s">
        <v>144</v>
      </c>
      <c r="B73" s="2">
        <v>16</v>
      </c>
      <c r="C73" s="2">
        <v>1</v>
      </c>
      <c r="D73" s="8">
        <f t="shared" si="8"/>
        <v>17</v>
      </c>
    </row>
    <row r="74" spans="1:8" x14ac:dyDescent="0.25">
      <c r="A74" s="2" t="s">
        <v>145</v>
      </c>
      <c r="B74" s="2">
        <v>2</v>
      </c>
      <c r="C74" s="2">
        <v>0</v>
      </c>
      <c r="D74" s="8">
        <f t="shared" si="8"/>
        <v>2</v>
      </c>
    </row>
    <row r="75" spans="1:8" x14ac:dyDescent="0.25">
      <c r="A75" s="2" t="s">
        <v>146</v>
      </c>
      <c r="B75" s="2">
        <v>25</v>
      </c>
      <c r="C75" s="2">
        <v>4</v>
      </c>
      <c r="D75" s="8">
        <f t="shared" si="8"/>
        <v>29</v>
      </c>
    </row>
    <row r="76" spans="1:8" x14ac:dyDescent="0.25">
      <c r="A76" s="2" t="s">
        <v>147</v>
      </c>
      <c r="B76" s="2">
        <v>76</v>
      </c>
      <c r="C76" s="2">
        <v>14</v>
      </c>
      <c r="D76" s="8">
        <f t="shared" si="8"/>
        <v>90</v>
      </c>
    </row>
    <row r="77" spans="1:8" x14ac:dyDescent="0.25">
      <c r="A77" s="2" t="s">
        <v>148</v>
      </c>
      <c r="B77" s="2">
        <v>16</v>
      </c>
      <c r="C77" s="2">
        <v>3</v>
      </c>
      <c r="D77" s="8">
        <f t="shared" si="8"/>
        <v>19</v>
      </c>
    </row>
    <row r="78" spans="1:8" x14ac:dyDescent="0.25">
      <c r="A78" s="3"/>
      <c r="B78" s="2"/>
      <c r="C78" s="2"/>
      <c r="D78" s="8"/>
    </row>
    <row r="79" spans="1:8" x14ac:dyDescent="0.25">
      <c r="A79" s="3" t="s">
        <v>2</v>
      </c>
      <c r="B79" s="2"/>
      <c r="C79" s="2"/>
      <c r="D79" s="8"/>
    </row>
    <row r="80" spans="1:8" x14ac:dyDescent="0.25">
      <c r="A80" s="2" t="s">
        <v>143</v>
      </c>
      <c r="B80" s="2">
        <v>576</v>
      </c>
      <c r="C80" s="2">
        <v>103</v>
      </c>
      <c r="D80" s="8">
        <f t="shared" ref="D80:D85" si="9">B80+C80</f>
        <v>679</v>
      </c>
    </row>
    <row r="81" spans="1:12" x14ac:dyDescent="0.25">
      <c r="A81" s="2" t="s">
        <v>144</v>
      </c>
      <c r="B81" s="2">
        <v>25</v>
      </c>
      <c r="C81" s="2">
        <v>0</v>
      </c>
      <c r="D81" s="8">
        <f t="shared" si="9"/>
        <v>25</v>
      </c>
    </row>
    <row r="82" spans="1:12" x14ac:dyDescent="0.25">
      <c r="A82" s="2" t="s">
        <v>145</v>
      </c>
      <c r="B82" s="2">
        <v>4</v>
      </c>
      <c r="C82" s="2">
        <v>0</v>
      </c>
      <c r="D82" s="8">
        <f t="shared" si="9"/>
        <v>4</v>
      </c>
    </row>
    <row r="83" spans="1:12" x14ac:dyDescent="0.25">
      <c r="A83" s="2" t="s">
        <v>146</v>
      </c>
      <c r="B83" s="2">
        <v>55</v>
      </c>
      <c r="C83" s="2">
        <v>2</v>
      </c>
      <c r="D83" s="8">
        <f t="shared" si="9"/>
        <v>57</v>
      </c>
    </row>
    <row r="84" spans="1:12" x14ac:dyDescent="0.25">
      <c r="A84" s="2" t="s">
        <v>147</v>
      </c>
      <c r="B84" s="2">
        <v>162</v>
      </c>
      <c r="C84" s="2">
        <v>13</v>
      </c>
      <c r="D84" s="8">
        <f t="shared" si="9"/>
        <v>175</v>
      </c>
    </row>
    <row r="85" spans="1:12" x14ac:dyDescent="0.25">
      <c r="A85" s="2" t="s">
        <v>148</v>
      </c>
      <c r="B85" s="2">
        <v>40</v>
      </c>
      <c r="C85" s="2">
        <v>15</v>
      </c>
      <c r="D85" s="8">
        <f t="shared" si="9"/>
        <v>55</v>
      </c>
    </row>
    <row r="86" spans="1:12" x14ac:dyDescent="0.25">
      <c r="A86" s="3"/>
      <c r="B86" s="2"/>
      <c r="C86" s="2"/>
      <c r="D86" s="8"/>
    </row>
    <row r="88" spans="1:12" x14ac:dyDescent="0.25">
      <c r="A88" s="8" t="s">
        <v>103</v>
      </c>
      <c r="B88" s="3" t="s">
        <v>67</v>
      </c>
      <c r="C88" s="8" t="s">
        <v>101</v>
      </c>
      <c r="D88" s="3" t="s">
        <v>90</v>
      </c>
      <c r="F88" s="8" t="s">
        <v>89</v>
      </c>
      <c r="G88" s="3" t="s">
        <v>67</v>
      </c>
      <c r="H88" s="3" t="s">
        <v>90</v>
      </c>
      <c r="J88" s="8" t="s">
        <v>102</v>
      </c>
      <c r="K88" s="3" t="s">
        <v>67</v>
      </c>
      <c r="L88" s="3" t="s">
        <v>90</v>
      </c>
    </row>
    <row r="89" spans="1:12" x14ac:dyDescent="0.25">
      <c r="A89" s="11">
        <f>SUM(B89:D89)</f>
        <v>7</v>
      </c>
      <c r="B89" s="2">
        <v>4</v>
      </c>
      <c r="C89" s="2">
        <v>1</v>
      </c>
      <c r="D89" s="2">
        <v>2</v>
      </c>
      <c r="F89" s="11">
        <f>G89+H89</f>
        <v>6</v>
      </c>
      <c r="G89" s="2">
        <v>4</v>
      </c>
      <c r="H89" s="2">
        <v>2</v>
      </c>
      <c r="J89" s="11">
        <f>A89-F89</f>
        <v>1</v>
      </c>
      <c r="K89" s="2"/>
      <c r="L89" s="2"/>
    </row>
    <row r="91" spans="1:12" x14ac:dyDescent="0.25">
      <c r="J91" s="1" t="s">
        <v>126</v>
      </c>
    </row>
    <row r="92" spans="1:12" x14ac:dyDescent="0.25">
      <c r="J92" s="1" t="s">
        <v>154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V114"/>
  <sheetViews>
    <sheetView workbookViewId="0">
      <pane xSplit="1" ySplit="4" topLeftCell="B77" activePane="bottomRight" state="frozen"/>
      <selection pane="topRight" activeCell="B1" sqref="B1"/>
      <selection pane="bottomLeft" activeCell="A5" sqref="A5"/>
      <selection pane="bottomRight" activeCell="A95" sqref="A95"/>
    </sheetView>
  </sheetViews>
  <sheetFormatPr defaultRowHeight="15.75" x14ac:dyDescent="0.25"/>
  <cols>
    <col min="1" max="1" width="33" style="1" customWidth="1"/>
    <col min="2" max="3" width="15" style="1" bestFit="1" customWidth="1"/>
    <col min="4" max="6" width="14.5703125" style="1" bestFit="1" customWidth="1"/>
    <col min="7" max="7" width="15.28515625" style="1" customWidth="1"/>
    <col min="8" max="17" width="14.5703125" style="1" bestFit="1" customWidth="1"/>
    <col min="18" max="18" width="9.7109375" style="1" bestFit="1" customWidth="1"/>
    <col min="19" max="19" width="11.28515625" style="1" bestFit="1" customWidth="1"/>
    <col min="20" max="16384" width="9.140625" style="1"/>
  </cols>
  <sheetData>
    <row r="2" spans="1:20" ht="25.5" x14ac:dyDescent="0.35">
      <c r="A2" s="14" t="s">
        <v>83</v>
      </c>
      <c r="B2" s="15"/>
      <c r="C2" s="15"/>
      <c r="D2" s="15"/>
      <c r="E2" s="15"/>
      <c r="F2" s="1" t="s">
        <v>54</v>
      </c>
    </row>
    <row r="4" spans="1:20" x14ac:dyDescent="0.25">
      <c r="A4" s="2"/>
      <c r="B4" s="38" t="s">
        <v>29</v>
      </c>
      <c r="C4" s="3" t="s">
        <v>21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</row>
    <row r="5" spans="1:20" x14ac:dyDescent="0.25">
      <c r="A5" s="5" t="s">
        <v>0</v>
      </c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20" s="43" customFormat="1" x14ac:dyDescent="0.25">
      <c r="A6" s="42" t="s">
        <v>1</v>
      </c>
      <c r="B6" s="42">
        <v>610910</v>
      </c>
      <c r="C6" s="42">
        <v>924821</v>
      </c>
      <c r="D6" s="42">
        <v>1580003</v>
      </c>
      <c r="E6" s="42">
        <v>1821002</v>
      </c>
      <c r="F6" s="42">
        <v>3798161</v>
      </c>
      <c r="G6" s="42">
        <v>2883635</v>
      </c>
      <c r="H6" s="42">
        <v>1313637</v>
      </c>
      <c r="I6" s="42">
        <v>2210907</v>
      </c>
      <c r="J6" s="42">
        <v>3575420</v>
      </c>
      <c r="K6" s="42">
        <v>3559639</v>
      </c>
      <c r="L6" s="42">
        <v>3829091</v>
      </c>
      <c r="M6" s="42">
        <v>6828181</v>
      </c>
      <c r="N6" s="42">
        <v>6445452</v>
      </c>
      <c r="O6" s="42">
        <v>6349818</v>
      </c>
      <c r="P6" s="42">
        <v>4012906</v>
      </c>
      <c r="Q6" s="42">
        <v>1604545</v>
      </c>
      <c r="R6" s="42">
        <v>0</v>
      </c>
    </row>
    <row r="7" spans="1:20" s="43" customFormat="1" x14ac:dyDescent="0.25">
      <c r="A7" s="44">
        <v>5</v>
      </c>
      <c r="B7" s="44">
        <f>ROUND(B6/$A$7,0)</f>
        <v>122182</v>
      </c>
      <c r="C7" s="44">
        <f>ROUND(C6/$A$7,0)</f>
        <v>184964</v>
      </c>
      <c r="D7" s="44">
        <f t="shared" ref="D7:R7" si="0">ROUND(D6/$A$7,0)</f>
        <v>316001</v>
      </c>
      <c r="E7" s="44">
        <f t="shared" si="0"/>
        <v>364200</v>
      </c>
      <c r="F7" s="44">
        <f t="shared" si="0"/>
        <v>759632</v>
      </c>
      <c r="G7" s="44">
        <f t="shared" si="0"/>
        <v>576727</v>
      </c>
      <c r="H7" s="44">
        <f t="shared" si="0"/>
        <v>262727</v>
      </c>
      <c r="I7" s="44">
        <f t="shared" si="0"/>
        <v>442181</v>
      </c>
      <c r="J7" s="44">
        <f t="shared" si="0"/>
        <v>715084</v>
      </c>
      <c r="K7" s="44">
        <f t="shared" si="0"/>
        <v>711928</v>
      </c>
      <c r="L7" s="44">
        <f t="shared" si="0"/>
        <v>765818</v>
      </c>
      <c r="M7" s="44">
        <f t="shared" si="0"/>
        <v>1365636</v>
      </c>
      <c r="N7" s="44">
        <f t="shared" si="0"/>
        <v>1289090</v>
      </c>
      <c r="O7" s="44">
        <f t="shared" si="0"/>
        <v>1269964</v>
      </c>
      <c r="P7" s="44">
        <f t="shared" si="0"/>
        <v>802581</v>
      </c>
      <c r="Q7" s="44">
        <f t="shared" si="0"/>
        <v>320909</v>
      </c>
      <c r="R7" s="44">
        <f t="shared" si="0"/>
        <v>0</v>
      </c>
    </row>
    <row r="8" spans="1:20" s="37" customFormat="1" x14ac:dyDescent="0.25">
      <c r="A8" s="45" t="s">
        <v>302</v>
      </c>
      <c r="B8" s="45">
        <f>B7</f>
        <v>122182</v>
      </c>
      <c r="C8" s="45">
        <f t="shared" ref="C8:R8" si="1">C7</f>
        <v>184964</v>
      </c>
      <c r="D8" s="45">
        <f t="shared" si="1"/>
        <v>316001</v>
      </c>
      <c r="E8" s="45">
        <f t="shared" si="1"/>
        <v>364200</v>
      </c>
      <c r="F8" s="45">
        <f t="shared" si="1"/>
        <v>759632</v>
      </c>
      <c r="G8" s="45">
        <f t="shared" si="1"/>
        <v>576727</v>
      </c>
      <c r="H8" s="45">
        <f t="shared" si="1"/>
        <v>262727</v>
      </c>
      <c r="I8" s="45">
        <f t="shared" si="1"/>
        <v>442181</v>
      </c>
      <c r="J8" s="45">
        <f t="shared" si="1"/>
        <v>715084</v>
      </c>
      <c r="K8" s="45">
        <f t="shared" si="1"/>
        <v>711928</v>
      </c>
      <c r="L8" s="45">
        <f t="shared" si="1"/>
        <v>765818</v>
      </c>
      <c r="M8" s="45">
        <f t="shared" si="1"/>
        <v>1365636</v>
      </c>
      <c r="N8" s="45">
        <f t="shared" si="1"/>
        <v>1289090</v>
      </c>
      <c r="O8" s="45">
        <f t="shared" si="1"/>
        <v>1269964</v>
      </c>
      <c r="P8" s="45">
        <f t="shared" si="1"/>
        <v>802581</v>
      </c>
      <c r="Q8" s="45">
        <f t="shared" si="1"/>
        <v>320909</v>
      </c>
      <c r="R8" s="45">
        <f t="shared" si="1"/>
        <v>0</v>
      </c>
      <c r="S8" s="37">
        <f t="shared" ref="S8:S10" si="2">SUM(B8:R8)</f>
        <v>10269624</v>
      </c>
    </row>
    <row r="9" spans="1:20" x14ac:dyDescent="0.25">
      <c r="A9" s="12" t="s">
        <v>303</v>
      </c>
      <c r="B9" s="12">
        <v>2</v>
      </c>
      <c r="C9" s="12">
        <v>2</v>
      </c>
      <c r="D9" s="12">
        <v>2</v>
      </c>
      <c r="E9" s="12">
        <v>2</v>
      </c>
      <c r="F9" s="12">
        <v>2</v>
      </c>
      <c r="G9" s="12">
        <v>2</v>
      </c>
      <c r="H9" s="12">
        <v>2</v>
      </c>
      <c r="I9" s="12">
        <v>2</v>
      </c>
      <c r="J9" s="12">
        <v>2</v>
      </c>
      <c r="K9" s="12">
        <v>2</v>
      </c>
      <c r="L9" s="12">
        <v>2</v>
      </c>
      <c r="M9" s="12">
        <v>3</v>
      </c>
      <c r="N9" s="12">
        <v>3</v>
      </c>
      <c r="O9" s="12">
        <v>3</v>
      </c>
      <c r="P9" s="12">
        <v>2</v>
      </c>
      <c r="Q9" s="12">
        <v>1</v>
      </c>
      <c r="R9" s="2"/>
      <c r="S9" s="37">
        <f t="shared" si="2"/>
        <v>34</v>
      </c>
    </row>
    <row r="10" spans="1:20" x14ac:dyDescent="0.25">
      <c r="A10" s="12" t="s">
        <v>304</v>
      </c>
      <c r="B10" s="46">
        <f t="shared" ref="B10:Q10" si="3">B9*18000</f>
        <v>36000</v>
      </c>
      <c r="C10" s="46">
        <f t="shared" si="3"/>
        <v>36000</v>
      </c>
      <c r="D10" s="46">
        <f t="shared" si="3"/>
        <v>36000</v>
      </c>
      <c r="E10" s="46">
        <f t="shared" si="3"/>
        <v>36000</v>
      </c>
      <c r="F10" s="46">
        <f t="shared" si="3"/>
        <v>36000</v>
      </c>
      <c r="G10" s="46">
        <f t="shared" si="3"/>
        <v>36000</v>
      </c>
      <c r="H10" s="46">
        <f t="shared" si="3"/>
        <v>36000</v>
      </c>
      <c r="I10" s="46">
        <f t="shared" si="3"/>
        <v>36000</v>
      </c>
      <c r="J10" s="46">
        <f t="shared" si="3"/>
        <v>36000</v>
      </c>
      <c r="K10" s="46">
        <f t="shared" si="3"/>
        <v>36000</v>
      </c>
      <c r="L10" s="46">
        <f t="shared" si="3"/>
        <v>36000</v>
      </c>
      <c r="M10" s="46">
        <f t="shared" si="3"/>
        <v>54000</v>
      </c>
      <c r="N10" s="46">
        <f t="shared" si="3"/>
        <v>54000</v>
      </c>
      <c r="O10" s="46">
        <f t="shared" si="3"/>
        <v>54000</v>
      </c>
      <c r="P10" s="46">
        <f t="shared" si="3"/>
        <v>36000</v>
      </c>
      <c r="Q10" s="46">
        <f t="shared" si="3"/>
        <v>18000</v>
      </c>
      <c r="R10" s="2"/>
      <c r="S10" s="37">
        <f t="shared" si="2"/>
        <v>612000</v>
      </c>
      <c r="T10" s="47">
        <f>S10/S8</f>
        <v>5.9593223666221863E-2</v>
      </c>
    </row>
    <row r="11" spans="1:20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20" x14ac:dyDescent="0.25">
      <c r="A12" s="13" t="s">
        <v>75</v>
      </c>
    </row>
    <row r="13" spans="1:20" x14ac:dyDescent="0.25">
      <c r="A13" s="2" t="s">
        <v>85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/>
      <c r="K13" s="2"/>
      <c r="L13" s="2"/>
      <c r="M13" s="2"/>
      <c r="N13" s="2"/>
      <c r="O13" s="2"/>
      <c r="P13" s="2"/>
      <c r="Q13" s="2"/>
      <c r="R13" s="2"/>
    </row>
    <row r="14" spans="1:20" x14ac:dyDescent="0.25">
      <c r="A14" s="2" t="s">
        <v>85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</row>
    <row r="15" spans="1:20" x14ac:dyDescent="0.25">
      <c r="A15" s="2" t="s">
        <v>86</v>
      </c>
      <c r="B15" s="2"/>
      <c r="C15" s="2"/>
      <c r="D15" s="2"/>
      <c r="E15" s="2"/>
      <c r="F15" s="2"/>
      <c r="G15" s="2"/>
      <c r="H15" s="2"/>
      <c r="I15" s="2"/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/>
    </row>
    <row r="16" spans="1:20" x14ac:dyDescent="0.25">
      <c r="A16" s="2" t="s">
        <v>77</v>
      </c>
      <c r="B16" s="2"/>
      <c r="C16" s="2"/>
      <c r="D16" s="2"/>
      <c r="E16" s="2"/>
      <c r="F16" s="2"/>
      <c r="G16" s="2"/>
      <c r="H16" s="2"/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/>
      <c r="R16" s="2"/>
    </row>
    <row r="17" spans="1:20" x14ac:dyDescent="0.25">
      <c r="A17" s="2" t="s">
        <v>282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1</v>
      </c>
      <c r="N17" s="2">
        <v>1</v>
      </c>
      <c r="O17" s="2">
        <v>1</v>
      </c>
      <c r="P17" s="2">
        <v>1</v>
      </c>
      <c r="Q17" s="2"/>
      <c r="R17" s="2"/>
    </row>
    <row r="18" spans="1:20" x14ac:dyDescent="0.25">
      <c r="A18" s="7" t="s">
        <v>303</v>
      </c>
      <c r="B18" s="7">
        <f t="shared" ref="B18:R18" si="4">SUM(B13:B17)</f>
        <v>2</v>
      </c>
      <c r="C18" s="7">
        <f t="shared" si="4"/>
        <v>2</v>
      </c>
      <c r="D18" s="7">
        <f t="shared" si="4"/>
        <v>2</v>
      </c>
      <c r="E18" s="7">
        <f t="shared" si="4"/>
        <v>2</v>
      </c>
      <c r="F18" s="7">
        <f t="shared" si="4"/>
        <v>2</v>
      </c>
      <c r="G18" s="7">
        <f t="shared" si="4"/>
        <v>2</v>
      </c>
      <c r="H18" s="7">
        <f t="shared" si="4"/>
        <v>2</v>
      </c>
      <c r="I18" s="7">
        <f t="shared" si="4"/>
        <v>3</v>
      </c>
      <c r="J18" s="7">
        <f t="shared" si="4"/>
        <v>2</v>
      </c>
      <c r="K18" s="7">
        <f t="shared" si="4"/>
        <v>2</v>
      </c>
      <c r="L18" s="7">
        <f t="shared" si="4"/>
        <v>2</v>
      </c>
      <c r="M18" s="7">
        <f t="shared" si="4"/>
        <v>3</v>
      </c>
      <c r="N18" s="7">
        <f t="shared" si="4"/>
        <v>3</v>
      </c>
      <c r="O18" s="7">
        <f t="shared" si="4"/>
        <v>3</v>
      </c>
      <c r="P18" s="7">
        <f t="shared" si="4"/>
        <v>3</v>
      </c>
      <c r="Q18" s="7">
        <f t="shared" si="4"/>
        <v>1</v>
      </c>
      <c r="R18" s="7">
        <f t="shared" si="4"/>
        <v>0</v>
      </c>
      <c r="S18" s="1">
        <f>SUM(B18:R18)</f>
        <v>36</v>
      </c>
    </row>
    <row r="19" spans="1:20" x14ac:dyDescent="0.25">
      <c r="A19" s="12" t="s">
        <v>304</v>
      </c>
      <c r="B19" s="46">
        <f t="shared" ref="B19:Q19" si="5">B18*18000</f>
        <v>36000</v>
      </c>
      <c r="C19" s="46">
        <f t="shared" si="5"/>
        <v>36000</v>
      </c>
      <c r="D19" s="46">
        <f t="shared" si="5"/>
        <v>36000</v>
      </c>
      <c r="E19" s="46">
        <f t="shared" si="5"/>
        <v>36000</v>
      </c>
      <c r="F19" s="46">
        <f t="shared" si="5"/>
        <v>36000</v>
      </c>
      <c r="G19" s="46">
        <f t="shared" si="5"/>
        <v>36000</v>
      </c>
      <c r="H19" s="46">
        <f t="shared" si="5"/>
        <v>36000</v>
      </c>
      <c r="I19" s="46">
        <f t="shared" si="5"/>
        <v>54000</v>
      </c>
      <c r="J19" s="46">
        <f t="shared" si="5"/>
        <v>36000</v>
      </c>
      <c r="K19" s="46">
        <f t="shared" si="5"/>
        <v>36000</v>
      </c>
      <c r="L19" s="46">
        <f t="shared" si="5"/>
        <v>36000</v>
      </c>
      <c r="M19" s="46">
        <f t="shared" si="5"/>
        <v>54000</v>
      </c>
      <c r="N19" s="46">
        <f t="shared" si="5"/>
        <v>54000</v>
      </c>
      <c r="O19" s="46">
        <f t="shared" si="5"/>
        <v>54000</v>
      </c>
      <c r="P19" s="46">
        <f t="shared" si="5"/>
        <v>54000</v>
      </c>
      <c r="Q19" s="46">
        <f t="shared" si="5"/>
        <v>18000</v>
      </c>
      <c r="R19" s="2"/>
      <c r="S19" s="37">
        <f t="shared" ref="S19" si="6">SUM(B19:R19)</f>
        <v>648000</v>
      </c>
      <c r="T19" s="47">
        <f>S19/S8</f>
        <v>6.3098707411293739E-2</v>
      </c>
    </row>
    <row r="21" spans="1:20" x14ac:dyDescent="0.25">
      <c r="A21" s="5" t="s">
        <v>2</v>
      </c>
      <c r="B21" s="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20" x14ac:dyDescent="0.25">
      <c r="A22" s="2" t="s">
        <v>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20" s="43" customFormat="1" x14ac:dyDescent="0.25">
      <c r="A23" s="42" t="s">
        <v>19</v>
      </c>
      <c r="B23" s="42">
        <v>198182</v>
      </c>
      <c r="C23" s="42">
        <v>687273</v>
      </c>
      <c r="D23" s="42">
        <v>745454</v>
      </c>
      <c r="E23" s="42">
        <v>987273</v>
      </c>
      <c r="F23" s="42">
        <v>554548</v>
      </c>
      <c r="G23" s="42">
        <v>765454</v>
      </c>
      <c r="H23" s="42">
        <v>308183</v>
      </c>
      <c r="I23" s="42">
        <v>616362</v>
      </c>
      <c r="J23" s="42">
        <v>357273</v>
      </c>
      <c r="K23" s="42">
        <v>1861819</v>
      </c>
      <c r="L23" s="42">
        <v>744548</v>
      </c>
      <c r="M23" s="42">
        <v>921819</v>
      </c>
      <c r="N23" s="42">
        <v>648184</v>
      </c>
      <c r="O23" s="42">
        <v>2479454</v>
      </c>
      <c r="P23" s="42">
        <v>639091</v>
      </c>
      <c r="Q23" s="42">
        <v>197273</v>
      </c>
      <c r="R23" s="42">
        <v>0</v>
      </c>
    </row>
    <row r="24" spans="1:20" s="43" customFormat="1" x14ac:dyDescent="0.25">
      <c r="A24" s="42" t="s">
        <v>20</v>
      </c>
      <c r="B24" s="42">
        <v>60000</v>
      </c>
      <c r="C24" s="42">
        <v>995090</v>
      </c>
      <c r="D24" s="42">
        <v>1761819</v>
      </c>
      <c r="E24" s="42">
        <v>2884193</v>
      </c>
      <c r="F24" s="42">
        <v>2755278</v>
      </c>
      <c r="G24" s="42">
        <v>2399999</v>
      </c>
      <c r="H24" s="42">
        <v>3040911</v>
      </c>
      <c r="I24" s="42">
        <v>739999</v>
      </c>
      <c r="J24" s="42">
        <v>935453</v>
      </c>
      <c r="K24" s="42">
        <v>355455</v>
      </c>
      <c r="L24" s="42">
        <v>1211817</v>
      </c>
      <c r="M24" s="42">
        <v>2787273</v>
      </c>
      <c r="N24" s="42">
        <v>2611815</v>
      </c>
      <c r="O24" s="42">
        <v>2179095</v>
      </c>
      <c r="P24" s="42">
        <v>2608635</v>
      </c>
      <c r="Q24" s="42">
        <v>914545</v>
      </c>
      <c r="R24" s="42">
        <v>0</v>
      </c>
    </row>
    <row r="25" spans="1:20" s="43" customFormat="1" x14ac:dyDescent="0.25">
      <c r="A25" s="44">
        <v>2</v>
      </c>
      <c r="B25" s="44">
        <f>ROUND((B23+B24)/$A$25,0)</f>
        <v>129091</v>
      </c>
      <c r="C25" s="44">
        <f>ROUND((C23+C24)/$A$25,0)</f>
        <v>841182</v>
      </c>
      <c r="D25" s="44">
        <f t="shared" ref="D25:R25" si="7">ROUND((D23+D24)/$A$25,0)</f>
        <v>1253637</v>
      </c>
      <c r="E25" s="44">
        <f t="shared" si="7"/>
        <v>1935733</v>
      </c>
      <c r="F25" s="44">
        <f t="shared" si="7"/>
        <v>1654913</v>
      </c>
      <c r="G25" s="44">
        <f t="shared" si="7"/>
        <v>1582727</v>
      </c>
      <c r="H25" s="44">
        <f t="shared" si="7"/>
        <v>1674547</v>
      </c>
      <c r="I25" s="44">
        <f t="shared" si="7"/>
        <v>678181</v>
      </c>
      <c r="J25" s="44">
        <f t="shared" si="7"/>
        <v>646363</v>
      </c>
      <c r="K25" s="44">
        <f t="shared" si="7"/>
        <v>1108637</v>
      </c>
      <c r="L25" s="44">
        <f t="shared" si="7"/>
        <v>978183</v>
      </c>
      <c r="M25" s="44">
        <f t="shared" si="7"/>
        <v>1854546</v>
      </c>
      <c r="N25" s="44">
        <f t="shared" si="7"/>
        <v>1630000</v>
      </c>
      <c r="O25" s="44">
        <f t="shared" si="7"/>
        <v>2329275</v>
      </c>
      <c r="P25" s="44">
        <f t="shared" si="7"/>
        <v>1623863</v>
      </c>
      <c r="Q25" s="44">
        <f t="shared" si="7"/>
        <v>555909</v>
      </c>
      <c r="R25" s="44">
        <f t="shared" si="7"/>
        <v>0</v>
      </c>
    </row>
    <row r="26" spans="1:20" s="37" customFormat="1" x14ac:dyDescent="0.25">
      <c r="A26" s="45" t="s">
        <v>302</v>
      </c>
      <c r="B26" s="45">
        <f>B25</f>
        <v>129091</v>
      </c>
      <c r="C26" s="45">
        <f t="shared" ref="C26:R26" si="8">C25</f>
        <v>841182</v>
      </c>
      <c r="D26" s="45">
        <f t="shared" si="8"/>
        <v>1253637</v>
      </c>
      <c r="E26" s="45">
        <f t="shared" si="8"/>
        <v>1935733</v>
      </c>
      <c r="F26" s="45">
        <f t="shared" si="8"/>
        <v>1654913</v>
      </c>
      <c r="G26" s="45">
        <f t="shared" si="8"/>
        <v>1582727</v>
      </c>
      <c r="H26" s="45">
        <f t="shared" si="8"/>
        <v>1674547</v>
      </c>
      <c r="I26" s="45">
        <f t="shared" si="8"/>
        <v>678181</v>
      </c>
      <c r="J26" s="45">
        <f t="shared" si="8"/>
        <v>646363</v>
      </c>
      <c r="K26" s="45">
        <f t="shared" si="8"/>
        <v>1108637</v>
      </c>
      <c r="L26" s="45">
        <f t="shared" si="8"/>
        <v>978183</v>
      </c>
      <c r="M26" s="45">
        <f t="shared" si="8"/>
        <v>1854546</v>
      </c>
      <c r="N26" s="45">
        <f t="shared" si="8"/>
        <v>1630000</v>
      </c>
      <c r="O26" s="45">
        <f t="shared" si="8"/>
        <v>2329275</v>
      </c>
      <c r="P26" s="45">
        <f t="shared" si="8"/>
        <v>1623863</v>
      </c>
      <c r="Q26" s="45">
        <f t="shared" si="8"/>
        <v>555909</v>
      </c>
      <c r="R26" s="45">
        <f t="shared" si="8"/>
        <v>0</v>
      </c>
      <c r="S26" s="37">
        <f>SUM(B26:R26)</f>
        <v>20476787</v>
      </c>
    </row>
    <row r="27" spans="1:20" x14ac:dyDescent="0.25">
      <c r="A27" s="12" t="s">
        <v>303</v>
      </c>
      <c r="B27" s="12">
        <v>2</v>
      </c>
      <c r="C27" s="12">
        <v>2</v>
      </c>
      <c r="D27" s="12">
        <v>3</v>
      </c>
      <c r="E27" s="12">
        <v>3</v>
      </c>
      <c r="F27" s="12">
        <v>3</v>
      </c>
      <c r="G27" s="12">
        <v>3</v>
      </c>
      <c r="H27" s="12">
        <v>3</v>
      </c>
      <c r="I27" s="12">
        <v>2</v>
      </c>
      <c r="J27" s="12">
        <v>2</v>
      </c>
      <c r="K27" s="12">
        <v>3</v>
      </c>
      <c r="L27" s="12">
        <v>2</v>
      </c>
      <c r="M27" s="12">
        <v>3</v>
      </c>
      <c r="N27" s="12">
        <v>3</v>
      </c>
      <c r="O27" s="12">
        <v>3</v>
      </c>
      <c r="P27" s="12">
        <v>3</v>
      </c>
      <c r="Q27" s="12">
        <v>2</v>
      </c>
      <c r="R27" s="2"/>
      <c r="S27" s="37">
        <f t="shared" ref="S27:S28" si="9">SUM(B27:R27)</f>
        <v>42</v>
      </c>
    </row>
    <row r="28" spans="1:20" x14ac:dyDescent="0.25">
      <c r="A28" s="12" t="s">
        <v>304</v>
      </c>
      <c r="B28" s="46">
        <f t="shared" ref="B28:Q28" si="10">B27*18000</f>
        <v>36000</v>
      </c>
      <c r="C28" s="46">
        <f t="shared" si="10"/>
        <v>36000</v>
      </c>
      <c r="D28" s="46">
        <f t="shared" si="10"/>
        <v>54000</v>
      </c>
      <c r="E28" s="46">
        <f t="shared" si="10"/>
        <v>54000</v>
      </c>
      <c r="F28" s="46">
        <f t="shared" si="10"/>
        <v>54000</v>
      </c>
      <c r="G28" s="46">
        <f t="shared" si="10"/>
        <v>54000</v>
      </c>
      <c r="H28" s="46">
        <f t="shared" si="10"/>
        <v>54000</v>
      </c>
      <c r="I28" s="46">
        <f t="shared" si="10"/>
        <v>36000</v>
      </c>
      <c r="J28" s="46">
        <f t="shared" si="10"/>
        <v>36000</v>
      </c>
      <c r="K28" s="46">
        <f t="shared" si="10"/>
        <v>54000</v>
      </c>
      <c r="L28" s="46">
        <f t="shared" si="10"/>
        <v>36000</v>
      </c>
      <c r="M28" s="46">
        <f t="shared" si="10"/>
        <v>54000</v>
      </c>
      <c r="N28" s="46">
        <f t="shared" si="10"/>
        <v>54000</v>
      </c>
      <c r="O28" s="46">
        <f t="shared" si="10"/>
        <v>54000</v>
      </c>
      <c r="P28" s="46">
        <f t="shared" si="10"/>
        <v>54000</v>
      </c>
      <c r="Q28" s="46">
        <f t="shared" si="10"/>
        <v>36000</v>
      </c>
      <c r="R28" s="2"/>
      <c r="S28" s="37">
        <f t="shared" si="9"/>
        <v>756000</v>
      </c>
      <c r="T28" s="47">
        <f>S28/S26</f>
        <v>3.6919854662745673E-2</v>
      </c>
    </row>
    <row r="29" spans="1:2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20" x14ac:dyDescent="0.25">
      <c r="A30" s="13" t="s">
        <v>75</v>
      </c>
    </row>
    <row r="31" spans="1:20" x14ac:dyDescent="0.25">
      <c r="A31" s="2" t="s">
        <v>85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/>
      <c r="K31" s="2"/>
      <c r="L31" s="2"/>
      <c r="M31" s="2"/>
      <c r="N31" s="2"/>
      <c r="O31" s="2"/>
      <c r="P31" s="2"/>
      <c r="Q31" s="2"/>
      <c r="R31" s="2"/>
    </row>
    <row r="32" spans="1:20" x14ac:dyDescent="0.25">
      <c r="A32" s="2" t="s">
        <v>85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/>
      <c r="K32" s="2"/>
      <c r="L32" s="2"/>
      <c r="M32" s="2"/>
      <c r="N32" s="2"/>
      <c r="O32" s="2"/>
      <c r="P32" s="2"/>
      <c r="Q32" s="2"/>
      <c r="R32" s="2"/>
    </row>
    <row r="33" spans="1:19" x14ac:dyDescent="0.25">
      <c r="A33" s="2" t="s">
        <v>116</v>
      </c>
      <c r="B33" s="2"/>
      <c r="C33" s="2"/>
      <c r="D33" s="2"/>
      <c r="E33" s="2"/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/>
      <c r="O33" s="2"/>
      <c r="P33" s="2"/>
      <c r="Q33" s="2"/>
      <c r="R33" s="2"/>
    </row>
    <row r="34" spans="1:19" x14ac:dyDescent="0.25">
      <c r="A34" s="2" t="s">
        <v>86</v>
      </c>
      <c r="B34" s="2"/>
      <c r="C34" s="2"/>
      <c r="D34" s="2"/>
      <c r="E34" s="2"/>
      <c r="F34" s="2"/>
      <c r="G34" s="2"/>
      <c r="H34" s="2"/>
      <c r="I34" s="2"/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/>
    </row>
    <row r="35" spans="1:19" x14ac:dyDescent="0.25">
      <c r="A35" s="2" t="s">
        <v>77</v>
      </c>
      <c r="B35" s="2"/>
      <c r="C35" s="2"/>
      <c r="D35" s="2"/>
      <c r="E35" s="2"/>
      <c r="F35" s="2"/>
      <c r="G35" s="2"/>
      <c r="H35" s="2"/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/>
      <c r="R35" s="2"/>
    </row>
    <row r="36" spans="1:19" x14ac:dyDescent="0.25">
      <c r="A36" s="2" t="s">
        <v>117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>
        <v>1</v>
      </c>
      <c r="O36" s="2">
        <v>1</v>
      </c>
      <c r="P36" s="2">
        <v>1</v>
      </c>
      <c r="Q36" s="2">
        <v>1</v>
      </c>
      <c r="R36" s="2"/>
    </row>
    <row r="37" spans="1:19" x14ac:dyDescent="0.25">
      <c r="A37" s="2" t="s">
        <v>66</v>
      </c>
      <c r="B37" s="2">
        <f t="shared" ref="B37:R37" si="11">SUM(B31:B36)</f>
        <v>2</v>
      </c>
      <c r="C37" s="2">
        <f t="shared" si="11"/>
        <v>2</v>
      </c>
      <c r="D37" s="2">
        <f t="shared" si="11"/>
        <v>2</v>
      </c>
      <c r="E37" s="2">
        <f t="shared" si="11"/>
        <v>2</v>
      </c>
      <c r="F37" s="2">
        <f t="shared" si="11"/>
        <v>3</v>
      </c>
      <c r="G37" s="2">
        <f t="shared" si="11"/>
        <v>3</v>
      </c>
      <c r="H37" s="2">
        <f t="shared" si="11"/>
        <v>3</v>
      </c>
      <c r="I37" s="2">
        <f t="shared" si="11"/>
        <v>4</v>
      </c>
      <c r="J37" s="2">
        <f t="shared" si="11"/>
        <v>3</v>
      </c>
      <c r="K37" s="2">
        <f t="shared" si="11"/>
        <v>3</v>
      </c>
      <c r="L37" s="2">
        <f t="shared" si="11"/>
        <v>3</v>
      </c>
      <c r="M37" s="2">
        <f t="shared" si="11"/>
        <v>3</v>
      </c>
      <c r="N37" s="2">
        <f t="shared" si="11"/>
        <v>3</v>
      </c>
      <c r="O37" s="2">
        <f t="shared" si="11"/>
        <v>3</v>
      </c>
      <c r="P37" s="2">
        <f t="shared" si="11"/>
        <v>3</v>
      </c>
      <c r="Q37" s="2">
        <f t="shared" si="11"/>
        <v>2</v>
      </c>
      <c r="R37" s="2">
        <f t="shared" si="11"/>
        <v>0</v>
      </c>
      <c r="S37" s="1">
        <f>SUM(B37:R37)</f>
        <v>44</v>
      </c>
    </row>
    <row r="51" spans="1:14" x14ac:dyDescent="0.25">
      <c r="A51" s="2" t="s">
        <v>72</v>
      </c>
      <c r="B51" s="2"/>
      <c r="C51" s="2" t="s">
        <v>26</v>
      </c>
      <c r="D51" s="2" t="s">
        <v>27</v>
      </c>
    </row>
    <row r="52" spans="1:14" x14ac:dyDescent="0.25">
      <c r="A52" s="3" t="s">
        <v>0</v>
      </c>
      <c r="B52" s="2"/>
      <c r="C52" s="2"/>
      <c r="D52" s="2"/>
    </row>
    <row r="53" spans="1:14" x14ac:dyDescent="0.25">
      <c r="A53" s="2" t="s">
        <v>85</v>
      </c>
      <c r="B53" s="2" t="s">
        <v>67</v>
      </c>
      <c r="C53" s="2">
        <v>1</v>
      </c>
      <c r="D53" s="2">
        <f>C53*8</f>
        <v>8</v>
      </c>
    </row>
    <row r="54" spans="1:14" x14ac:dyDescent="0.25">
      <c r="A54" s="2" t="s">
        <v>85</v>
      </c>
      <c r="B54" s="2" t="s">
        <v>67</v>
      </c>
      <c r="C54" s="2">
        <v>1</v>
      </c>
      <c r="D54" s="2">
        <f t="shared" ref="D54:D56" si="12">C54*8</f>
        <v>8</v>
      </c>
    </row>
    <row r="55" spans="1:14" x14ac:dyDescent="0.25">
      <c r="A55" s="2" t="s">
        <v>86</v>
      </c>
      <c r="B55" s="2" t="s">
        <v>67</v>
      </c>
      <c r="C55" s="2">
        <v>1</v>
      </c>
      <c r="D55" s="2">
        <f t="shared" si="12"/>
        <v>8</v>
      </c>
      <c r="F55" s="38" t="s">
        <v>114</v>
      </c>
      <c r="G55" s="3" t="s">
        <v>67</v>
      </c>
      <c r="H55" s="3" t="s">
        <v>68</v>
      </c>
      <c r="I55" s="3" t="s">
        <v>90</v>
      </c>
    </row>
    <row r="56" spans="1:14" x14ac:dyDescent="0.25">
      <c r="A56" s="2" t="s">
        <v>77</v>
      </c>
      <c r="B56" s="2" t="s">
        <v>67</v>
      </c>
      <c r="C56" s="2">
        <v>1</v>
      </c>
      <c r="D56" s="2">
        <f t="shared" si="12"/>
        <v>8</v>
      </c>
      <c r="F56" s="11">
        <f>SUM(G56:I56)</f>
        <v>7</v>
      </c>
      <c r="G56" s="2">
        <v>5</v>
      </c>
      <c r="H56" s="2">
        <v>1</v>
      </c>
      <c r="I56" s="2">
        <v>1</v>
      </c>
    </row>
    <row r="57" spans="1:14" x14ac:dyDescent="0.25">
      <c r="A57" s="2" t="s">
        <v>282</v>
      </c>
      <c r="B57" s="2" t="s">
        <v>68</v>
      </c>
      <c r="C57" s="2">
        <v>1</v>
      </c>
      <c r="D57" s="2">
        <f>21-17</f>
        <v>4</v>
      </c>
    </row>
    <row r="58" spans="1:14" x14ac:dyDescent="0.25">
      <c r="A58" s="2" t="s">
        <v>101</v>
      </c>
      <c r="B58" s="2" t="s">
        <v>67</v>
      </c>
      <c r="C58" s="2">
        <v>1</v>
      </c>
      <c r="D58" s="2"/>
    </row>
    <row r="59" spans="1:14" x14ac:dyDescent="0.25">
      <c r="A59" s="2" t="s">
        <v>88</v>
      </c>
      <c r="B59" s="3"/>
      <c r="C59" s="2">
        <v>1</v>
      </c>
      <c r="D59" s="2"/>
      <c r="F59" s="38" t="s">
        <v>89</v>
      </c>
      <c r="G59" s="3" t="s">
        <v>67</v>
      </c>
      <c r="H59" s="3" t="s">
        <v>68</v>
      </c>
      <c r="I59" s="3" t="s">
        <v>90</v>
      </c>
      <c r="K59" s="38" t="s">
        <v>91</v>
      </c>
      <c r="L59" s="3" t="s">
        <v>67</v>
      </c>
      <c r="M59" s="3" t="s">
        <v>68</v>
      </c>
      <c r="N59" s="3" t="s">
        <v>90</v>
      </c>
    </row>
    <row r="60" spans="1:14" x14ac:dyDescent="0.25">
      <c r="A60" s="3" t="s">
        <v>66</v>
      </c>
      <c r="B60" s="3"/>
      <c r="C60" s="3">
        <f>SUM(C53:C59)</f>
        <v>7</v>
      </c>
      <c r="D60" s="3">
        <f>SUM(D53:D59)</f>
        <v>36</v>
      </c>
      <c r="F60" s="11">
        <f>SUM(G60:I60)</f>
        <v>5</v>
      </c>
      <c r="G60" s="2">
        <v>3</v>
      </c>
      <c r="H60" s="2">
        <v>1</v>
      </c>
      <c r="I60" s="2">
        <v>1</v>
      </c>
      <c r="K60" s="11">
        <f>F56-F60</f>
        <v>2</v>
      </c>
      <c r="L60" s="11">
        <f t="shared" ref="L60:N60" si="13">G56-G60</f>
        <v>2</v>
      </c>
      <c r="M60" s="11"/>
      <c r="N60" s="11">
        <f t="shared" si="13"/>
        <v>0</v>
      </c>
    </row>
    <row r="61" spans="1:14" x14ac:dyDescent="0.25">
      <c r="A61" s="3" t="s">
        <v>2</v>
      </c>
      <c r="B61" s="2"/>
      <c r="C61" s="2"/>
      <c r="D61" s="2"/>
    </row>
    <row r="62" spans="1:14" x14ac:dyDescent="0.25">
      <c r="A62" s="2" t="s">
        <v>85</v>
      </c>
      <c r="B62" s="2" t="s">
        <v>67</v>
      </c>
      <c r="C62" s="2">
        <v>1</v>
      </c>
      <c r="D62" s="2">
        <f>C62*8</f>
        <v>8</v>
      </c>
      <c r="K62" s="1" t="s">
        <v>305</v>
      </c>
    </row>
    <row r="63" spans="1:14" x14ac:dyDescent="0.25">
      <c r="A63" s="2" t="s">
        <v>85</v>
      </c>
      <c r="B63" s="2" t="s">
        <v>67</v>
      </c>
      <c r="C63" s="2">
        <v>1</v>
      </c>
      <c r="D63" s="2">
        <f t="shared" ref="D63:D66" si="14">C63*8</f>
        <v>8</v>
      </c>
    </row>
    <row r="64" spans="1:14" x14ac:dyDescent="0.25">
      <c r="A64" s="2" t="s">
        <v>306</v>
      </c>
      <c r="B64" s="2" t="s">
        <v>67</v>
      </c>
      <c r="C64" s="2">
        <v>1</v>
      </c>
      <c r="D64" s="2">
        <f t="shared" si="14"/>
        <v>8</v>
      </c>
    </row>
    <row r="65" spans="1:22" x14ac:dyDescent="0.25">
      <c r="A65" s="2" t="s">
        <v>86</v>
      </c>
      <c r="B65" s="2" t="s">
        <v>67</v>
      </c>
      <c r="C65" s="2">
        <v>1</v>
      </c>
      <c r="D65" s="2">
        <f t="shared" si="14"/>
        <v>8</v>
      </c>
    </row>
    <row r="66" spans="1:22" x14ac:dyDescent="0.25">
      <c r="A66" s="2" t="s">
        <v>77</v>
      </c>
      <c r="B66" s="2" t="s">
        <v>67</v>
      </c>
      <c r="C66" s="2">
        <v>1</v>
      </c>
      <c r="D66" s="2">
        <f t="shared" si="14"/>
        <v>8</v>
      </c>
    </row>
    <row r="67" spans="1:22" x14ac:dyDescent="0.25">
      <c r="A67" s="2" t="s">
        <v>117</v>
      </c>
      <c r="B67" s="2" t="s">
        <v>68</v>
      </c>
      <c r="C67" s="2">
        <v>1</v>
      </c>
      <c r="D67" s="2">
        <f>22-18</f>
        <v>4</v>
      </c>
    </row>
    <row r="68" spans="1:22" x14ac:dyDescent="0.25">
      <c r="A68" s="2" t="s">
        <v>88</v>
      </c>
      <c r="B68" s="2"/>
      <c r="C68" s="2">
        <v>1</v>
      </c>
      <c r="D68" s="2"/>
    </row>
    <row r="69" spans="1:22" x14ac:dyDescent="0.25">
      <c r="A69" s="3" t="s">
        <v>66</v>
      </c>
      <c r="B69" s="3"/>
      <c r="C69" s="3">
        <f>SUM(C62:C68)</f>
        <v>7</v>
      </c>
      <c r="D69" s="3">
        <f>SUM(D62:D67)</f>
        <v>44</v>
      </c>
    </row>
    <row r="71" spans="1:22" x14ac:dyDescent="0.25">
      <c r="A71" s="2" t="s">
        <v>22</v>
      </c>
      <c r="B71" s="2"/>
      <c r="C71" s="2"/>
      <c r="E71" s="1" t="s">
        <v>64</v>
      </c>
      <c r="F71" s="1" t="s">
        <v>70</v>
      </c>
    </row>
    <row r="72" spans="1:22" x14ac:dyDescent="0.25">
      <c r="A72" s="3" t="s">
        <v>0</v>
      </c>
      <c r="B72" s="2"/>
      <c r="C72" s="2"/>
      <c r="E72" s="1" t="s">
        <v>69</v>
      </c>
      <c r="F72" s="1" t="s">
        <v>71</v>
      </c>
    </row>
    <row r="73" spans="1:22" x14ac:dyDescent="0.25">
      <c r="A73" s="11" t="s">
        <v>47</v>
      </c>
      <c r="B73" s="2">
        <f>22-6</f>
        <v>16</v>
      </c>
      <c r="C73" s="2" t="s">
        <v>24</v>
      </c>
      <c r="E73" s="1">
        <f>D60</f>
        <v>36</v>
      </c>
      <c r="F73" s="1" t="s">
        <v>24</v>
      </c>
      <c r="G73" s="1">
        <f>E73/B73</f>
        <v>2.25</v>
      </c>
      <c r="H73" s="1" t="s">
        <v>76</v>
      </c>
    </row>
    <row r="74" spans="1:22" x14ac:dyDescent="0.25">
      <c r="A74" s="3" t="s">
        <v>2</v>
      </c>
      <c r="B74" s="2"/>
      <c r="C74" s="2"/>
    </row>
    <row r="75" spans="1:22" x14ac:dyDescent="0.25">
      <c r="A75" s="11" t="s">
        <v>47</v>
      </c>
      <c r="B75" s="2">
        <f>22-6</f>
        <v>16</v>
      </c>
      <c r="C75" s="2" t="s">
        <v>24</v>
      </c>
      <c r="E75" s="1">
        <f>D69</f>
        <v>44</v>
      </c>
      <c r="F75" s="1" t="str">
        <f>F73</f>
        <v>H</v>
      </c>
      <c r="G75" s="1">
        <f>E75/B75</f>
        <v>2.75</v>
      </c>
      <c r="H75" s="1" t="s">
        <v>76</v>
      </c>
    </row>
    <row r="77" spans="1:22" customFormat="1" x14ac:dyDescent="0.25">
      <c r="A77" s="48" t="s">
        <v>307</v>
      </c>
      <c r="B77" s="1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</row>
    <row r="78" spans="1:22" customFormat="1" x14ac:dyDescent="0.25">
      <c r="A78" s="48"/>
      <c r="B78" s="1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</row>
    <row r="79" spans="1:22" customFormat="1" x14ac:dyDescent="0.25">
      <c r="A79" s="50" t="s">
        <v>308</v>
      </c>
      <c r="B79" s="51" t="s">
        <v>309</v>
      </c>
      <c r="C79" s="52" t="s">
        <v>310</v>
      </c>
      <c r="D79" s="51" t="s">
        <v>311</v>
      </c>
      <c r="E79" s="51" t="s">
        <v>312</v>
      </c>
      <c r="F79" s="53" t="s">
        <v>313</v>
      </c>
      <c r="G79" s="51" t="s">
        <v>314</v>
      </c>
      <c r="H79" s="1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</row>
    <row r="80" spans="1:22" customFormat="1" x14ac:dyDescent="0.25">
      <c r="A80" s="50" t="s">
        <v>315</v>
      </c>
      <c r="B80" s="51">
        <v>1</v>
      </c>
      <c r="C80" s="51">
        <v>1</v>
      </c>
      <c r="D80" s="51">
        <v>1</v>
      </c>
      <c r="E80" s="51">
        <v>1</v>
      </c>
      <c r="F80" s="51">
        <v>1</v>
      </c>
      <c r="G80" s="51">
        <v>1</v>
      </c>
      <c r="H80" s="1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</row>
    <row r="81" spans="1:22" customFormat="1" x14ac:dyDescent="0.25">
      <c r="A81" s="50" t="s">
        <v>316</v>
      </c>
      <c r="B81" s="51">
        <v>1</v>
      </c>
      <c r="C81" s="51">
        <v>1</v>
      </c>
      <c r="D81" s="51">
        <v>1</v>
      </c>
      <c r="E81" s="51">
        <v>1</v>
      </c>
      <c r="F81" s="51">
        <v>1</v>
      </c>
      <c r="G81" s="51">
        <v>2</v>
      </c>
      <c r="H81" s="1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</row>
    <row r="82" spans="1:22" customFormat="1" x14ac:dyDescent="0.25">
      <c r="A82" s="50" t="s">
        <v>317</v>
      </c>
      <c r="B82" s="51">
        <v>1</v>
      </c>
      <c r="C82" s="51">
        <v>1</v>
      </c>
      <c r="D82" s="51">
        <v>1</v>
      </c>
      <c r="E82" s="51">
        <v>2</v>
      </c>
      <c r="F82" s="51">
        <v>2</v>
      </c>
      <c r="G82" s="51">
        <v>2</v>
      </c>
      <c r="H82" s="1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</row>
    <row r="83" spans="1:22" customFormat="1" x14ac:dyDescent="0.25">
      <c r="A83" s="50" t="s">
        <v>318</v>
      </c>
      <c r="B83" s="51">
        <v>0</v>
      </c>
      <c r="C83" s="51">
        <v>1</v>
      </c>
      <c r="D83" s="51">
        <v>1</v>
      </c>
      <c r="E83" s="51">
        <v>1</v>
      </c>
      <c r="F83" s="51">
        <v>1</v>
      </c>
      <c r="G83" s="51">
        <v>1</v>
      </c>
      <c r="H83" s="1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</row>
    <row r="84" spans="1:22" customFormat="1" x14ac:dyDescent="0.25">
      <c r="A84" s="50" t="s">
        <v>319</v>
      </c>
      <c r="B84" s="51">
        <f t="shared" ref="B84:G84" si="15">SUM(B80:B83)</f>
        <v>3</v>
      </c>
      <c r="C84" s="51">
        <f t="shared" si="15"/>
        <v>4</v>
      </c>
      <c r="D84" s="51">
        <f t="shared" si="15"/>
        <v>4</v>
      </c>
      <c r="E84" s="51">
        <f t="shared" si="15"/>
        <v>5</v>
      </c>
      <c r="F84" s="51">
        <f t="shared" si="15"/>
        <v>5</v>
      </c>
      <c r="G84" s="51">
        <f t="shared" si="15"/>
        <v>6</v>
      </c>
      <c r="H84" s="1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</row>
    <row r="85" spans="1:22" customFormat="1" x14ac:dyDescent="0.25">
      <c r="B85" s="49"/>
      <c r="C85" s="49"/>
      <c r="D85" s="49"/>
      <c r="E85" s="49"/>
      <c r="F85" s="49"/>
      <c r="G85" s="49"/>
      <c r="H85" s="1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</row>
    <row r="86" spans="1:22" customFormat="1" x14ac:dyDescent="0.25">
      <c r="A86" s="50" t="s">
        <v>320</v>
      </c>
      <c r="B86" s="54">
        <f>22-6</f>
        <v>16</v>
      </c>
      <c r="C86" s="54">
        <f t="shared" ref="C86:G86" si="16">22-6</f>
        <v>16</v>
      </c>
      <c r="D86" s="54">
        <f t="shared" si="16"/>
        <v>16</v>
      </c>
      <c r="E86" s="54">
        <f t="shared" si="16"/>
        <v>16</v>
      </c>
      <c r="F86" s="54">
        <f t="shared" si="16"/>
        <v>16</v>
      </c>
      <c r="G86" s="54">
        <f t="shared" si="16"/>
        <v>16</v>
      </c>
      <c r="H86" s="1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</row>
    <row r="87" spans="1:22" customFormat="1" x14ac:dyDescent="0.25">
      <c r="A87" s="50" t="s">
        <v>321</v>
      </c>
      <c r="B87" s="54">
        <v>2</v>
      </c>
      <c r="C87" s="54">
        <v>2</v>
      </c>
      <c r="D87" s="54">
        <v>2</v>
      </c>
      <c r="E87" s="54">
        <v>2</v>
      </c>
      <c r="F87" s="54">
        <v>2</v>
      </c>
      <c r="G87" s="54">
        <v>2</v>
      </c>
      <c r="H87" s="1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</row>
    <row r="88" spans="1:22" customFormat="1" x14ac:dyDescent="0.25">
      <c r="A88" s="50" t="s">
        <v>322</v>
      </c>
      <c r="B88" s="55">
        <f t="shared" ref="B88:G88" si="17">SUM(B86+B87)/8</f>
        <v>2.25</v>
      </c>
      <c r="C88" s="55">
        <f t="shared" si="17"/>
        <v>2.25</v>
      </c>
      <c r="D88" s="55">
        <f t="shared" si="17"/>
        <v>2.25</v>
      </c>
      <c r="E88" s="55">
        <f t="shared" si="17"/>
        <v>2.25</v>
      </c>
      <c r="F88" s="55">
        <f t="shared" si="17"/>
        <v>2.25</v>
      </c>
      <c r="G88" s="55">
        <f t="shared" si="17"/>
        <v>2.25</v>
      </c>
      <c r="H88" s="1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</row>
    <row r="89" spans="1:22" customFormat="1" x14ac:dyDescent="0.25">
      <c r="A89" s="50" t="s">
        <v>323</v>
      </c>
      <c r="B89" s="55">
        <f>SUM(B84*B88)</f>
        <v>6.75</v>
      </c>
      <c r="C89" s="55">
        <f t="shared" ref="C89:G89" si="18">SUM(C84*C88)</f>
        <v>9</v>
      </c>
      <c r="D89" s="55">
        <f t="shared" si="18"/>
        <v>9</v>
      </c>
      <c r="E89" s="55">
        <f t="shared" si="18"/>
        <v>11.25</v>
      </c>
      <c r="F89" s="55">
        <f t="shared" si="18"/>
        <v>11.25</v>
      </c>
      <c r="G89" s="55">
        <f t="shared" si="18"/>
        <v>13.5</v>
      </c>
      <c r="H89" s="1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</row>
    <row r="90" spans="1:22" customFormat="1" x14ac:dyDescent="0.25">
      <c r="B90" s="49"/>
      <c r="C90" s="49"/>
      <c r="D90" s="49"/>
      <c r="E90" s="49"/>
      <c r="F90" s="49"/>
      <c r="G90" s="49"/>
      <c r="H90" s="1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</row>
    <row r="91" spans="1:22" customFormat="1" x14ac:dyDescent="0.25">
      <c r="A91" s="50" t="s">
        <v>324</v>
      </c>
      <c r="B91" s="55">
        <f>SUM(B89*7)/6</f>
        <v>7.875</v>
      </c>
      <c r="C91" s="55">
        <f t="shared" ref="C91:G91" si="19">SUM(C89*7)/6</f>
        <v>10.5</v>
      </c>
      <c r="D91" s="55">
        <f t="shared" si="19"/>
        <v>10.5</v>
      </c>
      <c r="E91" s="55">
        <f t="shared" si="19"/>
        <v>13.125</v>
      </c>
      <c r="F91" s="55">
        <f t="shared" si="19"/>
        <v>13.125</v>
      </c>
      <c r="G91" s="55">
        <f t="shared" si="19"/>
        <v>15.75</v>
      </c>
      <c r="H91" s="1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</row>
    <row r="92" spans="1:22" x14ac:dyDescent="0.25">
      <c r="R92" s="37"/>
    </row>
    <row r="93" spans="1:22" x14ac:dyDescent="0.25">
      <c r="F93" s="1" t="s">
        <v>106</v>
      </c>
      <c r="G93" s="1" t="s">
        <v>95</v>
      </c>
      <c r="H93" s="1" t="s">
        <v>99</v>
      </c>
    </row>
    <row r="94" spans="1:22" ht="25.5" x14ac:dyDescent="0.35">
      <c r="A94" s="14" t="s">
        <v>84</v>
      </c>
      <c r="B94" s="15"/>
      <c r="C94" s="15"/>
      <c r="D94" s="15"/>
      <c r="E94" s="15"/>
      <c r="F94" s="1" t="s">
        <v>104</v>
      </c>
      <c r="G94" s="1" t="s">
        <v>105</v>
      </c>
      <c r="H94" s="1" t="s">
        <v>100</v>
      </c>
    </row>
    <row r="96" spans="1:22" x14ac:dyDescent="0.25">
      <c r="A96" s="38" t="s">
        <v>80</v>
      </c>
      <c r="B96" s="38" t="s">
        <v>81</v>
      </c>
      <c r="C96" s="38" t="s">
        <v>82</v>
      </c>
      <c r="D96" s="38" t="s">
        <v>66</v>
      </c>
    </row>
    <row r="97" spans="1:5" x14ac:dyDescent="0.25">
      <c r="A97" s="3" t="s">
        <v>0</v>
      </c>
      <c r="B97" s="2"/>
      <c r="C97" s="2"/>
      <c r="D97" s="38"/>
    </row>
    <row r="98" spans="1:5" x14ac:dyDescent="0.25">
      <c r="A98" s="2" t="s">
        <v>143</v>
      </c>
      <c r="B98" s="2">
        <v>259</v>
      </c>
      <c r="C98" s="2">
        <v>59</v>
      </c>
      <c r="D98" s="38">
        <f t="shared" ref="D98" si="20">B98+C98</f>
        <v>318</v>
      </c>
    </row>
    <row r="99" spans="1:5" x14ac:dyDescent="0.25">
      <c r="A99" s="2" t="s">
        <v>296</v>
      </c>
      <c r="B99" s="2">
        <v>29</v>
      </c>
      <c r="C99" s="2">
        <v>8</v>
      </c>
      <c r="D99" s="38">
        <f>B99+C99</f>
        <v>37</v>
      </c>
      <c r="E99" s="1">
        <f>D99+D100+D101+D102+D103</f>
        <v>423</v>
      </c>
    </row>
    <row r="100" spans="1:5" x14ac:dyDescent="0.25">
      <c r="A100" s="2" t="s">
        <v>297</v>
      </c>
      <c r="B100" s="2">
        <v>77</v>
      </c>
      <c r="C100" s="2">
        <v>6</v>
      </c>
      <c r="D100" s="38">
        <f t="shared" ref="D100:D103" si="21">B100+C100</f>
        <v>83</v>
      </c>
    </row>
    <row r="101" spans="1:5" x14ac:dyDescent="0.25">
      <c r="A101" s="2" t="s">
        <v>298</v>
      </c>
      <c r="B101" s="2">
        <v>66</v>
      </c>
      <c r="C101" s="2">
        <v>7</v>
      </c>
      <c r="D101" s="38">
        <f t="shared" si="21"/>
        <v>73</v>
      </c>
    </row>
    <row r="102" spans="1:5" x14ac:dyDescent="0.25">
      <c r="A102" s="2" t="s">
        <v>299</v>
      </c>
      <c r="B102" s="2">
        <v>134</v>
      </c>
      <c r="C102" s="2">
        <v>10</v>
      </c>
      <c r="D102" s="38">
        <f t="shared" si="21"/>
        <v>144</v>
      </c>
    </row>
    <row r="103" spans="1:5" x14ac:dyDescent="0.25">
      <c r="A103" s="2" t="s">
        <v>300</v>
      </c>
      <c r="B103" s="2">
        <v>75</v>
      </c>
      <c r="C103" s="2">
        <v>11</v>
      </c>
      <c r="D103" s="38">
        <f t="shared" si="21"/>
        <v>86</v>
      </c>
    </row>
    <row r="104" spans="1:5" x14ac:dyDescent="0.25">
      <c r="A104" s="2"/>
      <c r="B104" s="2"/>
      <c r="C104" s="2"/>
      <c r="D104" s="38"/>
    </row>
    <row r="105" spans="1:5" x14ac:dyDescent="0.25">
      <c r="A105" s="3" t="s">
        <v>2</v>
      </c>
      <c r="B105" s="2"/>
      <c r="C105" s="2"/>
      <c r="D105" s="38"/>
    </row>
    <row r="106" spans="1:5" x14ac:dyDescent="0.25">
      <c r="A106" s="2" t="s">
        <v>143</v>
      </c>
      <c r="B106" s="2">
        <v>205</v>
      </c>
      <c r="C106" s="2">
        <v>57</v>
      </c>
      <c r="D106" s="38">
        <f t="shared" ref="D106" si="22">B106+C106</f>
        <v>262</v>
      </c>
    </row>
    <row r="107" spans="1:5" x14ac:dyDescent="0.25">
      <c r="A107" s="2" t="s">
        <v>296</v>
      </c>
      <c r="B107" s="2">
        <v>22</v>
      </c>
      <c r="C107" s="2">
        <v>4</v>
      </c>
      <c r="D107" s="38">
        <f>B107+C107</f>
        <v>26</v>
      </c>
      <c r="E107" s="1">
        <f>D107+D108+D109+D110+D111</f>
        <v>535</v>
      </c>
    </row>
    <row r="108" spans="1:5" x14ac:dyDescent="0.25">
      <c r="A108" s="2" t="s">
        <v>297</v>
      </c>
      <c r="B108" s="2">
        <v>106</v>
      </c>
      <c r="C108" s="2">
        <v>5</v>
      </c>
      <c r="D108" s="38">
        <f t="shared" ref="D108:D111" si="23">B108+C108</f>
        <v>111</v>
      </c>
    </row>
    <row r="109" spans="1:5" x14ac:dyDescent="0.25">
      <c r="A109" s="2" t="s">
        <v>298</v>
      </c>
      <c r="B109" s="2">
        <v>77</v>
      </c>
      <c r="C109" s="2">
        <v>7</v>
      </c>
      <c r="D109" s="38">
        <f t="shared" si="23"/>
        <v>84</v>
      </c>
    </row>
    <row r="110" spans="1:5" x14ac:dyDescent="0.25">
      <c r="A110" s="2" t="s">
        <v>299</v>
      </c>
      <c r="B110" s="2">
        <v>229</v>
      </c>
      <c r="C110" s="2">
        <v>10</v>
      </c>
      <c r="D110" s="38">
        <f t="shared" si="23"/>
        <v>239</v>
      </c>
    </row>
    <row r="111" spans="1:5" x14ac:dyDescent="0.25">
      <c r="A111" s="2" t="s">
        <v>300</v>
      </c>
      <c r="B111" s="2">
        <v>71</v>
      </c>
      <c r="C111" s="2">
        <v>4</v>
      </c>
      <c r="D111" s="38">
        <f t="shared" si="23"/>
        <v>75</v>
      </c>
    </row>
    <row r="113" spans="1:12" x14ac:dyDescent="0.25">
      <c r="A113" s="38" t="s">
        <v>103</v>
      </c>
      <c r="B113" s="3" t="s">
        <v>67</v>
      </c>
      <c r="C113" s="38" t="s">
        <v>101</v>
      </c>
      <c r="D113" s="3" t="s">
        <v>90</v>
      </c>
      <c r="F113" s="38" t="s">
        <v>89</v>
      </c>
      <c r="G113" s="3" t="s">
        <v>67</v>
      </c>
      <c r="H113" s="3" t="s">
        <v>90</v>
      </c>
      <c r="J113" s="38" t="s">
        <v>102</v>
      </c>
      <c r="K113" s="3" t="s">
        <v>67</v>
      </c>
      <c r="L113" s="3" t="s">
        <v>90</v>
      </c>
    </row>
    <row r="114" spans="1:12" x14ac:dyDescent="0.25">
      <c r="A114" s="11">
        <f>SUM(B114:D114)</f>
        <v>6</v>
      </c>
      <c r="B114" s="2">
        <v>3</v>
      </c>
      <c r="C114" s="2">
        <v>2</v>
      </c>
      <c r="D114" s="2">
        <v>1</v>
      </c>
      <c r="F114" s="11">
        <f>SUM(G114:H114)</f>
        <v>5</v>
      </c>
      <c r="G114" s="2">
        <v>5</v>
      </c>
      <c r="H114" s="2"/>
      <c r="J114" s="11">
        <f>A114-F114</f>
        <v>1</v>
      </c>
      <c r="K114" s="2"/>
      <c r="L114" s="2"/>
    </row>
  </sheetData>
  <pageMargins left="0" right="0" top="0" bottom="0" header="0" footer="0"/>
  <pageSetup paperSize="9" scale="45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V107"/>
  <sheetViews>
    <sheetView zoomScale="70" zoomScaleNormal="70" workbookViewId="0">
      <selection activeCell="D24" sqref="D24"/>
    </sheetView>
  </sheetViews>
  <sheetFormatPr defaultRowHeight="15.75" x14ac:dyDescent="0.25"/>
  <cols>
    <col min="1" max="1" width="32.140625" style="1" customWidth="1"/>
    <col min="2" max="2" width="14.85546875" style="1" bestFit="1" customWidth="1"/>
    <col min="3" max="9" width="16.85546875" style="1" bestFit="1" customWidth="1"/>
    <col min="10" max="10" width="11.28515625" style="1" customWidth="1"/>
    <col min="11" max="13" width="16.85546875" style="1" bestFit="1" customWidth="1"/>
    <col min="14" max="14" width="18.140625" style="1" bestFit="1" customWidth="1"/>
    <col min="15" max="15" width="16.85546875" style="1" bestFit="1" customWidth="1"/>
    <col min="16" max="16" width="10" style="1" bestFit="1" customWidth="1"/>
    <col min="17" max="17" width="15.140625" style="1" bestFit="1" customWidth="1"/>
    <col min="18" max="16384" width="9.140625" style="1"/>
  </cols>
  <sheetData>
    <row r="2" spans="1:18" ht="25.5" x14ac:dyDescent="0.35">
      <c r="A2" s="14" t="s">
        <v>83</v>
      </c>
      <c r="B2" s="15"/>
      <c r="C2" s="15"/>
      <c r="D2" s="15"/>
      <c r="E2" s="15"/>
      <c r="F2" s="1" t="s">
        <v>400</v>
      </c>
    </row>
    <row r="4" spans="1:18" x14ac:dyDescent="0.25">
      <c r="A4" s="2"/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</row>
    <row r="5" spans="1:18" x14ac:dyDescent="0.25">
      <c r="A5" s="5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8" s="43" customFormat="1" x14ac:dyDescent="0.25">
      <c r="A6" s="42" t="s">
        <v>1</v>
      </c>
      <c r="B6" s="42">
        <v>50909</v>
      </c>
      <c r="C6" s="42">
        <v>1489089</v>
      </c>
      <c r="D6" s="42">
        <v>3461286</v>
      </c>
      <c r="E6" s="42">
        <v>4186463</v>
      </c>
      <c r="F6" s="42">
        <v>5807281</v>
      </c>
      <c r="G6" s="42">
        <v>4926369</v>
      </c>
      <c r="H6" s="42">
        <v>5379093</v>
      </c>
      <c r="I6" s="42">
        <v>4850913</v>
      </c>
      <c r="J6" s="42">
        <v>4153631</v>
      </c>
      <c r="K6" s="42">
        <v>5854547</v>
      </c>
      <c r="L6" s="42">
        <v>4685465</v>
      </c>
      <c r="M6" s="42">
        <v>8866555</v>
      </c>
      <c r="N6" s="42">
        <v>10789109</v>
      </c>
      <c r="O6" s="42">
        <v>4596371</v>
      </c>
      <c r="P6" s="42">
        <v>0</v>
      </c>
    </row>
    <row r="7" spans="1:18" s="43" customFormat="1" x14ac:dyDescent="0.25">
      <c r="A7" s="44">
        <v>5</v>
      </c>
      <c r="B7" s="44">
        <f>ROUND(B6/$A$7,0)</f>
        <v>10182</v>
      </c>
      <c r="C7" s="44">
        <f t="shared" ref="B7:P7" si="0">ROUND(C6/$A$7,0)</f>
        <v>297818</v>
      </c>
      <c r="D7" s="44">
        <f t="shared" si="0"/>
        <v>692257</v>
      </c>
      <c r="E7" s="44">
        <f t="shared" si="0"/>
        <v>837293</v>
      </c>
      <c r="F7" s="44">
        <f t="shared" si="0"/>
        <v>1161456</v>
      </c>
      <c r="G7" s="44">
        <f t="shared" si="0"/>
        <v>985274</v>
      </c>
      <c r="H7" s="44">
        <f t="shared" si="0"/>
        <v>1075819</v>
      </c>
      <c r="I7" s="44">
        <f t="shared" si="0"/>
        <v>970183</v>
      </c>
      <c r="J7" s="44">
        <f t="shared" si="0"/>
        <v>830726</v>
      </c>
      <c r="K7" s="44">
        <f t="shared" si="0"/>
        <v>1170909</v>
      </c>
      <c r="L7" s="44">
        <f t="shared" si="0"/>
        <v>937093</v>
      </c>
      <c r="M7" s="44">
        <f t="shared" si="0"/>
        <v>1773311</v>
      </c>
      <c r="N7" s="44">
        <f t="shared" si="0"/>
        <v>2157822</v>
      </c>
      <c r="O7" s="44">
        <f t="shared" si="0"/>
        <v>919274</v>
      </c>
      <c r="P7" s="44">
        <f t="shared" si="0"/>
        <v>0</v>
      </c>
    </row>
    <row r="8" spans="1:18" s="37" customFormat="1" x14ac:dyDescent="0.25">
      <c r="A8" s="45" t="s">
        <v>302</v>
      </c>
      <c r="B8" s="45">
        <f>B7</f>
        <v>10182</v>
      </c>
      <c r="C8" s="45">
        <f t="shared" ref="C8:P8" si="1">C7</f>
        <v>297818</v>
      </c>
      <c r="D8" s="45">
        <f t="shared" si="1"/>
        <v>692257</v>
      </c>
      <c r="E8" s="45">
        <f t="shared" si="1"/>
        <v>837293</v>
      </c>
      <c r="F8" s="45">
        <f t="shared" si="1"/>
        <v>1161456</v>
      </c>
      <c r="G8" s="45">
        <f t="shared" si="1"/>
        <v>985274</v>
      </c>
      <c r="H8" s="45">
        <f t="shared" si="1"/>
        <v>1075819</v>
      </c>
      <c r="I8" s="45">
        <f t="shared" si="1"/>
        <v>970183</v>
      </c>
      <c r="J8" s="45">
        <f t="shared" si="1"/>
        <v>830726</v>
      </c>
      <c r="K8" s="45">
        <f t="shared" si="1"/>
        <v>1170909</v>
      </c>
      <c r="L8" s="45">
        <f t="shared" si="1"/>
        <v>937093</v>
      </c>
      <c r="M8" s="45">
        <f t="shared" si="1"/>
        <v>1773311</v>
      </c>
      <c r="N8" s="45">
        <f t="shared" si="1"/>
        <v>2157822</v>
      </c>
      <c r="O8" s="45">
        <f t="shared" si="1"/>
        <v>919274</v>
      </c>
      <c r="P8" s="45">
        <f t="shared" si="1"/>
        <v>0</v>
      </c>
      <c r="Q8" s="37">
        <f t="shared" ref="Q8:Q9" si="2">SUM(B8:P8)</f>
        <v>13819417</v>
      </c>
    </row>
    <row r="9" spans="1:18" x14ac:dyDescent="0.25">
      <c r="A9" s="12" t="s">
        <v>303</v>
      </c>
      <c r="B9" s="12">
        <v>2</v>
      </c>
      <c r="C9" s="12">
        <v>2</v>
      </c>
      <c r="D9" s="12">
        <v>2</v>
      </c>
      <c r="E9" s="12">
        <v>2</v>
      </c>
      <c r="F9" s="12">
        <v>3</v>
      </c>
      <c r="G9" s="12">
        <v>2</v>
      </c>
      <c r="H9" s="12">
        <v>3</v>
      </c>
      <c r="I9" s="12">
        <v>2</v>
      </c>
      <c r="J9" s="12">
        <v>2</v>
      </c>
      <c r="K9" s="12">
        <v>3</v>
      </c>
      <c r="L9" s="12">
        <v>2</v>
      </c>
      <c r="M9" s="12">
        <v>3</v>
      </c>
      <c r="N9" s="12">
        <v>3</v>
      </c>
      <c r="O9" s="12">
        <v>2</v>
      </c>
      <c r="P9" s="12"/>
      <c r="Q9" s="37">
        <f t="shared" si="2"/>
        <v>33</v>
      </c>
    </row>
    <row r="10" spans="1:18" x14ac:dyDescent="0.25">
      <c r="A10" s="12" t="s">
        <v>304</v>
      </c>
      <c r="B10" s="46">
        <f>B9*18000</f>
        <v>36000</v>
      </c>
      <c r="C10" s="46">
        <f t="shared" ref="C10:O10" si="3">C9*18000</f>
        <v>36000</v>
      </c>
      <c r="D10" s="46">
        <f t="shared" si="3"/>
        <v>36000</v>
      </c>
      <c r="E10" s="46">
        <f t="shared" si="3"/>
        <v>36000</v>
      </c>
      <c r="F10" s="46">
        <f t="shared" si="3"/>
        <v>54000</v>
      </c>
      <c r="G10" s="46">
        <f t="shared" si="3"/>
        <v>36000</v>
      </c>
      <c r="H10" s="46">
        <f t="shared" si="3"/>
        <v>54000</v>
      </c>
      <c r="I10" s="46">
        <f t="shared" si="3"/>
        <v>36000</v>
      </c>
      <c r="J10" s="46">
        <f t="shared" si="3"/>
        <v>36000</v>
      </c>
      <c r="K10" s="46">
        <f t="shared" si="3"/>
        <v>54000</v>
      </c>
      <c r="L10" s="46">
        <f t="shared" si="3"/>
        <v>36000</v>
      </c>
      <c r="M10" s="46">
        <f t="shared" si="3"/>
        <v>54000</v>
      </c>
      <c r="N10" s="46">
        <f t="shared" si="3"/>
        <v>54000</v>
      </c>
      <c r="O10" s="46">
        <f t="shared" si="3"/>
        <v>36000</v>
      </c>
      <c r="P10" s="12"/>
      <c r="Q10" s="37">
        <f>SUM(B10:P10)</f>
        <v>594000</v>
      </c>
      <c r="R10" s="47">
        <f>Q10/Q8</f>
        <v>4.298299993407826E-2</v>
      </c>
    </row>
    <row r="11" spans="1:18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8" x14ac:dyDescent="0.25">
      <c r="A12" s="13" t="s">
        <v>75</v>
      </c>
    </row>
    <row r="13" spans="1:18" x14ac:dyDescent="0.25">
      <c r="A13" s="2" t="s">
        <v>62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/>
      <c r="K13" s="2"/>
      <c r="L13" s="2"/>
      <c r="M13" s="2"/>
      <c r="N13" s="2"/>
      <c r="O13" s="2"/>
      <c r="P13" s="2"/>
    </row>
    <row r="14" spans="1:18" x14ac:dyDescent="0.25">
      <c r="A14" s="2" t="s">
        <v>111</v>
      </c>
      <c r="B14" s="2">
        <v>1</v>
      </c>
      <c r="C14" s="2">
        <v>1</v>
      </c>
      <c r="D14" s="2">
        <v>1</v>
      </c>
      <c r="E14" s="2">
        <v>1</v>
      </c>
      <c r="F14" s="1">
        <v>1</v>
      </c>
      <c r="G14" s="2">
        <v>1</v>
      </c>
      <c r="H14" s="2"/>
      <c r="I14" s="2"/>
      <c r="J14" s="2"/>
      <c r="K14" s="2"/>
      <c r="L14" s="2"/>
      <c r="M14" s="2"/>
      <c r="N14" s="2"/>
      <c r="O14" s="2"/>
      <c r="P14" s="2"/>
    </row>
    <row r="15" spans="1:18" x14ac:dyDescent="0.25">
      <c r="A15" s="2" t="s">
        <v>77</v>
      </c>
      <c r="B15" s="2"/>
      <c r="C15" s="2"/>
      <c r="D15" s="2"/>
      <c r="E15" s="2"/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/>
      <c r="P15" s="2"/>
    </row>
    <row r="16" spans="1:18" x14ac:dyDescent="0.25">
      <c r="A16" s="2" t="s">
        <v>86</v>
      </c>
      <c r="B16" s="2"/>
      <c r="C16" s="2"/>
      <c r="D16" s="2"/>
      <c r="E16" s="2"/>
      <c r="F16" s="2"/>
      <c r="G16" s="2"/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/>
    </row>
    <row r="17" spans="1:18" x14ac:dyDescent="0.25">
      <c r="A17" s="2" t="s">
        <v>117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</v>
      </c>
      <c r="M17" s="2">
        <v>1</v>
      </c>
      <c r="N17" s="2">
        <v>1</v>
      </c>
      <c r="O17" s="2">
        <v>1</v>
      </c>
      <c r="P17" s="2"/>
    </row>
    <row r="18" spans="1:18" x14ac:dyDescent="0.25">
      <c r="A18" s="7" t="s">
        <v>303</v>
      </c>
      <c r="B18" s="7">
        <f>SUM(B13:B17)</f>
        <v>2</v>
      </c>
      <c r="C18" s="7">
        <f t="shared" ref="C18:P18" si="4">SUM(C13:C17)</f>
        <v>2</v>
      </c>
      <c r="D18" s="7">
        <f t="shared" si="4"/>
        <v>2</v>
      </c>
      <c r="E18" s="7">
        <f t="shared" si="4"/>
        <v>2</v>
      </c>
      <c r="F18" s="7">
        <f t="shared" si="4"/>
        <v>3</v>
      </c>
      <c r="G18" s="7">
        <f t="shared" si="4"/>
        <v>3</v>
      </c>
      <c r="H18" s="7">
        <f t="shared" si="4"/>
        <v>3</v>
      </c>
      <c r="I18" s="7">
        <f t="shared" si="4"/>
        <v>3</v>
      </c>
      <c r="J18" s="7">
        <f t="shared" si="4"/>
        <v>2</v>
      </c>
      <c r="K18" s="7">
        <f t="shared" si="4"/>
        <v>2</v>
      </c>
      <c r="L18" s="7">
        <f t="shared" si="4"/>
        <v>3</v>
      </c>
      <c r="M18" s="7">
        <f t="shared" si="4"/>
        <v>3</v>
      </c>
      <c r="N18" s="7">
        <f t="shared" si="4"/>
        <v>3</v>
      </c>
      <c r="O18" s="7">
        <f t="shared" si="4"/>
        <v>2</v>
      </c>
      <c r="P18" s="7">
        <f t="shared" si="4"/>
        <v>0</v>
      </c>
      <c r="Q18" s="1">
        <f>SUM(B18:P18)</f>
        <v>35</v>
      </c>
    </row>
    <row r="19" spans="1:18" x14ac:dyDescent="0.25">
      <c r="A19" s="12" t="s">
        <v>304</v>
      </c>
      <c r="B19" s="46">
        <f>B18*18000</f>
        <v>36000</v>
      </c>
      <c r="C19" s="46">
        <f t="shared" ref="C19:O19" si="5">C18*18000</f>
        <v>36000</v>
      </c>
      <c r="D19" s="46">
        <f t="shared" si="5"/>
        <v>36000</v>
      </c>
      <c r="E19" s="46">
        <f t="shared" si="5"/>
        <v>36000</v>
      </c>
      <c r="F19" s="46">
        <f t="shared" si="5"/>
        <v>54000</v>
      </c>
      <c r="G19" s="46">
        <f t="shared" si="5"/>
        <v>54000</v>
      </c>
      <c r="H19" s="46">
        <f t="shared" si="5"/>
        <v>54000</v>
      </c>
      <c r="I19" s="46">
        <f t="shared" si="5"/>
        <v>54000</v>
      </c>
      <c r="J19" s="46">
        <f t="shared" si="5"/>
        <v>36000</v>
      </c>
      <c r="K19" s="46">
        <f t="shared" si="5"/>
        <v>36000</v>
      </c>
      <c r="L19" s="46">
        <f t="shared" si="5"/>
        <v>54000</v>
      </c>
      <c r="M19" s="46">
        <f t="shared" si="5"/>
        <v>54000</v>
      </c>
      <c r="N19" s="46">
        <f t="shared" si="5"/>
        <v>54000</v>
      </c>
      <c r="O19" s="46">
        <f t="shared" si="5"/>
        <v>36000</v>
      </c>
      <c r="P19" s="12"/>
      <c r="Q19" s="37">
        <f>SUM(B19:P19)</f>
        <v>630000</v>
      </c>
      <c r="R19" s="47">
        <f>Q19/Q8</f>
        <v>4.5588030233113308E-2</v>
      </c>
    </row>
    <row r="20" spans="1:18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x14ac:dyDescent="0.25">
      <c r="A21" s="5" t="s">
        <v>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8" x14ac:dyDescent="0.25">
      <c r="A22" s="2" t="s">
        <v>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8" s="43" customFormat="1" x14ac:dyDescent="0.25">
      <c r="A23" s="42" t="s">
        <v>19</v>
      </c>
      <c r="B23" s="42"/>
      <c r="C23" s="42">
        <v>606365</v>
      </c>
      <c r="D23" s="42">
        <v>1768183</v>
      </c>
      <c r="E23" s="42">
        <v>800911</v>
      </c>
      <c r="F23" s="42">
        <v>1112727</v>
      </c>
      <c r="G23" s="42">
        <v>786365</v>
      </c>
      <c r="H23" s="42">
        <v>706364</v>
      </c>
      <c r="I23" s="42">
        <v>1536370</v>
      </c>
      <c r="J23" s="42">
        <v>383635</v>
      </c>
      <c r="K23" s="42">
        <v>1258182</v>
      </c>
      <c r="L23" s="42">
        <v>2197093</v>
      </c>
      <c r="M23" s="42">
        <v>1890001</v>
      </c>
      <c r="N23" s="42">
        <v>3204549</v>
      </c>
      <c r="O23" s="42">
        <v>2073638</v>
      </c>
      <c r="P23" s="42">
        <v>0</v>
      </c>
    </row>
    <row r="24" spans="1:18" s="43" customFormat="1" x14ac:dyDescent="0.25">
      <c r="A24" s="42" t="s">
        <v>20</v>
      </c>
      <c r="B24" s="42"/>
      <c r="C24" s="42">
        <v>1002728</v>
      </c>
      <c r="D24" s="42">
        <v>1396361</v>
      </c>
      <c r="E24" s="42">
        <v>2457275</v>
      </c>
      <c r="F24" s="42">
        <v>2242725</v>
      </c>
      <c r="G24" s="42">
        <v>1940907</v>
      </c>
      <c r="H24" s="42">
        <v>1734550</v>
      </c>
      <c r="I24" s="42">
        <v>1503636</v>
      </c>
      <c r="J24" s="42">
        <v>1165453</v>
      </c>
      <c r="K24" s="42">
        <v>1915459</v>
      </c>
      <c r="L24" s="42">
        <v>1452728</v>
      </c>
      <c r="M24" s="42">
        <v>2081820</v>
      </c>
      <c r="N24" s="42">
        <v>3545456</v>
      </c>
      <c r="O24" s="42">
        <v>1218183</v>
      </c>
      <c r="P24" s="42">
        <v>0</v>
      </c>
    </row>
    <row r="25" spans="1:18" s="43" customFormat="1" x14ac:dyDescent="0.25">
      <c r="A25" s="44">
        <v>2</v>
      </c>
      <c r="B25" s="44">
        <f t="shared" ref="B25:P25" si="6">ROUND((B23+B24)/$A$25,0)</f>
        <v>0</v>
      </c>
      <c r="C25" s="44">
        <f t="shared" si="6"/>
        <v>804547</v>
      </c>
      <c r="D25" s="44">
        <f t="shared" si="6"/>
        <v>1582272</v>
      </c>
      <c r="E25" s="44">
        <f t="shared" si="6"/>
        <v>1629093</v>
      </c>
      <c r="F25" s="44">
        <f t="shared" si="6"/>
        <v>1677726</v>
      </c>
      <c r="G25" s="44">
        <f t="shared" si="6"/>
        <v>1363636</v>
      </c>
      <c r="H25" s="44">
        <f t="shared" si="6"/>
        <v>1220457</v>
      </c>
      <c r="I25" s="44">
        <f t="shared" si="6"/>
        <v>1520003</v>
      </c>
      <c r="J25" s="44">
        <f t="shared" si="6"/>
        <v>774544</v>
      </c>
      <c r="K25" s="44">
        <f t="shared" si="6"/>
        <v>1586821</v>
      </c>
      <c r="L25" s="44">
        <f t="shared" si="6"/>
        <v>1824911</v>
      </c>
      <c r="M25" s="44">
        <f t="shared" si="6"/>
        <v>1985911</v>
      </c>
      <c r="N25" s="44">
        <f t="shared" si="6"/>
        <v>3375003</v>
      </c>
      <c r="O25" s="44">
        <f t="shared" si="6"/>
        <v>1645911</v>
      </c>
      <c r="P25" s="44">
        <f t="shared" si="6"/>
        <v>0</v>
      </c>
    </row>
    <row r="26" spans="1:18" s="37" customFormat="1" x14ac:dyDescent="0.25">
      <c r="A26" s="45" t="s">
        <v>302</v>
      </c>
      <c r="B26" s="45">
        <f>B25</f>
        <v>0</v>
      </c>
      <c r="C26" s="45">
        <f t="shared" ref="C26:P26" si="7">C25</f>
        <v>804547</v>
      </c>
      <c r="D26" s="45">
        <f t="shared" si="7"/>
        <v>1582272</v>
      </c>
      <c r="E26" s="45">
        <f t="shared" si="7"/>
        <v>1629093</v>
      </c>
      <c r="F26" s="45">
        <f t="shared" si="7"/>
        <v>1677726</v>
      </c>
      <c r="G26" s="45">
        <f t="shared" si="7"/>
        <v>1363636</v>
      </c>
      <c r="H26" s="45">
        <f t="shared" si="7"/>
        <v>1220457</v>
      </c>
      <c r="I26" s="45">
        <f t="shared" si="7"/>
        <v>1520003</v>
      </c>
      <c r="J26" s="45">
        <f t="shared" si="7"/>
        <v>774544</v>
      </c>
      <c r="K26" s="45">
        <f t="shared" si="7"/>
        <v>1586821</v>
      </c>
      <c r="L26" s="45">
        <f t="shared" si="7"/>
        <v>1824911</v>
      </c>
      <c r="M26" s="45">
        <f t="shared" si="7"/>
        <v>1985911</v>
      </c>
      <c r="N26" s="45">
        <f t="shared" si="7"/>
        <v>3375003</v>
      </c>
      <c r="O26" s="45">
        <f t="shared" si="7"/>
        <v>1645911</v>
      </c>
      <c r="P26" s="45">
        <f t="shared" si="7"/>
        <v>0</v>
      </c>
      <c r="Q26" s="37">
        <f t="shared" ref="Q26" si="8">SUM(B26:P26)</f>
        <v>20990835</v>
      </c>
    </row>
    <row r="27" spans="1:18" x14ac:dyDescent="0.25">
      <c r="A27" s="12" t="s">
        <v>303</v>
      </c>
      <c r="B27" s="12"/>
      <c r="C27" s="12">
        <v>2</v>
      </c>
      <c r="D27" s="12">
        <v>3</v>
      </c>
      <c r="E27" s="12">
        <v>3</v>
      </c>
      <c r="F27" s="12">
        <v>3</v>
      </c>
      <c r="G27" s="12">
        <v>3</v>
      </c>
      <c r="H27" s="12">
        <v>3</v>
      </c>
      <c r="I27" s="12">
        <v>3</v>
      </c>
      <c r="J27" s="12">
        <v>2</v>
      </c>
      <c r="K27" s="12">
        <v>3</v>
      </c>
      <c r="L27" s="12">
        <v>3</v>
      </c>
      <c r="M27" s="12">
        <v>3</v>
      </c>
      <c r="N27" s="12">
        <v>4</v>
      </c>
      <c r="O27" s="12">
        <v>3</v>
      </c>
      <c r="P27" s="12"/>
      <c r="Q27" s="43">
        <f>SUM(B27:P27)</f>
        <v>38</v>
      </c>
    </row>
    <row r="28" spans="1:18" x14ac:dyDescent="0.25">
      <c r="A28" s="12" t="s">
        <v>304</v>
      </c>
      <c r="B28" s="46">
        <f>B27*18000</f>
        <v>0</v>
      </c>
      <c r="C28" s="46">
        <f t="shared" ref="C28:O28" si="9">C27*18000</f>
        <v>36000</v>
      </c>
      <c r="D28" s="46">
        <f t="shared" si="9"/>
        <v>54000</v>
      </c>
      <c r="E28" s="46">
        <f t="shared" si="9"/>
        <v>54000</v>
      </c>
      <c r="F28" s="46">
        <f t="shared" si="9"/>
        <v>54000</v>
      </c>
      <c r="G28" s="46">
        <f t="shared" si="9"/>
        <v>54000</v>
      </c>
      <c r="H28" s="46">
        <f t="shared" si="9"/>
        <v>54000</v>
      </c>
      <c r="I28" s="46">
        <f t="shared" si="9"/>
        <v>54000</v>
      </c>
      <c r="J28" s="46">
        <f t="shared" si="9"/>
        <v>36000</v>
      </c>
      <c r="K28" s="46">
        <f t="shared" si="9"/>
        <v>54000</v>
      </c>
      <c r="L28" s="46">
        <f t="shared" si="9"/>
        <v>54000</v>
      </c>
      <c r="M28" s="46">
        <f t="shared" si="9"/>
        <v>54000</v>
      </c>
      <c r="N28" s="46">
        <f t="shared" si="9"/>
        <v>72000</v>
      </c>
      <c r="O28" s="46">
        <f t="shared" si="9"/>
        <v>54000</v>
      </c>
      <c r="P28" s="12"/>
      <c r="Q28" s="43">
        <f>SUM(B28:P28)</f>
        <v>684000</v>
      </c>
      <c r="R28" s="47">
        <f>Q28/Q26</f>
        <v>3.2585649880054794E-2</v>
      </c>
    </row>
    <row r="29" spans="1:18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8" x14ac:dyDescent="0.25">
      <c r="A30" s="13" t="s">
        <v>75</v>
      </c>
    </row>
    <row r="31" spans="1:18" x14ac:dyDescent="0.25">
      <c r="A31" s="2" t="s">
        <v>62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/>
      <c r="K31" s="2"/>
      <c r="L31" s="2"/>
      <c r="M31" s="2"/>
      <c r="N31" s="2"/>
      <c r="O31" s="2"/>
      <c r="P31" s="2"/>
    </row>
    <row r="32" spans="1:18" x14ac:dyDescent="0.25">
      <c r="A32" s="2" t="s">
        <v>111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/>
      <c r="I32" s="2"/>
      <c r="J32" s="2"/>
      <c r="K32" s="2"/>
      <c r="L32" s="2"/>
      <c r="M32" s="2"/>
      <c r="N32" s="2"/>
      <c r="O32" s="2"/>
      <c r="P32" s="2"/>
    </row>
    <row r="33" spans="1:18" x14ac:dyDescent="0.25">
      <c r="A33" s="2" t="s">
        <v>110</v>
      </c>
      <c r="B33" s="2"/>
      <c r="C33" s="2"/>
      <c r="D33" s="2"/>
      <c r="E33" s="2"/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/>
      <c r="O33" s="2"/>
      <c r="P33" s="2"/>
    </row>
    <row r="34" spans="1:18" x14ac:dyDescent="0.25">
      <c r="A34" s="2" t="s">
        <v>86</v>
      </c>
      <c r="B34" s="2"/>
      <c r="C34" s="2"/>
      <c r="D34" s="2"/>
      <c r="E34" s="2"/>
      <c r="F34" s="2"/>
      <c r="G34" s="2"/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/>
    </row>
    <row r="35" spans="1:18" x14ac:dyDescent="0.25">
      <c r="A35" s="2" t="s">
        <v>86</v>
      </c>
      <c r="B35" s="2"/>
      <c r="C35" s="2"/>
      <c r="D35" s="2"/>
      <c r="E35" s="2"/>
      <c r="F35" s="2"/>
      <c r="G35" s="2"/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/>
    </row>
    <row r="36" spans="1:18" x14ac:dyDescent="0.25">
      <c r="A36" s="2" t="s">
        <v>117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1</v>
      </c>
      <c r="M36" s="2">
        <v>1</v>
      </c>
      <c r="N36" s="2">
        <v>1</v>
      </c>
      <c r="O36" s="2">
        <v>1</v>
      </c>
      <c r="P36" s="2"/>
    </row>
    <row r="37" spans="1:18" x14ac:dyDescent="0.25">
      <c r="A37" s="7" t="s">
        <v>303</v>
      </c>
      <c r="B37" s="7">
        <f>SUM(B31:B36)</f>
        <v>2</v>
      </c>
      <c r="C37" s="7">
        <f t="shared" ref="C37:P37" si="10">SUM(C31:C36)</f>
        <v>2</v>
      </c>
      <c r="D37" s="7">
        <f t="shared" si="10"/>
        <v>2</v>
      </c>
      <c r="E37" s="7">
        <f t="shared" si="10"/>
        <v>2</v>
      </c>
      <c r="F37" s="7">
        <f t="shared" si="10"/>
        <v>3</v>
      </c>
      <c r="G37" s="7">
        <f t="shared" si="10"/>
        <v>3</v>
      </c>
      <c r="H37" s="7">
        <f t="shared" si="10"/>
        <v>4</v>
      </c>
      <c r="I37" s="7">
        <f t="shared" si="10"/>
        <v>4</v>
      </c>
      <c r="J37" s="7">
        <f t="shared" si="10"/>
        <v>3</v>
      </c>
      <c r="K37" s="7">
        <f t="shared" si="10"/>
        <v>3</v>
      </c>
      <c r="L37" s="7">
        <f t="shared" si="10"/>
        <v>4</v>
      </c>
      <c r="M37" s="7">
        <f t="shared" si="10"/>
        <v>4</v>
      </c>
      <c r="N37" s="7">
        <f t="shared" si="10"/>
        <v>3</v>
      </c>
      <c r="O37" s="7">
        <f t="shared" si="10"/>
        <v>3</v>
      </c>
      <c r="P37" s="7">
        <f t="shared" si="10"/>
        <v>0</v>
      </c>
      <c r="Q37" s="1">
        <f>SUM(B37:P37)</f>
        <v>42</v>
      </c>
    </row>
    <row r="38" spans="1:18" x14ac:dyDescent="0.25">
      <c r="A38" s="12" t="s">
        <v>304</v>
      </c>
      <c r="B38" s="46">
        <f>B37*18000</f>
        <v>36000</v>
      </c>
      <c r="C38" s="46">
        <f t="shared" ref="C38:O38" si="11">C37*18000</f>
        <v>36000</v>
      </c>
      <c r="D38" s="46">
        <f t="shared" si="11"/>
        <v>36000</v>
      </c>
      <c r="E38" s="46">
        <f t="shared" si="11"/>
        <v>36000</v>
      </c>
      <c r="F38" s="46">
        <f t="shared" si="11"/>
        <v>54000</v>
      </c>
      <c r="G38" s="46">
        <f t="shared" si="11"/>
        <v>54000</v>
      </c>
      <c r="H38" s="46">
        <f t="shared" si="11"/>
        <v>72000</v>
      </c>
      <c r="I38" s="46">
        <f t="shared" si="11"/>
        <v>72000</v>
      </c>
      <c r="J38" s="46">
        <f t="shared" si="11"/>
        <v>54000</v>
      </c>
      <c r="K38" s="46">
        <f t="shared" si="11"/>
        <v>54000</v>
      </c>
      <c r="L38" s="46">
        <f t="shared" si="11"/>
        <v>72000</v>
      </c>
      <c r="M38" s="46">
        <f t="shared" si="11"/>
        <v>72000</v>
      </c>
      <c r="N38" s="46">
        <f t="shared" si="11"/>
        <v>54000</v>
      </c>
      <c r="O38" s="46">
        <f t="shared" si="11"/>
        <v>54000</v>
      </c>
      <c r="P38" s="12"/>
      <c r="Q38" s="43">
        <f>SUM(B38:P38)</f>
        <v>756000</v>
      </c>
      <c r="R38" s="47">
        <f>Q38/Q26</f>
        <v>3.6015718288481616E-2</v>
      </c>
    </row>
    <row r="40" spans="1:18" x14ac:dyDescent="0.25">
      <c r="A40" s="2" t="s">
        <v>72</v>
      </c>
      <c r="B40" s="2"/>
      <c r="C40" s="2" t="s">
        <v>26</v>
      </c>
      <c r="D40" s="2" t="s">
        <v>27</v>
      </c>
    </row>
    <row r="41" spans="1:18" x14ac:dyDescent="0.25">
      <c r="A41" s="3" t="s">
        <v>0</v>
      </c>
      <c r="B41" s="2"/>
      <c r="C41" s="2"/>
      <c r="D41" s="2"/>
    </row>
    <row r="42" spans="1:18" x14ac:dyDescent="0.25">
      <c r="A42" s="2" t="s">
        <v>62</v>
      </c>
      <c r="B42" s="2" t="s">
        <v>67</v>
      </c>
      <c r="C42" s="2">
        <v>1</v>
      </c>
      <c r="D42" s="2">
        <f>C42*8</f>
        <v>8</v>
      </c>
    </row>
    <row r="43" spans="1:18" x14ac:dyDescent="0.25">
      <c r="A43" s="2" t="s">
        <v>111</v>
      </c>
      <c r="B43" s="2" t="s">
        <v>68</v>
      </c>
      <c r="C43" s="2">
        <v>1</v>
      </c>
      <c r="D43" s="2">
        <f>14-8</f>
        <v>6</v>
      </c>
    </row>
    <row r="44" spans="1:18" x14ac:dyDescent="0.25">
      <c r="A44" s="2" t="s">
        <v>77</v>
      </c>
      <c r="B44" s="2" t="s">
        <v>67</v>
      </c>
      <c r="C44" s="2">
        <v>1</v>
      </c>
      <c r="D44" s="2">
        <v>8</v>
      </c>
      <c r="F44" s="68" t="s">
        <v>114</v>
      </c>
      <c r="G44" s="3" t="s">
        <v>67</v>
      </c>
      <c r="H44" s="3" t="s">
        <v>68</v>
      </c>
      <c r="I44" s="3" t="s">
        <v>90</v>
      </c>
    </row>
    <row r="45" spans="1:18" x14ac:dyDescent="0.25">
      <c r="A45" s="2" t="s">
        <v>86</v>
      </c>
      <c r="B45" s="2" t="s">
        <v>67</v>
      </c>
      <c r="C45" s="2">
        <v>1</v>
      </c>
      <c r="D45" s="2">
        <v>8</v>
      </c>
      <c r="F45" s="11">
        <f>SUM(G45:I45)</f>
        <v>7</v>
      </c>
      <c r="G45" s="2">
        <v>4</v>
      </c>
      <c r="H45" s="2">
        <v>2</v>
      </c>
      <c r="I45" s="2">
        <v>1</v>
      </c>
    </row>
    <row r="46" spans="1:18" x14ac:dyDescent="0.25">
      <c r="A46" s="2" t="s">
        <v>117</v>
      </c>
      <c r="B46" s="2" t="s">
        <v>68</v>
      </c>
      <c r="C46" s="2">
        <v>1</v>
      </c>
      <c r="D46" s="2">
        <f>22-18</f>
        <v>4</v>
      </c>
    </row>
    <row r="47" spans="1:18" x14ac:dyDescent="0.25">
      <c r="A47" s="2" t="s">
        <v>87</v>
      </c>
      <c r="B47" s="2" t="s">
        <v>67</v>
      </c>
      <c r="C47" s="2">
        <v>1</v>
      </c>
      <c r="D47" s="2"/>
    </row>
    <row r="48" spans="1:18" x14ac:dyDescent="0.25">
      <c r="A48" s="2" t="s">
        <v>88</v>
      </c>
      <c r="B48" s="3"/>
      <c r="C48" s="2">
        <v>1</v>
      </c>
      <c r="D48" s="2"/>
      <c r="F48" s="68" t="s">
        <v>89</v>
      </c>
      <c r="G48" s="3" t="s">
        <v>67</v>
      </c>
      <c r="H48" s="3" t="s">
        <v>68</v>
      </c>
      <c r="I48" s="3" t="s">
        <v>90</v>
      </c>
      <c r="K48" s="68" t="s">
        <v>91</v>
      </c>
      <c r="L48" s="3" t="s">
        <v>67</v>
      </c>
      <c r="M48" s="3" t="s">
        <v>68</v>
      </c>
      <c r="N48" s="3" t="s">
        <v>90</v>
      </c>
    </row>
    <row r="49" spans="1:14" x14ac:dyDescent="0.25">
      <c r="A49" s="3" t="s">
        <v>66</v>
      </c>
      <c r="B49" s="3"/>
      <c r="C49" s="3">
        <f>SUM(C42:C48)</f>
        <v>7</v>
      </c>
      <c r="D49" s="3">
        <f>SUM(D42:D48)</f>
        <v>34</v>
      </c>
      <c r="F49" s="11">
        <f>SUM(G49:I49)</f>
        <v>7</v>
      </c>
      <c r="G49" s="2">
        <v>6</v>
      </c>
      <c r="H49" s="2"/>
      <c r="I49" s="2">
        <v>1</v>
      </c>
      <c r="K49" s="11">
        <f>F45-F49</f>
        <v>0</v>
      </c>
      <c r="L49" s="11">
        <f>G45-G49</f>
        <v>-2</v>
      </c>
      <c r="M49" s="11"/>
      <c r="N49" s="11">
        <f t="shared" ref="L49:N49" si="12">I45-I49</f>
        <v>0</v>
      </c>
    </row>
    <row r="50" spans="1:14" x14ac:dyDescent="0.25">
      <c r="A50" s="3" t="s">
        <v>2</v>
      </c>
      <c r="B50" s="2"/>
      <c r="C50" s="2"/>
      <c r="D50" s="2"/>
    </row>
    <row r="51" spans="1:14" x14ac:dyDescent="0.25">
      <c r="A51" s="2" t="s">
        <v>62</v>
      </c>
      <c r="B51" s="2" t="s">
        <v>67</v>
      </c>
      <c r="C51" s="2">
        <v>1</v>
      </c>
      <c r="D51" s="2">
        <f>C51*8</f>
        <v>8</v>
      </c>
      <c r="K51" s="1" t="s">
        <v>149</v>
      </c>
    </row>
    <row r="52" spans="1:14" x14ac:dyDescent="0.25">
      <c r="A52" s="2" t="s">
        <v>111</v>
      </c>
      <c r="B52" s="2" t="s">
        <v>68</v>
      </c>
      <c r="C52" s="2">
        <v>1</v>
      </c>
      <c r="D52" s="2">
        <f>14-8</f>
        <v>6</v>
      </c>
    </row>
    <row r="53" spans="1:14" x14ac:dyDescent="0.25">
      <c r="A53" s="2" t="s">
        <v>110</v>
      </c>
      <c r="B53" s="2" t="s">
        <v>67</v>
      </c>
      <c r="C53" s="2">
        <v>1</v>
      </c>
      <c r="D53" s="2">
        <f t="shared" ref="D53" si="13">C53*8</f>
        <v>8</v>
      </c>
    </row>
    <row r="54" spans="1:14" x14ac:dyDescent="0.25">
      <c r="A54" s="2" t="s">
        <v>86</v>
      </c>
      <c r="B54" s="2" t="s">
        <v>67</v>
      </c>
      <c r="C54" s="2">
        <v>1</v>
      </c>
      <c r="D54" s="2">
        <f>C54*8</f>
        <v>8</v>
      </c>
    </row>
    <row r="55" spans="1:14" x14ac:dyDescent="0.25">
      <c r="A55" s="2" t="s">
        <v>86</v>
      </c>
      <c r="B55" s="2" t="s">
        <v>67</v>
      </c>
      <c r="C55" s="2">
        <v>1</v>
      </c>
      <c r="D55" s="2">
        <f>C55*8</f>
        <v>8</v>
      </c>
    </row>
    <row r="56" spans="1:14" x14ac:dyDescent="0.25">
      <c r="A56" s="2" t="s">
        <v>117</v>
      </c>
      <c r="B56" s="2" t="s">
        <v>68</v>
      </c>
      <c r="C56" s="2">
        <v>1</v>
      </c>
      <c r="D56" s="2">
        <f>22-18</f>
        <v>4</v>
      </c>
    </row>
    <row r="57" spans="1:14" x14ac:dyDescent="0.25">
      <c r="A57" s="2" t="s">
        <v>88</v>
      </c>
      <c r="B57" s="2"/>
      <c r="C57" s="2">
        <v>1</v>
      </c>
      <c r="D57" s="2"/>
    </row>
    <row r="58" spans="1:14" x14ac:dyDescent="0.25">
      <c r="A58" s="3" t="s">
        <v>66</v>
      </c>
      <c r="B58" s="3"/>
      <c r="C58" s="3">
        <f>SUM(C51:C57)</f>
        <v>7</v>
      </c>
      <c r="D58" s="3">
        <f>SUM(D51:D57)</f>
        <v>42</v>
      </c>
    </row>
    <row r="60" spans="1:14" x14ac:dyDescent="0.25">
      <c r="A60" s="2" t="s">
        <v>22</v>
      </c>
      <c r="B60" s="2"/>
      <c r="C60" s="2"/>
      <c r="E60" s="1" t="s">
        <v>64</v>
      </c>
      <c r="F60" s="1" t="s">
        <v>70</v>
      </c>
    </row>
    <row r="61" spans="1:14" x14ac:dyDescent="0.25">
      <c r="A61" s="3" t="s">
        <v>0</v>
      </c>
      <c r="B61" s="2"/>
      <c r="C61" s="2"/>
      <c r="E61" s="1" t="s">
        <v>69</v>
      </c>
      <c r="F61" s="1" t="s">
        <v>71</v>
      </c>
    </row>
    <row r="62" spans="1:14" x14ac:dyDescent="0.25">
      <c r="A62" s="11" t="s">
        <v>42</v>
      </c>
      <c r="B62" s="2">
        <f>22-8</f>
        <v>14</v>
      </c>
      <c r="C62" s="2" t="s">
        <v>24</v>
      </c>
      <c r="E62" s="1">
        <f>D49</f>
        <v>34</v>
      </c>
      <c r="F62" s="1" t="s">
        <v>24</v>
      </c>
      <c r="G62" s="1">
        <f>E62/B62</f>
        <v>2.4285714285714284</v>
      </c>
      <c r="H62" s="1" t="s">
        <v>76</v>
      </c>
    </row>
    <row r="63" spans="1:14" x14ac:dyDescent="0.25">
      <c r="A63" s="3" t="s">
        <v>2</v>
      </c>
      <c r="B63" s="2"/>
      <c r="C63" s="2"/>
    </row>
    <row r="64" spans="1:14" x14ac:dyDescent="0.25">
      <c r="A64" s="11" t="s">
        <v>42</v>
      </c>
      <c r="B64" s="2">
        <f>22-8</f>
        <v>14</v>
      </c>
      <c r="C64" s="2" t="s">
        <v>24</v>
      </c>
      <c r="E64" s="1">
        <f>D58</f>
        <v>42</v>
      </c>
      <c r="F64" s="1" t="str">
        <f>F62</f>
        <v>H</v>
      </c>
      <c r="G64" s="1">
        <f>E64/B64</f>
        <v>3</v>
      </c>
      <c r="H64" s="1" t="s">
        <v>76</v>
      </c>
    </row>
    <row r="66" spans="1:22" customFormat="1" x14ac:dyDescent="0.25">
      <c r="A66" s="48" t="s">
        <v>307</v>
      </c>
      <c r="B66" s="1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</row>
    <row r="67" spans="1:22" customFormat="1" x14ac:dyDescent="0.25">
      <c r="A67" s="48"/>
      <c r="B67" s="1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</row>
    <row r="68" spans="1:22" customFormat="1" x14ac:dyDescent="0.25">
      <c r="A68" s="50" t="s">
        <v>308</v>
      </c>
      <c r="B68" s="51" t="s">
        <v>309</v>
      </c>
      <c r="C68" s="52" t="s">
        <v>310</v>
      </c>
      <c r="D68" s="51" t="s">
        <v>311</v>
      </c>
      <c r="E68" s="51" t="s">
        <v>312</v>
      </c>
      <c r="F68" s="53" t="s">
        <v>313</v>
      </c>
      <c r="G68" s="51" t="s">
        <v>314</v>
      </c>
      <c r="H68" s="1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</row>
    <row r="69" spans="1:22" customFormat="1" x14ac:dyDescent="0.25">
      <c r="A69" s="50" t="s">
        <v>315</v>
      </c>
      <c r="B69" s="51">
        <v>1</v>
      </c>
      <c r="C69" s="51">
        <v>1</v>
      </c>
      <c r="D69" s="51">
        <v>1</v>
      </c>
      <c r="E69" s="51">
        <v>1</v>
      </c>
      <c r="F69" s="51">
        <v>1</v>
      </c>
      <c r="G69" s="51">
        <v>1</v>
      </c>
      <c r="H69" s="1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</row>
    <row r="70" spans="1:22" customFormat="1" x14ac:dyDescent="0.25">
      <c r="A70" s="50" t="s">
        <v>316</v>
      </c>
      <c r="B70" s="51">
        <v>1</v>
      </c>
      <c r="C70" s="51">
        <v>1</v>
      </c>
      <c r="D70" s="51">
        <v>1</v>
      </c>
      <c r="E70" s="51">
        <v>1</v>
      </c>
      <c r="F70" s="51">
        <v>1</v>
      </c>
      <c r="G70" s="51">
        <v>2</v>
      </c>
      <c r="H70" s="1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</row>
    <row r="71" spans="1:22" customFormat="1" x14ac:dyDescent="0.25">
      <c r="A71" s="50" t="s">
        <v>317</v>
      </c>
      <c r="B71" s="51">
        <v>1</v>
      </c>
      <c r="C71" s="51">
        <v>1</v>
      </c>
      <c r="D71" s="51">
        <v>1</v>
      </c>
      <c r="E71" s="51">
        <v>2</v>
      </c>
      <c r="F71" s="51">
        <v>2</v>
      </c>
      <c r="G71" s="51">
        <v>2</v>
      </c>
      <c r="H71" s="1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</row>
    <row r="72" spans="1:22" customFormat="1" x14ac:dyDescent="0.25">
      <c r="A72" s="50" t="s">
        <v>318</v>
      </c>
      <c r="B72" s="51">
        <v>0</v>
      </c>
      <c r="C72" s="51">
        <v>1</v>
      </c>
      <c r="D72" s="51">
        <v>1</v>
      </c>
      <c r="E72" s="51">
        <v>1</v>
      </c>
      <c r="F72" s="51">
        <v>1</v>
      </c>
      <c r="G72" s="51">
        <v>1</v>
      </c>
      <c r="H72" s="1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</row>
    <row r="73" spans="1:22" customFormat="1" x14ac:dyDescent="0.25">
      <c r="A73" s="50" t="s">
        <v>319</v>
      </c>
      <c r="B73" s="51">
        <f t="shared" ref="B73:G73" si="14">SUM(B69:B72)</f>
        <v>3</v>
      </c>
      <c r="C73" s="51">
        <f t="shared" si="14"/>
        <v>4</v>
      </c>
      <c r="D73" s="51">
        <f t="shared" si="14"/>
        <v>4</v>
      </c>
      <c r="E73" s="51">
        <f t="shared" si="14"/>
        <v>5</v>
      </c>
      <c r="F73" s="51">
        <f t="shared" si="14"/>
        <v>5</v>
      </c>
      <c r="G73" s="51">
        <f t="shared" si="14"/>
        <v>6</v>
      </c>
      <c r="H73" s="1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</row>
    <row r="74" spans="1:22" customFormat="1" x14ac:dyDescent="0.25">
      <c r="B74" s="49"/>
      <c r="C74" s="49"/>
      <c r="D74" s="49"/>
      <c r="E74" s="49"/>
      <c r="F74" s="49"/>
      <c r="G74" s="49"/>
      <c r="H74" s="1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</row>
    <row r="75" spans="1:22" customFormat="1" x14ac:dyDescent="0.25">
      <c r="A75" s="50" t="s">
        <v>320</v>
      </c>
      <c r="B75" s="54">
        <f>22-8</f>
        <v>14</v>
      </c>
      <c r="C75" s="54">
        <f t="shared" ref="C75:G75" si="15">22-8</f>
        <v>14</v>
      </c>
      <c r="D75" s="54">
        <f t="shared" si="15"/>
        <v>14</v>
      </c>
      <c r="E75" s="54">
        <f t="shared" si="15"/>
        <v>14</v>
      </c>
      <c r="F75" s="54">
        <f t="shared" si="15"/>
        <v>14</v>
      </c>
      <c r="G75" s="54">
        <f t="shared" si="15"/>
        <v>14</v>
      </c>
      <c r="H75" s="1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</row>
    <row r="76" spans="1:22" customFormat="1" x14ac:dyDescent="0.25">
      <c r="A76" s="50" t="s">
        <v>321</v>
      </c>
      <c r="B76" s="54">
        <v>2</v>
      </c>
      <c r="C76" s="54">
        <v>2</v>
      </c>
      <c r="D76" s="54">
        <v>2</v>
      </c>
      <c r="E76" s="54">
        <v>2</v>
      </c>
      <c r="F76" s="54">
        <v>2</v>
      </c>
      <c r="G76" s="54">
        <v>2</v>
      </c>
      <c r="H76" s="1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</row>
    <row r="77" spans="1:22" customFormat="1" x14ac:dyDescent="0.25">
      <c r="A77" s="50" t="s">
        <v>322</v>
      </c>
      <c r="B77" s="55">
        <f t="shared" ref="B77:G77" si="16">SUM(B75+B76)/8</f>
        <v>2</v>
      </c>
      <c r="C77" s="55">
        <f t="shared" si="16"/>
        <v>2</v>
      </c>
      <c r="D77" s="55">
        <f t="shared" si="16"/>
        <v>2</v>
      </c>
      <c r="E77" s="55">
        <f t="shared" si="16"/>
        <v>2</v>
      </c>
      <c r="F77" s="55">
        <f t="shared" si="16"/>
        <v>2</v>
      </c>
      <c r="G77" s="55">
        <f t="shared" si="16"/>
        <v>2</v>
      </c>
      <c r="H77" s="1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</row>
    <row r="78" spans="1:22" customFormat="1" x14ac:dyDescent="0.25">
      <c r="A78" s="50" t="s">
        <v>323</v>
      </c>
      <c r="B78" s="55">
        <f>SUM(B73*B77)</f>
        <v>6</v>
      </c>
      <c r="C78" s="55">
        <f t="shared" ref="C78:G78" si="17">SUM(C73*C77)</f>
        <v>8</v>
      </c>
      <c r="D78" s="55">
        <f t="shared" si="17"/>
        <v>8</v>
      </c>
      <c r="E78" s="55">
        <f t="shared" si="17"/>
        <v>10</v>
      </c>
      <c r="F78" s="55">
        <f t="shared" si="17"/>
        <v>10</v>
      </c>
      <c r="G78" s="55">
        <f t="shared" si="17"/>
        <v>12</v>
      </c>
      <c r="H78" s="1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</row>
    <row r="79" spans="1:22" customFormat="1" x14ac:dyDescent="0.25">
      <c r="B79" s="49"/>
      <c r="C79" s="49"/>
      <c r="D79" s="49"/>
      <c r="E79" s="49"/>
      <c r="F79" s="49"/>
      <c r="G79" s="49"/>
      <c r="H79" s="1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</row>
    <row r="80" spans="1:22" customFormat="1" x14ac:dyDescent="0.25">
      <c r="A80" s="50" t="s">
        <v>324</v>
      </c>
      <c r="B80" s="55">
        <f>SUM(B78*7)/6</f>
        <v>7</v>
      </c>
      <c r="C80" s="55">
        <f t="shared" ref="C80:G80" si="18">SUM(C78*7)/6</f>
        <v>9.3333333333333339</v>
      </c>
      <c r="D80" s="55">
        <f t="shared" si="18"/>
        <v>9.3333333333333339</v>
      </c>
      <c r="E80" s="55">
        <f t="shared" si="18"/>
        <v>11.666666666666666</v>
      </c>
      <c r="F80" s="55">
        <f t="shared" si="18"/>
        <v>11.666666666666666</v>
      </c>
      <c r="G80" s="55">
        <f t="shared" si="18"/>
        <v>14</v>
      </c>
      <c r="H80" s="1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</row>
    <row r="81" spans="1:22" customFormat="1" x14ac:dyDescent="0.25">
      <c r="A81" s="78"/>
      <c r="B81" s="79"/>
      <c r="C81" s="79"/>
      <c r="D81" s="79"/>
      <c r="E81" s="79"/>
      <c r="F81" s="79"/>
      <c r="G81" s="79"/>
      <c r="H81" s="1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</row>
    <row r="82" spans="1:22" x14ac:dyDescent="0.25">
      <c r="F82" s="1" t="s">
        <v>106</v>
      </c>
      <c r="G82" s="1" t="s">
        <v>95</v>
      </c>
      <c r="H82" s="1" t="s">
        <v>99</v>
      </c>
    </row>
    <row r="83" spans="1:22" ht="25.5" x14ac:dyDescent="0.35">
      <c r="A83" s="14" t="s">
        <v>84</v>
      </c>
      <c r="B83" s="15"/>
      <c r="C83" s="15"/>
      <c r="D83" s="15"/>
      <c r="E83" s="15"/>
      <c r="F83" s="1" t="s">
        <v>104</v>
      </c>
      <c r="G83" s="1" t="s">
        <v>105</v>
      </c>
      <c r="H83" s="1" t="s">
        <v>100</v>
      </c>
    </row>
    <row r="85" spans="1:22" x14ac:dyDescent="0.25">
      <c r="A85" s="68" t="s">
        <v>80</v>
      </c>
      <c r="B85" s="68" t="s">
        <v>81</v>
      </c>
      <c r="C85" s="68" t="s">
        <v>82</v>
      </c>
      <c r="D85" s="68" t="s">
        <v>66</v>
      </c>
    </row>
    <row r="86" spans="1:22" x14ac:dyDescent="0.25">
      <c r="A86" s="3" t="s">
        <v>0</v>
      </c>
      <c r="B86" s="2"/>
      <c r="C86" s="2"/>
      <c r="D86" s="68"/>
    </row>
    <row r="87" spans="1:22" x14ac:dyDescent="0.25">
      <c r="A87" s="2" t="s">
        <v>143</v>
      </c>
      <c r="B87" s="2">
        <v>262</v>
      </c>
      <c r="C87" s="2">
        <v>100</v>
      </c>
      <c r="D87" s="68">
        <f t="shared" ref="D87:D92" si="19">B87+C87</f>
        <v>362</v>
      </c>
    </row>
    <row r="88" spans="1:22" x14ac:dyDescent="0.25">
      <c r="A88" s="2" t="s">
        <v>144</v>
      </c>
      <c r="B88" s="2">
        <v>16</v>
      </c>
      <c r="C88" s="2">
        <v>1</v>
      </c>
      <c r="D88" s="68">
        <f t="shared" si="19"/>
        <v>17</v>
      </c>
    </row>
    <row r="89" spans="1:22" x14ac:dyDescent="0.25">
      <c r="A89" s="2" t="s">
        <v>145</v>
      </c>
      <c r="B89" s="2">
        <v>2</v>
      </c>
      <c r="C89" s="2">
        <v>0</v>
      </c>
      <c r="D89" s="68">
        <f t="shared" si="19"/>
        <v>2</v>
      </c>
    </row>
    <row r="90" spans="1:22" x14ac:dyDescent="0.25">
      <c r="A90" s="2" t="s">
        <v>146</v>
      </c>
      <c r="B90" s="2">
        <v>25</v>
      </c>
      <c r="C90" s="2">
        <v>4</v>
      </c>
      <c r="D90" s="68">
        <f t="shared" si="19"/>
        <v>29</v>
      </c>
    </row>
    <row r="91" spans="1:22" x14ac:dyDescent="0.25">
      <c r="A91" s="2" t="s">
        <v>147</v>
      </c>
      <c r="B91" s="2">
        <v>76</v>
      </c>
      <c r="C91" s="2">
        <v>14</v>
      </c>
      <c r="D91" s="68">
        <f t="shared" si="19"/>
        <v>90</v>
      </c>
    </row>
    <row r="92" spans="1:22" x14ac:dyDescent="0.25">
      <c r="A92" s="2" t="s">
        <v>148</v>
      </c>
      <c r="B92" s="2">
        <v>16</v>
      </c>
      <c r="C92" s="2">
        <v>3</v>
      </c>
      <c r="D92" s="68">
        <f t="shared" si="19"/>
        <v>19</v>
      </c>
    </row>
    <row r="93" spans="1:22" x14ac:dyDescent="0.25">
      <c r="A93" s="3"/>
      <c r="B93" s="2"/>
      <c r="C93" s="2"/>
      <c r="D93" s="68"/>
    </row>
    <row r="94" spans="1:22" x14ac:dyDescent="0.25">
      <c r="A94" s="3" t="s">
        <v>2</v>
      </c>
      <c r="B94" s="2"/>
      <c r="C94" s="2"/>
      <c r="D94" s="68"/>
    </row>
    <row r="95" spans="1:22" x14ac:dyDescent="0.25">
      <c r="A95" s="2" t="s">
        <v>143</v>
      </c>
      <c r="B95" s="2">
        <v>576</v>
      </c>
      <c r="C95" s="2">
        <v>103</v>
      </c>
      <c r="D95" s="68">
        <f t="shared" ref="D95:D100" si="20">B95+C95</f>
        <v>679</v>
      </c>
    </row>
    <row r="96" spans="1:22" x14ac:dyDescent="0.25">
      <c r="A96" s="2" t="s">
        <v>144</v>
      </c>
      <c r="B96" s="2">
        <v>25</v>
      </c>
      <c r="C96" s="2">
        <v>0</v>
      </c>
      <c r="D96" s="68">
        <f t="shared" si="20"/>
        <v>25</v>
      </c>
    </row>
    <row r="97" spans="1:12" x14ac:dyDescent="0.25">
      <c r="A97" s="2" t="s">
        <v>145</v>
      </c>
      <c r="B97" s="2">
        <v>4</v>
      </c>
      <c r="C97" s="2">
        <v>0</v>
      </c>
      <c r="D97" s="68">
        <f t="shared" si="20"/>
        <v>4</v>
      </c>
    </row>
    <row r="98" spans="1:12" x14ac:dyDescent="0.25">
      <c r="A98" s="2" t="s">
        <v>146</v>
      </c>
      <c r="B98" s="2">
        <v>55</v>
      </c>
      <c r="C98" s="2">
        <v>2</v>
      </c>
      <c r="D98" s="68">
        <f t="shared" si="20"/>
        <v>57</v>
      </c>
    </row>
    <row r="99" spans="1:12" x14ac:dyDescent="0.25">
      <c r="A99" s="2" t="s">
        <v>147</v>
      </c>
      <c r="B99" s="2">
        <v>162</v>
      </c>
      <c r="C99" s="2">
        <v>13</v>
      </c>
      <c r="D99" s="68">
        <f t="shared" si="20"/>
        <v>175</v>
      </c>
    </row>
    <row r="100" spans="1:12" x14ac:dyDescent="0.25">
      <c r="A100" s="2" t="s">
        <v>148</v>
      </c>
      <c r="B100" s="2">
        <v>40</v>
      </c>
      <c r="C100" s="2">
        <v>15</v>
      </c>
      <c r="D100" s="68">
        <f t="shared" si="20"/>
        <v>55</v>
      </c>
    </row>
    <row r="101" spans="1:12" x14ac:dyDescent="0.25">
      <c r="A101" s="3"/>
      <c r="B101" s="2"/>
      <c r="C101" s="2"/>
      <c r="D101" s="68"/>
    </row>
    <row r="103" spans="1:12" x14ac:dyDescent="0.25">
      <c r="A103" s="68" t="s">
        <v>103</v>
      </c>
      <c r="B103" s="3" t="s">
        <v>67</v>
      </c>
      <c r="C103" s="68" t="s">
        <v>101</v>
      </c>
      <c r="D103" s="3" t="s">
        <v>90</v>
      </c>
      <c r="F103" s="68" t="s">
        <v>89</v>
      </c>
      <c r="G103" s="3" t="s">
        <v>67</v>
      </c>
      <c r="H103" s="3" t="s">
        <v>90</v>
      </c>
      <c r="J103" s="68" t="s">
        <v>102</v>
      </c>
      <c r="K103" s="3" t="s">
        <v>67</v>
      </c>
      <c r="L103" s="3" t="s">
        <v>90</v>
      </c>
    </row>
    <row r="104" spans="1:12" x14ac:dyDescent="0.25">
      <c r="A104" s="11">
        <f>SUM(B104:D104)</f>
        <v>7</v>
      </c>
      <c r="B104" s="2">
        <v>4</v>
      </c>
      <c r="C104" s="2">
        <v>1</v>
      </c>
      <c r="D104" s="2">
        <v>2</v>
      </c>
      <c r="F104" s="11">
        <f>G104+H104</f>
        <v>6</v>
      </c>
      <c r="G104" s="2">
        <v>4</v>
      </c>
      <c r="H104" s="2">
        <v>2</v>
      </c>
      <c r="J104" s="11">
        <f>A104-F104</f>
        <v>1</v>
      </c>
      <c r="K104" s="2"/>
      <c r="L104" s="2"/>
    </row>
    <row r="106" spans="1:12" x14ac:dyDescent="0.25">
      <c r="J106" s="1" t="s">
        <v>126</v>
      </c>
    </row>
    <row r="107" spans="1:12" x14ac:dyDescent="0.25">
      <c r="J107" s="1" t="s">
        <v>154</v>
      </c>
    </row>
  </sheetData>
  <pageMargins left="0.25" right="0.25" top="0.75" bottom="0.75" header="0.3" footer="0.3"/>
  <pageSetup paperSize="9" scale="45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R105"/>
  <sheetViews>
    <sheetView workbookViewId="0">
      <selection activeCell="R40" sqref="R40"/>
    </sheetView>
  </sheetViews>
  <sheetFormatPr defaultRowHeight="15.75" x14ac:dyDescent="0.25"/>
  <cols>
    <col min="1" max="1" width="33.42578125" style="1" bestFit="1" customWidth="1"/>
    <col min="2" max="2" width="14.85546875" style="1" bestFit="1" customWidth="1"/>
    <col min="3" max="3" width="9.28515625" style="1" bestFit="1" customWidth="1"/>
    <col min="4" max="4" width="9.7109375" style="1" bestFit="1" customWidth="1"/>
    <col min="5" max="5" width="15.5703125" style="1" bestFit="1" customWidth="1"/>
    <col min="6" max="6" width="13.7109375" style="1" bestFit="1" customWidth="1"/>
    <col min="7" max="7" width="13.28515625" style="1" bestFit="1" customWidth="1"/>
    <col min="8" max="8" width="9.5703125" style="1" bestFit="1" customWidth="1"/>
    <col min="9" max="11" width="11.140625" style="1" bestFit="1" customWidth="1"/>
    <col min="12" max="17" width="9.5703125" style="1" bestFit="1" customWidth="1"/>
    <col min="18" max="16384" width="9.140625" style="1"/>
  </cols>
  <sheetData>
    <row r="2" spans="1:18" ht="25.5" x14ac:dyDescent="0.35">
      <c r="A2" s="14" t="s">
        <v>83</v>
      </c>
      <c r="B2" s="15"/>
      <c r="C2" s="15"/>
      <c r="D2" s="15"/>
    </row>
    <row r="4" spans="1:18" x14ac:dyDescent="0.25">
      <c r="A4" s="2"/>
      <c r="B4" s="3" t="s">
        <v>21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</row>
    <row r="5" spans="1:18" x14ac:dyDescent="0.25">
      <c r="A5" s="5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8" x14ac:dyDescent="0.25">
      <c r="A6" s="2" t="s">
        <v>28</v>
      </c>
      <c r="B6" s="2">
        <v>1</v>
      </c>
      <c r="C6" s="2">
        <v>28</v>
      </c>
      <c r="D6" s="2">
        <v>23</v>
      </c>
      <c r="E6" s="2">
        <v>53</v>
      </c>
      <c r="F6" s="2">
        <v>57</v>
      </c>
      <c r="G6" s="2">
        <v>109</v>
      </c>
      <c r="H6" s="2">
        <v>77</v>
      </c>
      <c r="I6" s="2">
        <v>67</v>
      </c>
      <c r="J6" s="2">
        <v>88</v>
      </c>
      <c r="K6" s="2">
        <v>96</v>
      </c>
      <c r="L6" s="2">
        <v>94</v>
      </c>
      <c r="M6" s="2">
        <v>87</v>
      </c>
      <c r="N6" s="2">
        <v>115</v>
      </c>
      <c r="O6" s="2">
        <v>125</v>
      </c>
      <c r="P6" s="2">
        <v>66</v>
      </c>
      <c r="Q6" s="2">
        <v>0</v>
      </c>
    </row>
    <row r="7" spans="1:18" x14ac:dyDescent="0.25">
      <c r="A7" s="4">
        <v>5</v>
      </c>
      <c r="B7" s="4">
        <f t="shared" ref="B7:Q7" si="0">ROUND(B6/$A$7,0)</f>
        <v>0</v>
      </c>
      <c r="C7" s="4">
        <f t="shared" si="0"/>
        <v>6</v>
      </c>
      <c r="D7" s="4">
        <f t="shared" si="0"/>
        <v>5</v>
      </c>
      <c r="E7" s="4">
        <f t="shared" si="0"/>
        <v>11</v>
      </c>
      <c r="F7" s="4">
        <f t="shared" si="0"/>
        <v>11</v>
      </c>
      <c r="G7" s="4">
        <f t="shared" si="0"/>
        <v>22</v>
      </c>
      <c r="H7" s="4">
        <f t="shared" si="0"/>
        <v>15</v>
      </c>
      <c r="I7" s="4">
        <f t="shared" si="0"/>
        <v>13</v>
      </c>
      <c r="J7" s="4">
        <f t="shared" si="0"/>
        <v>18</v>
      </c>
      <c r="K7" s="4">
        <f t="shared" si="0"/>
        <v>19</v>
      </c>
      <c r="L7" s="4">
        <f t="shared" si="0"/>
        <v>19</v>
      </c>
      <c r="M7" s="4">
        <f t="shared" si="0"/>
        <v>17</v>
      </c>
      <c r="N7" s="4">
        <f t="shared" si="0"/>
        <v>23</v>
      </c>
      <c r="O7" s="4">
        <f t="shared" si="0"/>
        <v>25</v>
      </c>
      <c r="P7" s="4">
        <f t="shared" si="0"/>
        <v>13</v>
      </c>
      <c r="Q7" s="4">
        <f t="shared" si="0"/>
        <v>0</v>
      </c>
    </row>
    <row r="8" spans="1:18" x14ac:dyDescent="0.25">
      <c r="A8" s="2" t="s">
        <v>31</v>
      </c>
      <c r="B8" s="2">
        <v>7</v>
      </c>
      <c r="C8" s="2">
        <v>26</v>
      </c>
      <c r="D8" s="2">
        <v>46</v>
      </c>
      <c r="E8" s="2">
        <v>49</v>
      </c>
      <c r="F8" s="2">
        <v>62</v>
      </c>
      <c r="G8" s="2">
        <v>74</v>
      </c>
      <c r="H8" s="2">
        <v>90</v>
      </c>
      <c r="I8" s="2">
        <v>45</v>
      </c>
      <c r="J8" s="2">
        <v>85</v>
      </c>
      <c r="K8" s="2">
        <v>65</v>
      </c>
      <c r="L8" s="2">
        <v>89</v>
      </c>
      <c r="M8" s="2">
        <v>90</v>
      </c>
      <c r="N8" s="2">
        <v>110</v>
      </c>
      <c r="O8" s="2">
        <v>110</v>
      </c>
      <c r="P8" s="2">
        <v>58</v>
      </c>
      <c r="Q8" s="2">
        <v>0</v>
      </c>
    </row>
    <row r="9" spans="1:18" x14ac:dyDescent="0.25">
      <c r="A9" s="4">
        <v>5</v>
      </c>
      <c r="B9" s="4">
        <f>ROUND(B8/$A$7,0)</f>
        <v>1</v>
      </c>
      <c r="C9" s="4">
        <f t="shared" ref="C9:Q9" si="1">ROUND(C8/$A$7,0)</f>
        <v>5</v>
      </c>
      <c r="D9" s="4">
        <f t="shared" si="1"/>
        <v>9</v>
      </c>
      <c r="E9" s="4">
        <f t="shared" si="1"/>
        <v>10</v>
      </c>
      <c r="F9" s="4">
        <f t="shared" si="1"/>
        <v>12</v>
      </c>
      <c r="G9" s="4">
        <f t="shared" si="1"/>
        <v>15</v>
      </c>
      <c r="H9" s="4">
        <f t="shared" si="1"/>
        <v>18</v>
      </c>
      <c r="I9" s="4">
        <f t="shared" si="1"/>
        <v>9</v>
      </c>
      <c r="J9" s="4">
        <f t="shared" si="1"/>
        <v>17</v>
      </c>
      <c r="K9" s="4">
        <f t="shared" si="1"/>
        <v>13</v>
      </c>
      <c r="L9" s="4">
        <f t="shared" si="1"/>
        <v>18</v>
      </c>
      <c r="M9" s="4">
        <f t="shared" si="1"/>
        <v>18</v>
      </c>
      <c r="N9" s="4">
        <f t="shared" si="1"/>
        <v>22</v>
      </c>
      <c r="O9" s="4">
        <f t="shared" si="1"/>
        <v>22</v>
      </c>
      <c r="P9" s="4">
        <f t="shared" si="1"/>
        <v>12</v>
      </c>
      <c r="Q9" s="4">
        <f t="shared" si="1"/>
        <v>0</v>
      </c>
    </row>
    <row r="10" spans="1:18" x14ac:dyDescent="0.25">
      <c r="A10" s="2" t="s">
        <v>33</v>
      </c>
      <c r="B10" s="2">
        <v>4</v>
      </c>
      <c r="C10" s="2">
        <v>30</v>
      </c>
      <c r="D10" s="2">
        <v>41</v>
      </c>
      <c r="E10" s="2">
        <v>44</v>
      </c>
      <c r="F10" s="2">
        <v>71</v>
      </c>
      <c r="G10" s="2">
        <v>100</v>
      </c>
      <c r="H10" s="2">
        <v>70</v>
      </c>
      <c r="I10" s="2">
        <v>68</v>
      </c>
      <c r="J10" s="2">
        <v>78</v>
      </c>
      <c r="K10" s="2">
        <v>97</v>
      </c>
      <c r="L10" s="2">
        <v>107</v>
      </c>
      <c r="M10" s="2">
        <v>91</v>
      </c>
      <c r="N10" s="2">
        <v>158</v>
      </c>
      <c r="O10" s="2">
        <v>150</v>
      </c>
      <c r="P10" s="2">
        <v>78</v>
      </c>
      <c r="Q10" s="2"/>
    </row>
    <row r="11" spans="1:18" x14ac:dyDescent="0.25">
      <c r="A11" s="4">
        <v>5</v>
      </c>
      <c r="B11" s="4">
        <f>ROUND(B10/$A$7,0)</f>
        <v>1</v>
      </c>
      <c r="C11" s="4">
        <f t="shared" ref="C11:Q11" si="2">ROUND(C10/$A$7,0)</f>
        <v>6</v>
      </c>
      <c r="D11" s="4">
        <f t="shared" si="2"/>
        <v>8</v>
      </c>
      <c r="E11" s="4">
        <f t="shared" si="2"/>
        <v>9</v>
      </c>
      <c r="F11" s="4">
        <f t="shared" si="2"/>
        <v>14</v>
      </c>
      <c r="G11" s="4">
        <f t="shared" si="2"/>
        <v>20</v>
      </c>
      <c r="H11" s="4">
        <f t="shared" si="2"/>
        <v>14</v>
      </c>
      <c r="I11" s="4">
        <f t="shared" si="2"/>
        <v>14</v>
      </c>
      <c r="J11" s="4">
        <f t="shared" si="2"/>
        <v>16</v>
      </c>
      <c r="K11" s="4">
        <f t="shared" si="2"/>
        <v>19</v>
      </c>
      <c r="L11" s="4">
        <f t="shared" si="2"/>
        <v>21</v>
      </c>
      <c r="M11" s="4">
        <f t="shared" si="2"/>
        <v>18</v>
      </c>
      <c r="N11" s="4">
        <f t="shared" si="2"/>
        <v>32</v>
      </c>
      <c r="O11" s="4">
        <f t="shared" si="2"/>
        <v>30</v>
      </c>
      <c r="P11" s="4">
        <f t="shared" si="2"/>
        <v>16</v>
      </c>
      <c r="Q11" s="4">
        <f t="shared" si="2"/>
        <v>0</v>
      </c>
    </row>
    <row r="12" spans="1:18" x14ac:dyDescent="0.25">
      <c r="A12" s="2" t="s">
        <v>35</v>
      </c>
      <c r="B12" s="2">
        <v>6</v>
      </c>
      <c r="C12" s="2">
        <v>31</v>
      </c>
      <c r="D12" s="2">
        <v>49</v>
      </c>
      <c r="E12" s="2">
        <v>40</v>
      </c>
      <c r="F12" s="2">
        <v>56</v>
      </c>
      <c r="G12" s="2">
        <v>99</v>
      </c>
      <c r="H12" s="2">
        <v>81</v>
      </c>
      <c r="I12" s="2">
        <v>73</v>
      </c>
      <c r="J12" s="2">
        <v>67</v>
      </c>
      <c r="K12" s="2">
        <v>70</v>
      </c>
      <c r="L12" s="2">
        <v>86</v>
      </c>
      <c r="M12" s="2">
        <v>122</v>
      </c>
      <c r="N12" s="2">
        <v>118</v>
      </c>
      <c r="O12" s="2">
        <v>127</v>
      </c>
      <c r="P12" s="2">
        <v>90</v>
      </c>
      <c r="Q12" s="2">
        <v>2</v>
      </c>
    </row>
    <row r="13" spans="1:18" x14ac:dyDescent="0.25">
      <c r="A13" s="4">
        <v>5</v>
      </c>
      <c r="B13" s="4">
        <f>ROUND(B12/$A$7,0)</f>
        <v>1</v>
      </c>
      <c r="C13" s="4">
        <f t="shared" ref="C13:Q13" si="3">ROUND(C12/$A$7,0)</f>
        <v>6</v>
      </c>
      <c r="D13" s="4">
        <f t="shared" si="3"/>
        <v>10</v>
      </c>
      <c r="E13" s="4">
        <f t="shared" si="3"/>
        <v>8</v>
      </c>
      <c r="F13" s="4">
        <f t="shared" si="3"/>
        <v>11</v>
      </c>
      <c r="G13" s="4">
        <f t="shared" si="3"/>
        <v>20</v>
      </c>
      <c r="H13" s="4">
        <f t="shared" si="3"/>
        <v>16</v>
      </c>
      <c r="I13" s="4">
        <f t="shared" si="3"/>
        <v>15</v>
      </c>
      <c r="J13" s="4">
        <f t="shared" si="3"/>
        <v>13</v>
      </c>
      <c r="K13" s="4">
        <f t="shared" si="3"/>
        <v>14</v>
      </c>
      <c r="L13" s="4">
        <f t="shared" si="3"/>
        <v>17</v>
      </c>
      <c r="M13" s="4">
        <f t="shared" si="3"/>
        <v>24</v>
      </c>
      <c r="N13" s="4">
        <f t="shared" si="3"/>
        <v>24</v>
      </c>
      <c r="O13" s="4">
        <f t="shared" si="3"/>
        <v>25</v>
      </c>
      <c r="P13" s="4">
        <f t="shared" si="3"/>
        <v>18</v>
      </c>
      <c r="Q13" s="4">
        <f t="shared" si="3"/>
        <v>0</v>
      </c>
    </row>
    <row r="14" spans="1:18" x14ac:dyDescent="0.25">
      <c r="A14" s="2" t="s">
        <v>37</v>
      </c>
      <c r="B14" s="2">
        <v>3</v>
      </c>
      <c r="C14" s="2">
        <v>31</v>
      </c>
      <c r="D14" s="2">
        <v>70</v>
      </c>
      <c r="E14" s="2">
        <v>78</v>
      </c>
      <c r="F14" s="2">
        <v>85</v>
      </c>
      <c r="G14" s="2">
        <v>83</v>
      </c>
      <c r="H14" s="2">
        <v>87</v>
      </c>
      <c r="I14" s="2">
        <v>77</v>
      </c>
      <c r="J14" s="2">
        <v>114</v>
      </c>
      <c r="K14" s="2">
        <v>110</v>
      </c>
      <c r="L14" s="2">
        <v>120</v>
      </c>
      <c r="M14" s="2">
        <v>136</v>
      </c>
      <c r="N14" s="2">
        <v>166</v>
      </c>
      <c r="O14" s="2">
        <v>159</v>
      </c>
      <c r="P14" s="2">
        <v>96</v>
      </c>
      <c r="Q14" s="2">
        <v>1</v>
      </c>
    </row>
    <row r="15" spans="1:18" x14ac:dyDescent="0.25">
      <c r="A15" s="4">
        <v>5</v>
      </c>
      <c r="B15" s="4">
        <f>ROUND(B14/$A$7,0)</f>
        <v>1</v>
      </c>
      <c r="C15" s="4">
        <f t="shared" ref="C15:Q15" si="4">ROUND(C14/$A$7,0)</f>
        <v>6</v>
      </c>
      <c r="D15" s="4">
        <f t="shared" si="4"/>
        <v>14</v>
      </c>
      <c r="E15" s="4">
        <f t="shared" si="4"/>
        <v>16</v>
      </c>
      <c r="F15" s="4">
        <f t="shared" si="4"/>
        <v>17</v>
      </c>
      <c r="G15" s="4">
        <f t="shared" si="4"/>
        <v>17</v>
      </c>
      <c r="H15" s="4">
        <f t="shared" si="4"/>
        <v>17</v>
      </c>
      <c r="I15" s="4">
        <f t="shared" si="4"/>
        <v>15</v>
      </c>
      <c r="J15" s="4">
        <f t="shared" si="4"/>
        <v>23</v>
      </c>
      <c r="K15" s="4">
        <f t="shared" si="4"/>
        <v>22</v>
      </c>
      <c r="L15" s="4">
        <f t="shared" si="4"/>
        <v>24</v>
      </c>
      <c r="M15" s="4">
        <f t="shared" si="4"/>
        <v>27</v>
      </c>
      <c r="N15" s="4">
        <f t="shared" si="4"/>
        <v>33</v>
      </c>
      <c r="O15" s="4">
        <f t="shared" si="4"/>
        <v>32</v>
      </c>
      <c r="P15" s="4">
        <f t="shared" si="4"/>
        <v>19</v>
      </c>
      <c r="Q15" s="4">
        <f t="shared" si="4"/>
        <v>0</v>
      </c>
    </row>
    <row r="16" spans="1:18" x14ac:dyDescent="0.25">
      <c r="A16" s="7" t="s">
        <v>40</v>
      </c>
      <c r="B16" s="7">
        <f t="shared" ref="B16:Q16" si="5">ROUND((B7+B9+B11+B13+B15)/5,0)</f>
        <v>1</v>
      </c>
      <c r="C16" s="7">
        <f t="shared" si="5"/>
        <v>6</v>
      </c>
      <c r="D16" s="7">
        <f t="shared" si="5"/>
        <v>9</v>
      </c>
      <c r="E16" s="7">
        <f t="shared" si="5"/>
        <v>11</v>
      </c>
      <c r="F16" s="7">
        <f t="shared" si="5"/>
        <v>13</v>
      </c>
      <c r="G16" s="7">
        <f t="shared" si="5"/>
        <v>19</v>
      </c>
      <c r="H16" s="7">
        <f t="shared" si="5"/>
        <v>16</v>
      </c>
      <c r="I16" s="7">
        <f t="shared" si="5"/>
        <v>13</v>
      </c>
      <c r="J16" s="7">
        <f t="shared" si="5"/>
        <v>17</v>
      </c>
      <c r="K16" s="7">
        <f t="shared" si="5"/>
        <v>17</v>
      </c>
      <c r="L16" s="7">
        <f t="shared" si="5"/>
        <v>20</v>
      </c>
      <c r="M16" s="7">
        <f t="shared" si="5"/>
        <v>21</v>
      </c>
      <c r="N16" s="7">
        <f t="shared" si="5"/>
        <v>27</v>
      </c>
      <c r="O16" s="7">
        <f t="shared" si="5"/>
        <v>27</v>
      </c>
      <c r="P16" s="7">
        <f t="shared" si="5"/>
        <v>16</v>
      </c>
      <c r="Q16" s="7">
        <f t="shared" si="5"/>
        <v>0</v>
      </c>
      <c r="R16" s="1">
        <f t="shared" ref="R16:R17" si="6">SUM(B16:Q16)</f>
        <v>233</v>
      </c>
    </row>
    <row r="17" spans="1:18" x14ac:dyDescent="0.25">
      <c r="A17" s="12" t="s">
        <v>60</v>
      </c>
      <c r="B17" s="12">
        <v>1</v>
      </c>
      <c r="C17" s="12">
        <v>2</v>
      </c>
      <c r="D17" s="12">
        <v>2</v>
      </c>
      <c r="E17" s="12">
        <v>2</v>
      </c>
      <c r="F17" s="12">
        <v>2</v>
      </c>
      <c r="G17" s="12">
        <v>2</v>
      </c>
      <c r="H17" s="12">
        <v>2</v>
      </c>
      <c r="I17" s="12">
        <v>2</v>
      </c>
      <c r="J17" s="12">
        <v>2</v>
      </c>
      <c r="K17" s="12">
        <v>2</v>
      </c>
      <c r="L17" s="12">
        <v>2</v>
      </c>
      <c r="M17" s="12">
        <v>2</v>
      </c>
      <c r="N17" s="12">
        <v>3</v>
      </c>
      <c r="O17" s="12">
        <v>3</v>
      </c>
      <c r="P17" s="12">
        <v>2</v>
      </c>
      <c r="Q17" s="2"/>
      <c r="R17" s="1">
        <f t="shared" si="6"/>
        <v>31</v>
      </c>
    </row>
    <row r="18" spans="1:18" x14ac:dyDescent="0.25">
      <c r="A18" s="12" t="s">
        <v>61</v>
      </c>
      <c r="B18" s="12">
        <v>1</v>
      </c>
      <c r="C18" s="12">
        <v>2</v>
      </c>
      <c r="D18" s="12">
        <v>2</v>
      </c>
      <c r="E18" s="12">
        <v>2</v>
      </c>
      <c r="F18" s="12">
        <v>2</v>
      </c>
      <c r="G18" s="12">
        <v>2</v>
      </c>
      <c r="H18" s="12">
        <v>2</v>
      </c>
      <c r="I18" s="12">
        <v>2</v>
      </c>
      <c r="J18" s="12">
        <v>2</v>
      </c>
      <c r="K18" s="12">
        <v>2</v>
      </c>
      <c r="L18" s="12">
        <v>2</v>
      </c>
      <c r="M18" s="12">
        <v>2</v>
      </c>
      <c r="N18" s="12">
        <v>3</v>
      </c>
      <c r="O18" s="12">
        <v>3</v>
      </c>
      <c r="P18" s="12">
        <v>2</v>
      </c>
      <c r="Q18" s="2"/>
      <c r="R18" s="1">
        <f>SUM(B18:Q18)</f>
        <v>31</v>
      </c>
    </row>
    <row r="20" spans="1:18" x14ac:dyDescent="0.25">
      <c r="A20" s="13" t="s">
        <v>75</v>
      </c>
    </row>
    <row r="21" spans="1:18" x14ac:dyDescent="0.25">
      <c r="A21" s="2" t="s">
        <v>78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/>
      <c r="K21" s="2"/>
      <c r="L21" s="2"/>
      <c r="M21" s="2"/>
      <c r="N21" s="2"/>
      <c r="O21" s="2"/>
      <c r="P21" s="2"/>
      <c r="Q21" s="2"/>
    </row>
    <row r="22" spans="1:18" x14ac:dyDescent="0.25">
      <c r="A22" s="2" t="s">
        <v>111</v>
      </c>
      <c r="B22" s="2"/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/>
      <c r="J22" s="2"/>
      <c r="K22" s="2"/>
      <c r="L22" s="2"/>
      <c r="M22" s="2"/>
      <c r="N22" s="2"/>
      <c r="O22" s="2"/>
      <c r="P22" s="2"/>
      <c r="Q22" s="2"/>
    </row>
    <row r="23" spans="1:18" x14ac:dyDescent="0.25">
      <c r="A23" s="2" t="s">
        <v>86</v>
      </c>
      <c r="B23" s="2"/>
      <c r="C23" s="2"/>
      <c r="D23" s="2"/>
      <c r="E23" s="2"/>
      <c r="F23" s="2"/>
      <c r="G23" s="2"/>
      <c r="H23" s="2"/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/>
    </row>
    <row r="24" spans="1:18" x14ac:dyDescent="0.25">
      <c r="A24" s="2" t="s">
        <v>117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1</v>
      </c>
      <c r="N24" s="2">
        <v>1</v>
      </c>
      <c r="O24" s="2">
        <v>1</v>
      </c>
      <c r="P24" s="2">
        <v>1</v>
      </c>
      <c r="Q24" s="2"/>
    </row>
    <row r="25" spans="1:18" x14ac:dyDescent="0.25">
      <c r="A25" s="2" t="s">
        <v>117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v>1</v>
      </c>
      <c r="N25" s="2">
        <v>1</v>
      </c>
      <c r="O25" s="2">
        <v>1</v>
      </c>
      <c r="P25" s="2">
        <v>1</v>
      </c>
      <c r="Q25" s="2"/>
    </row>
    <row r="26" spans="1:18" x14ac:dyDescent="0.25">
      <c r="A26" s="2" t="s">
        <v>160</v>
      </c>
      <c r="B26" s="2"/>
      <c r="C26" s="2"/>
      <c r="D26" s="2"/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/>
      <c r="N26" s="2"/>
      <c r="O26" s="2"/>
      <c r="P26" s="2"/>
      <c r="Q26" s="2"/>
    </row>
    <row r="27" spans="1:18" x14ac:dyDescent="0.25">
      <c r="A27" s="2" t="s">
        <v>66</v>
      </c>
      <c r="B27" s="2">
        <f>SUM(B21:B26)</f>
        <v>1</v>
      </c>
      <c r="C27" s="2">
        <f t="shared" ref="C27:Q27" si="7">SUM(C21:C26)</f>
        <v>2</v>
      </c>
      <c r="D27" s="2">
        <f t="shared" si="7"/>
        <v>2</v>
      </c>
      <c r="E27" s="2">
        <f t="shared" si="7"/>
        <v>3</v>
      </c>
      <c r="F27" s="2">
        <f t="shared" si="7"/>
        <v>3</v>
      </c>
      <c r="G27" s="2">
        <f t="shared" si="7"/>
        <v>3</v>
      </c>
      <c r="H27" s="2">
        <f t="shared" si="7"/>
        <v>3</v>
      </c>
      <c r="I27" s="2">
        <f t="shared" si="7"/>
        <v>3</v>
      </c>
      <c r="J27" s="2">
        <f t="shared" si="7"/>
        <v>2</v>
      </c>
      <c r="K27" s="2">
        <f t="shared" si="7"/>
        <v>2</v>
      </c>
      <c r="L27" s="2">
        <f t="shared" si="7"/>
        <v>2</v>
      </c>
      <c r="M27" s="2">
        <f t="shared" si="7"/>
        <v>3</v>
      </c>
      <c r="N27" s="2">
        <f t="shared" si="7"/>
        <v>3</v>
      </c>
      <c r="O27" s="2">
        <f t="shared" si="7"/>
        <v>3</v>
      </c>
      <c r="P27" s="2">
        <f t="shared" si="7"/>
        <v>3</v>
      </c>
      <c r="Q27" s="2">
        <f t="shared" si="7"/>
        <v>0</v>
      </c>
      <c r="R27" s="1">
        <f>SUM(B27:Q27)</f>
        <v>38</v>
      </c>
    </row>
    <row r="29" spans="1:18" x14ac:dyDescent="0.25">
      <c r="A29" s="5" t="s">
        <v>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8" x14ac:dyDescent="0.25">
      <c r="A30" s="2" t="s">
        <v>30</v>
      </c>
      <c r="B30" s="2">
        <v>0</v>
      </c>
      <c r="C30" s="2">
        <v>14</v>
      </c>
      <c r="D30" s="2">
        <v>49</v>
      </c>
      <c r="E30" s="2">
        <v>64</v>
      </c>
      <c r="F30" s="2">
        <v>62</v>
      </c>
      <c r="G30" s="2">
        <v>69</v>
      </c>
      <c r="H30" s="2">
        <v>47</v>
      </c>
      <c r="I30" s="2">
        <v>36</v>
      </c>
      <c r="J30" s="2">
        <v>69</v>
      </c>
      <c r="K30" s="2">
        <v>76</v>
      </c>
      <c r="L30" s="2">
        <v>97</v>
      </c>
      <c r="M30" s="2">
        <v>117</v>
      </c>
      <c r="N30" s="2">
        <v>133</v>
      </c>
      <c r="O30" s="2">
        <v>132</v>
      </c>
      <c r="P30" s="2">
        <v>79</v>
      </c>
      <c r="Q30" s="2">
        <v>2</v>
      </c>
    </row>
    <row r="31" spans="1:18" x14ac:dyDescent="0.25">
      <c r="A31" s="4">
        <v>2</v>
      </c>
      <c r="B31" s="4">
        <f t="shared" ref="B31:Q31" si="8">ROUND((B30)/$A$31,0)</f>
        <v>0</v>
      </c>
      <c r="C31" s="4">
        <f t="shared" si="8"/>
        <v>7</v>
      </c>
      <c r="D31" s="4">
        <f t="shared" si="8"/>
        <v>25</v>
      </c>
      <c r="E31" s="4">
        <f t="shared" si="8"/>
        <v>32</v>
      </c>
      <c r="F31" s="4">
        <f t="shared" si="8"/>
        <v>31</v>
      </c>
      <c r="G31" s="4">
        <f t="shared" si="8"/>
        <v>35</v>
      </c>
      <c r="H31" s="4">
        <f t="shared" si="8"/>
        <v>24</v>
      </c>
      <c r="I31" s="4">
        <f t="shared" si="8"/>
        <v>18</v>
      </c>
      <c r="J31" s="4">
        <f t="shared" si="8"/>
        <v>35</v>
      </c>
      <c r="K31" s="4">
        <f t="shared" si="8"/>
        <v>38</v>
      </c>
      <c r="L31" s="4">
        <f t="shared" si="8"/>
        <v>49</v>
      </c>
      <c r="M31" s="4">
        <f t="shared" si="8"/>
        <v>59</v>
      </c>
      <c r="N31" s="4">
        <f t="shared" si="8"/>
        <v>67</v>
      </c>
      <c r="O31" s="4">
        <f t="shared" si="8"/>
        <v>66</v>
      </c>
      <c r="P31" s="4">
        <f t="shared" si="8"/>
        <v>40</v>
      </c>
      <c r="Q31" s="4">
        <f t="shared" si="8"/>
        <v>1</v>
      </c>
    </row>
    <row r="32" spans="1:18" x14ac:dyDescent="0.25">
      <c r="A32" s="2" t="s">
        <v>32</v>
      </c>
      <c r="B32" s="2">
        <v>2</v>
      </c>
      <c r="C32" s="2">
        <v>18</v>
      </c>
      <c r="D32" s="2">
        <v>85</v>
      </c>
      <c r="E32" s="2">
        <v>88</v>
      </c>
      <c r="F32" s="2">
        <v>99</v>
      </c>
      <c r="G32" s="2">
        <v>76</v>
      </c>
      <c r="H32" s="2">
        <v>92</v>
      </c>
      <c r="I32" s="2">
        <v>76</v>
      </c>
      <c r="J32" s="2">
        <v>90</v>
      </c>
      <c r="K32" s="2">
        <v>97</v>
      </c>
      <c r="L32" s="2">
        <v>138</v>
      </c>
      <c r="M32" s="2">
        <v>175</v>
      </c>
      <c r="N32" s="2">
        <v>180</v>
      </c>
      <c r="O32" s="2">
        <v>207</v>
      </c>
      <c r="P32" s="2">
        <v>127</v>
      </c>
      <c r="Q32" s="2"/>
    </row>
    <row r="33" spans="1:18" x14ac:dyDescent="0.25">
      <c r="A33" s="4">
        <v>2</v>
      </c>
      <c r="B33" s="4">
        <f t="shared" ref="B33:Q33" si="9">ROUND((B32)/$A$31,0)</f>
        <v>1</v>
      </c>
      <c r="C33" s="4">
        <f t="shared" si="9"/>
        <v>9</v>
      </c>
      <c r="D33" s="4">
        <f t="shared" si="9"/>
        <v>43</v>
      </c>
      <c r="E33" s="4">
        <f t="shared" si="9"/>
        <v>44</v>
      </c>
      <c r="F33" s="4">
        <f t="shared" si="9"/>
        <v>50</v>
      </c>
      <c r="G33" s="4">
        <f t="shared" si="9"/>
        <v>38</v>
      </c>
      <c r="H33" s="4">
        <f t="shared" si="9"/>
        <v>46</v>
      </c>
      <c r="I33" s="4">
        <f t="shared" si="9"/>
        <v>38</v>
      </c>
      <c r="J33" s="4">
        <f t="shared" si="9"/>
        <v>45</v>
      </c>
      <c r="K33" s="4">
        <f t="shared" si="9"/>
        <v>49</v>
      </c>
      <c r="L33" s="4">
        <f t="shared" si="9"/>
        <v>69</v>
      </c>
      <c r="M33" s="4">
        <f t="shared" si="9"/>
        <v>88</v>
      </c>
      <c r="N33" s="4">
        <f t="shared" si="9"/>
        <v>90</v>
      </c>
      <c r="O33" s="4">
        <f t="shared" si="9"/>
        <v>104</v>
      </c>
      <c r="P33" s="4">
        <f t="shared" si="9"/>
        <v>64</v>
      </c>
      <c r="Q33" s="4">
        <f t="shared" si="9"/>
        <v>0</v>
      </c>
    </row>
    <row r="34" spans="1:18" x14ac:dyDescent="0.25">
      <c r="A34" s="2" t="s">
        <v>34</v>
      </c>
      <c r="B34" s="2">
        <v>1</v>
      </c>
      <c r="C34" s="2">
        <v>18</v>
      </c>
      <c r="D34" s="2">
        <v>48</v>
      </c>
      <c r="E34" s="2">
        <v>48</v>
      </c>
      <c r="F34" s="2">
        <v>60</v>
      </c>
      <c r="G34" s="2">
        <v>56</v>
      </c>
      <c r="H34" s="2">
        <v>40</v>
      </c>
      <c r="I34" s="2">
        <v>58</v>
      </c>
      <c r="J34" s="2">
        <v>61</v>
      </c>
      <c r="K34" s="2">
        <v>108</v>
      </c>
      <c r="L34" s="2">
        <v>111</v>
      </c>
      <c r="M34" s="2">
        <v>121</v>
      </c>
      <c r="N34" s="2">
        <v>150</v>
      </c>
      <c r="O34" s="2">
        <v>66</v>
      </c>
      <c r="P34" s="2"/>
      <c r="Q34" s="2"/>
    </row>
    <row r="35" spans="1:18" x14ac:dyDescent="0.25">
      <c r="A35" s="4">
        <v>2</v>
      </c>
      <c r="B35" s="4">
        <f t="shared" ref="B35:Q35" si="10">ROUND((B34)/$A$31,0)</f>
        <v>1</v>
      </c>
      <c r="C35" s="4">
        <f t="shared" si="10"/>
        <v>9</v>
      </c>
      <c r="D35" s="4">
        <f t="shared" si="10"/>
        <v>24</v>
      </c>
      <c r="E35" s="4">
        <f t="shared" si="10"/>
        <v>24</v>
      </c>
      <c r="F35" s="4">
        <f t="shared" si="10"/>
        <v>30</v>
      </c>
      <c r="G35" s="4">
        <f t="shared" si="10"/>
        <v>28</v>
      </c>
      <c r="H35" s="4">
        <f t="shared" si="10"/>
        <v>20</v>
      </c>
      <c r="I35" s="4">
        <f t="shared" si="10"/>
        <v>29</v>
      </c>
      <c r="J35" s="4">
        <f t="shared" si="10"/>
        <v>31</v>
      </c>
      <c r="K35" s="4">
        <f t="shared" si="10"/>
        <v>54</v>
      </c>
      <c r="L35" s="4">
        <f t="shared" si="10"/>
        <v>56</v>
      </c>
      <c r="M35" s="4">
        <f t="shared" si="10"/>
        <v>61</v>
      </c>
      <c r="N35" s="4">
        <f t="shared" si="10"/>
        <v>75</v>
      </c>
      <c r="O35" s="4">
        <f t="shared" si="10"/>
        <v>33</v>
      </c>
      <c r="P35" s="4">
        <f t="shared" si="10"/>
        <v>0</v>
      </c>
      <c r="Q35" s="4">
        <f t="shared" si="10"/>
        <v>0</v>
      </c>
    </row>
    <row r="36" spans="1:18" x14ac:dyDescent="0.25">
      <c r="A36" s="2" t="s">
        <v>36</v>
      </c>
      <c r="B36" s="2">
        <v>5</v>
      </c>
      <c r="C36" s="2">
        <v>29</v>
      </c>
      <c r="D36" s="2">
        <v>53</v>
      </c>
      <c r="E36" s="2">
        <v>51</v>
      </c>
      <c r="F36" s="2">
        <v>79</v>
      </c>
      <c r="G36" s="2">
        <v>64</v>
      </c>
      <c r="H36" s="2">
        <v>58</v>
      </c>
      <c r="I36" s="2">
        <v>63</v>
      </c>
      <c r="J36" s="2">
        <v>67</v>
      </c>
      <c r="K36" s="2">
        <v>79</v>
      </c>
      <c r="L36" s="2">
        <v>124</v>
      </c>
      <c r="M36" s="2">
        <v>150</v>
      </c>
      <c r="N36" s="2">
        <v>177</v>
      </c>
      <c r="O36" s="2">
        <v>203</v>
      </c>
      <c r="P36" s="2">
        <v>109</v>
      </c>
      <c r="Q36" s="2">
        <v>7</v>
      </c>
    </row>
    <row r="37" spans="1:18" x14ac:dyDescent="0.25">
      <c r="A37" s="4">
        <v>2</v>
      </c>
      <c r="B37" s="4">
        <f t="shared" ref="B37:Q37" si="11">ROUND((B36)/$A$31,0)</f>
        <v>3</v>
      </c>
      <c r="C37" s="4">
        <f t="shared" si="11"/>
        <v>15</v>
      </c>
      <c r="D37" s="4">
        <f t="shared" si="11"/>
        <v>27</v>
      </c>
      <c r="E37" s="4">
        <f t="shared" si="11"/>
        <v>26</v>
      </c>
      <c r="F37" s="4">
        <f t="shared" si="11"/>
        <v>40</v>
      </c>
      <c r="G37" s="4">
        <f t="shared" si="11"/>
        <v>32</v>
      </c>
      <c r="H37" s="4">
        <f t="shared" si="11"/>
        <v>29</v>
      </c>
      <c r="I37" s="4">
        <f t="shared" si="11"/>
        <v>32</v>
      </c>
      <c r="J37" s="4">
        <f t="shared" si="11"/>
        <v>34</v>
      </c>
      <c r="K37" s="4">
        <f t="shared" si="11"/>
        <v>40</v>
      </c>
      <c r="L37" s="4">
        <f t="shared" si="11"/>
        <v>62</v>
      </c>
      <c r="M37" s="4">
        <f t="shared" si="11"/>
        <v>75</v>
      </c>
      <c r="N37" s="4">
        <f t="shared" si="11"/>
        <v>89</v>
      </c>
      <c r="O37" s="4">
        <f t="shared" si="11"/>
        <v>102</v>
      </c>
      <c r="P37" s="4">
        <f t="shared" si="11"/>
        <v>55</v>
      </c>
      <c r="Q37" s="4">
        <f t="shared" si="11"/>
        <v>4</v>
      </c>
    </row>
    <row r="38" spans="1:18" x14ac:dyDescent="0.25">
      <c r="A38" s="2" t="s">
        <v>41</v>
      </c>
      <c r="B38" s="2">
        <v>0</v>
      </c>
      <c r="C38" s="2">
        <v>12</v>
      </c>
      <c r="D38" s="2">
        <v>42</v>
      </c>
      <c r="E38" s="2">
        <v>80</v>
      </c>
      <c r="F38" s="2">
        <v>82</v>
      </c>
      <c r="G38" s="2">
        <v>52</v>
      </c>
      <c r="H38" s="2">
        <v>55</v>
      </c>
      <c r="I38" s="2">
        <v>56</v>
      </c>
      <c r="J38" s="2">
        <v>72</v>
      </c>
      <c r="K38" s="2">
        <v>78</v>
      </c>
      <c r="L38" s="2">
        <v>75</v>
      </c>
      <c r="M38" s="2">
        <v>98</v>
      </c>
      <c r="N38" s="2">
        <v>150</v>
      </c>
      <c r="O38" s="2">
        <v>133</v>
      </c>
      <c r="P38" s="2">
        <v>79</v>
      </c>
      <c r="Q38" s="2">
        <v>2</v>
      </c>
    </row>
    <row r="39" spans="1:18" x14ac:dyDescent="0.25">
      <c r="A39" s="4">
        <v>2</v>
      </c>
      <c r="B39" s="4">
        <f t="shared" ref="B39:Q39" si="12">ROUND((B38)/$A$31,0)</f>
        <v>0</v>
      </c>
      <c r="C39" s="4">
        <f t="shared" si="12"/>
        <v>6</v>
      </c>
      <c r="D39" s="4">
        <f t="shared" si="12"/>
        <v>21</v>
      </c>
      <c r="E39" s="4">
        <f t="shared" si="12"/>
        <v>40</v>
      </c>
      <c r="F39" s="4">
        <f t="shared" si="12"/>
        <v>41</v>
      </c>
      <c r="G39" s="4">
        <f t="shared" si="12"/>
        <v>26</v>
      </c>
      <c r="H39" s="4">
        <f t="shared" si="12"/>
        <v>28</v>
      </c>
      <c r="I39" s="4">
        <f t="shared" si="12"/>
        <v>28</v>
      </c>
      <c r="J39" s="4">
        <f t="shared" si="12"/>
        <v>36</v>
      </c>
      <c r="K39" s="4">
        <f t="shared" si="12"/>
        <v>39</v>
      </c>
      <c r="L39" s="4">
        <f t="shared" si="12"/>
        <v>38</v>
      </c>
      <c r="M39" s="4">
        <f t="shared" si="12"/>
        <v>49</v>
      </c>
      <c r="N39" s="4">
        <f t="shared" si="12"/>
        <v>75</v>
      </c>
      <c r="O39" s="4">
        <f t="shared" si="12"/>
        <v>67</v>
      </c>
      <c r="P39" s="4">
        <f t="shared" si="12"/>
        <v>40</v>
      </c>
      <c r="Q39" s="4">
        <f t="shared" si="12"/>
        <v>1</v>
      </c>
    </row>
    <row r="40" spans="1:18" x14ac:dyDescent="0.25">
      <c r="A40" s="7" t="s">
        <v>40</v>
      </c>
      <c r="B40" s="7">
        <f>ROUND((B39+B37+B35+B33+B31)/6,0)</f>
        <v>1</v>
      </c>
      <c r="C40" s="7">
        <f t="shared" ref="C40:Q40" si="13">ROUND((C39+C37+C35+C33+C31)/6,0)</f>
        <v>8</v>
      </c>
      <c r="D40" s="7">
        <f t="shared" si="13"/>
        <v>23</v>
      </c>
      <c r="E40" s="7">
        <f t="shared" si="13"/>
        <v>28</v>
      </c>
      <c r="F40" s="7">
        <f t="shared" si="13"/>
        <v>32</v>
      </c>
      <c r="G40" s="7">
        <f t="shared" si="13"/>
        <v>27</v>
      </c>
      <c r="H40" s="7">
        <f t="shared" si="13"/>
        <v>25</v>
      </c>
      <c r="I40" s="7">
        <f t="shared" si="13"/>
        <v>24</v>
      </c>
      <c r="J40" s="7">
        <f t="shared" si="13"/>
        <v>30</v>
      </c>
      <c r="K40" s="7">
        <f t="shared" si="13"/>
        <v>37</v>
      </c>
      <c r="L40" s="7">
        <f t="shared" si="13"/>
        <v>46</v>
      </c>
      <c r="M40" s="7">
        <f t="shared" si="13"/>
        <v>55</v>
      </c>
      <c r="N40" s="7">
        <f t="shared" si="13"/>
        <v>66</v>
      </c>
      <c r="O40" s="7">
        <f t="shared" si="13"/>
        <v>62</v>
      </c>
      <c r="P40" s="7">
        <f t="shared" si="13"/>
        <v>33</v>
      </c>
      <c r="Q40" s="7">
        <f t="shared" si="13"/>
        <v>1</v>
      </c>
      <c r="R40" s="1">
        <f t="shared" ref="R40:R41" si="14">SUM(B40:Q40)</f>
        <v>498</v>
      </c>
    </row>
    <row r="41" spans="1:18" x14ac:dyDescent="0.25">
      <c r="A41" s="12" t="s">
        <v>60</v>
      </c>
      <c r="B41" s="12">
        <v>1</v>
      </c>
      <c r="C41" s="12">
        <v>2</v>
      </c>
      <c r="D41" s="12">
        <v>2</v>
      </c>
      <c r="E41" s="12">
        <v>3</v>
      </c>
      <c r="F41" s="12">
        <v>3</v>
      </c>
      <c r="G41" s="12">
        <v>3</v>
      </c>
      <c r="H41" s="12">
        <v>3</v>
      </c>
      <c r="I41" s="12">
        <v>2</v>
      </c>
      <c r="J41" s="12">
        <v>3</v>
      </c>
      <c r="K41" s="12">
        <v>4</v>
      </c>
      <c r="L41" s="12">
        <v>4</v>
      </c>
      <c r="M41" s="12">
        <v>5</v>
      </c>
      <c r="N41" s="12">
        <v>5</v>
      </c>
      <c r="O41" s="12">
        <v>5</v>
      </c>
      <c r="P41" s="12">
        <v>4</v>
      </c>
      <c r="Q41" s="2"/>
      <c r="R41" s="1">
        <f t="shared" si="14"/>
        <v>49</v>
      </c>
    </row>
    <row r="42" spans="1:18" x14ac:dyDescent="0.25">
      <c r="A42" s="12" t="s">
        <v>61</v>
      </c>
      <c r="B42" s="12">
        <v>1</v>
      </c>
      <c r="C42" s="12">
        <v>2</v>
      </c>
      <c r="D42" s="12">
        <v>2</v>
      </c>
      <c r="E42" s="12">
        <v>3</v>
      </c>
      <c r="F42" s="12">
        <v>3</v>
      </c>
      <c r="G42" s="12">
        <v>3</v>
      </c>
      <c r="H42" s="12">
        <v>3</v>
      </c>
      <c r="I42" s="12">
        <v>2</v>
      </c>
      <c r="J42" s="12">
        <v>3</v>
      </c>
      <c r="K42" s="12">
        <v>4</v>
      </c>
      <c r="L42" s="12">
        <v>4</v>
      </c>
      <c r="M42" s="12">
        <v>5</v>
      </c>
      <c r="N42" s="12">
        <v>5</v>
      </c>
      <c r="O42" s="12">
        <v>5</v>
      </c>
      <c r="P42" s="12">
        <v>4</v>
      </c>
      <c r="Q42" s="2"/>
      <c r="R42" s="1">
        <f>SUM(B42:Q42)</f>
        <v>49</v>
      </c>
    </row>
    <row r="44" spans="1:18" x14ac:dyDescent="0.25">
      <c r="A44" s="13" t="s">
        <v>75</v>
      </c>
    </row>
    <row r="45" spans="1:18" x14ac:dyDescent="0.25">
      <c r="A45" s="2" t="s">
        <v>78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/>
      <c r="K45" s="2"/>
      <c r="L45" s="2"/>
      <c r="M45" s="2"/>
      <c r="N45" s="2"/>
      <c r="O45" s="2"/>
      <c r="P45" s="2"/>
      <c r="Q45" s="2"/>
    </row>
    <row r="46" spans="1:18" x14ac:dyDescent="0.25">
      <c r="A46" s="2" t="s">
        <v>111</v>
      </c>
      <c r="B46" s="2"/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/>
      <c r="M46" s="2"/>
      <c r="N46" s="2"/>
      <c r="O46" s="2"/>
      <c r="P46" s="2"/>
      <c r="Q46" s="2"/>
    </row>
    <row r="47" spans="1:18" x14ac:dyDescent="0.25">
      <c r="A47" s="2" t="s">
        <v>182</v>
      </c>
      <c r="B47" s="2"/>
      <c r="C47" s="2"/>
      <c r="D47" s="2"/>
      <c r="E47" s="2">
        <v>1</v>
      </c>
      <c r="F47" s="2">
        <v>1</v>
      </c>
      <c r="G47" s="2">
        <v>1</v>
      </c>
      <c r="H47" s="2">
        <v>1</v>
      </c>
      <c r="I47" s="2"/>
      <c r="J47" s="2"/>
      <c r="K47" s="2"/>
      <c r="L47" s="2"/>
      <c r="M47" s="2"/>
      <c r="N47" s="2"/>
      <c r="O47" s="2"/>
      <c r="P47" s="2"/>
      <c r="Q47" s="2"/>
    </row>
    <row r="48" spans="1:18" x14ac:dyDescent="0.25">
      <c r="A48" s="2" t="s">
        <v>86</v>
      </c>
      <c r="B48" s="2"/>
      <c r="C48" s="2"/>
      <c r="D48" s="2"/>
      <c r="E48" s="2"/>
      <c r="F48" s="2"/>
      <c r="G48" s="2"/>
      <c r="H48" s="2"/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/>
    </row>
    <row r="49" spans="1:18" x14ac:dyDescent="0.25">
      <c r="A49" s="2" t="s">
        <v>86</v>
      </c>
      <c r="B49" s="2"/>
      <c r="C49" s="2"/>
      <c r="D49" s="2"/>
      <c r="E49" s="2"/>
      <c r="F49" s="2"/>
      <c r="G49" s="2"/>
      <c r="H49" s="2"/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/>
    </row>
    <row r="50" spans="1:18" x14ac:dyDescent="0.25">
      <c r="A50" s="2" t="s">
        <v>117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>
        <v>1</v>
      </c>
      <c r="N50" s="2">
        <v>1</v>
      </c>
      <c r="O50" s="2">
        <v>1</v>
      </c>
      <c r="P50" s="2">
        <v>1</v>
      </c>
      <c r="Q50" s="2"/>
    </row>
    <row r="51" spans="1:18" x14ac:dyDescent="0.25">
      <c r="A51" s="2" t="s">
        <v>117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>
        <v>1</v>
      </c>
      <c r="N51" s="2">
        <v>1</v>
      </c>
      <c r="O51" s="2">
        <v>1</v>
      </c>
      <c r="P51" s="2">
        <v>1</v>
      </c>
      <c r="Q51" s="2"/>
    </row>
    <row r="52" spans="1:18" x14ac:dyDescent="0.25">
      <c r="A52" s="2" t="s">
        <v>282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1</v>
      </c>
      <c r="M52" s="2">
        <v>1</v>
      </c>
      <c r="N52" s="2">
        <v>1</v>
      </c>
      <c r="O52" s="2">
        <v>1</v>
      </c>
      <c r="P52" s="2"/>
      <c r="Q52" s="2"/>
    </row>
    <row r="53" spans="1:18" x14ac:dyDescent="0.25">
      <c r="A53" s="2" t="s">
        <v>160</v>
      </c>
      <c r="B53" s="2"/>
      <c r="C53" s="2"/>
      <c r="D53" s="2"/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/>
      <c r="N53" s="2"/>
      <c r="O53" s="2"/>
      <c r="P53" s="2"/>
      <c r="Q53" s="2"/>
    </row>
    <row r="54" spans="1:18" x14ac:dyDescent="0.25">
      <c r="A54" s="2" t="s">
        <v>66</v>
      </c>
      <c r="B54" s="2">
        <f>SUM(B45:B53)</f>
        <v>1</v>
      </c>
      <c r="C54" s="2">
        <f t="shared" ref="C54" si="15">SUM(C45:C53)</f>
        <v>2</v>
      </c>
      <c r="D54" s="2">
        <f t="shared" ref="D54" si="16">SUM(D45:D53)</f>
        <v>2</v>
      </c>
      <c r="E54" s="2">
        <f t="shared" ref="E54" si="17">SUM(E45:E53)</f>
        <v>4</v>
      </c>
      <c r="F54" s="2">
        <f t="shared" ref="F54" si="18">SUM(F45:F53)</f>
        <v>4</v>
      </c>
      <c r="G54" s="2">
        <f t="shared" ref="G54" si="19">SUM(G45:G53)</f>
        <v>4</v>
      </c>
      <c r="H54" s="2">
        <f t="shared" ref="H54" si="20">SUM(H45:H53)</f>
        <v>4</v>
      </c>
      <c r="I54" s="2">
        <f t="shared" ref="I54" si="21">SUM(I45:I53)</f>
        <v>4</v>
      </c>
      <c r="J54" s="2">
        <f t="shared" ref="J54" si="22">SUM(J45:J53)</f>
        <v>3</v>
      </c>
      <c r="K54" s="2">
        <f t="shared" ref="K54" si="23">SUM(K45:K53)</f>
        <v>3</v>
      </c>
      <c r="L54" s="2">
        <f t="shared" ref="L54" si="24">SUM(L45:L53)</f>
        <v>4</v>
      </c>
      <c r="M54" s="2">
        <f t="shared" ref="M54" si="25">SUM(M45:M53)</f>
        <v>5</v>
      </c>
      <c r="N54" s="2">
        <f t="shared" ref="N54" si="26">SUM(N45:N53)</f>
        <v>5</v>
      </c>
      <c r="O54" s="2">
        <f t="shared" ref="O54" si="27">SUM(O45:O53)</f>
        <v>5</v>
      </c>
      <c r="P54" s="2">
        <f t="shared" ref="P54" si="28">SUM(P45:P53)</f>
        <v>4</v>
      </c>
      <c r="Q54" s="2">
        <f t="shared" ref="Q54" si="29">SUM(Q45:Q53)</f>
        <v>0</v>
      </c>
      <c r="R54" s="1">
        <f>SUM(B54:Q54)</f>
        <v>54</v>
      </c>
    </row>
    <row r="56" spans="1:18" x14ac:dyDescent="0.25">
      <c r="A56" s="2" t="s">
        <v>22</v>
      </c>
      <c r="B56" s="2"/>
      <c r="C56" s="2"/>
      <c r="E56" s="1" t="s">
        <v>64</v>
      </c>
      <c r="F56" s="1" t="s">
        <v>70</v>
      </c>
    </row>
    <row r="57" spans="1:18" x14ac:dyDescent="0.25">
      <c r="A57" s="3" t="s">
        <v>0</v>
      </c>
      <c r="B57" s="2"/>
      <c r="C57" s="2"/>
      <c r="E57" s="1" t="s">
        <v>69</v>
      </c>
      <c r="F57" s="1" t="s">
        <v>71</v>
      </c>
    </row>
    <row r="58" spans="1:18" x14ac:dyDescent="0.25">
      <c r="A58" s="2" t="s">
        <v>23</v>
      </c>
      <c r="B58" s="2">
        <f>22-10</f>
        <v>12</v>
      </c>
      <c r="C58" s="2" t="s">
        <v>24</v>
      </c>
      <c r="E58" s="1">
        <f>D76</f>
        <v>38</v>
      </c>
      <c r="F58" s="1" t="s">
        <v>24</v>
      </c>
      <c r="G58" s="1">
        <f>E58/B58</f>
        <v>3.1666666666666665</v>
      </c>
      <c r="H58" s="1" t="s">
        <v>76</v>
      </c>
    </row>
    <row r="59" spans="1:18" x14ac:dyDescent="0.25">
      <c r="A59" s="3" t="s">
        <v>2</v>
      </c>
      <c r="B59" s="2"/>
      <c r="C59" s="2"/>
    </row>
    <row r="60" spans="1:18" x14ac:dyDescent="0.25">
      <c r="A60" s="2" t="s">
        <v>23</v>
      </c>
      <c r="B60" s="2">
        <f>22-10</f>
        <v>12</v>
      </c>
      <c r="C60" s="2" t="s">
        <v>24</v>
      </c>
      <c r="E60" s="1">
        <f>D88</f>
        <v>54</v>
      </c>
      <c r="F60" s="1" t="s">
        <v>24</v>
      </c>
      <c r="G60" s="1">
        <f>E60/B60</f>
        <v>4.5</v>
      </c>
      <c r="H60" s="1" t="s">
        <v>76</v>
      </c>
    </row>
    <row r="66" spans="1:14" x14ac:dyDescent="0.25">
      <c r="A66" s="2"/>
      <c r="B66" s="2" t="s">
        <v>26</v>
      </c>
      <c r="C66" s="2" t="s">
        <v>27</v>
      </c>
    </row>
    <row r="67" spans="1:14" x14ac:dyDescent="0.25">
      <c r="A67" s="29" t="s">
        <v>0</v>
      </c>
      <c r="B67" s="2"/>
      <c r="C67" s="2"/>
      <c r="D67" s="2"/>
    </row>
    <row r="68" spans="1:14" x14ac:dyDescent="0.25">
      <c r="A68" s="12" t="s">
        <v>78</v>
      </c>
      <c r="B68" s="2" t="s">
        <v>67</v>
      </c>
      <c r="C68" s="2">
        <v>1</v>
      </c>
      <c r="D68" s="2">
        <f>C68*8</f>
        <v>8</v>
      </c>
    </row>
    <row r="69" spans="1:14" x14ac:dyDescent="0.25">
      <c r="A69" s="12" t="s">
        <v>111</v>
      </c>
      <c r="B69" s="2" t="s">
        <v>68</v>
      </c>
      <c r="C69" s="2">
        <v>1</v>
      </c>
      <c r="D69" s="2">
        <f>14-8</f>
        <v>6</v>
      </c>
    </row>
    <row r="70" spans="1:14" x14ac:dyDescent="0.25">
      <c r="A70" s="12" t="s">
        <v>86</v>
      </c>
      <c r="B70" s="2" t="s">
        <v>67</v>
      </c>
      <c r="C70" s="2">
        <v>1</v>
      </c>
      <c r="D70" s="2">
        <v>8</v>
      </c>
      <c r="F70" s="33" t="s">
        <v>114</v>
      </c>
      <c r="G70" s="3" t="s">
        <v>67</v>
      </c>
      <c r="H70" s="3" t="s">
        <v>68</v>
      </c>
      <c r="I70" s="3" t="s">
        <v>90</v>
      </c>
    </row>
    <row r="71" spans="1:14" x14ac:dyDescent="0.25">
      <c r="A71" s="12" t="s">
        <v>117</v>
      </c>
      <c r="B71" s="2" t="s">
        <v>68</v>
      </c>
      <c r="C71" s="2">
        <v>1</v>
      </c>
      <c r="D71" s="2">
        <f>22-18</f>
        <v>4</v>
      </c>
      <c r="F71" s="11">
        <f>SUM(G71:I71)</f>
        <v>10</v>
      </c>
      <c r="G71" s="2">
        <v>4</v>
      </c>
      <c r="H71" s="2">
        <v>5</v>
      </c>
      <c r="I71" s="2">
        <v>1</v>
      </c>
    </row>
    <row r="72" spans="1:14" x14ac:dyDescent="0.25">
      <c r="A72" s="12" t="s">
        <v>117</v>
      </c>
      <c r="B72" s="2" t="s">
        <v>68</v>
      </c>
      <c r="C72" s="2">
        <v>1</v>
      </c>
      <c r="D72" s="2">
        <f>22-18</f>
        <v>4</v>
      </c>
    </row>
    <row r="73" spans="1:14" x14ac:dyDescent="0.25">
      <c r="A73" s="12" t="s">
        <v>160</v>
      </c>
      <c r="B73" s="2" t="s">
        <v>67</v>
      </c>
      <c r="C73" s="2">
        <v>1</v>
      </c>
      <c r="D73" s="2">
        <v>8</v>
      </c>
      <c r="F73" s="33" t="s">
        <v>89</v>
      </c>
      <c r="G73" s="3" t="s">
        <v>67</v>
      </c>
      <c r="H73" s="3" t="s">
        <v>68</v>
      </c>
      <c r="I73" s="3" t="s">
        <v>90</v>
      </c>
      <c r="K73" s="33" t="s">
        <v>102</v>
      </c>
      <c r="L73" s="3" t="s">
        <v>67</v>
      </c>
      <c r="M73" s="3" t="s">
        <v>68</v>
      </c>
      <c r="N73" s="3" t="s">
        <v>90</v>
      </c>
    </row>
    <row r="74" spans="1:14" x14ac:dyDescent="0.25">
      <c r="A74" s="12" t="s">
        <v>101</v>
      </c>
      <c r="B74" s="2" t="s">
        <v>283</v>
      </c>
      <c r="C74" s="2">
        <v>3</v>
      </c>
      <c r="D74" s="2"/>
      <c r="F74" s="11">
        <f t="shared" ref="F74" si="30">SUM(G74:I74)</f>
        <v>7</v>
      </c>
      <c r="G74" s="2">
        <v>2</v>
      </c>
      <c r="H74" s="2">
        <v>4</v>
      </c>
      <c r="I74" s="2">
        <v>1</v>
      </c>
      <c r="K74" s="11">
        <f>F71-F74</f>
        <v>3</v>
      </c>
      <c r="L74" s="11">
        <f>G71-G74</f>
        <v>2</v>
      </c>
      <c r="M74" s="11">
        <f t="shared" ref="M74:N74" si="31">H71-H74</f>
        <v>1</v>
      </c>
      <c r="N74" s="11">
        <f t="shared" si="31"/>
        <v>0</v>
      </c>
    </row>
    <row r="75" spans="1:14" x14ac:dyDescent="0.25">
      <c r="A75" s="12" t="s">
        <v>284</v>
      </c>
      <c r="B75" s="2" t="s">
        <v>67</v>
      </c>
      <c r="C75" s="2">
        <v>1</v>
      </c>
      <c r="D75" s="2"/>
    </row>
    <row r="76" spans="1:14" x14ac:dyDescent="0.25">
      <c r="A76" s="29" t="s">
        <v>66</v>
      </c>
      <c r="B76" s="3"/>
      <c r="C76" s="3">
        <f>SUM(C68:C75)</f>
        <v>10</v>
      </c>
      <c r="D76" s="3">
        <f>SUM(D68:D73)</f>
        <v>38</v>
      </c>
      <c r="K76" s="1" t="s">
        <v>286</v>
      </c>
    </row>
    <row r="77" spans="1:14" x14ac:dyDescent="0.25">
      <c r="A77" s="29" t="s">
        <v>2</v>
      </c>
      <c r="B77" s="2"/>
      <c r="C77" s="2"/>
      <c r="D77" s="2"/>
    </row>
    <row r="78" spans="1:14" x14ac:dyDescent="0.25">
      <c r="A78" s="12" t="s">
        <v>78</v>
      </c>
      <c r="B78" s="2" t="s">
        <v>67</v>
      </c>
      <c r="C78" s="2">
        <v>1</v>
      </c>
      <c r="D78" s="2">
        <f>C78*8</f>
        <v>8</v>
      </c>
    </row>
    <row r="79" spans="1:14" x14ac:dyDescent="0.25">
      <c r="A79" s="12" t="s">
        <v>111</v>
      </c>
      <c r="B79" s="2" t="s">
        <v>68</v>
      </c>
      <c r="C79" s="2">
        <v>1</v>
      </c>
      <c r="D79" s="2">
        <f>14-8</f>
        <v>6</v>
      </c>
    </row>
    <row r="80" spans="1:14" x14ac:dyDescent="0.25">
      <c r="A80" s="12" t="s">
        <v>182</v>
      </c>
      <c r="B80" s="2" t="s">
        <v>287</v>
      </c>
      <c r="C80" s="2">
        <v>1</v>
      </c>
      <c r="D80" s="2">
        <f>14-10</f>
        <v>4</v>
      </c>
    </row>
    <row r="81" spans="1:7" x14ac:dyDescent="0.25">
      <c r="A81" s="12" t="s">
        <v>86</v>
      </c>
      <c r="B81" s="2" t="s">
        <v>67</v>
      </c>
      <c r="C81" s="2">
        <v>1</v>
      </c>
      <c r="D81" s="2">
        <f>C81*8</f>
        <v>8</v>
      </c>
    </row>
    <row r="82" spans="1:7" x14ac:dyDescent="0.25">
      <c r="A82" s="12" t="s">
        <v>86</v>
      </c>
      <c r="B82" s="2" t="s">
        <v>67</v>
      </c>
      <c r="C82" s="2">
        <v>1</v>
      </c>
      <c r="D82" s="2">
        <v>8</v>
      </c>
    </row>
    <row r="83" spans="1:7" x14ac:dyDescent="0.25">
      <c r="A83" s="12" t="s">
        <v>117</v>
      </c>
      <c r="B83" s="2" t="s">
        <v>68</v>
      </c>
      <c r="C83" s="2">
        <v>1</v>
      </c>
      <c r="D83" s="2">
        <f>22-18</f>
        <v>4</v>
      </c>
    </row>
    <row r="84" spans="1:7" x14ac:dyDescent="0.25">
      <c r="A84" s="12" t="s">
        <v>117</v>
      </c>
      <c r="B84" s="2" t="s">
        <v>68</v>
      </c>
      <c r="C84" s="2">
        <v>1</v>
      </c>
      <c r="D84" s="2">
        <f>22-18</f>
        <v>4</v>
      </c>
    </row>
    <row r="85" spans="1:7" x14ac:dyDescent="0.25">
      <c r="A85" s="12" t="s">
        <v>282</v>
      </c>
      <c r="B85" s="2" t="s">
        <v>287</v>
      </c>
      <c r="C85" s="2">
        <v>1</v>
      </c>
      <c r="D85" s="2">
        <f>22-18</f>
        <v>4</v>
      </c>
    </row>
    <row r="86" spans="1:7" x14ac:dyDescent="0.25">
      <c r="A86" s="12" t="s">
        <v>160</v>
      </c>
      <c r="B86" s="2" t="s">
        <v>67</v>
      </c>
      <c r="C86" s="2">
        <v>1</v>
      </c>
      <c r="D86" s="2">
        <v>8</v>
      </c>
    </row>
    <row r="87" spans="1:7" x14ac:dyDescent="0.25">
      <c r="A87" s="12" t="s">
        <v>284</v>
      </c>
      <c r="B87" s="2" t="s">
        <v>67</v>
      </c>
      <c r="C87" s="2">
        <v>1</v>
      </c>
      <c r="D87" s="3"/>
    </row>
    <row r="88" spans="1:7" x14ac:dyDescent="0.25">
      <c r="A88" s="3" t="s">
        <v>66</v>
      </c>
      <c r="B88" s="3"/>
      <c r="C88" s="3">
        <f>SUM(C78:C87)</f>
        <v>10</v>
      </c>
      <c r="D88" s="3">
        <f>SUM(D78:D87)</f>
        <v>54</v>
      </c>
    </row>
    <row r="89" spans="1:7" x14ac:dyDescent="0.25">
      <c r="A89" s="35"/>
      <c r="B89" s="35"/>
      <c r="C89" s="35"/>
      <c r="D89" s="35"/>
    </row>
    <row r="90" spans="1:7" x14ac:dyDescent="0.25">
      <c r="E90" s="1" t="s">
        <v>94</v>
      </c>
      <c r="F90" s="1" t="s">
        <v>95</v>
      </c>
      <c r="G90" s="1" t="s">
        <v>99</v>
      </c>
    </row>
    <row r="91" spans="1:7" ht="25.5" x14ac:dyDescent="0.35">
      <c r="A91" s="14" t="s">
        <v>84</v>
      </c>
      <c r="B91" s="15"/>
      <c r="C91" s="15"/>
      <c r="D91" s="15"/>
      <c r="E91" s="1" t="s">
        <v>104</v>
      </c>
      <c r="F91" s="1" t="s">
        <v>105</v>
      </c>
      <c r="G91" s="1" t="s">
        <v>100</v>
      </c>
    </row>
    <row r="93" spans="1:7" x14ac:dyDescent="0.25">
      <c r="A93" s="33" t="s">
        <v>80</v>
      </c>
      <c r="B93" s="33" t="s">
        <v>81</v>
      </c>
      <c r="C93" s="33" t="s">
        <v>82</v>
      </c>
      <c r="D93" s="33" t="s">
        <v>66</v>
      </c>
    </row>
    <row r="94" spans="1:7" x14ac:dyDescent="0.25">
      <c r="A94" s="3" t="s">
        <v>0</v>
      </c>
      <c r="B94" s="2"/>
      <c r="C94" s="2"/>
      <c r="D94" s="33"/>
    </row>
    <row r="95" spans="1:7" x14ac:dyDescent="0.25">
      <c r="A95" s="2" t="s">
        <v>143</v>
      </c>
      <c r="B95" s="2">
        <v>409</v>
      </c>
      <c r="C95" s="2">
        <v>70</v>
      </c>
      <c r="D95" s="33">
        <f t="shared" ref="D95:D97" si="32">B95+C95</f>
        <v>479</v>
      </c>
    </row>
    <row r="96" spans="1:7" x14ac:dyDescent="0.25">
      <c r="A96" s="2" t="s">
        <v>288</v>
      </c>
      <c r="B96" s="2">
        <v>102</v>
      </c>
      <c r="C96" s="2">
        <v>9</v>
      </c>
      <c r="D96" s="33">
        <f t="shared" si="32"/>
        <v>111</v>
      </c>
      <c r="E96" s="1">
        <f>D96+D97</f>
        <v>255</v>
      </c>
    </row>
    <row r="97" spans="1:12" x14ac:dyDescent="0.25">
      <c r="A97" s="2" t="s">
        <v>289</v>
      </c>
      <c r="B97" s="2">
        <v>128</v>
      </c>
      <c r="C97" s="2">
        <v>16</v>
      </c>
      <c r="D97" s="33">
        <f t="shared" si="32"/>
        <v>144</v>
      </c>
    </row>
    <row r="98" spans="1:12" x14ac:dyDescent="0.25">
      <c r="A98" s="3"/>
      <c r="B98" s="2"/>
      <c r="C98" s="2"/>
      <c r="D98" s="33"/>
    </row>
    <row r="99" spans="1:12" x14ac:dyDescent="0.25">
      <c r="A99" s="3" t="s">
        <v>2</v>
      </c>
      <c r="B99" s="2"/>
      <c r="C99" s="2"/>
      <c r="D99" s="33"/>
    </row>
    <row r="100" spans="1:12" x14ac:dyDescent="0.25">
      <c r="A100" s="2" t="s">
        <v>143</v>
      </c>
      <c r="B100" s="2">
        <v>1163</v>
      </c>
      <c r="C100" s="2">
        <v>126</v>
      </c>
      <c r="D100" s="33">
        <f t="shared" ref="D100:D102" si="33">B100+C100</f>
        <v>1289</v>
      </c>
    </row>
    <row r="101" spans="1:12" x14ac:dyDescent="0.25">
      <c r="A101" s="2" t="s">
        <v>288</v>
      </c>
      <c r="B101" s="2">
        <v>244</v>
      </c>
      <c r="C101" s="2">
        <v>12</v>
      </c>
      <c r="D101" s="33">
        <f t="shared" si="33"/>
        <v>256</v>
      </c>
      <c r="E101" s="1">
        <f>D101+D102</f>
        <v>571</v>
      </c>
    </row>
    <row r="102" spans="1:12" x14ac:dyDescent="0.25">
      <c r="A102" s="2" t="s">
        <v>289</v>
      </c>
      <c r="B102" s="2">
        <v>296</v>
      </c>
      <c r="C102" s="2">
        <v>19</v>
      </c>
      <c r="D102" s="33">
        <f t="shared" si="33"/>
        <v>315</v>
      </c>
    </row>
    <row r="104" spans="1:12" x14ac:dyDescent="0.25">
      <c r="A104" s="33" t="s">
        <v>103</v>
      </c>
      <c r="B104" s="3" t="s">
        <v>67</v>
      </c>
      <c r="C104" s="33" t="s">
        <v>101</v>
      </c>
      <c r="D104" s="3" t="s">
        <v>90</v>
      </c>
      <c r="F104" s="33" t="s">
        <v>89</v>
      </c>
      <c r="G104" s="3" t="s">
        <v>67</v>
      </c>
      <c r="H104" s="3" t="s">
        <v>90</v>
      </c>
      <c r="J104" s="33" t="s">
        <v>102</v>
      </c>
      <c r="K104" s="3" t="s">
        <v>67</v>
      </c>
      <c r="L104" s="3" t="s">
        <v>90</v>
      </c>
    </row>
    <row r="105" spans="1:12" x14ac:dyDescent="0.25">
      <c r="A105" s="11">
        <f>SUM(B105:D105)</f>
        <v>6</v>
      </c>
      <c r="B105" s="2">
        <v>4</v>
      </c>
      <c r="C105" s="2">
        <v>1</v>
      </c>
      <c r="D105" s="2">
        <v>1</v>
      </c>
      <c r="F105" s="11">
        <f>SUM(G105:H105)</f>
        <v>6</v>
      </c>
      <c r="G105" s="2">
        <v>5</v>
      </c>
      <c r="H105" s="2">
        <v>1</v>
      </c>
      <c r="J105" s="11">
        <f>A105-F105</f>
        <v>0</v>
      </c>
      <c r="K105" s="2"/>
      <c r="L105" s="2"/>
    </row>
  </sheetData>
  <pageMargins left="0" right="0" top="0" bottom="0" header="0" footer="0"/>
  <pageSetup paperSize="9" scale="63" orientation="landscape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V121"/>
  <sheetViews>
    <sheetView topLeftCell="A100" workbookViewId="0">
      <selection activeCell="E117" sqref="E117"/>
    </sheetView>
  </sheetViews>
  <sheetFormatPr defaultRowHeight="15.75" x14ac:dyDescent="0.25"/>
  <cols>
    <col min="1" max="1" width="33.7109375" style="1" bestFit="1" customWidth="1"/>
    <col min="2" max="2" width="15.140625" style="1" bestFit="1" customWidth="1"/>
    <col min="3" max="4" width="14.7109375" style="1" bestFit="1" customWidth="1"/>
    <col min="5" max="5" width="15.85546875" style="1" bestFit="1" customWidth="1"/>
    <col min="6" max="11" width="14.7109375" style="1" bestFit="1" customWidth="1"/>
    <col min="12" max="12" width="15.85546875" style="1" bestFit="1" customWidth="1"/>
    <col min="13" max="15" width="15.7109375" style="1" bestFit="1" customWidth="1"/>
    <col min="16" max="16" width="14.7109375" style="1" bestFit="1" customWidth="1"/>
    <col min="17" max="17" width="12.7109375" style="1" bestFit="1" customWidth="1"/>
    <col min="18" max="18" width="15.7109375" style="1" bestFit="1" customWidth="1"/>
    <col min="19" max="16384" width="9.140625" style="1"/>
  </cols>
  <sheetData>
    <row r="2" spans="1:18" ht="25.5" x14ac:dyDescent="0.35">
      <c r="A2" s="14" t="s">
        <v>83</v>
      </c>
      <c r="B2" s="15"/>
      <c r="C2" s="15"/>
      <c r="D2" s="15"/>
    </row>
    <row r="4" spans="1:18" x14ac:dyDescent="0.25">
      <c r="A4" s="2"/>
      <c r="B4" s="3" t="s">
        <v>21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</row>
    <row r="5" spans="1:18" x14ac:dyDescent="0.25">
      <c r="A5" s="5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8" s="43" customFormat="1" x14ac:dyDescent="0.25">
      <c r="A6" s="42" t="s">
        <v>28</v>
      </c>
      <c r="B6" s="42">
        <v>46455</v>
      </c>
      <c r="C6" s="42">
        <v>1003097</v>
      </c>
      <c r="D6" s="42">
        <v>1480004</v>
      </c>
      <c r="E6" s="42">
        <v>4767648</v>
      </c>
      <c r="F6" s="42">
        <v>3883277</v>
      </c>
      <c r="G6" s="42">
        <v>5484545</v>
      </c>
      <c r="H6" s="42">
        <v>6128995</v>
      </c>
      <c r="I6" s="42">
        <v>6030818</v>
      </c>
      <c r="J6" s="42">
        <v>6422534</v>
      </c>
      <c r="K6" s="42">
        <v>6384004</v>
      </c>
      <c r="L6" s="42">
        <v>5864635</v>
      </c>
      <c r="M6" s="42">
        <v>5111462</v>
      </c>
      <c r="N6" s="42">
        <v>7540186</v>
      </c>
      <c r="O6" s="42">
        <v>7604557</v>
      </c>
      <c r="P6" s="42">
        <v>3496003</v>
      </c>
      <c r="Q6" s="42">
        <v>0</v>
      </c>
    </row>
    <row r="7" spans="1:18" s="43" customFormat="1" x14ac:dyDescent="0.25">
      <c r="A7" s="44">
        <v>5</v>
      </c>
      <c r="B7" s="44">
        <f>ROUND(B6/$A$7,0)</f>
        <v>9291</v>
      </c>
      <c r="C7" s="44">
        <f t="shared" ref="C7:Q7" si="0">ROUND(C6/$A$7,0)</f>
        <v>200619</v>
      </c>
      <c r="D7" s="44">
        <f t="shared" si="0"/>
        <v>296001</v>
      </c>
      <c r="E7" s="44">
        <f t="shared" si="0"/>
        <v>953530</v>
      </c>
      <c r="F7" s="44">
        <f t="shared" si="0"/>
        <v>776655</v>
      </c>
      <c r="G7" s="44">
        <f t="shared" si="0"/>
        <v>1096909</v>
      </c>
      <c r="H7" s="44">
        <f t="shared" si="0"/>
        <v>1225799</v>
      </c>
      <c r="I7" s="44">
        <f t="shared" si="0"/>
        <v>1206164</v>
      </c>
      <c r="J7" s="44">
        <f t="shared" si="0"/>
        <v>1284507</v>
      </c>
      <c r="K7" s="44">
        <f t="shared" si="0"/>
        <v>1276801</v>
      </c>
      <c r="L7" s="44">
        <f t="shared" si="0"/>
        <v>1172927</v>
      </c>
      <c r="M7" s="44">
        <f t="shared" si="0"/>
        <v>1022292</v>
      </c>
      <c r="N7" s="44">
        <f t="shared" si="0"/>
        <v>1508037</v>
      </c>
      <c r="O7" s="44">
        <f t="shared" si="0"/>
        <v>1520911</v>
      </c>
      <c r="P7" s="44">
        <f t="shared" si="0"/>
        <v>699201</v>
      </c>
      <c r="Q7" s="44">
        <f t="shared" si="0"/>
        <v>0</v>
      </c>
    </row>
    <row r="8" spans="1:18" s="43" customFormat="1" x14ac:dyDescent="0.25">
      <c r="A8" s="42" t="s">
        <v>31</v>
      </c>
      <c r="B8" s="42">
        <v>1391825</v>
      </c>
      <c r="C8" s="42">
        <v>1497729</v>
      </c>
      <c r="D8" s="42">
        <v>2299739</v>
      </c>
      <c r="E8" s="42">
        <v>3392732</v>
      </c>
      <c r="F8" s="42">
        <v>4647187</v>
      </c>
      <c r="G8" s="42">
        <v>4659276</v>
      </c>
      <c r="H8" s="42">
        <v>6485731</v>
      </c>
      <c r="I8" s="42">
        <v>4032364</v>
      </c>
      <c r="J8" s="42">
        <v>6163183</v>
      </c>
      <c r="K8" s="42">
        <v>4071369</v>
      </c>
      <c r="L8" s="42">
        <v>7390369</v>
      </c>
      <c r="M8" s="42">
        <v>8140652</v>
      </c>
      <c r="N8" s="42">
        <v>6518923</v>
      </c>
      <c r="O8" s="42">
        <v>6929091</v>
      </c>
      <c r="P8" s="42">
        <v>4885560</v>
      </c>
      <c r="Q8" s="42">
        <v>0</v>
      </c>
    </row>
    <row r="9" spans="1:18" s="43" customFormat="1" x14ac:dyDescent="0.25">
      <c r="A9" s="44">
        <v>5</v>
      </c>
      <c r="B9" s="44">
        <f>ROUND(B8/$A$7,0)</f>
        <v>278365</v>
      </c>
      <c r="C9" s="44">
        <f t="shared" ref="C9:Q9" si="1">ROUND(C8/$A$7,0)</f>
        <v>299546</v>
      </c>
      <c r="D9" s="44">
        <f t="shared" si="1"/>
        <v>459948</v>
      </c>
      <c r="E9" s="44">
        <f t="shared" si="1"/>
        <v>678546</v>
      </c>
      <c r="F9" s="44">
        <f t="shared" si="1"/>
        <v>929437</v>
      </c>
      <c r="G9" s="44">
        <f t="shared" si="1"/>
        <v>931855</v>
      </c>
      <c r="H9" s="44">
        <f t="shared" si="1"/>
        <v>1297146</v>
      </c>
      <c r="I9" s="44">
        <f t="shared" si="1"/>
        <v>806473</v>
      </c>
      <c r="J9" s="44">
        <f t="shared" si="1"/>
        <v>1232637</v>
      </c>
      <c r="K9" s="44">
        <f t="shared" si="1"/>
        <v>814274</v>
      </c>
      <c r="L9" s="44">
        <f t="shared" si="1"/>
        <v>1478074</v>
      </c>
      <c r="M9" s="44">
        <f t="shared" si="1"/>
        <v>1628130</v>
      </c>
      <c r="N9" s="44">
        <f t="shared" si="1"/>
        <v>1303785</v>
      </c>
      <c r="O9" s="44">
        <f t="shared" si="1"/>
        <v>1385818</v>
      </c>
      <c r="P9" s="44">
        <f t="shared" si="1"/>
        <v>977112</v>
      </c>
      <c r="Q9" s="44">
        <f t="shared" si="1"/>
        <v>0</v>
      </c>
    </row>
    <row r="10" spans="1:18" s="43" customFormat="1" x14ac:dyDescent="0.25">
      <c r="A10" s="42" t="s">
        <v>33</v>
      </c>
      <c r="B10" s="42">
        <v>267272</v>
      </c>
      <c r="C10" s="42">
        <v>1208735</v>
      </c>
      <c r="D10" s="42">
        <v>2612893</v>
      </c>
      <c r="E10" s="42">
        <v>3082738</v>
      </c>
      <c r="F10" s="42">
        <v>6105646</v>
      </c>
      <c r="G10" s="42">
        <v>7186006</v>
      </c>
      <c r="H10" s="42">
        <v>5376366</v>
      </c>
      <c r="I10" s="42">
        <v>5462904</v>
      </c>
      <c r="J10" s="42">
        <v>5592910</v>
      </c>
      <c r="K10" s="42">
        <v>7769640</v>
      </c>
      <c r="L10" s="42">
        <v>8323636</v>
      </c>
      <c r="M10" s="42">
        <v>6828635</v>
      </c>
      <c r="N10" s="42">
        <v>9475276</v>
      </c>
      <c r="O10" s="42">
        <v>9778103</v>
      </c>
      <c r="P10" s="42">
        <v>6298469</v>
      </c>
      <c r="Q10" s="42"/>
    </row>
    <row r="11" spans="1:18" s="43" customFormat="1" x14ac:dyDescent="0.25">
      <c r="A11" s="44">
        <v>5</v>
      </c>
      <c r="B11" s="44">
        <f>ROUND(B10/$A$7,0)</f>
        <v>53454</v>
      </c>
      <c r="C11" s="44">
        <f t="shared" ref="C11:Q11" si="2">ROUND(C10/$A$7,0)</f>
        <v>241747</v>
      </c>
      <c r="D11" s="44">
        <f t="shared" si="2"/>
        <v>522579</v>
      </c>
      <c r="E11" s="44">
        <f t="shared" si="2"/>
        <v>616548</v>
      </c>
      <c r="F11" s="44">
        <f t="shared" si="2"/>
        <v>1221129</v>
      </c>
      <c r="G11" s="44">
        <f t="shared" si="2"/>
        <v>1437201</v>
      </c>
      <c r="H11" s="44">
        <f t="shared" si="2"/>
        <v>1075273</v>
      </c>
      <c r="I11" s="44">
        <f t="shared" si="2"/>
        <v>1092581</v>
      </c>
      <c r="J11" s="44">
        <f t="shared" si="2"/>
        <v>1118582</v>
      </c>
      <c r="K11" s="44">
        <f t="shared" si="2"/>
        <v>1553928</v>
      </c>
      <c r="L11" s="44">
        <f t="shared" si="2"/>
        <v>1664727</v>
      </c>
      <c r="M11" s="44">
        <f t="shared" si="2"/>
        <v>1365727</v>
      </c>
      <c r="N11" s="44">
        <f t="shared" si="2"/>
        <v>1895055</v>
      </c>
      <c r="O11" s="44">
        <f t="shared" si="2"/>
        <v>1955621</v>
      </c>
      <c r="P11" s="44">
        <f t="shared" si="2"/>
        <v>1259694</v>
      </c>
      <c r="Q11" s="44">
        <f t="shared" si="2"/>
        <v>0</v>
      </c>
    </row>
    <row r="12" spans="1:18" s="43" customFormat="1" x14ac:dyDescent="0.25">
      <c r="A12" s="42" t="s">
        <v>35</v>
      </c>
      <c r="B12" s="42">
        <v>188182</v>
      </c>
      <c r="C12" s="42">
        <v>1552547</v>
      </c>
      <c r="D12" s="42">
        <v>2103280</v>
      </c>
      <c r="E12" s="42">
        <v>3776556</v>
      </c>
      <c r="F12" s="42">
        <v>3936915</v>
      </c>
      <c r="G12" s="42">
        <v>6262952</v>
      </c>
      <c r="H12" s="42">
        <v>5101810</v>
      </c>
      <c r="I12" s="42">
        <v>5341818</v>
      </c>
      <c r="J12" s="42">
        <v>5405363</v>
      </c>
      <c r="K12" s="42">
        <v>4796096</v>
      </c>
      <c r="L12" s="42">
        <v>6176905</v>
      </c>
      <c r="M12" s="42">
        <v>7741813</v>
      </c>
      <c r="N12" s="42">
        <v>7448191</v>
      </c>
      <c r="O12" s="42">
        <v>7242184</v>
      </c>
      <c r="P12" s="42">
        <v>6687190</v>
      </c>
      <c r="Q12" s="42">
        <v>52727</v>
      </c>
    </row>
    <row r="13" spans="1:18" s="43" customFormat="1" x14ac:dyDescent="0.25">
      <c r="A13" s="44">
        <v>5</v>
      </c>
      <c r="B13" s="44">
        <f>ROUND(B12/$A$7,0)</f>
        <v>37636</v>
      </c>
      <c r="C13" s="44">
        <f t="shared" ref="C13:Q13" si="3">ROUND(C12/$A$7,0)</f>
        <v>310509</v>
      </c>
      <c r="D13" s="44">
        <f t="shared" si="3"/>
        <v>420656</v>
      </c>
      <c r="E13" s="44">
        <f t="shared" si="3"/>
        <v>755311</v>
      </c>
      <c r="F13" s="44">
        <f t="shared" si="3"/>
        <v>787383</v>
      </c>
      <c r="G13" s="44">
        <f t="shared" si="3"/>
        <v>1252590</v>
      </c>
      <c r="H13" s="44">
        <f t="shared" si="3"/>
        <v>1020362</v>
      </c>
      <c r="I13" s="44">
        <f t="shared" si="3"/>
        <v>1068364</v>
      </c>
      <c r="J13" s="44">
        <f t="shared" si="3"/>
        <v>1081073</v>
      </c>
      <c r="K13" s="44">
        <f t="shared" si="3"/>
        <v>959219</v>
      </c>
      <c r="L13" s="44">
        <f t="shared" si="3"/>
        <v>1235381</v>
      </c>
      <c r="M13" s="44">
        <f t="shared" si="3"/>
        <v>1548363</v>
      </c>
      <c r="N13" s="44">
        <f t="shared" si="3"/>
        <v>1489638</v>
      </c>
      <c r="O13" s="44">
        <f t="shared" si="3"/>
        <v>1448437</v>
      </c>
      <c r="P13" s="44">
        <f t="shared" si="3"/>
        <v>1337438</v>
      </c>
      <c r="Q13" s="44">
        <f t="shared" si="3"/>
        <v>10545</v>
      </c>
    </row>
    <row r="14" spans="1:18" s="43" customFormat="1" x14ac:dyDescent="0.25">
      <c r="A14" s="42" t="s">
        <v>37</v>
      </c>
      <c r="B14" s="42">
        <v>100000</v>
      </c>
      <c r="C14" s="42">
        <v>1238098</v>
      </c>
      <c r="D14" s="42">
        <v>3998639</v>
      </c>
      <c r="E14" s="42">
        <v>4160458</v>
      </c>
      <c r="F14" s="42">
        <v>5608189</v>
      </c>
      <c r="G14" s="42">
        <v>4980372</v>
      </c>
      <c r="H14" s="42">
        <v>6397097</v>
      </c>
      <c r="I14" s="42">
        <v>6564730</v>
      </c>
      <c r="J14" s="42">
        <v>7231095</v>
      </c>
      <c r="K14" s="42">
        <v>6056406</v>
      </c>
      <c r="L14" s="42">
        <v>10192639</v>
      </c>
      <c r="M14" s="42">
        <v>8692279</v>
      </c>
      <c r="N14" s="42">
        <v>9487276</v>
      </c>
      <c r="O14" s="42">
        <v>9899092</v>
      </c>
      <c r="P14" s="42">
        <v>5286557</v>
      </c>
      <c r="Q14" s="42">
        <v>17273</v>
      </c>
    </row>
    <row r="15" spans="1:18" s="43" customFormat="1" x14ac:dyDescent="0.25">
      <c r="A15" s="44">
        <v>5</v>
      </c>
      <c r="B15" s="44">
        <f>ROUND(B14/$A$7,0)</f>
        <v>20000</v>
      </c>
      <c r="C15" s="44">
        <f t="shared" ref="C15:Q15" si="4">ROUND(C14/$A$7,0)</f>
        <v>247620</v>
      </c>
      <c r="D15" s="44">
        <f t="shared" si="4"/>
        <v>799728</v>
      </c>
      <c r="E15" s="44">
        <f t="shared" si="4"/>
        <v>832092</v>
      </c>
      <c r="F15" s="44">
        <f t="shared" si="4"/>
        <v>1121638</v>
      </c>
      <c r="G15" s="44">
        <f t="shared" si="4"/>
        <v>996074</v>
      </c>
      <c r="H15" s="44">
        <f t="shared" si="4"/>
        <v>1279419</v>
      </c>
      <c r="I15" s="44">
        <f t="shared" si="4"/>
        <v>1312946</v>
      </c>
      <c r="J15" s="44">
        <f t="shared" si="4"/>
        <v>1446219</v>
      </c>
      <c r="K15" s="44">
        <f t="shared" si="4"/>
        <v>1211281</v>
      </c>
      <c r="L15" s="44">
        <f t="shared" si="4"/>
        <v>2038528</v>
      </c>
      <c r="M15" s="44">
        <f t="shared" si="4"/>
        <v>1738456</v>
      </c>
      <c r="N15" s="44">
        <f t="shared" si="4"/>
        <v>1897455</v>
      </c>
      <c r="O15" s="44">
        <f t="shared" si="4"/>
        <v>1979818</v>
      </c>
      <c r="P15" s="44">
        <f t="shared" si="4"/>
        <v>1057311</v>
      </c>
      <c r="Q15" s="44">
        <f t="shared" si="4"/>
        <v>3455</v>
      </c>
    </row>
    <row r="16" spans="1:18" s="43" customFormat="1" x14ac:dyDescent="0.25">
      <c r="A16" s="70" t="s">
        <v>40</v>
      </c>
      <c r="B16" s="70">
        <f t="shared" ref="B16:Q16" si="5">ROUND((B7+B9+B11+B13+B15)/5,0)</f>
        <v>79749</v>
      </c>
      <c r="C16" s="70">
        <f t="shared" si="5"/>
        <v>260008</v>
      </c>
      <c r="D16" s="70">
        <f t="shared" si="5"/>
        <v>499782</v>
      </c>
      <c r="E16" s="70">
        <f t="shared" si="5"/>
        <v>767205</v>
      </c>
      <c r="F16" s="70">
        <f t="shared" si="5"/>
        <v>967248</v>
      </c>
      <c r="G16" s="70">
        <f t="shared" si="5"/>
        <v>1142926</v>
      </c>
      <c r="H16" s="70">
        <f t="shared" si="5"/>
        <v>1179600</v>
      </c>
      <c r="I16" s="70">
        <f t="shared" si="5"/>
        <v>1097306</v>
      </c>
      <c r="J16" s="70">
        <f t="shared" si="5"/>
        <v>1232604</v>
      </c>
      <c r="K16" s="70">
        <f t="shared" si="5"/>
        <v>1163101</v>
      </c>
      <c r="L16" s="70">
        <f t="shared" si="5"/>
        <v>1517927</v>
      </c>
      <c r="M16" s="70">
        <f t="shared" si="5"/>
        <v>1460594</v>
      </c>
      <c r="N16" s="70">
        <f t="shared" si="5"/>
        <v>1618794</v>
      </c>
      <c r="O16" s="70">
        <f t="shared" si="5"/>
        <v>1658121</v>
      </c>
      <c r="P16" s="70">
        <f t="shared" si="5"/>
        <v>1066151</v>
      </c>
      <c r="Q16" s="70">
        <f t="shared" si="5"/>
        <v>2800</v>
      </c>
      <c r="R16" s="43">
        <f t="shared" ref="R16:R17" si="6">SUM(B16:Q16)</f>
        <v>15713916</v>
      </c>
    </row>
    <row r="17" spans="1:18" x14ac:dyDescent="0.25">
      <c r="A17" s="12" t="s">
        <v>60</v>
      </c>
      <c r="B17" s="12">
        <v>1</v>
      </c>
      <c r="C17" s="12">
        <v>2</v>
      </c>
      <c r="D17" s="12">
        <v>2</v>
      </c>
      <c r="E17" s="12">
        <v>2</v>
      </c>
      <c r="F17" s="12">
        <v>2</v>
      </c>
      <c r="G17" s="12">
        <v>2</v>
      </c>
      <c r="H17" s="12">
        <v>2</v>
      </c>
      <c r="I17" s="12">
        <v>2</v>
      </c>
      <c r="J17" s="12">
        <v>2</v>
      </c>
      <c r="K17" s="12">
        <v>2</v>
      </c>
      <c r="L17" s="12">
        <v>2</v>
      </c>
      <c r="M17" s="12">
        <v>2</v>
      </c>
      <c r="N17" s="12">
        <v>3</v>
      </c>
      <c r="O17" s="12">
        <v>3</v>
      </c>
      <c r="P17" s="12">
        <v>2</v>
      </c>
      <c r="Q17" s="2"/>
      <c r="R17" s="43">
        <f t="shared" si="6"/>
        <v>31</v>
      </c>
    </row>
    <row r="18" spans="1:18" x14ac:dyDescent="0.25">
      <c r="A18" s="12" t="s">
        <v>61</v>
      </c>
      <c r="B18" s="12">
        <v>1</v>
      </c>
      <c r="C18" s="12">
        <v>2</v>
      </c>
      <c r="D18" s="12">
        <v>2</v>
      </c>
      <c r="E18" s="12">
        <v>2</v>
      </c>
      <c r="F18" s="12">
        <v>2</v>
      </c>
      <c r="G18" s="12">
        <v>2</v>
      </c>
      <c r="H18" s="12">
        <v>2</v>
      </c>
      <c r="I18" s="12">
        <v>2</v>
      </c>
      <c r="J18" s="12">
        <v>2</v>
      </c>
      <c r="K18" s="12">
        <v>2</v>
      </c>
      <c r="L18" s="12">
        <v>2</v>
      </c>
      <c r="M18" s="12">
        <v>2</v>
      </c>
      <c r="N18" s="12">
        <v>3</v>
      </c>
      <c r="O18" s="12">
        <v>3</v>
      </c>
      <c r="P18" s="12">
        <v>2</v>
      </c>
      <c r="Q18" s="2"/>
      <c r="R18" s="43">
        <f>SUM(B18:Q18)</f>
        <v>31</v>
      </c>
    </row>
    <row r="20" spans="1:18" x14ac:dyDescent="0.25">
      <c r="A20" s="13" t="s">
        <v>75</v>
      </c>
    </row>
    <row r="21" spans="1:18" x14ac:dyDescent="0.25">
      <c r="A21" s="2" t="s">
        <v>78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/>
      <c r="K21" s="2"/>
      <c r="L21" s="2"/>
      <c r="M21" s="2"/>
      <c r="N21" s="2"/>
      <c r="O21" s="2"/>
      <c r="P21" s="2"/>
      <c r="Q21" s="2"/>
    </row>
    <row r="22" spans="1:18" x14ac:dyDescent="0.25">
      <c r="A22" s="2" t="s">
        <v>111</v>
      </c>
      <c r="B22" s="2"/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/>
      <c r="J22" s="2"/>
      <c r="K22" s="2"/>
      <c r="L22" s="2"/>
      <c r="M22" s="2"/>
      <c r="N22" s="2"/>
      <c r="O22" s="2"/>
      <c r="P22" s="2"/>
      <c r="Q22" s="2"/>
    </row>
    <row r="23" spans="1:18" x14ac:dyDescent="0.25">
      <c r="A23" s="2" t="s">
        <v>86</v>
      </c>
      <c r="B23" s="2"/>
      <c r="C23" s="2"/>
      <c r="D23" s="2"/>
      <c r="E23" s="2"/>
      <c r="F23" s="2"/>
      <c r="G23" s="2"/>
      <c r="H23" s="2"/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/>
    </row>
    <row r="24" spans="1:18" x14ac:dyDescent="0.25">
      <c r="A24" s="2" t="s">
        <v>117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1</v>
      </c>
      <c r="N24" s="2">
        <v>1</v>
      </c>
      <c r="O24" s="2">
        <v>1</v>
      </c>
      <c r="P24" s="2">
        <v>1</v>
      </c>
      <c r="Q24" s="2"/>
    </row>
    <row r="25" spans="1:18" x14ac:dyDescent="0.25">
      <c r="A25" s="2" t="s">
        <v>117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v>1</v>
      </c>
      <c r="N25" s="2">
        <v>1</v>
      </c>
      <c r="O25" s="2">
        <v>1</v>
      </c>
      <c r="P25" s="2">
        <v>1</v>
      </c>
      <c r="Q25" s="2"/>
    </row>
    <row r="26" spans="1:18" x14ac:dyDescent="0.25">
      <c r="A26" s="2" t="s">
        <v>160</v>
      </c>
      <c r="B26" s="2"/>
      <c r="C26" s="2"/>
      <c r="D26" s="2"/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/>
      <c r="N26" s="2"/>
      <c r="O26" s="2"/>
      <c r="P26" s="2"/>
      <c r="Q26" s="2"/>
    </row>
    <row r="27" spans="1:18" x14ac:dyDescent="0.25">
      <c r="A27" s="2" t="s">
        <v>66</v>
      </c>
      <c r="B27" s="2">
        <f>SUM(B21:B26)</f>
        <v>1</v>
      </c>
      <c r="C27" s="2">
        <f t="shared" ref="C27:Q27" si="7">SUM(C21:C26)</f>
        <v>2</v>
      </c>
      <c r="D27" s="2">
        <f t="shared" si="7"/>
        <v>2</v>
      </c>
      <c r="E27" s="2">
        <f t="shared" si="7"/>
        <v>3</v>
      </c>
      <c r="F27" s="2">
        <f t="shared" si="7"/>
        <v>3</v>
      </c>
      <c r="G27" s="2">
        <f t="shared" si="7"/>
        <v>3</v>
      </c>
      <c r="H27" s="2">
        <f t="shared" si="7"/>
        <v>3</v>
      </c>
      <c r="I27" s="2">
        <f t="shared" si="7"/>
        <v>3</v>
      </c>
      <c r="J27" s="2">
        <f t="shared" si="7"/>
        <v>2</v>
      </c>
      <c r="K27" s="2">
        <f t="shared" si="7"/>
        <v>2</v>
      </c>
      <c r="L27" s="2">
        <f t="shared" si="7"/>
        <v>2</v>
      </c>
      <c r="M27" s="2">
        <f t="shared" si="7"/>
        <v>3</v>
      </c>
      <c r="N27" s="2">
        <f t="shared" si="7"/>
        <v>3</v>
      </c>
      <c r="O27" s="2">
        <f t="shared" si="7"/>
        <v>3</v>
      </c>
      <c r="P27" s="2">
        <f t="shared" si="7"/>
        <v>3</v>
      </c>
      <c r="Q27" s="2">
        <f t="shared" si="7"/>
        <v>0</v>
      </c>
      <c r="R27" s="1">
        <f>SUM(B27:Q27)</f>
        <v>38</v>
      </c>
    </row>
    <row r="29" spans="1:18" x14ac:dyDescent="0.25">
      <c r="A29" s="5" t="s">
        <v>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8" s="43" customFormat="1" x14ac:dyDescent="0.25">
      <c r="A30" s="42" t="s">
        <v>30</v>
      </c>
      <c r="B30" s="42">
        <v>0</v>
      </c>
      <c r="C30" s="42">
        <v>640001</v>
      </c>
      <c r="D30" s="42">
        <v>2613186</v>
      </c>
      <c r="E30" s="42">
        <v>6575997</v>
      </c>
      <c r="F30" s="42">
        <v>4173916</v>
      </c>
      <c r="G30" s="42">
        <v>4957185</v>
      </c>
      <c r="H30" s="42">
        <v>3156725</v>
      </c>
      <c r="I30" s="42">
        <v>2594543</v>
      </c>
      <c r="J30" s="42">
        <v>4438177</v>
      </c>
      <c r="K30" s="42">
        <v>4864454</v>
      </c>
      <c r="L30" s="42">
        <v>6996370</v>
      </c>
      <c r="M30" s="42">
        <v>6843638</v>
      </c>
      <c r="N30" s="42">
        <v>6311631</v>
      </c>
      <c r="O30" s="42">
        <v>6917172</v>
      </c>
      <c r="P30" s="42">
        <v>4419366</v>
      </c>
      <c r="Q30" s="42">
        <v>158181</v>
      </c>
    </row>
    <row r="31" spans="1:18" s="43" customFormat="1" x14ac:dyDescent="0.25">
      <c r="A31" s="44">
        <v>2</v>
      </c>
      <c r="B31" s="44">
        <f t="shared" ref="B31:Q31" si="8">ROUND((B30)/$A$31,0)</f>
        <v>0</v>
      </c>
      <c r="C31" s="44">
        <f t="shared" si="8"/>
        <v>320001</v>
      </c>
      <c r="D31" s="44">
        <f t="shared" si="8"/>
        <v>1306593</v>
      </c>
      <c r="E31" s="44">
        <f t="shared" si="8"/>
        <v>3287999</v>
      </c>
      <c r="F31" s="44">
        <f t="shared" si="8"/>
        <v>2086958</v>
      </c>
      <c r="G31" s="44">
        <f t="shared" si="8"/>
        <v>2478593</v>
      </c>
      <c r="H31" s="44">
        <f t="shared" si="8"/>
        <v>1578363</v>
      </c>
      <c r="I31" s="44">
        <f t="shared" si="8"/>
        <v>1297272</v>
      </c>
      <c r="J31" s="44">
        <f t="shared" si="8"/>
        <v>2219089</v>
      </c>
      <c r="K31" s="44">
        <f t="shared" si="8"/>
        <v>2432227</v>
      </c>
      <c r="L31" s="44">
        <f t="shared" si="8"/>
        <v>3498185</v>
      </c>
      <c r="M31" s="44">
        <f t="shared" si="8"/>
        <v>3421819</v>
      </c>
      <c r="N31" s="44">
        <f t="shared" si="8"/>
        <v>3155816</v>
      </c>
      <c r="O31" s="44">
        <f t="shared" si="8"/>
        <v>3458586</v>
      </c>
      <c r="P31" s="44">
        <f t="shared" si="8"/>
        <v>2209683</v>
      </c>
      <c r="Q31" s="44">
        <f t="shared" si="8"/>
        <v>79091</v>
      </c>
    </row>
    <row r="32" spans="1:18" s="43" customFormat="1" x14ac:dyDescent="0.25">
      <c r="A32" s="42" t="s">
        <v>32</v>
      </c>
      <c r="B32" s="42">
        <v>106364</v>
      </c>
      <c r="C32" s="42">
        <v>745455</v>
      </c>
      <c r="D32" s="42">
        <v>4813189</v>
      </c>
      <c r="E32" s="42">
        <v>5166555</v>
      </c>
      <c r="F32" s="42">
        <v>6721092</v>
      </c>
      <c r="G32" s="42">
        <v>4702729</v>
      </c>
      <c r="H32" s="42">
        <v>6424541</v>
      </c>
      <c r="I32" s="42">
        <v>4982730</v>
      </c>
      <c r="J32" s="42">
        <v>6101633</v>
      </c>
      <c r="K32" s="42">
        <v>6673272</v>
      </c>
      <c r="L32" s="42">
        <v>11282989</v>
      </c>
      <c r="M32" s="42">
        <v>10871988</v>
      </c>
      <c r="N32" s="42">
        <v>11363547</v>
      </c>
      <c r="O32" s="42">
        <v>13681549</v>
      </c>
      <c r="P32" s="42">
        <v>7883914</v>
      </c>
      <c r="Q32" s="42"/>
    </row>
    <row r="33" spans="1:18" s="43" customFormat="1" x14ac:dyDescent="0.25">
      <c r="A33" s="44">
        <v>2</v>
      </c>
      <c r="B33" s="44">
        <f t="shared" ref="B33:Q33" si="9">ROUND((B32)/$A$31,0)</f>
        <v>53182</v>
      </c>
      <c r="C33" s="44">
        <f t="shared" si="9"/>
        <v>372728</v>
      </c>
      <c r="D33" s="44">
        <f t="shared" si="9"/>
        <v>2406595</v>
      </c>
      <c r="E33" s="44">
        <f t="shared" si="9"/>
        <v>2583278</v>
      </c>
      <c r="F33" s="44">
        <f t="shared" si="9"/>
        <v>3360546</v>
      </c>
      <c r="G33" s="44">
        <f t="shared" si="9"/>
        <v>2351365</v>
      </c>
      <c r="H33" s="44">
        <f t="shared" si="9"/>
        <v>3212271</v>
      </c>
      <c r="I33" s="44">
        <f t="shared" si="9"/>
        <v>2491365</v>
      </c>
      <c r="J33" s="44">
        <f t="shared" si="9"/>
        <v>3050817</v>
      </c>
      <c r="K33" s="44">
        <f t="shared" si="9"/>
        <v>3336636</v>
      </c>
      <c r="L33" s="44">
        <f t="shared" si="9"/>
        <v>5641495</v>
      </c>
      <c r="M33" s="44">
        <f t="shared" si="9"/>
        <v>5435994</v>
      </c>
      <c r="N33" s="44">
        <f t="shared" si="9"/>
        <v>5681774</v>
      </c>
      <c r="O33" s="44">
        <f t="shared" si="9"/>
        <v>6840775</v>
      </c>
      <c r="P33" s="44">
        <f t="shared" si="9"/>
        <v>3941957</v>
      </c>
      <c r="Q33" s="44">
        <f t="shared" si="9"/>
        <v>0</v>
      </c>
    </row>
    <row r="34" spans="1:18" s="43" customFormat="1" x14ac:dyDescent="0.25">
      <c r="A34" s="42" t="s">
        <v>34</v>
      </c>
      <c r="B34" s="42">
        <v>63636</v>
      </c>
      <c r="C34" s="42">
        <v>1307366</v>
      </c>
      <c r="D34" s="42">
        <v>2290910</v>
      </c>
      <c r="E34" s="42">
        <v>3334642</v>
      </c>
      <c r="F34" s="42">
        <v>3677096</v>
      </c>
      <c r="G34" s="42">
        <v>4884555</v>
      </c>
      <c r="H34" s="42">
        <v>2646361</v>
      </c>
      <c r="I34" s="42">
        <v>4347272</v>
      </c>
      <c r="J34" s="42">
        <v>3916274</v>
      </c>
      <c r="K34" s="42">
        <v>4046369</v>
      </c>
      <c r="L34" s="42">
        <v>7114538</v>
      </c>
      <c r="M34" s="42">
        <v>7074631</v>
      </c>
      <c r="N34" s="42">
        <v>6594725</v>
      </c>
      <c r="O34" s="42">
        <v>8402562</v>
      </c>
      <c r="P34" s="42">
        <v>4312365</v>
      </c>
      <c r="Q34" s="42"/>
    </row>
    <row r="35" spans="1:18" s="43" customFormat="1" x14ac:dyDescent="0.25">
      <c r="A35" s="44">
        <v>2</v>
      </c>
      <c r="B35" s="44">
        <f t="shared" ref="B35:Q35" si="10">ROUND((B34)/$A$31,0)</f>
        <v>31818</v>
      </c>
      <c r="C35" s="44">
        <f t="shared" si="10"/>
        <v>653683</v>
      </c>
      <c r="D35" s="44">
        <f t="shared" si="10"/>
        <v>1145455</v>
      </c>
      <c r="E35" s="44">
        <f t="shared" si="10"/>
        <v>1667321</v>
      </c>
      <c r="F35" s="44">
        <f t="shared" si="10"/>
        <v>1838548</v>
      </c>
      <c r="G35" s="44">
        <f t="shared" si="10"/>
        <v>2442278</v>
      </c>
      <c r="H35" s="44">
        <f t="shared" si="10"/>
        <v>1323181</v>
      </c>
      <c r="I35" s="44">
        <f t="shared" si="10"/>
        <v>2173636</v>
      </c>
      <c r="J35" s="44">
        <f t="shared" si="10"/>
        <v>1958137</v>
      </c>
      <c r="K35" s="44">
        <f t="shared" si="10"/>
        <v>2023185</v>
      </c>
      <c r="L35" s="44">
        <f t="shared" si="10"/>
        <v>3557269</v>
      </c>
      <c r="M35" s="44">
        <f t="shared" si="10"/>
        <v>3537316</v>
      </c>
      <c r="N35" s="44">
        <f t="shared" si="10"/>
        <v>3297363</v>
      </c>
      <c r="O35" s="44">
        <f t="shared" si="10"/>
        <v>4201281</v>
      </c>
      <c r="P35" s="44">
        <f t="shared" si="10"/>
        <v>2156183</v>
      </c>
      <c r="Q35" s="44">
        <f t="shared" si="10"/>
        <v>0</v>
      </c>
    </row>
    <row r="36" spans="1:18" s="43" customFormat="1" x14ac:dyDescent="0.25">
      <c r="A36" s="42" t="s">
        <v>36</v>
      </c>
      <c r="B36" s="42">
        <v>320002</v>
      </c>
      <c r="C36" s="42">
        <v>1725459</v>
      </c>
      <c r="D36" s="42">
        <v>2811825</v>
      </c>
      <c r="E36" s="42">
        <v>3324005</v>
      </c>
      <c r="F36" s="42">
        <v>6735364</v>
      </c>
      <c r="G36" s="42">
        <v>4763457</v>
      </c>
      <c r="H36" s="42">
        <v>4509085</v>
      </c>
      <c r="I36" s="42">
        <v>5591815</v>
      </c>
      <c r="J36" s="42">
        <v>4350907</v>
      </c>
      <c r="K36" s="42">
        <v>4699097</v>
      </c>
      <c r="L36" s="42">
        <v>9264450</v>
      </c>
      <c r="M36" s="42">
        <v>9678815</v>
      </c>
      <c r="N36" s="42">
        <v>12464454</v>
      </c>
      <c r="O36" s="42">
        <v>12042734</v>
      </c>
      <c r="P36" s="42">
        <v>6618364</v>
      </c>
      <c r="Q36" s="42">
        <v>386464</v>
      </c>
    </row>
    <row r="37" spans="1:18" s="43" customFormat="1" x14ac:dyDescent="0.25">
      <c r="A37" s="44">
        <v>2</v>
      </c>
      <c r="B37" s="44">
        <f t="shared" ref="B37:Q37" si="11">ROUND((B36)/$A$31,0)</f>
        <v>160001</v>
      </c>
      <c r="C37" s="44">
        <f t="shared" si="11"/>
        <v>862730</v>
      </c>
      <c r="D37" s="44">
        <f t="shared" si="11"/>
        <v>1405913</v>
      </c>
      <c r="E37" s="44">
        <f t="shared" si="11"/>
        <v>1662003</v>
      </c>
      <c r="F37" s="44">
        <f t="shared" si="11"/>
        <v>3367682</v>
      </c>
      <c r="G37" s="44">
        <f t="shared" si="11"/>
        <v>2381729</v>
      </c>
      <c r="H37" s="44">
        <f t="shared" si="11"/>
        <v>2254543</v>
      </c>
      <c r="I37" s="44">
        <f t="shared" si="11"/>
        <v>2795908</v>
      </c>
      <c r="J37" s="44">
        <f t="shared" si="11"/>
        <v>2175454</v>
      </c>
      <c r="K37" s="44">
        <f t="shared" si="11"/>
        <v>2349549</v>
      </c>
      <c r="L37" s="44">
        <f t="shared" si="11"/>
        <v>4632225</v>
      </c>
      <c r="M37" s="44">
        <f t="shared" si="11"/>
        <v>4839408</v>
      </c>
      <c r="N37" s="44">
        <f t="shared" si="11"/>
        <v>6232227</v>
      </c>
      <c r="O37" s="44">
        <f t="shared" si="11"/>
        <v>6021367</v>
      </c>
      <c r="P37" s="44">
        <f t="shared" si="11"/>
        <v>3309182</v>
      </c>
      <c r="Q37" s="44">
        <f t="shared" si="11"/>
        <v>193232</v>
      </c>
    </row>
    <row r="38" spans="1:18" s="43" customFormat="1" x14ac:dyDescent="0.25">
      <c r="A38" s="42" t="s">
        <v>41</v>
      </c>
      <c r="B38" s="42">
        <v>0</v>
      </c>
      <c r="C38" s="42">
        <v>503003</v>
      </c>
      <c r="D38" s="42">
        <v>2480185</v>
      </c>
      <c r="E38" s="42">
        <v>5193640</v>
      </c>
      <c r="F38" s="42">
        <v>5348189</v>
      </c>
      <c r="G38" s="42">
        <v>5857824</v>
      </c>
      <c r="H38" s="42">
        <v>3720548</v>
      </c>
      <c r="I38" s="42">
        <v>5071820</v>
      </c>
      <c r="J38" s="42">
        <v>4739371</v>
      </c>
      <c r="K38" s="42">
        <v>6212454</v>
      </c>
      <c r="L38" s="42">
        <v>5689091</v>
      </c>
      <c r="M38" s="42">
        <v>7210273</v>
      </c>
      <c r="N38" s="42">
        <v>9675633</v>
      </c>
      <c r="O38" s="42">
        <v>7000909</v>
      </c>
      <c r="P38" s="42">
        <v>4683186</v>
      </c>
      <c r="Q38" s="42">
        <v>140000</v>
      </c>
    </row>
    <row r="39" spans="1:18" s="43" customFormat="1" x14ac:dyDescent="0.25">
      <c r="A39" s="44">
        <v>2</v>
      </c>
      <c r="B39" s="44">
        <f t="shared" ref="B39:Q39" si="12">ROUND((B38)/$A$31,0)</f>
        <v>0</v>
      </c>
      <c r="C39" s="44">
        <f t="shared" si="12"/>
        <v>251502</v>
      </c>
      <c r="D39" s="44">
        <f t="shared" si="12"/>
        <v>1240093</v>
      </c>
      <c r="E39" s="44">
        <f t="shared" si="12"/>
        <v>2596820</v>
      </c>
      <c r="F39" s="44">
        <f t="shared" si="12"/>
        <v>2674095</v>
      </c>
      <c r="G39" s="44">
        <f t="shared" si="12"/>
        <v>2928912</v>
      </c>
      <c r="H39" s="44">
        <f t="shared" si="12"/>
        <v>1860274</v>
      </c>
      <c r="I39" s="44">
        <f t="shared" si="12"/>
        <v>2535910</v>
      </c>
      <c r="J39" s="44">
        <f t="shared" si="12"/>
        <v>2369686</v>
      </c>
      <c r="K39" s="44">
        <f t="shared" si="12"/>
        <v>3106227</v>
      </c>
      <c r="L39" s="44">
        <f t="shared" si="12"/>
        <v>2844546</v>
      </c>
      <c r="M39" s="44">
        <f t="shared" si="12"/>
        <v>3605137</v>
      </c>
      <c r="N39" s="44">
        <f t="shared" si="12"/>
        <v>4837817</v>
      </c>
      <c r="O39" s="44">
        <f t="shared" si="12"/>
        <v>3500455</v>
      </c>
      <c r="P39" s="44">
        <f t="shared" si="12"/>
        <v>2341593</v>
      </c>
      <c r="Q39" s="44">
        <f t="shared" si="12"/>
        <v>70000</v>
      </c>
    </row>
    <row r="40" spans="1:18" s="43" customFormat="1" x14ac:dyDescent="0.25">
      <c r="A40" s="70" t="s">
        <v>40</v>
      </c>
      <c r="B40" s="70">
        <f>ROUND((B39+B37+B35+B33+B31)/6,0)</f>
        <v>40834</v>
      </c>
      <c r="C40" s="70">
        <f t="shared" ref="C40:Q40" si="13">ROUND((C39+C37+C35+C33+C31)/6,0)</f>
        <v>410107</v>
      </c>
      <c r="D40" s="70">
        <f t="shared" si="13"/>
        <v>1250775</v>
      </c>
      <c r="E40" s="70">
        <f t="shared" si="13"/>
        <v>1966237</v>
      </c>
      <c r="F40" s="70">
        <f t="shared" si="13"/>
        <v>2221305</v>
      </c>
      <c r="G40" s="70">
        <f t="shared" si="13"/>
        <v>2097146</v>
      </c>
      <c r="H40" s="70">
        <f t="shared" si="13"/>
        <v>1704772</v>
      </c>
      <c r="I40" s="70">
        <f t="shared" si="13"/>
        <v>1882349</v>
      </c>
      <c r="J40" s="70">
        <f t="shared" si="13"/>
        <v>1962197</v>
      </c>
      <c r="K40" s="70">
        <f t="shared" si="13"/>
        <v>2207971</v>
      </c>
      <c r="L40" s="70">
        <f t="shared" si="13"/>
        <v>3362287</v>
      </c>
      <c r="M40" s="70">
        <f t="shared" si="13"/>
        <v>3473279</v>
      </c>
      <c r="N40" s="70">
        <f t="shared" si="13"/>
        <v>3867500</v>
      </c>
      <c r="O40" s="70">
        <f t="shared" si="13"/>
        <v>4003744</v>
      </c>
      <c r="P40" s="70">
        <f t="shared" si="13"/>
        <v>2326433</v>
      </c>
      <c r="Q40" s="70">
        <f t="shared" si="13"/>
        <v>57054</v>
      </c>
      <c r="R40" s="43">
        <f t="shared" ref="R40:R41" si="14">SUM(B40:Q40)</f>
        <v>32833990</v>
      </c>
    </row>
    <row r="41" spans="1:18" x14ac:dyDescent="0.25">
      <c r="A41" s="12" t="s">
        <v>60</v>
      </c>
      <c r="B41" s="12">
        <v>1</v>
      </c>
      <c r="C41" s="12">
        <v>2</v>
      </c>
      <c r="D41" s="12">
        <v>2</v>
      </c>
      <c r="E41" s="12">
        <v>3</v>
      </c>
      <c r="F41" s="12">
        <v>3</v>
      </c>
      <c r="G41" s="12">
        <v>3</v>
      </c>
      <c r="H41" s="12">
        <v>3</v>
      </c>
      <c r="I41" s="12">
        <v>2</v>
      </c>
      <c r="J41" s="12">
        <v>3</v>
      </c>
      <c r="K41" s="12">
        <v>4</v>
      </c>
      <c r="L41" s="12">
        <v>4</v>
      </c>
      <c r="M41" s="12">
        <v>5</v>
      </c>
      <c r="N41" s="12">
        <v>5</v>
      </c>
      <c r="O41" s="12">
        <v>5</v>
      </c>
      <c r="P41" s="12">
        <v>4</v>
      </c>
      <c r="Q41" s="2"/>
      <c r="R41" s="43">
        <f t="shared" si="14"/>
        <v>49</v>
      </c>
    </row>
    <row r="42" spans="1:18" x14ac:dyDescent="0.25">
      <c r="A42" s="12" t="s">
        <v>61</v>
      </c>
      <c r="B42" s="12">
        <v>1</v>
      </c>
      <c r="C42" s="12">
        <v>2</v>
      </c>
      <c r="D42" s="12">
        <v>2</v>
      </c>
      <c r="E42" s="12">
        <v>3</v>
      </c>
      <c r="F42" s="12">
        <v>3</v>
      </c>
      <c r="G42" s="12">
        <v>3</v>
      </c>
      <c r="H42" s="12">
        <v>3</v>
      </c>
      <c r="I42" s="12">
        <v>2</v>
      </c>
      <c r="J42" s="12">
        <v>3</v>
      </c>
      <c r="K42" s="12">
        <v>4</v>
      </c>
      <c r="L42" s="12">
        <v>4</v>
      </c>
      <c r="M42" s="12">
        <v>5</v>
      </c>
      <c r="N42" s="12">
        <v>5</v>
      </c>
      <c r="O42" s="12">
        <v>5</v>
      </c>
      <c r="P42" s="12">
        <v>4</v>
      </c>
      <c r="Q42" s="2"/>
      <c r="R42" s="43">
        <f>SUM(B42:Q42)</f>
        <v>49</v>
      </c>
    </row>
    <row r="44" spans="1:18" x14ac:dyDescent="0.25">
      <c r="A44" s="13" t="s">
        <v>75</v>
      </c>
    </row>
    <row r="45" spans="1:18" x14ac:dyDescent="0.25">
      <c r="A45" s="2" t="s">
        <v>78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/>
      <c r="K45" s="2"/>
      <c r="L45" s="2"/>
      <c r="M45" s="2"/>
      <c r="N45" s="2"/>
      <c r="O45" s="2"/>
      <c r="P45" s="2"/>
      <c r="Q45" s="2"/>
    </row>
    <row r="46" spans="1:18" x14ac:dyDescent="0.25">
      <c r="A46" s="2" t="s">
        <v>111</v>
      </c>
      <c r="B46" s="2"/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/>
      <c r="M46" s="2"/>
      <c r="N46" s="2"/>
      <c r="O46" s="2"/>
      <c r="P46" s="2"/>
      <c r="Q46" s="2"/>
    </row>
    <row r="47" spans="1:18" x14ac:dyDescent="0.25">
      <c r="A47" s="2" t="s">
        <v>182</v>
      </c>
      <c r="B47" s="2"/>
      <c r="C47" s="2"/>
      <c r="D47" s="2"/>
      <c r="E47" s="2">
        <v>1</v>
      </c>
      <c r="F47" s="2">
        <v>1</v>
      </c>
      <c r="G47" s="2">
        <v>1</v>
      </c>
      <c r="H47" s="2">
        <v>1</v>
      </c>
      <c r="I47" s="2"/>
      <c r="J47" s="2"/>
      <c r="K47" s="2"/>
      <c r="L47" s="2"/>
      <c r="M47" s="2"/>
      <c r="N47" s="2"/>
      <c r="O47" s="2"/>
      <c r="P47" s="2"/>
      <c r="Q47" s="2"/>
    </row>
    <row r="48" spans="1:18" x14ac:dyDescent="0.25">
      <c r="A48" s="2" t="s">
        <v>86</v>
      </c>
      <c r="B48" s="2"/>
      <c r="C48" s="2"/>
      <c r="D48" s="2"/>
      <c r="E48" s="2"/>
      <c r="F48" s="2"/>
      <c r="G48" s="2"/>
      <c r="H48" s="2"/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/>
    </row>
    <row r="49" spans="1:22" x14ac:dyDescent="0.25">
      <c r="A49" s="2" t="s">
        <v>86</v>
      </c>
      <c r="B49" s="2"/>
      <c r="C49" s="2"/>
      <c r="D49" s="2"/>
      <c r="E49" s="2"/>
      <c r="F49" s="2"/>
      <c r="G49" s="2"/>
      <c r="H49" s="2"/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/>
    </row>
    <row r="50" spans="1:22" x14ac:dyDescent="0.25">
      <c r="A50" s="2" t="s">
        <v>117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>
        <v>1</v>
      </c>
      <c r="N50" s="2">
        <v>1</v>
      </c>
      <c r="O50" s="2">
        <v>1</v>
      </c>
      <c r="P50" s="2">
        <v>1</v>
      </c>
      <c r="Q50" s="2"/>
    </row>
    <row r="51" spans="1:22" x14ac:dyDescent="0.25">
      <c r="A51" s="2" t="s">
        <v>117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>
        <v>1</v>
      </c>
      <c r="N51" s="2">
        <v>1</v>
      </c>
      <c r="O51" s="2">
        <v>1</v>
      </c>
      <c r="P51" s="2">
        <v>1</v>
      </c>
      <c r="Q51" s="2"/>
    </row>
    <row r="52" spans="1:22" x14ac:dyDescent="0.25">
      <c r="A52" s="2" t="s">
        <v>282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1</v>
      </c>
      <c r="M52" s="2">
        <v>1</v>
      </c>
      <c r="N52" s="2">
        <v>1</v>
      </c>
      <c r="O52" s="2">
        <v>1</v>
      </c>
      <c r="P52" s="2"/>
      <c r="Q52" s="2"/>
    </row>
    <row r="53" spans="1:22" x14ac:dyDescent="0.25">
      <c r="A53" s="2" t="s">
        <v>160</v>
      </c>
      <c r="B53" s="2"/>
      <c r="C53" s="2"/>
      <c r="D53" s="2"/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/>
      <c r="N53" s="2"/>
      <c r="O53" s="2"/>
      <c r="P53" s="2"/>
      <c r="Q53" s="2"/>
    </row>
    <row r="54" spans="1:22" x14ac:dyDescent="0.25">
      <c r="A54" s="2" t="s">
        <v>66</v>
      </c>
      <c r="B54" s="2">
        <f>SUM(B45:B53)</f>
        <v>1</v>
      </c>
      <c r="C54" s="2">
        <f t="shared" ref="C54:Q54" si="15">SUM(C45:C53)</f>
        <v>2</v>
      </c>
      <c r="D54" s="2">
        <f t="shared" si="15"/>
        <v>2</v>
      </c>
      <c r="E54" s="2">
        <f t="shared" si="15"/>
        <v>4</v>
      </c>
      <c r="F54" s="2">
        <f t="shared" si="15"/>
        <v>4</v>
      </c>
      <c r="G54" s="2">
        <f t="shared" si="15"/>
        <v>4</v>
      </c>
      <c r="H54" s="2">
        <f t="shared" si="15"/>
        <v>4</v>
      </c>
      <c r="I54" s="2">
        <f t="shared" si="15"/>
        <v>4</v>
      </c>
      <c r="J54" s="2">
        <f t="shared" si="15"/>
        <v>3</v>
      </c>
      <c r="K54" s="2">
        <f t="shared" si="15"/>
        <v>3</v>
      </c>
      <c r="L54" s="2">
        <f t="shared" si="15"/>
        <v>4</v>
      </c>
      <c r="M54" s="2">
        <f t="shared" si="15"/>
        <v>5</v>
      </c>
      <c r="N54" s="2">
        <f t="shared" si="15"/>
        <v>5</v>
      </c>
      <c r="O54" s="2">
        <f t="shared" si="15"/>
        <v>5</v>
      </c>
      <c r="P54" s="2">
        <f t="shared" si="15"/>
        <v>4</v>
      </c>
      <c r="Q54" s="2">
        <f t="shared" si="15"/>
        <v>0</v>
      </c>
      <c r="R54" s="1">
        <f>SUM(B54:Q54)</f>
        <v>54</v>
      </c>
    </row>
    <row r="56" spans="1:22" x14ac:dyDescent="0.25">
      <c r="A56" s="2" t="s">
        <v>22</v>
      </c>
      <c r="B56" s="2"/>
      <c r="C56" s="2"/>
      <c r="E56" s="1" t="s">
        <v>64</v>
      </c>
      <c r="F56" s="1" t="s">
        <v>70</v>
      </c>
    </row>
    <row r="57" spans="1:22" x14ac:dyDescent="0.25">
      <c r="A57" s="3" t="s">
        <v>0</v>
      </c>
      <c r="B57" s="2"/>
      <c r="C57" s="2"/>
      <c r="E57" s="1" t="s">
        <v>69</v>
      </c>
      <c r="F57" s="1" t="s">
        <v>71</v>
      </c>
    </row>
    <row r="58" spans="1:22" x14ac:dyDescent="0.25">
      <c r="A58" s="2" t="s">
        <v>23</v>
      </c>
      <c r="B58" s="2">
        <f>22-10</f>
        <v>12</v>
      </c>
      <c r="C58" s="2" t="s">
        <v>24</v>
      </c>
      <c r="E58" s="1">
        <f>D92</f>
        <v>38</v>
      </c>
      <c r="F58" s="1" t="s">
        <v>24</v>
      </c>
      <c r="G58" s="1">
        <f>E58/B58</f>
        <v>3.1666666666666665</v>
      </c>
      <c r="H58" s="1" t="s">
        <v>76</v>
      </c>
    </row>
    <row r="59" spans="1:22" x14ac:dyDescent="0.25">
      <c r="A59" s="3" t="s">
        <v>2</v>
      </c>
      <c r="B59" s="2"/>
      <c r="C59" s="2"/>
    </row>
    <row r="60" spans="1:22" x14ac:dyDescent="0.25">
      <c r="A60" s="2" t="s">
        <v>23</v>
      </c>
      <c r="B60" s="2">
        <f>22-10</f>
        <v>12</v>
      </c>
      <c r="C60" s="2" t="s">
        <v>24</v>
      </c>
      <c r="E60" s="1">
        <f>D104</f>
        <v>54</v>
      </c>
      <c r="F60" s="1" t="s">
        <v>24</v>
      </c>
      <c r="G60" s="1">
        <f>E60/B60</f>
        <v>4.5</v>
      </c>
      <c r="H60" s="1" t="s">
        <v>76</v>
      </c>
    </row>
    <row r="62" spans="1:22" customFormat="1" x14ac:dyDescent="0.25">
      <c r="A62" s="48" t="s">
        <v>307</v>
      </c>
      <c r="B62" s="1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</row>
    <row r="63" spans="1:22" customFormat="1" x14ac:dyDescent="0.25">
      <c r="A63" s="48"/>
      <c r="B63" s="1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</row>
    <row r="64" spans="1:22" customFormat="1" x14ac:dyDescent="0.25">
      <c r="A64" s="50" t="s">
        <v>308</v>
      </c>
      <c r="B64" s="51" t="s">
        <v>309</v>
      </c>
      <c r="C64" s="52" t="s">
        <v>310</v>
      </c>
      <c r="D64" s="51" t="s">
        <v>311</v>
      </c>
      <c r="E64" s="51" t="s">
        <v>312</v>
      </c>
      <c r="F64" s="53" t="s">
        <v>313</v>
      </c>
      <c r="G64" s="51" t="s">
        <v>314</v>
      </c>
      <c r="H64" s="1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</row>
    <row r="65" spans="1:22" customFormat="1" x14ac:dyDescent="0.25">
      <c r="A65" s="50" t="s">
        <v>315</v>
      </c>
      <c r="B65" s="51">
        <v>1</v>
      </c>
      <c r="C65" s="51">
        <v>1</v>
      </c>
      <c r="D65" s="51">
        <v>1</v>
      </c>
      <c r="E65" s="51">
        <v>1</v>
      </c>
      <c r="F65" s="51">
        <v>1</v>
      </c>
      <c r="G65" s="51">
        <v>1</v>
      </c>
      <c r="H65" s="1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</row>
    <row r="66" spans="1:22" customFormat="1" x14ac:dyDescent="0.25">
      <c r="A66" s="50" t="s">
        <v>316</v>
      </c>
      <c r="B66" s="51">
        <v>1</v>
      </c>
      <c r="C66" s="51">
        <v>1</v>
      </c>
      <c r="D66" s="51">
        <v>1</v>
      </c>
      <c r="E66" s="51">
        <v>1</v>
      </c>
      <c r="F66" s="51">
        <v>1</v>
      </c>
      <c r="G66" s="51">
        <v>2</v>
      </c>
      <c r="H66" s="1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</row>
    <row r="67" spans="1:22" customFormat="1" x14ac:dyDescent="0.25">
      <c r="A67" s="50" t="s">
        <v>317</v>
      </c>
      <c r="B67" s="51">
        <v>1</v>
      </c>
      <c r="C67" s="51">
        <v>1</v>
      </c>
      <c r="D67" s="51">
        <v>1</v>
      </c>
      <c r="E67" s="51">
        <v>2</v>
      </c>
      <c r="F67" s="51">
        <v>2</v>
      </c>
      <c r="G67" s="51">
        <v>2</v>
      </c>
      <c r="H67" s="1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</row>
    <row r="68" spans="1:22" customFormat="1" x14ac:dyDescent="0.25">
      <c r="A68" s="50" t="s">
        <v>318</v>
      </c>
      <c r="B68" s="51">
        <v>0</v>
      </c>
      <c r="C68" s="51">
        <v>1</v>
      </c>
      <c r="D68" s="51">
        <v>1</v>
      </c>
      <c r="E68" s="51">
        <v>1</v>
      </c>
      <c r="F68" s="51">
        <v>1</v>
      </c>
      <c r="G68" s="51">
        <v>1</v>
      </c>
      <c r="H68" s="1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</row>
    <row r="69" spans="1:22" customFormat="1" x14ac:dyDescent="0.25">
      <c r="A69" s="50" t="s">
        <v>319</v>
      </c>
      <c r="B69" s="51">
        <f t="shared" ref="B69:G69" si="16">SUM(B65:B68)</f>
        <v>3</v>
      </c>
      <c r="C69" s="51">
        <f t="shared" si="16"/>
        <v>4</v>
      </c>
      <c r="D69" s="51">
        <f t="shared" si="16"/>
        <v>4</v>
      </c>
      <c r="E69" s="51">
        <f t="shared" si="16"/>
        <v>5</v>
      </c>
      <c r="F69" s="51">
        <f t="shared" si="16"/>
        <v>5</v>
      </c>
      <c r="G69" s="51">
        <f t="shared" si="16"/>
        <v>6</v>
      </c>
      <c r="H69" s="1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</row>
    <row r="70" spans="1:22" customFormat="1" x14ac:dyDescent="0.25">
      <c r="B70" s="49"/>
      <c r="C70" s="49"/>
      <c r="D70" s="49"/>
      <c r="E70" s="49"/>
      <c r="F70" s="49"/>
      <c r="G70" s="49"/>
      <c r="H70" s="1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</row>
    <row r="71" spans="1:22" customFormat="1" x14ac:dyDescent="0.25">
      <c r="A71" s="50" t="s">
        <v>320</v>
      </c>
      <c r="B71" s="54">
        <v>12</v>
      </c>
      <c r="C71" s="54">
        <v>12</v>
      </c>
      <c r="D71" s="54">
        <v>12</v>
      </c>
      <c r="E71" s="54">
        <v>12</v>
      </c>
      <c r="F71" s="54">
        <v>12</v>
      </c>
      <c r="G71" s="54">
        <v>12</v>
      </c>
      <c r="H71" s="1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</row>
    <row r="72" spans="1:22" customFormat="1" x14ac:dyDescent="0.25">
      <c r="A72" s="50" t="s">
        <v>321</v>
      </c>
      <c r="B72" s="54">
        <v>2</v>
      </c>
      <c r="C72" s="54">
        <v>2</v>
      </c>
      <c r="D72" s="54">
        <v>2</v>
      </c>
      <c r="E72" s="54">
        <v>2</v>
      </c>
      <c r="F72" s="54">
        <v>2</v>
      </c>
      <c r="G72" s="54">
        <v>2</v>
      </c>
      <c r="H72" s="1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</row>
    <row r="73" spans="1:22" customFormat="1" x14ac:dyDescent="0.25">
      <c r="A73" s="50" t="s">
        <v>322</v>
      </c>
      <c r="B73" s="55">
        <f t="shared" ref="B73:G73" si="17">SUM(B71+B72)/8</f>
        <v>1.75</v>
      </c>
      <c r="C73" s="55">
        <f t="shared" si="17"/>
        <v>1.75</v>
      </c>
      <c r="D73" s="55">
        <f t="shared" si="17"/>
        <v>1.75</v>
      </c>
      <c r="E73" s="55">
        <f t="shared" si="17"/>
        <v>1.75</v>
      </c>
      <c r="F73" s="55">
        <f t="shared" si="17"/>
        <v>1.75</v>
      </c>
      <c r="G73" s="55">
        <f t="shared" si="17"/>
        <v>1.75</v>
      </c>
      <c r="H73" s="1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</row>
    <row r="74" spans="1:22" customFormat="1" x14ac:dyDescent="0.25">
      <c r="A74" s="50" t="s">
        <v>323</v>
      </c>
      <c r="B74" s="55">
        <f>SUM(B69*B73)</f>
        <v>5.25</v>
      </c>
      <c r="C74" s="55">
        <f t="shared" ref="C74:G74" si="18">SUM(C69*C73)</f>
        <v>7</v>
      </c>
      <c r="D74" s="55">
        <f t="shared" si="18"/>
        <v>7</v>
      </c>
      <c r="E74" s="55">
        <f t="shared" si="18"/>
        <v>8.75</v>
      </c>
      <c r="F74" s="55">
        <f t="shared" si="18"/>
        <v>8.75</v>
      </c>
      <c r="G74" s="55">
        <f t="shared" si="18"/>
        <v>10.5</v>
      </c>
      <c r="H74" s="1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</row>
    <row r="75" spans="1:22" customFormat="1" x14ac:dyDescent="0.25">
      <c r="B75" s="49"/>
      <c r="C75" s="49"/>
      <c r="D75" s="49"/>
      <c r="E75" s="49"/>
      <c r="F75" s="49"/>
      <c r="G75" s="49"/>
      <c r="H75" s="1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</row>
    <row r="76" spans="1:22" customFormat="1" x14ac:dyDescent="0.25">
      <c r="A76" s="50" t="s">
        <v>324</v>
      </c>
      <c r="B76" s="55">
        <f>SUM(B74*7)/6</f>
        <v>6.125</v>
      </c>
      <c r="C76" s="55">
        <f t="shared" ref="C76:G76" si="19">SUM(C74*7)/6</f>
        <v>8.1666666666666661</v>
      </c>
      <c r="D76" s="55">
        <f t="shared" si="19"/>
        <v>8.1666666666666661</v>
      </c>
      <c r="E76" s="55">
        <f t="shared" si="19"/>
        <v>10.208333333333334</v>
      </c>
      <c r="F76" s="55">
        <f t="shared" si="19"/>
        <v>10.208333333333334</v>
      </c>
      <c r="G76" s="55">
        <f t="shared" si="19"/>
        <v>12.25</v>
      </c>
      <c r="H76" s="1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</row>
    <row r="77" spans="1:22" customFormat="1" x14ac:dyDescent="0.25">
      <c r="A77" s="78"/>
      <c r="B77" s="79"/>
      <c r="C77" s="79"/>
      <c r="D77" s="79"/>
      <c r="E77" s="79"/>
      <c r="F77" s="79"/>
      <c r="G77" s="79"/>
      <c r="H77" s="1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</row>
    <row r="82" spans="1:14" x14ac:dyDescent="0.25">
      <c r="A82" s="2"/>
      <c r="B82" s="2" t="s">
        <v>26</v>
      </c>
      <c r="C82" s="2" t="s">
        <v>27</v>
      </c>
    </row>
    <row r="83" spans="1:14" x14ac:dyDescent="0.25">
      <c r="A83" s="29" t="s">
        <v>0</v>
      </c>
      <c r="B83" s="2"/>
      <c r="C83" s="2"/>
      <c r="D83" s="2"/>
    </row>
    <row r="84" spans="1:14" x14ac:dyDescent="0.25">
      <c r="A84" s="12" t="s">
        <v>78</v>
      </c>
      <c r="B84" s="2" t="s">
        <v>67</v>
      </c>
      <c r="C84" s="2">
        <v>1</v>
      </c>
      <c r="D84" s="2">
        <f>C84*8</f>
        <v>8</v>
      </c>
    </row>
    <row r="85" spans="1:14" x14ac:dyDescent="0.25">
      <c r="A85" s="12" t="s">
        <v>111</v>
      </c>
      <c r="B85" s="2" t="s">
        <v>68</v>
      </c>
      <c r="C85" s="2">
        <v>1</v>
      </c>
      <c r="D85" s="2">
        <f>14-8</f>
        <v>6</v>
      </c>
    </row>
    <row r="86" spans="1:14" x14ac:dyDescent="0.25">
      <c r="A86" s="12" t="s">
        <v>86</v>
      </c>
      <c r="B86" s="2" t="s">
        <v>67</v>
      </c>
      <c r="C86" s="2">
        <v>1</v>
      </c>
      <c r="D86" s="2">
        <v>8</v>
      </c>
      <c r="F86" s="68" t="s">
        <v>114</v>
      </c>
      <c r="G86" s="3" t="s">
        <v>67</v>
      </c>
      <c r="H86" s="3" t="s">
        <v>68</v>
      </c>
      <c r="I86" s="3" t="s">
        <v>90</v>
      </c>
    </row>
    <row r="87" spans="1:14" x14ac:dyDescent="0.25">
      <c r="A87" s="12" t="s">
        <v>117</v>
      </c>
      <c r="B87" s="2" t="s">
        <v>68</v>
      </c>
      <c r="C87" s="2">
        <v>1</v>
      </c>
      <c r="D87" s="2">
        <f>22-18</f>
        <v>4</v>
      </c>
      <c r="F87" s="11">
        <f>SUM(G87:I87)</f>
        <v>10</v>
      </c>
      <c r="G87" s="2">
        <v>4</v>
      </c>
      <c r="H87" s="2">
        <v>5</v>
      </c>
      <c r="I87" s="2">
        <v>1</v>
      </c>
    </row>
    <row r="88" spans="1:14" x14ac:dyDescent="0.25">
      <c r="A88" s="12" t="s">
        <v>117</v>
      </c>
      <c r="B88" s="2" t="s">
        <v>68</v>
      </c>
      <c r="C88" s="2">
        <v>1</v>
      </c>
      <c r="D88" s="2">
        <f>22-18</f>
        <v>4</v>
      </c>
    </row>
    <row r="89" spans="1:14" x14ac:dyDescent="0.25">
      <c r="A89" s="12" t="s">
        <v>160</v>
      </c>
      <c r="B89" s="2" t="s">
        <v>67</v>
      </c>
      <c r="C89" s="2">
        <v>1</v>
      </c>
      <c r="D89" s="2">
        <v>8</v>
      </c>
      <c r="F89" s="68" t="s">
        <v>89</v>
      </c>
      <c r="G89" s="3" t="s">
        <v>67</v>
      </c>
      <c r="H89" s="3" t="s">
        <v>68</v>
      </c>
      <c r="I89" s="3" t="s">
        <v>90</v>
      </c>
      <c r="K89" s="68" t="s">
        <v>102</v>
      </c>
      <c r="L89" s="3" t="s">
        <v>67</v>
      </c>
      <c r="M89" s="3" t="s">
        <v>68</v>
      </c>
      <c r="N89" s="3" t="s">
        <v>90</v>
      </c>
    </row>
    <row r="90" spans="1:14" x14ac:dyDescent="0.25">
      <c r="A90" s="12" t="s">
        <v>101</v>
      </c>
      <c r="B90" s="2" t="s">
        <v>283</v>
      </c>
      <c r="C90" s="2">
        <v>3</v>
      </c>
      <c r="D90" s="2"/>
      <c r="F90" s="11">
        <f t="shared" ref="F90" si="20">SUM(G90:I90)</f>
        <v>7</v>
      </c>
      <c r="G90" s="2">
        <v>2</v>
      </c>
      <c r="H90" s="2">
        <v>4</v>
      </c>
      <c r="I90" s="2">
        <v>1</v>
      </c>
      <c r="K90" s="11">
        <f>F87-F90</f>
        <v>3</v>
      </c>
      <c r="L90" s="11">
        <f>G87-G90</f>
        <v>2</v>
      </c>
      <c r="M90" s="11">
        <f t="shared" ref="M90:N90" si="21">H87-H90</f>
        <v>1</v>
      </c>
      <c r="N90" s="11">
        <f t="shared" si="21"/>
        <v>0</v>
      </c>
    </row>
    <row r="91" spans="1:14" x14ac:dyDescent="0.25">
      <c r="A91" s="12" t="s">
        <v>284</v>
      </c>
      <c r="B91" s="2" t="s">
        <v>67</v>
      </c>
      <c r="C91" s="2">
        <v>1</v>
      </c>
      <c r="D91" s="2"/>
    </row>
    <row r="92" spans="1:14" x14ac:dyDescent="0.25">
      <c r="A92" s="29" t="s">
        <v>66</v>
      </c>
      <c r="B92" s="3"/>
      <c r="C92" s="3">
        <f>SUM(C84:C91)</f>
        <v>10</v>
      </c>
      <c r="D92" s="3">
        <f>SUM(D84:D89)</f>
        <v>38</v>
      </c>
      <c r="K92" s="1" t="s">
        <v>286</v>
      </c>
    </row>
    <row r="93" spans="1:14" x14ac:dyDescent="0.25">
      <c r="A93" s="29" t="s">
        <v>2</v>
      </c>
      <c r="B93" s="2"/>
      <c r="C93" s="2"/>
      <c r="D93" s="2"/>
    </row>
    <row r="94" spans="1:14" x14ac:dyDescent="0.25">
      <c r="A94" s="12" t="s">
        <v>78</v>
      </c>
      <c r="B94" s="2" t="s">
        <v>67</v>
      </c>
      <c r="C94" s="2">
        <v>1</v>
      </c>
      <c r="D94" s="2">
        <f>C94*8</f>
        <v>8</v>
      </c>
    </row>
    <row r="95" spans="1:14" x14ac:dyDescent="0.25">
      <c r="A95" s="12" t="s">
        <v>111</v>
      </c>
      <c r="B95" s="2" t="s">
        <v>68</v>
      </c>
      <c r="C95" s="2">
        <v>1</v>
      </c>
      <c r="D95" s="2">
        <f>14-8</f>
        <v>6</v>
      </c>
    </row>
    <row r="96" spans="1:14" x14ac:dyDescent="0.25">
      <c r="A96" s="12" t="s">
        <v>182</v>
      </c>
      <c r="B96" s="2" t="s">
        <v>287</v>
      </c>
      <c r="C96" s="2">
        <v>1</v>
      </c>
      <c r="D96" s="2">
        <f>14-10</f>
        <v>4</v>
      </c>
    </row>
    <row r="97" spans="1:7" x14ac:dyDescent="0.25">
      <c r="A97" s="12" t="s">
        <v>86</v>
      </c>
      <c r="B97" s="2" t="s">
        <v>67</v>
      </c>
      <c r="C97" s="2">
        <v>1</v>
      </c>
      <c r="D97" s="2">
        <f>C97*8</f>
        <v>8</v>
      </c>
    </row>
    <row r="98" spans="1:7" x14ac:dyDescent="0.25">
      <c r="A98" s="12" t="s">
        <v>86</v>
      </c>
      <c r="B98" s="2" t="s">
        <v>67</v>
      </c>
      <c r="C98" s="2">
        <v>1</v>
      </c>
      <c r="D98" s="2">
        <v>8</v>
      </c>
    </row>
    <row r="99" spans="1:7" x14ac:dyDescent="0.25">
      <c r="A99" s="12" t="s">
        <v>117</v>
      </c>
      <c r="B99" s="2" t="s">
        <v>68</v>
      </c>
      <c r="C99" s="2">
        <v>1</v>
      </c>
      <c r="D99" s="2">
        <f>22-18</f>
        <v>4</v>
      </c>
    </row>
    <row r="100" spans="1:7" x14ac:dyDescent="0.25">
      <c r="A100" s="12" t="s">
        <v>117</v>
      </c>
      <c r="B100" s="2" t="s">
        <v>68</v>
      </c>
      <c r="C100" s="2">
        <v>1</v>
      </c>
      <c r="D100" s="2">
        <f>22-18</f>
        <v>4</v>
      </c>
    </row>
    <row r="101" spans="1:7" x14ac:dyDescent="0.25">
      <c r="A101" s="12" t="s">
        <v>282</v>
      </c>
      <c r="B101" s="2" t="s">
        <v>287</v>
      </c>
      <c r="C101" s="2">
        <v>1</v>
      </c>
      <c r="D101" s="2">
        <f>22-18</f>
        <v>4</v>
      </c>
    </row>
    <row r="102" spans="1:7" x14ac:dyDescent="0.25">
      <c r="A102" s="12" t="s">
        <v>160</v>
      </c>
      <c r="B102" s="2" t="s">
        <v>67</v>
      </c>
      <c r="C102" s="2">
        <v>1</v>
      </c>
      <c r="D102" s="2">
        <v>8</v>
      </c>
    </row>
    <row r="103" spans="1:7" x14ac:dyDescent="0.25">
      <c r="A103" s="12" t="s">
        <v>284</v>
      </c>
      <c r="B103" s="2" t="s">
        <v>67</v>
      </c>
      <c r="C103" s="2">
        <v>1</v>
      </c>
      <c r="D103" s="3"/>
    </row>
    <row r="104" spans="1:7" x14ac:dyDescent="0.25">
      <c r="A104" s="3" t="s">
        <v>66</v>
      </c>
      <c r="B104" s="3"/>
      <c r="C104" s="3">
        <f>SUM(C94:C103)</f>
        <v>10</v>
      </c>
      <c r="D104" s="3">
        <f>SUM(D94:D103)</f>
        <v>54</v>
      </c>
    </row>
    <row r="105" spans="1:7" x14ac:dyDescent="0.25">
      <c r="A105" s="35"/>
      <c r="B105" s="35"/>
      <c r="C105" s="35"/>
      <c r="D105" s="35"/>
    </row>
    <row r="106" spans="1:7" x14ac:dyDescent="0.25">
      <c r="E106" s="1" t="s">
        <v>94</v>
      </c>
      <c r="F106" s="1" t="s">
        <v>95</v>
      </c>
      <c r="G106" s="1" t="s">
        <v>99</v>
      </c>
    </row>
    <row r="107" spans="1:7" ht="25.5" x14ac:dyDescent="0.35">
      <c r="A107" s="14" t="s">
        <v>84</v>
      </c>
      <c r="B107" s="15"/>
      <c r="C107" s="15"/>
      <c r="D107" s="15"/>
      <c r="E107" s="1" t="s">
        <v>104</v>
      </c>
      <c r="F107" s="1" t="s">
        <v>105</v>
      </c>
      <c r="G107" s="1" t="s">
        <v>100</v>
      </c>
    </row>
    <row r="109" spans="1:7" x14ac:dyDescent="0.25">
      <c r="A109" s="68" t="s">
        <v>80</v>
      </c>
      <c r="B109" s="68" t="s">
        <v>81</v>
      </c>
      <c r="C109" s="68" t="s">
        <v>82</v>
      </c>
      <c r="D109" s="68" t="s">
        <v>66</v>
      </c>
    </row>
    <row r="110" spans="1:7" x14ac:dyDescent="0.25">
      <c r="A110" s="3" t="s">
        <v>0</v>
      </c>
      <c r="B110" s="2"/>
      <c r="C110" s="2"/>
      <c r="D110" s="68"/>
    </row>
    <row r="111" spans="1:7" x14ac:dyDescent="0.25">
      <c r="A111" s="2" t="s">
        <v>143</v>
      </c>
      <c r="B111" s="2">
        <v>409</v>
      </c>
      <c r="C111" s="2">
        <v>70</v>
      </c>
      <c r="D111" s="68">
        <f t="shared" ref="D111:D113" si="22">B111+C111</f>
        <v>479</v>
      </c>
    </row>
    <row r="112" spans="1:7" x14ac:dyDescent="0.25">
      <c r="A112" s="2" t="s">
        <v>288</v>
      </c>
      <c r="B112" s="2">
        <v>102</v>
      </c>
      <c r="C112" s="2">
        <v>9</v>
      </c>
      <c r="D112" s="68">
        <f t="shared" si="22"/>
        <v>111</v>
      </c>
      <c r="E112" s="1">
        <f>D112+D113</f>
        <v>255</v>
      </c>
    </row>
    <row r="113" spans="1:12" x14ac:dyDescent="0.25">
      <c r="A113" s="2" t="s">
        <v>289</v>
      </c>
      <c r="B113" s="2">
        <v>128</v>
      </c>
      <c r="C113" s="2">
        <v>16</v>
      </c>
      <c r="D113" s="68">
        <f t="shared" si="22"/>
        <v>144</v>
      </c>
    </row>
    <row r="114" spans="1:12" x14ac:dyDescent="0.25">
      <c r="A114" s="3"/>
      <c r="B114" s="2"/>
      <c r="C114" s="2"/>
      <c r="D114" s="68"/>
    </row>
    <row r="115" spans="1:12" x14ac:dyDescent="0.25">
      <c r="A115" s="3" t="s">
        <v>2</v>
      </c>
      <c r="B115" s="2"/>
      <c r="C115" s="2"/>
      <c r="D115" s="68"/>
    </row>
    <row r="116" spans="1:12" x14ac:dyDescent="0.25">
      <c r="A116" s="2" t="s">
        <v>143</v>
      </c>
      <c r="B116" s="2">
        <v>1163</v>
      </c>
      <c r="C116" s="2">
        <v>126</v>
      </c>
      <c r="D116" s="68">
        <f t="shared" ref="D116:D118" si="23">B116+C116</f>
        <v>1289</v>
      </c>
    </row>
    <row r="117" spans="1:12" x14ac:dyDescent="0.25">
      <c r="A117" s="2" t="s">
        <v>288</v>
      </c>
      <c r="B117" s="2">
        <v>244</v>
      </c>
      <c r="C117" s="2">
        <v>12</v>
      </c>
      <c r="D117" s="68">
        <f t="shared" si="23"/>
        <v>256</v>
      </c>
      <c r="E117" s="1">
        <f>D117+D118</f>
        <v>571</v>
      </c>
    </row>
    <row r="118" spans="1:12" x14ac:dyDescent="0.25">
      <c r="A118" s="2" t="s">
        <v>289</v>
      </c>
      <c r="B118" s="2">
        <v>296</v>
      </c>
      <c r="C118" s="2">
        <v>19</v>
      </c>
      <c r="D118" s="68">
        <f t="shared" si="23"/>
        <v>315</v>
      </c>
    </row>
    <row r="120" spans="1:12" x14ac:dyDescent="0.25">
      <c r="A120" s="68" t="s">
        <v>103</v>
      </c>
      <c r="B120" s="3" t="s">
        <v>67</v>
      </c>
      <c r="C120" s="68" t="s">
        <v>101</v>
      </c>
      <c r="D120" s="3" t="s">
        <v>90</v>
      </c>
      <c r="F120" s="68" t="s">
        <v>89</v>
      </c>
      <c r="G120" s="3" t="s">
        <v>67</v>
      </c>
      <c r="H120" s="3" t="s">
        <v>90</v>
      </c>
      <c r="J120" s="68" t="s">
        <v>102</v>
      </c>
      <c r="K120" s="3" t="s">
        <v>67</v>
      </c>
      <c r="L120" s="3" t="s">
        <v>90</v>
      </c>
    </row>
    <row r="121" spans="1:12" x14ac:dyDescent="0.25">
      <c r="A121" s="11">
        <f>SUM(B121:D121)</f>
        <v>6</v>
      </c>
      <c r="B121" s="2">
        <v>4</v>
      </c>
      <c r="C121" s="2">
        <v>1</v>
      </c>
      <c r="D121" s="2">
        <v>1</v>
      </c>
      <c r="F121" s="11">
        <f>SUM(G121:H121)</f>
        <v>6</v>
      </c>
      <c r="G121" s="2">
        <v>5</v>
      </c>
      <c r="H121" s="2">
        <v>1</v>
      </c>
      <c r="J121" s="11">
        <f>A121-F121</f>
        <v>0</v>
      </c>
      <c r="K121" s="2"/>
      <c r="L121" s="2"/>
    </row>
  </sheetData>
  <pageMargins left="0" right="0" top="0" bottom="0" header="0" footer="0"/>
  <pageSetup paperSize="9" scale="63" orientation="landscape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R130"/>
  <sheetViews>
    <sheetView topLeftCell="B1" workbookViewId="0">
      <selection activeCell="R34" sqref="R34"/>
    </sheetView>
  </sheetViews>
  <sheetFormatPr defaultRowHeight="15.75" x14ac:dyDescent="0.25"/>
  <cols>
    <col min="1" max="1" width="26.5703125" style="1" bestFit="1" customWidth="1"/>
    <col min="2" max="3" width="14.85546875" style="1" bestFit="1" customWidth="1"/>
    <col min="4" max="4" width="8.5703125" style="1" bestFit="1" customWidth="1"/>
    <col min="5" max="6" width="9.7109375" style="1" bestFit="1" customWidth="1"/>
    <col min="7" max="7" width="13.85546875" style="1" bestFit="1" customWidth="1"/>
    <col min="8" max="9" width="9.5703125" style="1" bestFit="1" customWidth="1"/>
    <col min="10" max="10" width="15.5703125" style="1" bestFit="1" customWidth="1"/>
    <col min="11" max="17" width="9.5703125" style="1" bestFit="1" customWidth="1"/>
    <col min="18" max="16384" width="9.140625" style="1"/>
  </cols>
  <sheetData>
    <row r="2" spans="1:18" x14ac:dyDescent="0.25">
      <c r="A2" s="2"/>
      <c r="B2" s="3" t="s">
        <v>157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</row>
    <row r="3" spans="1:18" x14ac:dyDescent="0.25">
      <c r="A3" s="5" t="s">
        <v>0</v>
      </c>
      <c r="B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8" x14ac:dyDescent="0.25">
      <c r="A4" s="2" t="s">
        <v>129</v>
      </c>
      <c r="B4" s="2"/>
      <c r="C4" s="2">
        <v>2</v>
      </c>
      <c r="D4" s="2">
        <v>2</v>
      </c>
      <c r="E4" s="2">
        <v>4</v>
      </c>
      <c r="F4" s="2">
        <v>5</v>
      </c>
      <c r="G4" s="2">
        <v>8</v>
      </c>
      <c r="H4" s="2">
        <v>3</v>
      </c>
      <c r="I4" s="2">
        <v>1</v>
      </c>
      <c r="J4" s="2">
        <v>4</v>
      </c>
      <c r="K4" s="2">
        <v>9</v>
      </c>
      <c r="L4" s="2">
        <v>4</v>
      </c>
      <c r="M4" s="2">
        <v>9</v>
      </c>
      <c r="N4" s="2">
        <v>11</v>
      </c>
      <c r="O4" s="2">
        <v>17</v>
      </c>
      <c r="P4" s="2">
        <v>16</v>
      </c>
      <c r="Q4" s="2">
        <v>2</v>
      </c>
    </row>
    <row r="5" spans="1:18" x14ac:dyDescent="0.25">
      <c r="A5" s="2" t="s">
        <v>130</v>
      </c>
      <c r="B5" s="2">
        <v>0</v>
      </c>
      <c r="C5" s="2"/>
      <c r="D5" s="2">
        <v>1</v>
      </c>
      <c r="E5" s="2">
        <v>5</v>
      </c>
      <c r="F5" s="2">
        <v>4</v>
      </c>
      <c r="G5" s="2">
        <v>10</v>
      </c>
      <c r="H5" s="2">
        <v>13</v>
      </c>
      <c r="I5" s="2">
        <v>4</v>
      </c>
      <c r="J5" s="2">
        <v>2</v>
      </c>
      <c r="K5" s="2">
        <v>10</v>
      </c>
      <c r="L5" s="2">
        <v>8</v>
      </c>
      <c r="M5" s="2">
        <v>13</v>
      </c>
      <c r="N5" s="2">
        <v>8</v>
      </c>
      <c r="O5" s="2">
        <v>14</v>
      </c>
      <c r="P5" s="2">
        <v>19</v>
      </c>
      <c r="Q5" s="2">
        <v>0</v>
      </c>
    </row>
    <row r="6" spans="1:18" x14ac:dyDescent="0.25">
      <c r="A6" s="2" t="s">
        <v>131</v>
      </c>
      <c r="B6" s="2">
        <v>1</v>
      </c>
      <c r="C6" s="2">
        <v>3</v>
      </c>
      <c r="D6" s="2">
        <v>1</v>
      </c>
      <c r="E6" s="2">
        <v>3</v>
      </c>
      <c r="F6" s="2">
        <v>4</v>
      </c>
      <c r="G6" s="2">
        <v>8</v>
      </c>
      <c r="H6" s="2">
        <v>17</v>
      </c>
      <c r="I6" s="2">
        <v>8</v>
      </c>
      <c r="J6" s="2">
        <v>6</v>
      </c>
      <c r="K6" s="2">
        <v>8</v>
      </c>
      <c r="L6" s="2">
        <v>11</v>
      </c>
      <c r="M6" s="2">
        <v>12</v>
      </c>
      <c r="N6" s="2">
        <v>6</v>
      </c>
      <c r="O6" s="2">
        <v>31</v>
      </c>
      <c r="P6" s="2">
        <v>16</v>
      </c>
      <c r="Q6" s="2">
        <v>0</v>
      </c>
    </row>
    <row r="7" spans="1:18" x14ac:dyDescent="0.25">
      <c r="A7" s="2" t="s">
        <v>132</v>
      </c>
      <c r="B7" s="2">
        <v>0</v>
      </c>
      <c r="C7" s="2"/>
      <c r="D7" s="2">
        <v>6</v>
      </c>
      <c r="E7" s="2">
        <v>7</v>
      </c>
      <c r="F7" s="2">
        <v>5</v>
      </c>
      <c r="G7" s="2">
        <v>4</v>
      </c>
      <c r="H7" s="2">
        <v>11</v>
      </c>
      <c r="I7" s="2">
        <v>11</v>
      </c>
      <c r="J7" s="2">
        <v>3</v>
      </c>
      <c r="K7" s="2">
        <v>9</v>
      </c>
      <c r="L7" s="2">
        <v>11</v>
      </c>
      <c r="M7" s="2">
        <v>6</v>
      </c>
      <c r="N7" s="2">
        <v>15</v>
      </c>
      <c r="O7" s="2">
        <v>21</v>
      </c>
      <c r="P7" s="2">
        <v>8</v>
      </c>
      <c r="Q7" s="2">
        <v>0</v>
      </c>
    </row>
    <row r="8" spans="1:18" x14ac:dyDescent="0.25">
      <c r="A8" s="2" t="s">
        <v>133</v>
      </c>
      <c r="B8" s="2">
        <v>0</v>
      </c>
      <c r="C8" s="2">
        <v>1</v>
      </c>
      <c r="D8" s="2">
        <v>3</v>
      </c>
      <c r="E8" s="2">
        <v>5</v>
      </c>
      <c r="F8" s="2">
        <v>5</v>
      </c>
      <c r="G8" s="2">
        <v>8</v>
      </c>
      <c r="H8" s="2">
        <v>8</v>
      </c>
      <c r="I8" s="2">
        <v>9</v>
      </c>
      <c r="J8" s="2">
        <v>7</v>
      </c>
      <c r="K8" s="2">
        <v>18</v>
      </c>
      <c r="L8" s="2">
        <v>14</v>
      </c>
      <c r="M8" s="2">
        <v>17</v>
      </c>
      <c r="N8" s="2">
        <v>20</v>
      </c>
      <c r="O8" s="2">
        <v>29</v>
      </c>
      <c r="P8" s="2">
        <v>38</v>
      </c>
      <c r="Q8" s="2">
        <v>24</v>
      </c>
    </row>
    <row r="9" spans="1:18" x14ac:dyDescent="0.25">
      <c r="A9" s="2" t="s">
        <v>138</v>
      </c>
      <c r="B9" s="2">
        <v>1</v>
      </c>
      <c r="C9" s="2"/>
      <c r="D9" s="2">
        <v>1</v>
      </c>
      <c r="E9" s="2">
        <v>2</v>
      </c>
      <c r="F9" s="2">
        <v>6</v>
      </c>
      <c r="G9" s="2">
        <v>7</v>
      </c>
      <c r="H9" s="2">
        <v>12</v>
      </c>
      <c r="I9" s="2">
        <v>5</v>
      </c>
      <c r="J9" s="2">
        <v>7</v>
      </c>
      <c r="K9" s="2">
        <v>3</v>
      </c>
      <c r="L9" s="2">
        <v>13</v>
      </c>
      <c r="M9" s="2">
        <v>12</v>
      </c>
      <c r="N9" s="2">
        <v>12</v>
      </c>
      <c r="O9" s="2">
        <v>18</v>
      </c>
      <c r="P9" s="2">
        <v>19</v>
      </c>
      <c r="Q9" s="2">
        <v>4</v>
      </c>
    </row>
    <row r="10" spans="1:18" x14ac:dyDescent="0.25">
      <c r="A10" s="2" t="s">
        <v>139</v>
      </c>
      <c r="B10" s="2"/>
      <c r="C10" s="2">
        <v>1</v>
      </c>
      <c r="D10" s="2">
        <v>6</v>
      </c>
      <c r="E10" s="2">
        <v>3</v>
      </c>
      <c r="F10" s="2">
        <v>7</v>
      </c>
      <c r="G10" s="2">
        <v>8</v>
      </c>
      <c r="H10" s="2">
        <v>9</v>
      </c>
      <c r="I10" s="2">
        <v>3</v>
      </c>
      <c r="J10" s="2">
        <v>10</v>
      </c>
      <c r="K10" s="2">
        <v>7</v>
      </c>
      <c r="L10" s="2">
        <v>9</v>
      </c>
      <c r="M10" s="2">
        <v>11</v>
      </c>
      <c r="N10" s="2">
        <v>2</v>
      </c>
      <c r="O10" s="2">
        <v>12</v>
      </c>
      <c r="P10" s="2">
        <v>25</v>
      </c>
      <c r="Q10" s="2">
        <v>4</v>
      </c>
    </row>
    <row r="11" spans="1:18" x14ac:dyDescent="0.25">
      <c r="A11" s="2" t="s">
        <v>140</v>
      </c>
      <c r="B11" s="2"/>
      <c r="C11" s="2">
        <v>0</v>
      </c>
      <c r="D11" s="2">
        <v>4</v>
      </c>
      <c r="E11" s="2">
        <v>3</v>
      </c>
      <c r="F11" s="2">
        <v>5</v>
      </c>
      <c r="G11" s="2">
        <v>3</v>
      </c>
      <c r="H11" s="2">
        <v>8</v>
      </c>
      <c r="I11" s="2">
        <v>4</v>
      </c>
      <c r="J11" s="2">
        <v>9</v>
      </c>
      <c r="K11" s="2">
        <v>8</v>
      </c>
      <c r="L11" s="2">
        <v>9</v>
      </c>
      <c r="M11" s="2">
        <v>15</v>
      </c>
      <c r="N11" s="2">
        <v>16</v>
      </c>
      <c r="O11" s="2">
        <v>20</v>
      </c>
      <c r="P11" s="2">
        <v>22</v>
      </c>
      <c r="Q11" s="2">
        <v>0</v>
      </c>
    </row>
    <row r="12" spans="1:18" x14ac:dyDescent="0.25">
      <c r="A12" s="4">
        <v>8</v>
      </c>
      <c r="B12" s="4">
        <f t="shared" ref="B12:Q12" si="0">SUM(B4:B11)</f>
        <v>2</v>
      </c>
      <c r="C12" s="4">
        <f t="shared" si="0"/>
        <v>7</v>
      </c>
      <c r="D12" s="4">
        <f t="shared" si="0"/>
        <v>24</v>
      </c>
      <c r="E12" s="4">
        <f t="shared" si="0"/>
        <v>32</v>
      </c>
      <c r="F12" s="4">
        <f t="shared" si="0"/>
        <v>41</v>
      </c>
      <c r="G12" s="4">
        <f t="shared" si="0"/>
        <v>56</v>
      </c>
      <c r="H12" s="4">
        <f t="shared" si="0"/>
        <v>81</v>
      </c>
      <c r="I12" s="4">
        <f t="shared" si="0"/>
        <v>45</v>
      </c>
      <c r="J12" s="4">
        <f t="shared" si="0"/>
        <v>48</v>
      </c>
      <c r="K12" s="4">
        <f t="shared" si="0"/>
        <v>72</v>
      </c>
      <c r="L12" s="4">
        <f t="shared" si="0"/>
        <v>79</v>
      </c>
      <c r="M12" s="4">
        <f t="shared" si="0"/>
        <v>95</v>
      </c>
      <c r="N12" s="4">
        <f t="shared" si="0"/>
        <v>90</v>
      </c>
      <c r="O12" s="4">
        <f t="shared" si="0"/>
        <v>162</v>
      </c>
      <c r="P12" s="4">
        <f t="shared" si="0"/>
        <v>163</v>
      </c>
      <c r="Q12" s="4">
        <f t="shared" si="0"/>
        <v>34</v>
      </c>
    </row>
    <row r="13" spans="1:18" x14ac:dyDescent="0.25">
      <c r="A13" s="7" t="s">
        <v>40</v>
      </c>
      <c r="B13" s="7">
        <f>ROUND((B12)/$A$12,0)</f>
        <v>0</v>
      </c>
      <c r="C13" s="7">
        <f>ROUND((C12)/$A$12,0)</f>
        <v>1</v>
      </c>
      <c r="D13" s="7">
        <f t="shared" ref="D13:Q13" si="1">ROUND((D12)/$A$12,0)</f>
        <v>3</v>
      </c>
      <c r="E13" s="7">
        <f t="shared" si="1"/>
        <v>4</v>
      </c>
      <c r="F13" s="7">
        <f t="shared" si="1"/>
        <v>5</v>
      </c>
      <c r="G13" s="7">
        <f t="shared" si="1"/>
        <v>7</v>
      </c>
      <c r="H13" s="7">
        <f t="shared" si="1"/>
        <v>10</v>
      </c>
      <c r="I13" s="7">
        <f t="shared" si="1"/>
        <v>6</v>
      </c>
      <c r="J13" s="7">
        <f t="shared" si="1"/>
        <v>6</v>
      </c>
      <c r="K13" s="7">
        <f t="shared" si="1"/>
        <v>9</v>
      </c>
      <c r="L13" s="7">
        <f t="shared" si="1"/>
        <v>10</v>
      </c>
      <c r="M13" s="7">
        <f t="shared" si="1"/>
        <v>12</v>
      </c>
      <c r="N13" s="7">
        <f t="shared" si="1"/>
        <v>11</v>
      </c>
      <c r="O13" s="7">
        <f t="shared" si="1"/>
        <v>20</v>
      </c>
      <c r="P13" s="7">
        <f t="shared" si="1"/>
        <v>20</v>
      </c>
      <c r="Q13" s="7">
        <f t="shared" si="1"/>
        <v>4</v>
      </c>
      <c r="R13" s="1">
        <f t="shared" ref="R13:R14" si="2">SUM(B13:Q13)</f>
        <v>128</v>
      </c>
    </row>
    <row r="14" spans="1:18" x14ac:dyDescent="0.25">
      <c r="A14" s="12" t="s">
        <v>60</v>
      </c>
      <c r="B14" s="12">
        <v>1</v>
      </c>
      <c r="C14" s="12">
        <v>2</v>
      </c>
      <c r="D14" s="12">
        <v>2</v>
      </c>
      <c r="E14" s="12">
        <v>2</v>
      </c>
      <c r="F14" s="12">
        <v>2</v>
      </c>
      <c r="G14" s="12">
        <v>2</v>
      </c>
      <c r="H14" s="12">
        <v>2</v>
      </c>
      <c r="I14" s="12">
        <v>2</v>
      </c>
      <c r="J14" s="12">
        <v>2</v>
      </c>
      <c r="K14" s="12">
        <v>2</v>
      </c>
      <c r="L14" s="12">
        <v>2</v>
      </c>
      <c r="M14" s="12">
        <v>2</v>
      </c>
      <c r="N14" s="12">
        <v>2</v>
      </c>
      <c r="O14" s="12">
        <v>2</v>
      </c>
      <c r="P14" s="12">
        <v>2</v>
      </c>
      <c r="Q14" s="12"/>
      <c r="R14" s="1">
        <f t="shared" si="2"/>
        <v>29</v>
      </c>
    </row>
    <row r="15" spans="1:18" x14ac:dyDescent="0.25">
      <c r="A15" s="12" t="s">
        <v>61</v>
      </c>
      <c r="B15" s="12">
        <v>1</v>
      </c>
      <c r="C15" s="12">
        <v>2</v>
      </c>
      <c r="D15" s="12">
        <v>2</v>
      </c>
      <c r="E15" s="12">
        <v>2</v>
      </c>
      <c r="F15" s="12">
        <v>2</v>
      </c>
      <c r="G15" s="12">
        <v>2</v>
      </c>
      <c r="H15" s="12">
        <v>2</v>
      </c>
      <c r="I15" s="12">
        <v>2</v>
      </c>
      <c r="J15" s="12">
        <v>2</v>
      </c>
      <c r="K15" s="12">
        <v>2</v>
      </c>
      <c r="L15" s="12">
        <v>2</v>
      </c>
      <c r="M15" s="12">
        <v>3</v>
      </c>
      <c r="N15" s="12">
        <v>3</v>
      </c>
      <c r="O15" s="12">
        <v>2</v>
      </c>
      <c r="P15" s="12">
        <v>2</v>
      </c>
      <c r="Q15" s="12"/>
      <c r="R15" s="1">
        <f>SUM(B15:Q15)</f>
        <v>31</v>
      </c>
    </row>
    <row r="16" spans="1:18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8" x14ac:dyDescent="0.25">
      <c r="A17" s="13" t="s">
        <v>75</v>
      </c>
    </row>
    <row r="18" spans="1:18" x14ac:dyDescent="0.25">
      <c r="A18" s="2" t="s">
        <v>78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/>
      <c r="K18" s="2"/>
      <c r="L18" s="2"/>
      <c r="M18" s="2"/>
      <c r="N18" s="2"/>
      <c r="O18" s="2"/>
      <c r="P18" s="2"/>
      <c r="Q18" s="2"/>
    </row>
    <row r="19" spans="1:18" x14ac:dyDescent="0.25">
      <c r="A19" s="2" t="s">
        <v>162</v>
      </c>
      <c r="B19" s="2"/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/>
      <c r="J19" s="2"/>
      <c r="K19" s="2"/>
      <c r="L19" s="2"/>
      <c r="M19" s="2"/>
      <c r="N19" s="2"/>
      <c r="O19" s="2"/>
      <c r="P19" s="2"/>
      <c r="Q19" s="2"/>
    </row>
    <row r="20" spans="1:18" x14ac:dyDescent="0.25">
      <c r="A20" s="2" t="s">
        <v>150</v>
      </c>
      <c r="B20" s="2"/>
      <c r="C20" s="2"/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/>
      <c r="M20" s="2"/>
      <c r="N20" s="2"/>
      <c r="O20" s="2"/>
      <c r="P20" s="2"/>
      <c r="Q20" s="2"/>
    </row>
    <row r="21" spans="1:18" x14ac:dyDescent="0.25">
      <c r="A21" s="2" t="s">
        <v>77</v>
      </c>
      <c r="B21" s="2"/>
      <c r="C21" s="2"/>
      <c r="D21" s="2"/>
      <c r="E21" s="2"/>
      <c r="F21" s="2"/>
      <c r="G21" s="2"/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/>
      <c r="Q21" s="2"/>
    </row>
    <row r="22" spans="1:18" x14ac:dyDescent="0.25">
      <c r="A22" s="2" t="s">
        <v>86</v>
      </c>
      <c r="B22" s="2"/>
      <c r="C22" s="2"/>
      <c r="D22" s="2"/>
      <c r="E22" s="2"/>
      <c r="F22" s="2"/>
      <c r="G22" s="2"/>
      <c r="H22" s="2"/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/>
    </row>
    <row r="23" spans="1:18" x14ac:dyDescent="0.25">
      <c r="A23" s="2" t="s">
        <v>161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/>
    </row>
    <row r="24" spans="1:18" x14ac:dyDescent="0.25">
      <c r="A24" s="2" t="s">
        <v>66</v>
      </c>
      <c r="B24" s="2">
        <f t="shared" ref="B24:Q24" si="3">SUM(B18:B23)</f>
        <v>1</v>
      </c>
      <c r="C24" s="2">
        <f t="shared" si="3"/>
        <v>2</v>
      </c>
      <c r="D24" s="2">
        <f t="shared" si="3"/>
        <v>3</v>
      </c>
      <c r="E24" s="2">
        <f t="shared" si="3"/>
        <v>3</v>
      </c>
      <c r="F24" s="2">
        <f t="shared" si="3"/>
        <v>3</v>
      </c>
      <c r="G24" s="2">
        <f t="shared" si="3"/>
        <v>3</v>
      </c>
      <c r="H24" s="2">
        <f t="shared" si="3"/>
        <v>4</v>
      </c>
      <c r="I24" s="2">
        <f t="shared" si="3"/>
        <v>4</v>
      </c>
      <c r="J24" s="2">
        <f t="shared" si="3"/>
        <v>3</v>
      </c>
      <c r="K24" s="2">
        <f t="shared" si="3"/>
        <v>3</v>
      </c>
      <c r="L24" s="2">
        <f t="shared" si="3"/>
        <v>3</v>
      </c>
      <c r="M24" s="2">
        <f t="shared" si="3"/>
        <v>3</v>
      </c>
      <c r="N24" s="2">
        <f t="shared" si="3"/>
        <v>3</v>
      </c>
      <c r="O24" s="2">
        <f t="shared" si="3"/>
        <v>3</v>
      </c>
      <c r="P24" s="2">
        <f t="shared" si="3"/>
        <v>2</v>
      </c>
      <c r="Q24" s="2">
        <f t="shared" si="3"/>
        <v>0</v>
      </c>
      <c r="R24" s="1">
        <f>SUM(B24:Q24)</f>
        <v>43</v>
      </c>
    </row>
    <row r="26" spans="1:18" x14ac:dyDescent="0.25">
      <c r="A26" s="5" t="s">
        <v>2</v>
      </c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8" x14ac:dyDescent="0.25">
      <c r="A27" s="2" t="s">
        <v>141</v>
      </c>
      <c r="B27" s="2"/>
      <c r="C27" s="2">
        <v>4</v>
      </c>
      <c r="D27" s="2">
        <v>5</v>
      </c>
      <c r="E27" s="2">
        <v>5</v>
      </c>
      <c r="F27" s="2">
        <v>7</v>
      </c>
      <c r="G27" s="2">
        <v>16</v>
      </c>
      <c r="H27" s="2">
        <v>6</v>
      </c>
      <c r="I27" s="2">
        <v>15</v>
      </c>
      <c r="J27" s="2">
        <v>7</v>
      </c>
      <c r="K27" s="2">
        <v>23</v>
      </c>
      <c r="L27" s="2">
        <v>18</v>
      </c>
      <c r="M27" s="2">
        <v>21</v>
      </c>
      <c r="N27" s="2">
        <v>15</v>
      </c>
      <c r="O27" s="2">
        <v>28</v>
      </c>
      <c r="P27" s="2">
        <v>40</v>
      </c>
      <c r="Q27" s="2">
        <v>12</v>
      </c>
    </row>
    <row r="28" spans="1:18" x14ac:dyDescent="0.25">
      <c r="A28" s="2" t="s">
        <v>142</v>
      </c>
      <c r="B28" s="2"/>
      <c r="C28" s="2">
        <v>4</v>
      </c>
      <c r="D28" s="2">
        <v>15</v>
      </c>
      <c r="E28" s="2">
        <v>9</v>
      </c>
      <c r="F28" s="2">
        <v>14</v>
      </c>
      <c r="G28" s="2">
        <v>19</v>
      </c>
      <c r="H28" s="2">
        <v>16</v>
      </c>
      <c r="I28" s="2">
        <v>29</v>
      </c>
      <c r="J28" s="2">
        <v>19</v>
      </c>
      <c r="K28" s="2">
        <v>19</v>
      </c>
      <c r="L28" s="2">
        <v>41</v>
      </c>
      <c r="M28" s="2">
        <v>34</v>
      </c>
      <c r="N28" s="2">
        <v>31</v>
      </c>
      <c r="O28" s="2">
        <v>32</v>
      </c>
      <c r="P28" s="2">
        <v>36</v>
      </c>
      <c r="Q28" s="2">
        <v>13</v>
      </c>
    </row>
    <row r="29" spans="1:18" x14ac:dyDescent="0.25">
      <c r="A29" s="2" t="s">
        <v>134</v>
      </c>
      <c r="B29" s="2"/>
      <c r="C29" s="2">
        <v>3</v>
      </c>
      <c r="D29" s="2">
        <v>17</v>
      </c>
      <c r="E29" s="2">
        <v>22</v>
      </c>
      <c r="F29" s="2">
        <v>26</v>
      </c>
      <c r="G29" s="2">
        <v>33</v>
      </c>
      <c r="H29" s="2">
        <v>43</v>
      </c>
      <c r="I29" s="2">
        <v>33</v>
      </c>
      <c r="J29" s="2">
        <v>25</v>
      </c>
      <c r="K29" s="2">
        <v>39</v>
      </c>
      <c r="L29" s="2">
        <v>53</v>
      </c>
      <c r="M29" s="2">
        <v>62</v>
      </c>
      <c r="N29" s="2">
        <v>62</v>
      </c>
      <c r="O29" s="2">
        <v>66</v>
      </c>
      <c r="P29" s="2">
        <v>62</v>
      </c>
      <c r="Q29" s="2">
        <v>28</v>
      </c>
    </row>
    <row r="30" spans="1:18" x14ac:dyDescent="0.25">
      <c r="A30" s="2" t="s">
        <v>135</v>
      </c>
      <c r="B30" s="2"/>
      <c r="C30" s="2">
        <v>3</v>
      </c>
      <c r="D30" s="2">
        <v>13</v>
      </c>
      <c r="E30" s="2">
        <v>15</v>
      </c>
      <c r="F30" s="2">
        <v>38</v>
      </c>
      <c r="G30" s="2">
        <v>71</v>
      </c>
      <c r="H30" s="2">
        <v>50</v>
      </c>
      <c r="I30" s="2">
        <v>51</v>
      </c>
      <c r="J30" s="2">
        <v>60</v>
      </c>
      <c r="K30" s="2">
        <v>66</v>
      </c>
      <c r="L30" s="2">
        <v>82</v>
      </c>
      <c r="M30" s="2">
        <v>64</v>
      </c>
      <c r="N30" s="2">
        <v>55</v>
      </c>
      <c r="O30" s="2">
        <v>67</v>
      </c>
      <c r="P30" s="2">
        <v>74</v>
      </c>
      <c r="Q30" s="2">
        <v>31</v>
      </c>
    </row>
    <row r="31" spans="1:18" x14ac:dyDescent="0.25">
      <c r="A31" s="2" t="s">
        <v>136</v>
      </c>
      <c r="B31" s="2"/>
      <c r="C31" s="2">
        <v>12</v>
      </c>
      <c r="D31" s="2">
        <v>7</v>
      </c>
      <c r="E31" s="2">
        <v>15</v>
      </c>
      <c r="F31" s="2">
        <v>25</v>
      </c>
      <c r="G31" s="2">
        <v>28</v>
      </c>
      <c r="H31" s="2">
        <v>45</v>
      </c>
      <c r="I31" s="2">
        <v>35</v>
      </c>
      <c r="J31" s="2">
        <v>27</v>
      </c>
      <c r="K31" s="2">
        <v>41</v>
      </c>
      <c r="L31" s="2">
        <v>45</v>
      </c>
      <c r="M31" s="2">
        <v>47</v>
      </c>
      <c r="N31" s="2">
        <v>41</v>
      </c>
      <c r="O31" s="2">
        <v>45</v>
      </c>
      <c r="P31" s="2">
        <v>65</v>
      </c>
      <c r="Q31" s="2">
        <v>0</v>
      </c>
    </row>
    <row r="32" spans="1:18" x14ac:dyDescent="0.25">
      <c r="A32" s="19" t="s">
        <v>137</v>
      </c>
      <c r="B32" s="2">
        <v>1</v>
      </c>
      <c r="C32" s="2"/>
      <c r="D32" s="2">
        <v>10</v>
      </c>
      <c r="E32" s="2">
        <v>16</v>
      </c>
      <c r="F32" s="2">
        <v>18</v>
      </c>
      <c r="G32" s="2">
        <v>19</v>
      </c>
      <c r="H32" s="2">
        <v>19</v>
      </c>
      <c r="I32" s="2">
        <v>13</v>
      </c>
      <c r="J32" s="2">
        <v>20</v>
      </c>
      <c r="K32" s="2">
        <v>13</v>
      </c>
      <c r="L32" s="2">
        <v>24</v>
      </c>
      <c r="M32" s="2">
        <v>25</v>
      </c>
      <c r="N32" s="2">
        <v>14</v>
      </c>
      <c r="O32" s="2">
        <v>28</v>
      </c>
      <c r="P32" s="2">
        <v>26</v>
      </c>
      <c r="Q32" s="2">
        <v>0</v>
      </c>
    </row>
    <row r="33" spans="1:18" x14ac:dyDescent="0.25">
      <c r="A33" s="4">
        <v>6</v>
      </c>
      <c r="B33" s="4">
        <f t="shared" ref="B33" si="4">SUM(B27:B32)</f>
        <v>1</v>
      </c>
      <c r="C33" s="4">
        <f t="shared" ref="C33" si="5">SUM(C27:C32)</f>
        <v>26</v>
      </c>
      <c r="D33" s="4">
        <f t="shared" ref="D33" si="6">SUM(D27:D32)</f>
        <v>67</v>
      </c>
      <c r="E33" s="4">
        <f t="shared" ref="E33" si="7">SUM(E27:E32)</f>
        <v>82</v>
      </c>
      <c r="F33" s="4">
        <f t="shared" ref="F33" si="8">SUM(F27:F32)</f>
        <v>128</v>
      </c>
      <c r="G33" s="4">
        <f t="shared" ref="G33" si="9">SUM(G27:G32)</f>
        <v>186</v>
      </c>
      <c r="H33" s="4">
        <f t="shared" ref="H33" si="10">SUM(H27:H32)</f>
        <v>179</v>
      </c>
      <c r="I33" s="4">
        <f t="shared" ref="I33" si="11">SUM(I27:I32)</f>
        <v>176</v>
      </c>
      <c r="J33" s="4">
        <f t="shared" ref="J33" si="12">SUM(J27:J32)</f>
        <v>158</v>
      </c>
      <c r="K33" s="4">
        <f t="shared" ref="K33" si="13">SUM(K27:K32)</f>
        <v>201</v>
      </c>
      <c r="L33" s="4">
        <f t="shared" ref="L33" si="14">SUM(L27:L32)</f>
        <v>263</v>
      </c>
      <c r="M33" s="4">
        <f t="shared" ref="M33" si="15">SUM(M27:M32)</f>
        <v>253</v>
      </c>
      <c r="N33" s="4">
        <f t="shared" ref="N33" si="16">SUM(N27:N32)</f>
        <v>218</v>
      </c>
      <c r="O33" s="4">
        <f t="shared" ref="O33" si="17">SUM(O27:O32)</f>
        <v>266</v>
      </c>
      <c r="P33" s="4">
        <f t="shared" ref="P33" si="18">SUM(P27:P32)</f>
        <v>303</v>
      </c>
      <c r="Q33" s="4">
        <f t="shared" ref="Q33" si="19">SUM(Q27:Q32)</f>
        <v>84</v>
      </c>
    </row>
    <row r="34" spans="1:18" x14ac:dyDescent="0.25">
      <c r="A34" s="7" t="s">
        <v>40</v>
      </c>
      <c r="B34" s="7">
        <f>ROUND((B33)/$A$33,0)</f>
        <v>0</v>
      </c>
      <c r="C34" s="7">
        <f>ROUND((C33)/$A$33,0)</f>
        <v>4</v>
      </c>
      <c r="D34" s="7">
        <f t="shared" ref="D34:Q34" si="20">ROUND((D33)/$A$33,0)</f>
        <v>11</v>
      </c>
      <c r="E34" s="7">
        <f t="shared" si="20"/>
        <v>14</v>
      </c>
      <c r="F34" s="7">
        <f t="shared" si="20"/>
        <v>21</v>
      </c>
      <c r="G34" s="7">
        <f t="shared" si="20"/>
        <v>31</v>
      </c>
      <c r="H34" s="7">
        <f t="shared" si="20"/>
        <v>30</v>
      </c>
      <c r="I34" s="7">
        <f t="shared" si="20"/>
        <v>29</v>
      </c>
      <c r="J34" s="7">
        <f t="shared" si="20"/>
        <v>26</v>
      </c>
      <c r="K34" s="7">
        <f t="shared" si="20"/>
        <v>34</v>
      </c>
      <c r="L34" s="7">
        <f t="shared" si="20"/>
        <v>44</v>
      </c>
      <c r="M34" s="7">
        <f t="shared" si="20"/>
        <v>42</v>
      </c>
      <c r="N34" s="7">
        <f t="shared" si="20"/>
        <v>36</v>
      </c>
      <c r="O34" s="7">
        <f t="shared" si="20"/>
        <v>44</v>
      </c>
      <c r="P34" s="7">
        <f t="shared" si="20"/>
        <v>51</v>
      </c>
      <c r="Q34" s="7">
        <f t="shared" si="20"/>
        <v>14</v>
      </c>
      <c r="R34" s="1">
        <f t="shared" ref="R34:R35" si="21">SUM(B34:Q34)</f>
        <v>431</v>
      </c>
    </row>
    <row r="35" spans="1:18" x14ac:dyDescent="0.25">
      <c r="A35" s="12" t="s">
        <v>60</v>
      </c>
      <c r="B35" s="12">
        <v>1</v>
      </c>
      <c r="C35" s="12">
        <v>2</v>
      </c>
      <c r="D35" s="12">
        <v>2</v>
      </c>
      <c r="E35" s="12">
        <v>2</v>
      </c>
      <c r="F35" s="12">
        <v>2</v>
      </c>
      <c r="G35" s="12">
        <v>2</v>
      </c>
      <c r="H35" s="12">
        <v>2</v>
      </c>
      <c r="I35" s="12">
        <v>2</v>
      </c>
      <c r="J35" s="12">
        <v>2</v>
      </c>
      <c r="K35" s="12">
        <v>2</v>
      </c>
      <c r="L35" s="12">
        <v>3</v>
      </c>
      <c r="M35" s="12">
        <v>3</v>
      </c>
      <c r="N35" s="12">
        <v>2</v>
      </c>
      <c r="O35" s="12">
        <v>3</v>
      </c>
      <c r="P35" s="12">
        <v>4</v>
      </c>
      <c r="Q35" s="12"/>
      <c r="R35" s="1">
        <f t="shared" si="21"/>
        <v>34</v>
      </c>
    </row>
    <row r="36" spans="1:18" x14ac:dyDescent="0.25">
      <c r="A36" s="12" t="s">
        <v>61</v>
      </c>
      <c r="B36" s="12">
        <v>1</v>
      </c>
      <c r="C36" s="12">
        <v>2</v>
      </c>
      <c r="D36" s="12">
        <v>2</v>
      </c>
      <c r="E36" s="12">
        <v>2</v>
      </c>
      <c r="F36" s="12">
        <v>2</v>
      </c>
      <c r="G36" s="12">
        <v>2</v>
      </c>
      <c r="H36" s="12">
        <v>2</v>
      </c>
      <c r="I36" s="12">
        <v>2</v>
      </c>
      <c r="J36" s="12">
        <v>2</v>
      </c>
      <c r="K36" s="12">
        <v>2</v>
      </c>
      <c r="L36" s="12">
        <v>3</v>
      </c>
      <c r="M36" s="12">
        <v>3</v>
      </c>
      <c r="N36" s="12">
        <v>2</v>
      </c>
      <c r="O36" s="12">
        <v>3</v>
      </c>
      <c r="P36" s="12">
        <v>4</v>
      </c>
      <c r="Q36" s="12"/>
      <c r="R36" s="1">
        <f>SUM(B36:Q36)</f>
        <v>34</v>
      </c>
    </row>
    <row r="37" spans="1:18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8" x14ac:dyDescent="0.25">
      <c r="A38" s="13" t="s">
        <v>75</v>
      </c>
    </row>
    <row r="39" spans="1:18" x14ac:dyDescent="0.25">
      <c r="A39" s="2" t="s">
        <v>78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/>
      <c r="K39" s="2"/>
      <c r="L39" s="2"/>
      <c r="M39" s="2"/>
      <c r="N39" s="2"/>
      <c r="O39" s="2"/>
      <c r="P39" s="2"/>
      <c r="Q39" s="2"/>
    </row>
    <row r="40" spans="1:18" x14ac:dyDescent="0.25">
      <c r="A40" s="2" t="s">
        <v>162</v>
      </c>
      <c r="B40" s="2"/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/>
      <c r="J40" s="2"/>
      <c r="K40" s="2"/>
      <c r="L40" s="2"/>
      <c r="M40" s="2"/>
      <c r="N40" s="2"/>
      <c r="O40" s="2"/>
      <c r="P40" s="2"/>
      <c r="Q40" s="2"/>
    </row>
    <row r="41" spans="1:18" x14ac:dyDescent="0.25">
      <c r="A41" s="2" t="s">
        <v>150</v>
      </c>
      <c r="B41" s="2"/>
      <c r="C41" s="2"/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/>
      <c r="M41" s="2"/>
      <c r="N41" s="2"/>
      <c r="O41" s="2"/>
      <c r="P41" s="2"/>
      <c r="Q41" s="2"/>
    </row>
    <row r="42" spans="1:18" x14ac:dyDescent="0.25">
      <c r="A42" s="2" t="s">
        <v>86</v>
      </c>
      <c r="B42" s="2"/>
      <c r="C42" s="2"/>
      <c r="D42" s="2"/>
      <c r="E42" s="2"/>
      <c r="F42" s="2"/>
      <c r="G42" s="2"/>
      <c r="H42" s="2"/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/>
    </row>
    <row r="43" spans="1:18" x14ac:dyDescent="0.25">
      <c r="A43" s="2" t="s">
        <v>86</v>
      </c>
      <c r="B43" s="2"/>
      <c r="C43" s="2"/>
      <c r="D43" s="2"/>
      <c r="E43" s="2"/>
      <c r="F43" s="2"/>
      <c r="G43" s="2"/>
      <c r="H43" s="2"/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/>
    </row>
    <row r="44" spans="1:18" x14ac:dyDescent="0.25">
      <c r="A44" s="2" t="s">
        <v>161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/>
    </row>
    <row r="45" spans="1:18" x14ac:dyDescent="0.25">
      <c r="A45" s="2" t="s">
        <v>161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/>
    </row>
    <row r="46" spans="1:18" x14ac:dyDescent="0.25">
      <c r="A46" s="2" t="s">
        <v>66</v>
      </c>
      <c r="B46" s="2">
        <f>SUM(B39:B45)</f>
        <v>1</v>
      </c>
      <c r="C46" s="2">
        <f t="shared" ref="C46:Q46" si="22">SUM(C39:C45)</f>
        <v>2</v>
      </c>
      <c r="D46" s="2">
        <f t="shared" si="22"/>
        <v>3</v>
      </c>
      <c r="E46" s="2">
        <f t="shared" si="22"/>
        <v>3</v>
      </c>
      <c r="F46" s="2">
        <f t="shared" si="22"/>
        <v>3</v>
      </c>
      <c r="G46" s="2">
        <f t="shared" si="22"/>
        <v>3</v>
      </c>
      <c r="H46" s="2">
        <f t="shared" si="22"/>
        <v>3</v>
      </c>
      <c r="I46" s="2">
        <f t="shared" si="22"/>
        <v>4</v>
      </c>
      <c r="J46" s="2">
        <f t="shared" si="22"/>
        <v>3</v>
      </c>
      <c r="K46" s="2">
        <f t="shared" si="22"/>
        <v>3</v>
      </c>
      <c r="L46" s="2">
        <f t="shared" si="22"/>
        <v>4</v>
      </c>
      <c r="M46" s="2">
        <f t="shared" si="22"/>
        <v>4</v>
      </c>
      <c r="N46" s="2">
        <f t="shared" si="22"/>
        <v>4</v>
      </c>
      <c r="O46" s="2">
        <f t="shared" si="22"/>
        <v>4</v>
      </c>
      <c r="P46" s="2">
        <f t="shared" si="22"/>
        <v>4</v>
      </c>
      <c r="Q46" s="2">
        <f t="shared" si="22"/>
        <v>0</v>
      </c>
      <c r="R46" s="1">
        <f>SUM(B46:Q46)</f>
        <v>48</v>
      </c>
    </row>
    <row r="48" spans="1:18" x14ac:dyDescent="0.25">
      <c r="A48" s="5" t="s">
        <v>158</v>
      </c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8" x14ac:dyDescent="0.25">
      <c r="A49" s="2" t="s">
        <v>134</v>
      </c>
      <c r="B49" s="2"/>
      <c r="C49" s="2">
        <v>3</v>
      </c>
      <c r="D49" s="2">
        <v>17</v>
      </c>
      <c r="E49" s="2">
        <v>22</v>
      </c>
      <c r="F49" s="2">
        <v>26</v>
      </c>
      <c r="G49" s="2">
        <v>33</v>
      </c>
      <c r="H49" s="2">
        <v>43</v>
      </c>
      <c r="I49" s="2">
        <v>33</v>
      </c>
      <c r="J49" s="2">
        <v>25</v>
      </c>
      <c r="K49" s="2">
        <v>39</v>
      </c>
      <c r="L49" s="2">
        <v>53</v>
      </c>
      <c r="M49" s="2">
        <v>62</v>
      </c>
      <c r="N49" s="2">
        <v>62</v>
      </c>
      <c r="O49" s="2">
        <v>66</v>
      </c>
      <c r="P49" s="2">
        <v>62</v>
      </c>
      <c r="Q49" s="2">
        <v>28</v>
      </c>
    </row>
    <row r="50" spans="1:18" x14ac:dyDescent="0.25">
      <c r="A50" s="2" t="s">
        <v>135</v>
      </c>
      <c r="B50" s="2"/>
      <c r="C50" s="2">
        <v>3</v>
      </c>
      <c r="D50" s="2">
        <v>13</v>
      </c>
      <c r="E50" s="2">
        <v>15</v>
      </c>
      <c r="F50" s="2">
        <v>38</v>
      </c>
      <c r="G50" s="2">
        <v>71</v>
      </c>
      <c r="H50" s="2">
        <v>50</v>
      </c>
      <c r="I50" s="2">
        <v>51</v>
      </c>
      <c r="J50" s="2">
        <v>60</v>
      </c>
      <c r="K50" s="2">
        <v>66</v>
      </c>
      <c r="L50" s="2">
        <v>82</v>
      </c>
      <c r="M50" s="2">
        <v>64</v>
      </c>
      <c r="N50" s="2">
        <v>55</v>
      </c>
      <c r="O50" s="2">
        <v>67</v>
      </c>
      <c r="P50" s="2">
        <v>74</v>
      </c>
      <c r="Q50" s="2">
        <v>31</v>
      </c>
    </row>
    <row r="51" spans="1:18" x14ac:dyDescent="0.25">
      <c r="A51" s="2" t="s">
        <v>136</v>
      </c>
      <c r="B51" s="2"/>
      <c r="C51" s="2">
        <v>12</v>
      </c>
      <c r="D51" s="2">
        <v>7</v>
      </c>
      <c r="E51" s="2">
        <v>15</v>
      </c>
      <c r="F51" s="2">
        <v>25</v>
      </c>
      <c r="G51" s="2">
        <v>28</v>
      </c>
      <c r="H51" s="2">
        <v>45</v>
      </c>
      <c r="I51" s="2">
        <v>35</v>
      </c>
      <c r="J51" s="2">
        <v>27</v>
      </c>
      <c r="K51" s="2">
        <v>41</v>
      </c>
      <c r="L51" s="2">
        <v>45</v>
      </c>
      <c r="M51" s="2">
        <v>47</v>
      </c>
      <c r="N51" s="2">
        <v>41</v>
      </c>
      <c r="O51" s="2">
        <v>45</v>
      </c>
      <c r="P51" s="2">
        <v>65</v>
      </c>
      <c r="Q51" s="2">
        <v>0</v>
      </c>
    </row>
    <row r="52" spans="1:18" x14ac:dyDescent="0.25">
      <c r="A52" s="19" t="s">
        <v>137</v>
      </c>
      <c r="B52" s="2">
        <v>1</v>
      </c>
      <c r="C52" s="2"/>
      <c r="D52" s="2">
        <v>10</v>
      </c>
      <c r="E52" s="2">
        <v>16</v>
      </c>
      <c r="F52" s="2">
        <v>18</v>
      </c>
      <c r="G52" s="2">
        <v>19</v>
      </c>
      <c r="H52" s="2">
        <v>19</v>
      </c>
      <c r="I52" s="2">
        <v>13</v>
      </c>
      <c r="J52" s="2">
        <v>20</v>
      </c>
      <c r="K52" s="2">
        <v>13</v>
      </c>
      <c r="L52" s="2">
        <v>24</v>
      </c>
      <c r="M52" s="2">
        <v>25</v>
      </c>
      <c r="N52" s="2">
        <v>14</v>
      </c>
      <c r="O52" s="2">
        <v>28</v>
      </c>
      <c r="P52" s="2">
        <v>26</v>
      </c>
      <c r="Q52" s="2">
        <v>0</v>
      </c>
    </row>
    <row r="53" spans="1:18" x14ac:dyDescent="0.25">
      <c r="A53" s="4">
        <v>4</v>
      </c>
      <c r="B53" s="4">
        <f t="shared" ref="B53" si="23">SUM(B49:B52)</f>
        <v>1</v>
      </c>
      <c r="C53" s="4">
        <f t="shared" ref="C53" si="24">SUM(C49:C52)</f>
        <v>18</v>
      </c>
      <c r="D53" s="4">
        <f t="shared" ref="D53" si="25">SUM(D49:D52)</f>
        <v>47</v>
      </c>
      <c r="E53" s="4">
        <f t="shared" ref="E53" si="26">SUM(E49:E52)</f>
        <v>68</v>
      </c>
      <c r="F53" s="4">
        <f t="shared" ref="F53" si="27">SUM(F49:F52)</f>
        <v>107</v>
      </c>
      <c r="G53" s="4">
        <f t="shared" ref="G53" si="28">SUM(G49:G52)</f>
        <v>151</v>
      </c>
      <c r="H53" s="4">
        <f t="shared" ref="H53" si="29">SUM(H49:H52)</f>
        <v>157</v>
      </c>
      <c r="I53" s="4">
        <f t="shared" ref="I53" si="30">SUM(I49:I52)</f>
        <v>132</v>
      </c>
      <c r="J53" s="4">
        <f t="shared" ref="J53" si="31">SUM(J49:J52)</f>
        <v>132</v>
      </c>
      <c r="K53" s="4">
        <f t="shared" ref="K53" si="32">SUM(K49:K52)</f>
        <v>159</v>
      </c>
      <c r="L53" s="4">
        <f t="shared" ref="L53" si="33">SUM(L49:L52)</f>
        <v>204</v>
      </c>
      <c r="M53" s="4">
        <f t="shared" ref="M53" si="34">SUM(M49:M52)</f>
        <v>198</v>
      </c>
      <c r="N53" s="4">
        <f t="shared" ref="N53" si="35">SUM(N49:N52)</f>
        <v>172</v>
      </c>
      <c r="O53" s="4">
        <f t="shared" ref="O53" si="36">SUM(O49:O52)</f>
        <v>206</v>
      </c>
      <c r="P53" s="4">
        <f t="shared" ref="P53" si="37">SUM(P49:P52)</f>
        <v>227</v>
      </c>
      <c r="Q53" s="4">
        <f t="shared" ref="Q53" si="38">SUM(Q49:Q52)</f>
        <v>59</v>
      </c>
    </row>
    <row r="54" spans="1:18" x14ac:dyDescent="0.25">
      <c r="A54" s="7" t="s">
        <v>40</v>
      </c>
      <c r="B54" s="7">
        <f>ROUND((B53)/$A$53,0)</f>
        <v>0</v>
      </c>
      <c r="C54" s="7">
        <f t="shared" ref="C54:Q54" si="39">ROUND((C53)/$A$53,0)</f>
        <v>5</v>
      </c>
      <c r="D54" s="7">
        <f t="shared" si="39"/>
        <v>12</v>
      </c>
      <c r="E54" s="7">
        <f t="shared" si="39"/>
        <v>17</v>
      </c>
      <c r="F54" s="7">
        <f t="shared" si="39"/>
        <v>27</v>
      </c>
      <c r="G54" s="7">
        <f t="shared" si="39"/>
        <v>38</v>
      </c>
      <c r="H54" s="7">
        <f t="shared" si="39"/>
        <v>39</v>
      </c>
      <c r="I54" s="7">
        <f t="shared" si="39"/>
        <v>33</v>
      </c>
      <c r="J54" s="7">
        <f t="shared" si="39"/>
        <v>33</v>
      </c>
      <c r="K54" s="7">
        <f t="shared" si="39"/>
        <v>40</v>
      </c>
      <c r="L54" s="7">
        <f t="shared" si="39"/>
        <v>51</v>
      </c>
      <c r="M54" s="7">
        <f t="shared" si="39"/>
        <v>50</v>
      </c>
      <c r="N54" s="7">
        <f t="shared" si="39"/>
        <v>43</v>
      </c>
      <c r="O54" s="7">
        <f t="shared" si="39"/>
        <v>52</v>
      </c>
      <c r="P54" s="7">
        <f t="shared" si="39"/>
        <v>57</v>
      </c>
      <c r="Q54" s="7">
        <f t="shared" si="39"/>
        <v>15</v>
      </c>
      <c r="R54" s="1">
        <f t="shared" ref="R54:R55" si="40">SUM(B54:Q54)</f>
        <v>512</v>
      </c>
    </row>
    <row r="55" spans="1:18" x14ac:dyDescent="0.25">
      <c r="A55" s="12" t="s">
        <v>60</v>
      </c>
      <c r="B55" s="12">
        <v>1</v>
      </c>
      <c r="C55" s="12">
        <v>2</v>
      </c>
      <c r="D55" s="12">
        <v>2</v>
      </c>
      <c r="E55" s="12">
        <v>2</v>
      </c>
      <c r="F55" s="12">
        <v>3</v>
      </c>
      <c r="G55" s="12">
        <v>4</v>
      </c>
      <c r="H55" s="12">
        <v>4</v>
      </c>
      <c r="I55" s="12">
        <v>3</v>
      </c>
      <c r="J55" s="12">
        <v>3</v>
      </c>
      <c r="K55" s="12">
        <v>4</v>
      </c>
      <c r="L55" s="12">
        <v>5</v>
      </c>
      <c r="M55" s="12">
        <v>5</v>
      </c>
      <c r="N55" s="12">
        <v>4</v>
      </c>
      <c r="O55" s="12">
        <v>5</v>
      </c>
      <c r="P55" s="12">
        <v>5</v>
      </c>
      <c r="Q55" s="12"/>
      <c r="R55" s="1">
        <f t="shared" si="40"/>
        <v>52</v>
      </c>
    </row>
    <row r="56" spans="1:18" x14ac:dyDescent="0.25">
      <c r="A56" s="12" t="s">
        <v>61</v>
      </c>
      <c r="B56" s="12">
        <v>1</v>
      </c>
      <c r="C56" s="12">
        <v>2</v>
      </c>
      <c r="D56" s="12">
        <v>2</v>
      </c>
      <c r="E56" s="12">
        <v>2</v>
      </c>
      <c r="F56" s="12">
        <v>3</v>
      </c>
      <c r="G56" s="12">
        <v>4</v>
      </c>
      <c r="H56" s="12">
        <v>4</v>
      </c>
      <c r="I56" s="12">
        <v>3</v>
      </c>
      <c r="J56" s="12">
        <v>3</v>
      </c>
      <c r="K56" s="12">
        <v>4</v>
      </c>
      <c r="L56" s="12">
        <v>5</v>
      </c>
      <c r="M56" s="12">
        <v>5</v>
      </c>
      <c r="N56" s="12">
        <v>4</v>
      </c>
      <c r="O56" s="12">
        <v>5</v>
      </c>
      <c r="P56" s="12">
        <v>5</v>
      </c>
      <c r="Q56" s="12"/>
      <c r="R56" s="1">
        <f>SUM(B56:Q56)</f>
        <v>52</v>
      </c>
    </row>
    <row r="57" spans="1:18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8" x14ac:dyDescent="0.25">
      <c r="A58" s="13" t="s">
        <v>75</v>
      </c>
    </row>
    <row r="59" spans="1:18" x14ac:dyDescent="0.25">
      <c r="A59" s="2" t="s">
        <v>78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/>
      <c r="K59" s="2"/>
      <c r="L59" s="2"/>
      <c r="M59" s="2"/>
      <c r="N59" s="2"/>
      <c r="O59" s="2"/>
      <c r="P59" s="2"/>
      <c r="Q59" s="2"/>
    </row>
    <row r="60" spans="1:18" x14ac:dyDescent="0.25">
      <c r="A60" s="2" t="s">
        <v>162</v>
      </c>
      <c r="B60" s="2"/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/>
      <c r="J60" s="2"/>
      <c r="K60" s="2"/>
      <c r="L60" s="2"/>
      <c r="M60" s="2"/>
      <c r="N60" s="2"/>
      <c r="O60" s="2"/>
      <c r="P60" s="2"/>
      <c r="Q60" s="2"/>
    </row>
    <row r="61" spans="1:18" x14ac:dyDescent="0.25">
      <c r="A61" s="2" t="s">
        <v>150</v>
      </c>
      <c r="B61" s="2"/>
      <c r="C61" s="2"/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/>
      <c r="M61" s="2"/>
      <c r="N61" s="2"/>
      <c r="O61" s="2"/>
      <c r="P61" s="2"/>
      <c r="Q61" s="2"/>
    </row>
    <row r="62" spans="1:18" x14ac:dyDescent="0.25">
      <c r="A62" s="2" t="s">
        <v>109</v>
      </c>
      <c r="B62" s="2"/>
      <c r="C62" s="2"/>
      <c r="D62" s="2"/>
      <c r="E62" s="2"/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/>
      <c r="O62" s="2"/>
      <c r="P62" s="2"/>
      <c r="Q62" s="2"/>
    </row>
    <row r="63" spans="1:18" x14ac:dyDescent="0.25">
      <c r="A63" s="2" t="s">
        <v>86</v>
      </c>
      <c r="B63" s="2"/>
      <c r="C63" s="2"/>
      <c r="D63" s="2"/>
      <c r="E63" s="2"/>
      <c r="F63" s="2"/>
      <c r="G63" s="2"/>
      <c r="H63" s="2"/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/>
    </row>
    <row r="64" spans="1:18" x14ac:dyDescent="0.25">
      <c r="A64" s="2" t="s">
        <v>86</v>
      </c>
      <c r="B64" s="2"/>
      <c r="C64" s="2"/>
      <c r="D64" s="2"/>
      <c r="E64" s="2"/>
      <c r="F64" s="2"/>
      <c r="G64" s="2"/>
      <c r="H64" s="2"/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/>
    </row>
    <row r="65" spans="1:18" x14ac:dyDescent="0.25">
      <c r="A65" s="2" t="s">
        <v>161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/>
    </row>
    <row r="66" spans="1:18" x14ac:dyDescent="0.25">
      <c r="A66" s="2" t="s">
        <v>161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/>
    </row>
    <row r="67" spans="1:18" x14ac:dyDescent="0.25">
      <c r="A67" s="2" t="s">
        <v>161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/>
    </row>
    <row r="68" spans="1:18" x14ac:dyDescent="0.25">
      <c r="A68" s="2" t="s">
        <v>66</v>
      </c>
      <c r="B68" s="2">
        <f>SUM(B59:B67)</f>
        <v>1</v>
      </c>
      <c r="C68" s="2">
        <f t="shared" ref="C68:Q68" si="41">SUM(C59:C67)</f>
        <v>2</v>
      </c>
      <c r="D68" s="2">
        <f t="shared" si="41"/>
        <v>3</v>
      </c>
      <c r="E68" s="2">
        <f t="shared" si="41"/>
        <v>3</v>
      </c>
      <c r="F68" s="2">
        <f t="shared" si="41"/>
        <v>4</v>
      </c>
      <c r="G68" s="2">
        <f t="shared" si="41"/>
        <v>4</v>
      </c>
      <c r="H68" s="2">
        <f t="shared" si="41"/>
        <v>4</v>
      </c>
      <c r="I68" s="2">
        <f t="shared" si="41"/>
        <v>5</v>
      </c>
      <c r="J68" s="2">
        <f t="shared" si="41"/>
        <v>4</v>
      </c>
      <c r="K68" s="2">
        <f t="shared" si="41"/>
        <v>4</v>
      </c>
      <c r="L68" s="2">
        <f t="shared" si="41"/>
        <v>6</v>
      </c>
      <c r="M68" s="2">
        <f t="shared" si="41"/>
        <v>6</v>
      </c>
      <c r="N68" s="2">
        <f t="shared" si="41"/>
        <v>5</v>
      </c>
      <c r="O68" s="2">
        <f t="shared" si="41"/>
        <v>5</v>
      </c>
      <c r="P68" s="2">
        <f t="shared" si="41"/>
        <v>5</v>
      </c>
      <c r="Q68" s="2">
        <f t="shared" si="41"/>
        <v>0</v>
      </c>
      <c r="R68" s="1">
        <f>SUM(B68:Q68)</f>
        <v>61</v>
      </c>
    </row>
    <row r="71" spans="1:18" x14ac:dyDescent="0.25">
      <c r="A71" s="2" t="s">
        <v>22</v>
      </c>
      <c r="B71" s="2"/>
      <c r="C71" s="2"/>
      <c r="E71" s="1" t="s">
        <v>64</v>
      </c>
      <c r="F71" s="1" t="s">
        <v>70</v>
      </c>
    </row>
    <row r="72" spans="1:18" x14ac:dyDescent="0.25">
      <c r="A72" s="3" t="s">
        <v>0</v>
      </c>
      <c r="B72" s="2"/>
      <c r="C72" s="2"/>
      <c r="E72" s="1" t="s">
        <v>69</v>
      </c>
      <c r="F72" s="1" t="s">
        <v>71</v>
      </c>
    </row>
    <row r="73" spans="1:18" x14ac:dyDescent="0.25">
      <c r="A73" s="2" t="s">
        <v>167</v>
      </c>
      <c r="B73" s="2">
        <f>22.5-8.5</f>
        <v>14</v>
      </c>
      <c r="C73" s="2" t="s">
        <v>24</v>
      </c>
      <c r="E73" s="1">
        <f>D92</f>
        <v>48</v>
      </c>
      <c r="F73" s="1" t="s">
        <v>24</v>
      </c>
      <c r="G73" s="1">
        <f>E73/B73</f>
        <v>3.4285714285714284</v>
      </c>
      <c r="H73" s="1" t="s">
        <v>76</v>
      </c>
    </row>
    <row r="74" spans="1:18" x14ac:dyDescent="0.25">
      <c r="A74" s="3" t="s">
        <v>2</v>
      </c>
      <c r="B74" s="2"/>
      <c r="C74" s="2"/>
    </row>
    <row r="75" spans="1:18" x14ac:dyDescent="0.25">
      <c r="A75" s="2" t="s">
        <v>167</v>
      </c>
      <c r="B75" s="2">
        <f>22.5-8.5</f>
        <v>14</v>
      </c>
      <c r="C75" s="2" t="s">
        <v>24</v>
      </c>
      <c r="E75" s="1">
        <f>D103</f>
        <v>52</v>
      </c>
      <c r="F75" s="1" t="str">
        <f>F73</f>
        <v>H</v>
      </c>
      <c r="G75" s="1">
        <f>E75/B75</f>
        <v>3.7142857142857144</v>
      </c>
      <c r="H75" s="1" t="s">
        <v>76</v>
      </c>
    </row>
    <row r="77" spans="1:18" x14ac:dyDescent="0.25">
      <c r="A77" s="2"/>
      <c r="B77" s="2" t="s">
        <v>26</v>
      </c>
      <c r="C77" s="2" t="s">
        <v>27</v>
      </c>
    </row>
    <row r="78" spans="1:18" x14ac:dyDescent="0.25">
      <c r="A78" s="3" t="s">
        <v>0</v>
      </c>
      <c r="B78" s="2"/>
      <c r="C78" s="2">
        <f>B78*8</f>
        <v>0</v>
      </c>
    </row>
    <row r="79" spans="1:18" x14ac:dyDescent="0.25">
      <c r="A79" s="3" t="s">
        <v>2</v>
      </c>
      <c r="B79" s="2"/>
      <c r="C79" s="2">
        <f>B79*8</f>
        <v>0</v>
      </c>
    </row>
    <row r="81" spans="1:14" x14ac:dyDescent="0.25">
      <c r="A81" s="2" t="s">
        <v>72</v>
      </c>
      <c r="B81" s="2"/>
      <c r="C81" s="2" t="s">
        <v>26</v>
      </c>
      <c r="D81" s="2" t="s">
        <v>27</v>
      </c>
    </row>
    <row r="82" spans="1:14" x14ac:dyDescent="0.25">
      <c r="A82" s="3" t="s">
        <v>0</v>
      </c>
      <c r="B82" s="2"/>
      <c r="C82" s="2"/>
      <c r="D82" s="2"/>
    </row>
    <row r="83" spans="1:14" x14ac:dyDescent="0.25">
      <c r="A83" s="2" t="s">
        <v>78</v>
      </c>
      <c r="B83" s="2" t="s">
        <v>67</v>
      </c>
      <c r="C83" s="2">
        <v>1</v>
      </c>
      <c r="D83" s="2">
        <f>C83*8</f>
        <v>8</v>
      </c>
    </row>
    <row r="84" spans="1:14" x14ac:dyDescent="0.25">
      <c r="A84" s="2" t="s">
        <v>162</v>
      </c>
      <c r="B84" s="2" t="s">
        <v>68</v>
      </c>
      <c r="C84" s="2">
        <v>1</v>
      </c>
      <c r="D84" s="2">
        <f>14-8</f>
        <v>6</v>
      </c>
    </row>
    <row r="85" spans="1:14" x14ac:dyDescent="0.25">
      <c r="A85" s="2" t="s">
        <v>150</v>
      </c>
      <c r="B85" s="2" t="s">
        <v>67</v>
      </c>
      <c r="C85" s="2">
        <v>1</v>
      </c>
      <c r="D85" s="2">
        <v>8</v>
      </c>
      <c r="F85" s="8" t="s">
        <v>114</v>
      </c>
      <c r="G85" s="3" t="s">
        <v>67</v>
      </c>
      <c r="H85" s="3" t="s">
        <v>68</v>
      </c>
      <c r="I85" s="3" t="s">
        <v>90</v>
      </c>
    </row>
    <row r="86" spans="1:14" x14ac:dyDescent="0.25">
      <c r="A86" s="2" t="s">
        <v>86</v>
      </c>
      <c r="B86" s="2" t="s">
        <v>68</v>
      </c>
      <c r="C86" s="2">
        <v>1</v>
      </c>
      <c r="D86" s="2">
        <v>8</v>
      </c>
      <c r="F86" s="11">
        <f>SUM(G86:I86)</f>
        <v>10</v>
      </c>
      <c r="G86" s="2">
        <v>5</v>
      </c>
      <c r="H86" s="2">
        <v>4</v>
      </c>
      <c r="I86" s="2">
        <v>1</v>
      </c>
    </row>
    <row r="87" spans="1:14" x14ac:dyDescent="0.25">
      <c r="A87" s="2" t="s">
        <v>86</v>
      </c>
      <c r="B87" s="2" t="s">
        <v>67</v>
      </c>
      <c r="C87" s="2">
        <v>1</v>
      </c>
      <c r="D87" s="2">
        <v>8</v>
      </c>
    </row>
    <row r="88" spans="1:14" x14ac:dyDescent="0.25">
      <c r="A88" s="2" t="s">
        <v>161</v>
      </c>
      <c r="B88" s="2" t="s">
        <v>68</v>
      </c>
      <c r="C88" s="2">
        <v>1</v>
      </c>
      <c r="D88" s="2">
        <f>22-17</f>
        <v>5</v>
      </c>
    </row>
    <row r="89" spans="1:14" x14ac:dyDescent="0.25">
      <c r="A89" s="2" t="s">
        <v>161</v>
      </c>
      <c r="B89" s="2" t="s">
        <v>68</v>
      </c>
      <c r="C89" s="2">
        <v>1</v>
      </c>
      <c r="D89" s="2">
        <f>22-17</f>
        <v>5</v>
      </c>
    </row>
    <row r="90" spans="1:14" x14ac:dyDescent="0.25">
      <c r="A90" s="2" t="s">
        <v>87</v>
      </c>
      <c r="B90" s="2" t="s">
        <v>164</v>
      </c>
      <c r="C90" s="2">
        <v>2</v>
      </c>
      <c r="D90" s="2"/>
    </row>
    <row r="91" spans="1:14" x14ac:dyDescent="0.25">
      <c r="A91" s="2" t="s">
        <v>88</v>
      </c>
      <c r="B91" s="3"/>
      <c r="C91" s="2">
        <v>1</v>
      </c>
      <c r="D91" s="2"/>
    </row>
    <row r="92" spans="1:14" x14ac:dyDescent="0.25">
      <c r="A92" s="3" t="s">
        <v>66</v>
      </c>
      <c r="B92" s="3"/>
      <c r="C92" s="3">
        <f>SUM(C83:C91)</f>
        <v>10</v>
      </c>
      <c r="D92" s="3">
        <f>SUM(D83:D91)</f>
        <v>48</v>
      </c>
      <c r="F92" s="8" t="s">
        <v>89</v>
      </c>
      <c r="G92" s="3" t="s">
        <v>67</v>
      </c>
      <c r="H92" s="3" t="s">
        <v>68</v>
      </c>
      <c r="I92" s="3" t="s">
        <v>90</v>
      </c>
      <c r="K92" s="8" t="s">
        <v>91</v>
      </c>
      <c r="L92" s="3" t="s">
        <v>67</v>
      </c>
      <c r="M92" s="3" t="s">
        <v>68</v>
      </c>
      <c r="N92" s="3" t="s">
        <v>90</v>
      </c>
    </row>
    <row r="93" spans="1:14" x14ac:dyDescent="0.25">
      <c r="A93" s="3" t="s">
        <v>2</v>
      </c>
      <c r="B93" s="2"/>
      <c r="C93" s="2"/>
      <c r="D93" s="2"/>
      <c r="F93" s="11">
        <f>SUM(G93:I93)</f>
        <v>10</v>
      </c>
      <c r="G93" s="2">
        <v>4</v>
      </c>
      <c r="H93" s="2">
        <v>5</v>
      </c>
      <c r="I93" s="2">
        <v>1</v>
      </c>
      <c r="K93" s="11">
        <f>F86-F93</f>
        <v>0</v>
      </c>
      <c r="L93" s="11">
        <f>G86-G93</f>
        <v>1</v>
      </c>
      <c r="M93" s="11">
        <f>H86-H93</f>
        <v>-1</v>
      </c>
      <c r="N93" s="11">
        <f t="shared" ref="N93" si="42">I86-I93</f>
        <v>0</v>
      </c>
    </row>
    <row r="94" spans="1:14" x14ac:dyDescent="0.25">
      <c r="A94" s="2" t="s">
        <v>78</v>
      </c>
      <c r="B94" s="2" t="s">
        <v>67</v>
      </c>
      <c r="C94" s="2">
        <v>1</v>
      </c>
      <c r="D94" s="2">
        <f>C94*8</f>
        <v>8</v>
      </c>
    </row>
    <row r="95" spans="1:14" x14ac:dyDescent="0.25">
      <c r="A95" s="2" t="s">
        <v>162</v>
      </c>
      <c r="B95" s="2" t="s">
        <v>68</v>
      </c>
      <c r="C95" s="2">
        <v>1</v>
      </c>
      <c r="D95" s="2">
        <f>14-8</f>
        <v>6</v>
      </c>
    </row>
    <row r="96" spans="1:14" x14ac:dyDescent="0.25">
      <c r="A96" s="2" t="s">
        <v>150</v>
      </c>
      <c r="B96" s="2" t="s">
        <v>67</v>
      </c>
      <c r="C96" s="2">
        <v>1</v>
      </c>
      <c r="D96" s="2">
        <f t="shared" ref="D96" si="43">C96*8</f>
        <v>8</v>
      </c>
    </row>
    <row r="97" spans="1:8" x14ac:dyDescent="0.25">
      <c r="A97" s="2" t="s">
        <v>86</v>
      </c>
      <c r="B97" s="2" t="s">
        <v>67</v>
      </c>
      <c r="C97" s="2">
        <v>1</v>
      </c>
      <c r="D97" s="2">
        <f>C97*8</f>
        <v>8</v>
      </c>
    </row>
    <row r="98" spans="1:8" x14ac:dyDescent="0.25">
      <c r="A98" s="2" t="s">
        <v>86</v>
      </c>
      <c r="B98" s="2" t="s">
        <v>67</v>
      </c>
      <c r="C98" s="2">
        <v>1</v>
      </c>
      <c r="D98" s="2">
        <v>8</v>
      </c>
    </row>
    <row r="99" spans="1:8" x14ac:dyDescent="0.25">
      <c r="A99" s="2" t="s">
        <v>161</v>
      </c>
      <c r="B99" s="2" t="s">
        <v>68</v>
      </c>
      <c r="C99" s="2">
        <v>1</v>
      </c>
      <c r="D99" s="2">
        <f>22-17</f>
        <v>5</v>
      </c>
    </row>
    <row r="100" spans="1:8" x14ac:dyDescent="0.25">
      <c r="A100" s="2" t="s">
        <v>161</v>
      </c>
      <c r="B100" s="2" t="s">
        <v>68</v>
      </c>
      <c r="C100" s="2">
        <v>1</v>
      </c>
      <c r="D100" s="2">
        <f>22-17</f>
        <v>5</v>
      </c>
    </row>
    <row r="101" spans="1:8" x14ac:dyDescent="0.25">
      <c r="A101" s="2" t="s">
        <v>163</v>
      </c>
      <c r="B101" s="2" t="s">
        <v>151</v>
      </c>
      <c r="C101" s="2">
        <v>2</v>
      </c>
      <c r="D101" s="2"/>
    </row>
    <row r="102" spans="1:8" x14ac:dyDescent="0.25">
      <c r="A102" s="2" t="s">
        <v>88</v>
      </c>
      <c r="B102" s="2"/>
      <c r="C102" s="2">
        <v>1</v>
      </c>
      <c r="D102" s="2">
        <f>22-18</f>
        <v>4</v>
      </c>
    </row>
    <row r="103" spans="1:8" x14ac:dyDescent="0.25">
      <c r="A103" s="3" t="s">
        <v>66</v>
      </c>
      <c r="B103" s="3"/>
      <c r="C103" s="3">
        <f>SUM(C94:C102)</f>
        <v>10</v>
      </c>
      <c r="D103" s="3">
        <f>SUM(D94:D102)</f>
        <v>52</v>
      </c>
    </row>
    <row r="105" spans="1:8" x14ac:dyDescent="0.25">
      <c r="F105" s="1" t="s">
        <v>106</v>
      </c>
      <c r="G105" s="1" t="s">
        <v>95</v>
      </c>
      <c r="H105" s="1" t="s">
        <v>99</v>
      </c>
    </row>
    <row r="106" spans="1:8" ht="25.5" x14ac:dyDescent="0.35">
      <c r="A106" s="14" t="s">
        <v>84</v>
      </c>
      <c r="B106" s="15"/>
      <c r="C106" s="15"/>
      <c r="D106" s="15"/>
      <c r="E106" s="15"/>
      <c r="F106" s="1" t="s">
        <v>104</v>
      </c>
      <c r="G106" s="1" t="s">
        <v>105</v>
      </c>
      <c r="H106" s="1" t="s">
        <v>100</v>
      </c>
    </row>
    <row r="108" spans="1:8" x14ac:dyDescent="0.25">
      <c r="A108" s="8" t="s">
        <v>80</v>
      </c>
      <c r="B108" s="8" t="s">
        <v>81</v>
      </c>
      <c r="C108" s="8" t="s">
        <v>82</v>
      </c>
      <c r="D108" s="8" t="s">
        <v>66</v>
      </c>
    </row>
    <row r="109" spans="1:8" x14ac:dyDescent="0.25">
      <c r="A109" s="3" t="s">
        <v>0</v>
      </c>
      <c r="B109" s="2"/>
      <c r="C109" s="2"/>
      <c r="D109" s="8"/>
    </row>
    <row r="110" spans="1:8" x14ac:dyDescent="0.25">
      <c r="A110" s="2" t="s">
        <v>143</v>
      </c>
      <c r="B110" s="2">
        <v>383</v>
      </c>
      <c r="C110" s="2">
        <v>74</v>
      </c>
      <c r="D110" s="8">
        <f t="shared" ref="D110:D115" si="44">B110+C110</f>
        <v>457</v>
      </c>
    </row>
    <row r="111" spans="1:8" x14ac:dyDescent="0.25">
      <c r="A111" s="2" t="s">
        <v>144</v>
      </c>
      <c r="B111" s="2">
        <v>45</v>
      </c>
      <c r="C111" s="2">
        <v>0</v>
      </c>
      <c r="D111" s="8">
        <f t="shared" si="44"/>
        <v>45</v>
      </c>
    </row>
    <row r="112" spans="1:8" x14ac:dyDescent="0.25">
      <c r="A112" s="2" t="s">
        <v>145</v>
      </c>
      <c r="B112" s="2">
        <v>2</v>
      </c>
      <c r="C112" s="2">
        <v>0</v>
      </c>
      <c r="D112" s="8">
        <f t="shared" si="44"/>
        <v>2</v>
      </c>
    </row>
    <row r="113" spans="1:12" x14ac:dyDescent="0.25">
      <c r="A113" s="2" t="s">
        <v>146</v>
      </c>
      <c r="B113" s="2">
        <v>29</v>
      </c>
      <c r="C113" s="2">
        <v>4</v>
      </c>
      <c r="D113" s="8">
        <f t="shared" si="44"/>
        <v>33</v>
      </c>
    </row>
    <row r="114" spans="1:12" x14ac:dyDescent="0.25">
      <c r="A114" s="2" t="s">
        <v>147</v>
      </c>
      <c r="B114" s="2">
        <v>171</v>
      </c>
      <c r="C114" s="2">
        <v>4</v>
      </c>
      <c r="D114" s="8">
        <f t="shared" si="44"/>
        <v>175</v>
      </c>
    </row>
    <row r="115" spans="1:12" x14ac:dyDescent="0.25">
      <c r="A115" s="2" t="s">
        <v>148</v>
      </c>
      <c r="B115" s="2">
        <v>35</v>
      </c>
      <c r="C115" s="2">
        <v>5</v>
      </c>
      <c r="D115" s="8">
        <f t="shared" si="44"/>
        <v>40</v>
      </c>
    </row>
    <row r="116" spans="1:12" x14ac:dyDescent="0.25">
      <c r="A116" s="3"/>
      <c r="B116" s="2"/>
      <c r="C116" s="2"/>
      <c r="D116" s="8"/>
    </row>
    <row r="117" spans="1:12" x14ac:dyDescent="0.25">
      <c r="A117" s="3" t="s">
        <v>2</v>
      </c>
      <c r="B117" s="2"/>
      <c r="C117" s="2"/>
      <c r="D117" s="8"/>
    </row>
    <row r="118" spans="1:12" x14ac:dyDescent="0.25">
      <c r="A118" s="2" t="s">
        <v>143</v>
      </c>
      <c r="B118" s="2">
        <v>1133</v>
      </c>
      <c r="C118" s="2">
        <v>148</v>
      </c>
      <c r="D118" s="8">
        <f t="shared" ref="D118:D123" si="45">B118+C118</f>
        <v>1281</v>
      </c>
    </row>
    <row r="119" spans="1:12" x14ac:dyDescent="0.25">
      <c r="A119" s="2" t="s">
        <v>144</v>
      </c>
      <c r="B119" s="2">
        <v>94</v>
      </c>
      <c r="C119" s="2">
        <v>0</v>
      </c>
      <c r="D119" s="8">
        <f t="shared" si="45"/>
        <v>94</v>
      </c>
    </row>
    <row r="120" spans="1:12" x14ac:dyDescent="0.25">
      <c r="A120" s="2" t="s">
        <v>145</v>
      </c>
      <c r="B120" s="2">
        <v>4</v>
      </c>
      <c r="C120" s="2">
        <v>0</v>
      </c>
      <c r="D120" s="8">
        <f t="shared" si="45"/>
        <v>4</v>
      </c>
    </row>
    <row r="121" spans="1:12" x14ac:dyDescent="0.25">
      <c r="A121" s="2" t="s">
        <v>146</v>
      </c>
      <c r="B121" s="2">
        <v>70</v>
      </c>
      <c r="C121" s="2">
        <v>8</v>
      </c>
      <c r="D121" s="8">
        <f t="shared" si="45"/>
        <v>78</v>
      </c>
    </row>
    <row r="122" spans="1:12" x14ac:dyDescent="0.25">
      <c r="A122" s="2" t="s">
        <v>147</v>
      </c>
      <c r="B122" s="2">
        <v>468</v>
      </c>
      <c r="C122" s="2">
        <v>5</v>
      </c>
      <c r="D122" s="8">
        <f t="shared" si="45"/>
        <v>473</v>
      </c>
    </row>
    <row r="123" spans="1:12" x14ac:dyDescent="0.25">
      <c r="A123" s="2" t="s">
        <v>148</v>
      </c>
      <c r="B123" s="2">
        <v>92</v>
      </c>
      <c r="C123" s="2">
        <v>1</v>
      </c>
      <c r="D123" s="8">
        <f t="shared" si="45"/>
        <v>93</v>
      </c>
    </row>
    <row r="124" spans="1:12" x14ac:dyDescent="0.25">
      <c r="A124" s="3"/>
      <c r="B124" s="2"/>
      <c r="C124" s="2"/>
      <c r="D124" s="8"/>
    </row>
    <row r="126" spans="1:12" x14ac:dyDescent="0.25">
      <c r="A126" s="8" t="s">
        <v>103</v>
      </c>
      <c r="B126" s="3" t="s">
        <v>67</v>
      </c>
      <c r="C126" s="8" t="s">
        <v>101</v>
      </c>
      <c r="D126" s="3" t="s">
        <v>90</v>
      </c>
      <c r="F126" s="8" t="s">
        <v>89</v>
      </c>
      <c r="G126" s="3" t="s">
        <v>67</v>
      </c>
      <c r="H126" s="3" t="s">
        <v>90</v>
      </c>
      <c r="J126" s="8" t="s">
        <v>102</v>
      </c>
      <c r="K126" s="3" t="s">
        <v>67</v>
      </c>
      <c r="L126" s="3" t="s">
        <v>90</v>
      </c>
    </row>
    <row r="127" spans="1:12" x14ac:dyDescent="0.25">
      <c r="A127" s="11">
        <f>SUM(B127:D127)</f>
        <v>10</v>
      </c>
      <c r="B127" s="2">
        <v>6</v>
      </c>
      <c r="C127" s="2">
        <v>3</v>
      </c>
      <c r="D127" s="2">
        <v>1</v>
      </c>
      <c r="F127" s="11">
        <f>G127+H127</f>
        <v>9</v>
      </c>
      <c r="G127" s="2">
        <v>8</v>
      </c>
      <c r="H127" s="2">
        <v>1</v>
      </c>
      <c r="J127" s="11">
        <f>A127-F127</f>
        <v>1</v>
      </c>
      <c r="K127" s="2"/>
      <c r="L127" s="2"/>
    </row>
    <row r="129" spans="2:10" x14ac:dyDescent="0.25">
      <c r="B129" s="1" t="s">
        <v>165</v>
      </c>
      <c r="J129" s="1" t="s">
        <v>155</v>
      </c>
    </row>
    <row r="130" spans="2:10" x14ac:dyDescent="0.25">
      <c r="J130" s="1" t="s">
        <v>166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130"/>
  <sheetViews>
    <sheetView topLeftCell="A106" workbookViewId="0">
      <selection activeCell="D111" sqref="D111:D115"/>
    </sheetView>
  </sheetViews>
  <sheetFormatPr defaultRowHeight="15.75" x14ac:dyDescent="0.25"/>
  <cols>
    <col min="1" max="1" width="26.7109375" style="1" bestFit="1" customWidth="1"/>
    <col min="2" max="3" width="15" style="1" bestFit="1" customWidth="1"/>
    <col min="4" max="7" width="14.5703125" style="1" bestFit="1" customWidth="1"/>
    <col min="8" max="8" width="15.7109375" style="1" bestFit="1" customWidth="1"/>
    <col min="9" max="9" width="14.5703125" style="1" bestFit="1" customWidth="1"/>
    <col min="10" max="10" width="15.7109375" style="1" bestFit="1" customWidth="1"/>
    <col min="11" max="14" width="14.5703125" style="1" bestFit="1" customWidth="1"/>
    <col min="15" max="16" width="15.7109375" style="1" bestFit="1" customWidth="1"/>
    <col min="17" max="17" width="14.5703125" style="1" bestFit="1" customWidth="1"/>
    <col min="18" max="18" width="15.7109375" style="1" bestFit="1" customWidth="1"/>
    <col min="19" max="16384" width="9.140625" style="1"/>
  </cols>
  <sheetData>
    <row r="2" spans="1:18" x14ac:dyDescent="0.25">
      <c r="A2" s="2"/>
      <c r="B2" s="3" t="s">
        <v>157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</row>
    <row r="3" spans="1:18" x14ac:dyDescent="0.25">
      <c r="A3" s="5" t="s">
        <v>0</v>
      </c>
      <c r="B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8" s="43" customFormat="1" x14ac:dyDescent="0.25">
      <c r="A4" s="42" t="s">
        <v>129</v>
      </c>
      <c r="B4" s="42"/>
      <c r="C4" s="42">
        <v>117273</v>
      </c>
      <c r="D4" s="42">
        <v>178183</v>
      </c>
      <c r="E4" s="42">
        <v>336362</v>
      </c>
      <c r="F4" s="42">
        <v>163636</v>
      </c>
      <c r="G4" s="42">
        <v>743637</v>
      </c>
      <c r="H4" s="42">
        <v>666363</v>
      </c>
      <c r="I4" s="42">
        <v>38182</v>
      </c>
      <c r="J4" s="42">
        <v>386365</v>
      </c>
      <c r="K4" s="42">
        <v>828182</v>
      </c>
      <c r="L4" s="42">
        <v>234545</v>
      </c>
      <c r="M4" s="42">
        <v>782729</v>
      </c>
      <c r="N4" s="42">
        <v>736361</v>
      </c>
      <c r="O4" s="42">
        <v>1234725</v>
      </c>
      <c r="P4" s="42">
        <v>1267274</v>
      </c>
      <c r="Q4" s="42">
        <v>75454</v>
      </c>
    </row>
    <row r="5" spans="1:18" s="43" customFormat="1" x14ac:dyDescent="0.25">
      <c r="A5" s="42" t="s">
        <v>130</v>
      </c>
      <c r="B5" s="42">
        <v>0</v>
      </c>
      <c r="C5" s="42">
        <v>0</v>
      </c>
      <c r="D5" s="42">
        <v>95455</v>
      </c>
      <c r="E5" s="42">
        <v>474546</v>
      </c>
      <c r="F5" s="42">
        <v>702729</v>
      </c>
      <c r="G5" s="42">
        <v>783637</v>
      </c>
      <c r="H5" s="42">
        <v>1618182</v>
      </c>
      <c r="I5" s="42">
        <v>588183</v>
      </c>
      <c r="J5" s="42">
        <v>86364</v>
      </c>
      <c r="K5" s="42">
        <v>802728</v>
      </c>
      <c r="L5" s="42">
        <v>554544</v>
      </c>
      <c r="M5" s="42">
        <v>1447270</v>
      </c>
      <c r="N5" s="42">
        <v>735456</v>
      </c>
      <c r="O5" s="42">
        <v>910907</v>
      </c>
      <c r="P5" s="42">
        <v>1979091</v>
      </c>
      <c r="Q5" s="42">
        <v>0</v>
      </c>
    </row>
    <row r="6" spans="1:18" s="43" customFormat="1" x14ac:dyDescent="0.25">
      <c r="A6" s="42" t="s">
        <v>131</v>
      </c>
      <c r="B6" s="42">
        <v>98182</v>
      </c>
      <c r="C6" s="42">
        <v>500909</v>
      </c>
      <c r="D6" s="42">
        <v>125454</v>
      </c>
      <c r="E6" s="42">
        <v>345455</v>
      </c>
      <c r="F6" s="42">
        <v>372728</v>
      </c>
      <c r="G6" s="42">
        <v>1069090</v>
      </c>
      <c r="H6" s="42">
        <v>1935455</v>
      </c>
      <c r="I6" s="42">
        <v>1106367</v>
      </c>
      <c r="J6" s="42">
        <v>355454</v>
      </c>
      <c r="K6" s="42">
        <v>65910</v>
      </c>
      <c r="L6" s="42">
        <v>1029091</v>
      </c>
      <c r="M6" s="42">
        <v>911818</v>
      </c>
      <c r="N6" s="42">
        <v>389090</v>
      </c>
      <c r="O6" s="42">
        <v>2473640</v>
      </c>
      <c r="P6" s="42">
        <v>1424544</v>
      </c>
      <c r="Q6" s="42">
        <v>0</v>
      </c>
    </row>
    <row r="7" spans="1:18" s="43" customFormat="1" x14ac:dyDescent="0.25">
      <c r="A7" s="42" t="s">
        <v>132</v>
      </c>
      <c r="B7" s="42">
        <v>0</v>
      </c>
      <c r="C7" s="42">
        <v>0</v>
      </c>
      <c r="D7" s="42">
        <v>330000</v>
      </c>
      <c r="E7" s="42">
        <v>890001</v>
      </c>
      <c r="F7" s="42">
        <v>255456</v>
      </c>
      <c r="G7" s="42">
        <v>542726</v>
      </c>
      <c r="H7" s="42">
        <v>1590908</v>
      </c>
      <c r="I7" s="42">
        <v>1167271</v>
      </c>
      <c r="J7" s="42">
        <v>458182</v>
      </c>
      <c r="K7" s="42">
        <v>884544</v>
      </c>
      <c r="L7" s="42">
        <v>970001</v>
      </c>
      <c r="M7" s="42">
        <v>284546</v>
      </c>
      <c r="N7" s="42">
        <v>1212725</v>
      </c>
      <c r="O7" s="42">
        <v>2225445</v>
      </c>
      <c r="P7" s="42">
        <v>335455</v>
      </c>
      <c r="Q7" s="42">
        <v>0</v>
      </c>
    </row>
    <row r="8" spans="1:18" s="43" customFormat="1" x14ac:dyDescent="0.25">
      <c r="A8" s="42" t="s">
        <v>133</v>
      </c>
      <c r="B8" s="42">
        <v>0</v>
      </c>
      <c r="C8" s="42">
        <v>81818</v>
      </c>
      <c r="D8" s="42">
        <v>306363</v>
      </c>
      <c r="E8" s="42">
        <v>496364</v>
      </c>
      <c r="F8" s="42">
        <v>502728</v>
      </c>
      <c r="G8" s="42">
        <v>677273</v>
      </c>
      <c r="H8" s="42">
        <v>1007274</v>
      </c>
      <c r="I8" s="42">
        <v>924547</v>
      </c>
      <c r="J8" s="42">
        <v>888183</v>
      </c>
      <c r="K8" s="42">
        <v>1384544</v>
      </c>
      <c r="L8" s="42">
        <v>1427275</v>
      </c>
      <c r="M8" s="42">
        <v>1850725</v>
      </c>
      <c r="N8" s="42">
        <v>2103907</v>
      </c>
      <c r="O8" s="42">
        <v>2325449</v>
      </c>
      <c r="P8" s="42">
        <v>2924547</v>
      </c>
      <c r="Q8" s="42">
        <v>1779092</v>
      </c>
    </row>
    <row r="9" spans="1:18" s="43" customFormat="1" x14ac:dyDescent="0.25">
      <c r="A9" s="42" t="s">
        <v>138</v>
      </c>
      <c r="B9" s="42">
        <v>36363</v>
      </c>
      <c r="C9" s="42">
        <v>0</v>
      </c>
      <c r="D9" s="42">
        <v>49090</v>
      </c>
      <c r="E9" s="42">
        <v>73636</v>
      </c>
      <c r="F9" s="42">
        <v>943641</v>
      </c>
      <c r="G9" s="42">
        <v>551820</v>
      </c>
      <c r="H9" s="42">
        <v>993638</v>
      </c>
      <c r="I9" s="42">
        <v>655456</v>
      </c>
      <c r="J9" s="42">
        <v>803635</v>
      </c>
      <c r="K9" s="42">
        <v>579999</v>
      </c>
      <c r="L9" s="42">
        <v>999091</v>
      </c>
      <c r="M9" s="42">
        <v>624509</v>
      </c>
      <c r="N9" s="42">
        <v>829091</v>
      </c>
      <c r="O9" s="42">
        <v>1858182</v>
      </c>
      <c r="P9" s="42">
        <v>1256365</v>
      </c>
      <c r="Q9" s="42">
        <v>874549</v>
      </c>
    </row>
    <row r="10" spans="1:18" s="43" customFormat="1" x14ac:dyDescent="0.25">
      <c r="A10" s="42" t="s">
        <v>139</v>
      </c>
      <c r="B10" s="42"/>
      <c r="C10" s="42">
        <v>18182</v>
      </c>
      <c r="D10" s="42">
        <v>500909</v>
      </c>
      <c r="E10" s="42">
        <v>141818</v>
      </c>
      <c r="F10" s="42">
        <v>686362</v>
      </c>
      <c r="G10" s="42">
        <v>523638</v>
      </c>
      <c r="H10" s="42">
        <v>1850913</v>
      </c>
      <c r="I10" s="42">
        <v>251819</v>
      </c>
      <c r="J10" s="42">
        <v>988181</v>
      </c>
      <c r="K10" s="42">
        <v>735454</v>
      </c>
      <c r="L10" s="42">
        <v>680000</v>
      </c>
      <c r="M10" s="42">
        <v>1375455</v>
      </c>
      <c r="N10" s="42">
        <v>227273</v>
      </c>
      <c r="O10" s="42">
        <v>1147273</v>
      </c>
      <c r="P10" s="42">
        <v>1952727</v>
      </c>
      <c r="Q10" s="42">
        <v>250000</v>
      </c>
    </row>
    <row r="11" spans="1:18" s="43" customFormat="1" x14ac:dyDescent="0.25">
      <c r="A11" s="42" t="s">
        <v>140</v>
      </c>
      <c r="B11" s="42"/>
      <c r="C11" s="42"/>
      <c r="D11" s="42">
        <v>705455</v>
      </c>
      <c r="E11" s="42">
        <v>192727</v>
      </c>
      <c r="F11" s="42">
        <v>647270</v>
      </c>
      <c r="G11" s="42">
        <v>379999</v>
      </c>
      <c r="H11" s="42">
        <v>1432726</v>
      </c>
      <c r="I11" s="42">
        <v>500001</v>
      </c>
      <c r="J11" s="42">
        <v>664545</v>
      </c>
      <c r="K11" s="42">
        <v>1020908</v>
      </c>
      <c r="L11" s="42">
        <v>681819</v>
      </c>
      <c r="M11" s="42">
        <v>1563633</v>
      </c>
      <c r="N11" s="42">
        <v>1025455</v>
      </c>
      <c r="O11" s="42">
        <v>1489091</v>
      </c>
      <c r="P11" s="42">
        <v>1524551</v>
      </c>
      <c r="Q11" s="42">
        <v>0</v>
      </c>
    </row>
    <row r="12" spans="1:18" s="43" customFormat="1" x14ac:dyDescent="0.25">
      <c r="A12" s="44">
        <v>8</v>
      </c>
      <c r="B12" s="44">
        <f t="shared" ref="B12:Q12" si="0">SUM(B4:B11)</f>
        <v>134545</v>
      </c>
      <c r="C12" s="44">
        <f t="shared" si="0"/>
        <v>718182</v>
      </c>
      <c r="D12" s="44">
        <f t="shared" si="0"/>
        <v>2290909</v>
      </c>
      <c r="E12" s="44">
        <f t="shared" si="0"/>
        <v>2950909</v>
      </c>
      <c r="F12" s="44">
        <f t="shared" si="0"/>
        <v>4274550</v>
      </c>
      <c r="G12" s="44">
        <f t="shared" si="0"/>
        <v>5271820</v>
      </c>
      <c r="H12" s="44">
        <f t="shared" si="0"/>
        <v>11095459</v>
      </c>
      <c r="I12" s="44">
        <f t="shared" si="0"/>
        <v>5231826</v>
      </c>
      <c r="J12" s="44">
        <f t="shared" si="0"/>
        <v>4630909</v>
      </c>
      <c r="K12" s="44">
        <f t="shared" si="0"/>
        <v>6302269</v>
      </c>
      <c r="L12" s="44">
        <f t="shared" si="0"/>
        <v>6576366</v>
      </c>
      <c r="M12" s="44">
        <f t="shared" si="0"/>
        <v>8840685</v>
      </c>
      <c r="N12" s="44">
        <f t="shared" si="0"/>
        <v>7259358</v>
      </c>
      <c r="O12" s="44">
        <f t="shared" si="0"/>
        <v>13664712</v>
      </c>
      <c r="P12" s="44">
        <f t="shared" si="0"/>
        <v>12664554</v>
      </c>
      <c r="Q12" s="44">
        <f t="shared" si="0"/>
        <v>2979095</v>
      </c>
    </row>
    <row r="13" spans="1:18" s="43" customFormat="1" x14ac:dyDescent="0.25">
      <c r="A13" s="70" t="s">
        <v>40</v>
      </c>
      <c r="B13" s="70">
        <f>ROUND((B12)/$A$12,0)</f>
        <v>16818</v>
      </c>
      <c r="C13" s="70">
        <f>ROUND((C12)/$A$12,0)</f>
        <v>89773</v>
      </c>
      <c r="D13" s="70">
        <f t="shared" ref="D13:Q13" si="1">ROUND((D12)/$A$12,0)</f>
        <v>286364</v>
      </c>
      <c r="E13" s="70">
        <f t="shared" si="1"/>
        <v>368864</v>
      </c>
      <c r="F13" s="70">
        <f t="shared" si="1"/>
        <v>534319</v>
      </c>
      <c r="G13" s="70">
        <f t="shared" si="1"/>
        <v>658978</v>
      </c>
      <c r="H13" s="70">
        <f t="shared" si="1"/>
        <v>1386932</v>
      </c>
      <c r="I13" s="70">
        <f t="shared" si="1"/>
        <v>653978</v>
      </c>
      <c r="J13" s="70">
        <f t="shared" si="1"/>
        <v>578864</v>
      </c>
      <c r="K13" s="70">
        <f t="shared" si="1"/>
        <v>787784</v>
      </c>
      <c r="L13" s="70">
        <f t="shared" si="1"/>
        <v>822046</v>
      </c>
      <c r="M13" s="70">
        <f t="shared" si="1"/>
        <v>1105086</v>
      </c>
      <c r="N13" s="70">
        <f t="shared" si="1"/>
        <v>907420</v>
      </c>
      <c r="O13" s="70">
        <f t="shared" si="1"/>
        <v>1708089</v>
      </c>
      <c r="P13" s="70">
        <f t="shared" si="1"/>
        <v>1583069</v>
      </c>
      <c r="Q13" s="70">
        <f t="shared" si="1"/>
        <v>372387</v>
      </c>
      <c r="R13" s="43">
        <f t="shared" ref="R13:R14" si="2">SUM(B13:Q13)</f>
        <v>11860771</v>
      </c>
    </row>
    <row r="14" spans="1:18" x14ac:dyDescent="0.25">
      <c r="A14" s="12" t="s">
        <v>60</v>
      </c>
      <c r="B14" s="12">
        <v>1</v>
      </c>
      <c r="C14" s="12">
        <v>2</v>
      </c>
      <c r="D14" s="12">
        <v>2</v>
      </c>
      <c r="E14" s="12">
        <v>2</v>
      </c>
      <c r="F14" s="12">
        <v>2</v>
      </c>
      <c r="G14" s="12">
        <v>2</v>
      </c>
      <c r="H14" s="12">
        <v>2</v>
      </c>
      <c r="I14" s="12">
        <v>2</v>
      </c>
      <c r="J14" s="12">
        <v>2</v>
      </c>
      <c r="K14" s="12">
        <v>2</v>
      </c>
      <c r="L14" s="12">
        <v>2</v>
      </c>
      <c r="M14" s="12">
        <v>2</v>
      </c>
      <c r="N14" s="12">
        <v>2</v>
      </c>
      <c r="O14" s="12">
        <v>2</v>
      </c>
      <c r="P14" s="12">
        <v>2</v>
      </c>
      <c r="Q14" s="12"/>
      <c r="R14" s="1">
        <f t="shared" si="2"/>
        <v>29</v>
      </c>
    </row>
    <row r="15" spans="1:18" x14ac:dyDescent="0.25">
      <c r="A15" s="12" t="s">
        <v>61</v>
      </c>
      <c r="B15" s="12">
        <v>1</v>
      </c>
      <c r="C15" s="12">
        <v>2</v>
      </c>
      <c r="D15" s="12">
        <v>2</v>
      </c>
      <c r="E15" s="12">
        <v>2</v>
      </c>
      <c r="F15" s="12">
        <v>2</v>
      </c>
      <c r="G15" s="12">
        <v>2</v>
      </c>
      <c r="H15" s="12">
        <v>2</v>
      </c>
      <c r="I15" s="12">
        <v>2</v>
      </c>
      <c r="J15" s="12">
        <v>2</v>
      </c>
      <c r="K15" s="12">
        <v>2</v>
      </c>
      <c r="L15" s="12">
        <v>2</v>
      </c>
      <c r="M15" s="12">
        <v>3</v>
      </c>
      <c r="N15" s="12">
        <v>3</v>
      </c>
      <c r="O15" s="12">
        <v>2</v>
      </c>
      <c r="P15" s="12">
        <v>2</v>
      </c>
      <c r="Q15" s="12"/>
      <c r="R15" s="1">
        <f>SUM(B15:Q15)</f>
        <v>31</v>
      </c>
    </row>
    <row r="16" spans="1:18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8" x14ac:dyDescent="0.25">
      <c r="A17" s="13" t="s">
        <v>75</v>
      </c>
    </row>
    <row r="18" spans="1:18" x14ac:dyDescent="0.25">
      <c r="A18" s="2" t="s">
        <v>78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/>
      <c r="K18" s="2"/>
      <c r="L18" s="2"/>
      <c r="M18" s="2"/>
      <c r="N18" s="2"/>
      <c r="O18" s="2"/>
      <c r="P18" s="2"/>
      <c r="Q18" s="2"/>
    </row>
    <row r="19" spans="1:18" x14ac:dyDescent="0.25">
      <c r="A19" s="2" t="s">
        <v>162</v>
      </c>
      <c r="B19" s="2"/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/>
      <c r="J19" s="2"/>
      <c r="K19" s="2"/>
      <c r="L19" s="2"/>
      <c r="M19" s="2"/>
      <c r="N19" s="2"/>
      <c r="O19" s="2"/>
      <c r="P19" s="2"/>
      <c r="Q19" s="2"/>
    </row>
    <row r="20" spans="1:18" x14ac:dyDescent="0.25">
      <c r="A20" s="2" t="s">
        <v>150</v>
      </c>
      <c r="B20" s="2"/>
      <c r="C20" s="2"/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/>
      <c r="M20" s="2"/>
      <c r="N20" s="2"/>
      <c r="O20" s="2"/>
      <c r="P20" s="2"/>
      <c r="Q20" s="2"/>
    </row>
    <row r="21" spans="1:18" x14ac:dyDescent="0.25">
      <c r="A21" s="2" t="s">
        <v>77</v>
      </c>
      <c r="B21" s="2"/>
      <c r="C21" s="2"/>
      <c r="D21" s="2"/>
      <c r="E21" s="2"/>
      <c r="F21" s="2"/>
      <c r="G21" s="2"/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/>
      <c r="Q21" s="2"/>
    </row>
    <row r="22" spans="1:18" x14ac:dyDescent="0.25">
      <c r="A22" s="2" t="s">
        <v>86</v>
      </c>
      <c r="B22" s="2"/>
      <c r="C22" s="2"/>
      <c r="D22" s="2"/>
      <c r="E22" s="2"/>
      <c r="F22" s="2"/>
      <c r="G22" s="2"/>
      <c r="H22" s="2"/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/>
    </row>
    <row r="23" spans="1:18" x14ac:dyDescent="0.25">
      <c r="A23" s="2" t="s">
        <v>161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/>
    </row>
    <row r="24" spans="1:18" x14ac:dyDescent="0.25">
      <c r="A24" s="2" t="s">
        <v>66</v>
      </c>
      <c r="B24" s="2">
        <f t="shared" ref="B24:Q24" si="3">SUM(B18:B23)</f>
        <v>1</v>
      </c>
      <c r="C24" s="2">
        <f t="shared" si="3"/>
        <v>2</v>
      </c>
      <c r="D24" s="2">
        <f t="shared" si="3"/>
        <v>3</v>
      </c>
      <c r="E24" s="2">
        <f t="shared" si="3"/>
        <v>3</v>
      </c>
      <c r="F24" s="2">
        <f t="shared" si="3"/>
        <v>3</v>
      </c>
      <c r="G24" s="2">
        <f t="shared" si="3"/>
        <v>3</v>
      </c>
      <c r="H24" s="2">
        <f t="shared" si="3"/>
        <v>4</v>
      </c>
      <c r="I24" s="2">
        <f t="shared" si="3"/>
        <v>4</v>
      </c>
      <c r="J24" s="2">
        <f t="shared" si="3"/>
        <v>3</v>
      </c>
      <c r="K24" s="2">
        <f t="shared" si="3"/>
        <v>3</v>
      </c>
      <c r="L24" s="2">
        <f t="shared" si="3"/>
        <v>3</v>
      </c>
      <c r="M24" s="2">
        <f t="shared" si="3"/>
        <v>3</v>
      </c>
      <c r="N24" s="2">
        <f t="shared" si="3"/>
        <v>3</v>
      </c>
      <c r="O24" s="2">
        <f t="shared" si="3"/>
        <v>3</v>
      </c>
      <c r="P24" s="2">
        <f t="shared" si="3"/>
        <v>2</v>
      </c>
      <c r="Q24" s="2">
        <f t="shared" si="3"/>
        <v>0</v>
      </c>
      <c r="R24" s="1">
        <f>SUM(B24:Q24)</f>
        <v>43</v>
      </c>
    </row>
    <row r="26" spans="1:18" x14ac:dyDescent="0.25">
      <c r="A26" s="5" t="s">
        <v>2</v>
      </c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8" s="43" customFormat="1" x14ac:dyDescent="0.25">
      <c r="A27" s="42" t="s">
        <v>141</v>
      </c>
      <c r="B27" s="42"/>
      <c r="C27" s="42">
        <v>272729</v>
      </c>
      <c r="D27" s="42">
        <v>464546</v>
      </c>
      <c r="E27" s="42">
        <v>363637</v>
      </c>
      <c r="F27" s="42">
        <v>642726</v>
      </c>
      <c r="G27" s="42">
        <v>1116364</v>
      </c>
      <c r="H27" s="42">
        <v>923637</v>
      </c>
      <c r="I27" s="42">
        <v>3014529</v>
      </c>
      <c r="J27" s="42">
        <v>580910</v>
      </c>
      <c r="K27" s="42">
        <v>1658182</v>
      </c>
      <c r="L27" s="42">
        <v>1430911</v>
      </c>
      <c r="M27" s="42">
        <v>1154548</v>
      </c>
      <c r="N27" s="42">
        <v>1925455</v>
      </c>
      <c r="O27" s="42">
        <v>2540908</v>
      </c>
      <c r="P27" s="42">
        <v>3219989</v>
      </c>
      <c r="Q27" s="42">
        <v>1379094</v>
      </c>
      <c r="R27" s="43">
        <f t="shared" ref="R27:R32" si="4">SUM(B27:Q27)</f>
        <v>20688165</v>
      </c>
    </row>
    <row r="28" spans="1:18" s="43" customFormat="1" x14ac:dyDescent="0.25">
      <c r="A28" s="42" t="s">
        <v>142</v>
      </c>
      <c r="B28" s="42"/>
      <c r="C28" s="42">
        <v>864546</v>
      </c>
      <c r="D28" s="42">
        <v>1584543</v>
      </c>
      <c r="E28" s="42">
        <v>765454</v>
      </c>
      <c r="F28" s="42">
        <v>1294545</v>
      </c>
      <c r="G28" s="42">
        <v>2226822</v>
      </c>
      <c r="H28" s="42">
        <v>2034547</v>
      </c>
      <c r="I28" s="42">
        <v>2920907</v>
      </c>
      <c r="J28" s="42">
        <v>1580911</v>
      </c>
      <c r="K28" s="42">
        <v>966363</v>
      </c>
      <c r="L28" s="42">
        <v>3850002</v>
      </c>
      <c r="M28" s="42">
        <v>3945456</v>
      </c>
      <c r="N28" s="42">
        <v>2485456</v>
      </c>
      <c r="O28" s="42">
        <v>3459998</v>
      </c>
      <c r="P28" s="42">
        <v>3301820</v>
      </c>
      <c r="Q28" s="42">
        <v>1261822</v>
      </c>
      <c r="R28" s="43">
        <f t="shared" si="4"/>
        <v>32543192</v>
      </c>
    </row>
    <row r="29" spans="1:18" s="43" customFormat="1" x14ac:dyDescent="0.25">
      <c r="A29" s="42" t="s">
        <v>134</v>
      </c>
      <c r="B29" s="42"/>
      <c r="C29" s="42">
        <v>643636</v>
      </c>
      <c r="D29" s="42">
        <v>1312730</v>
      </c>
      <c r="E29" s="42">
        <v>1583641</v>
      </c>
      <c r="F29" s="42">
        <v>1756366</v>
      </c>
      <c r="G29" s="42">
        <v>2814542</v>
      </c>
      <c r="H29" s="42">
        <v>4325456</v>
      </c>
      <c r="I29" s="42">
        <v>4094544</v>
      </c>
      <c r="J29" s="42">
        <v>3006363</v>
      </c>
      <c r="K29" s="42">
        <v>4624551</v>
      </c>
      <c r="L29" s="42">
        <v>5256369</v>
      </c>
      <c r="M29" s="42">
        <v>7043729</v>
      </c>
      <c r="N29" s="42">
        <v>7292369</v>
      </c>
      <c r="O29" s="42">
        <v>7175461</v>
      </c>
      <c r="P29" s="42">
        <v>6528188</v>
      </c>
      <c r="Q29" s="42">
        <v>3083642</v>
      </c>
      <c r="R29" s="43">
        <f t="shared" si="4"/>
        <v>60541587</v>
      </c>
    </row>
    <row r="30" spans="1:18" s="43" customFormat="1" x14ac:dyDescent="0.25">
      <c r="A30" s="42" t="s">
        <v>135</v>
      </c>
      <c r="B30" s="42"/>
      <c r="C30" s="42">
        <v>112727</v>
      </c>
      <c r="D30" s="42">
        <v>1005454</v>
      </c>
      <c r="E30" s="42">
        <v>1607274</v>
      </c>
      <c r="F30" s="42">
        <v>3667279</v>
      </c>
      <c r="G30" s="42">
        <v>7080920</v>
      </c>
      <c r="H30" s="42">
        <v>6121828</v>
      </c>
      <c r="I30" s="42">
        <v>4595454</v>
      </c>
      <c r="J30" s="42">
        <v>8054543</v>
      </c>
      <c r="K30" s="42">
        <v>6864547</v>
      </c>
      <c r="L30" s="42">
        <v>9882734</v>
      </c>
      <c r="M30" s="42">
        <v>6123833</v>
      </c>
      <c r="N30" s="42">
        <v>5701817</v>
      </c>
      <c r="O30" s="42">
        <v>6796369</v>
      </c>
      <c r="P30" s="42">
        <v>8149094</v>
      </c>
      <c r="Q30" s="42">
        <v>2967280</v>
      </c>
      <c r="R30" s="43">
        <f t="shared" si="4"/>
        <v>78731153</v>
      </c>
    </row>
    <row r="31" spans="1:18" s="43" customFormat="1" x14ac:dyDescent="0.25">
      <c r="A31" s="42" t="s">
        <v>136</v>
      </c>
      <c r="B31" s="42"/>
      <c r="C31" s="42">
        <v>1807272</v>
      </c>
      <c r="D31" s="42">
        <v>661818</v>
      </c>
      <c r="E31" s="42">
        <v>1659999</v>
      </c>
      <c r="F31" s="42">
        <v>2842733</v>
      </c>
      <c r="G31" s="42">
        <v>2418182</v>
      </c>
      <c r="H31" s="42">
        <v>4594550</v>
      </c>
      <c r="I31" s="42">
        <v>4553641</v>
      </c>
      <c r="J31" s="42">
        <v>2120000</v>
      </c>
      <c r="K31" s="42">
        <v>6240000</v>
      </c>
      <c r="L31" s="42">
        <v>4902738</v>
      </c>
      <c r="M31" s="42">
        <v>5320917</v>
      </c>
      <c r="N31" s="42">
        <v>4166360</v>
      </c>
      <c r="O31" s="42">
        <v>5445458</v>
      </c>
      <c r="P31" s="42">
        <v>6330006</v>
      </c>
      <c r="Q31" s="42">
        <v>2197274</v>
      </c>
      <c r="R31" s="43">
        <f t="shared" si="4"/>
        <v>55260948</v>
      </c>
    </row>
    <row r="32" spans="1:18" s="43" customFormat="1" x14ac:dyDescent="0.25">
      <c r="A32" s="80" t="s">
        <v>137</v>
      </c>
      <c r="B32" s="42">
        <v>242727</v>
      </c>
      <c r="C32" s="42">
        <v>0</v>
      </c>
      <c r="D32" s="42">
        <v>1081819</v>
      </c>
      <c r="E32" s="42">
        <v>1099091</v>
      </c>
      <c r="F32" s="42">
        <v>1421820</v>
      </c>
      <c r="G32" s="42">
        <v>1932731</v>
      </c>
      <c r="H32" s="42">
        <v>1774545</v>
      </c>
      <c r="I32" s="42">
        <v>1181817</v>
      </c>
      <c r="J32" s="42">
        <v>2385454</v>
      </c>
      <c r="K32" s="42">
        <v>975455</v>
      </c>
      <c r="L32" s="42">
        <v>2995728</v>
      </c>
      <c r="M32" s="42">
        <v>2285457</v>
      </c>
      <c r="N32" s="42">
        <v>1218181</v>
      </c>
      <c r="O32" s="42">
        <v>1999092</v>
      </c>
      <c r="P32" s="42">
        <v>1744547</v>
      </c>
      <c r="Q32" s="42">
        <v>0</v>
      </c>
      <c r="R32" s="43">
        <f t="shared" si="4"/>
        <v>22338464</v>
      </c>
    </row>
    <row r="33" spans="1:18" s="43" customFormat="1" x14ac:dyDescent="0.25">
      <c r="A33" s="44">
        <v>6</v>
      </c>
      <c r="B33" s="44">
        <f>SUM(B27:B32)</f>
        <v>242727</v>
      </c>
      <c r="C33" s="44">
        <f>SUM(C27:C32)</f>
        <v>3700910</v>
      </c>
      <c r="D33" s="44">
        <f t="shared" ref="D33:Q33" si="5">SUM(D27:D32)</f>
        <v>6110910</v>
      </c>
      <c r="E33" s="44">
        <f t="shared" si="5"/>
        <v>7079096</v>
      </c>
      <c r="F33" s="44">
        <f t="shared" si="5"/>
        <v>11625469</v>
      </c>
      <c r="G33" s="44">
        <f t="shared" si="5"/>
        <v>17589561</v>
      </c>
      <c r="H33" s="44">
        <f t="shared" si="5"/>
        <v>19774563</v>
      </c>
      <c r="I33" s="44">
        <f t="shared" si="5"/>
        <v>20360892</v>
      </c>
      <c r="J33" s="44">
        <f t="shared" si="5"/>
        <v>17728181</v>
      </c>
      <c r="K33" s="44">
        <f t="shared" si="5"/>
        <v>21329098</v>
      </c>
      <c r="L33" s="44">
        <f t="shared" si="5"/>
        <v>28318482</v>
      </c>
      <c r="M33" s="44">
        <f t="shared" si="5"/>
        <v>25873940</v>
      </c>
      <c r="N33" s="44">
        <f t="shared" si="5"/>
        <v>22789638</v>
      </c>
      <c r="O33" s="44">
        <f t="shared" si="5"/>
        <v>27417286</v>
      </c>
      <c r="P33" s="44">
        <f t="shared" si="5"/>
        <v>29273644</v>
      </c>
      <c r="Q33" s="44">
        <f t="shared" si="5"/>
        <v>10889112</v>
      </c>
    </row>
    <row r="34" spans="1:18" s="43" customFormat="1" x14ac:dyDescent="0.25">
      <c r="A34" s="70" t="s">
        <v>40</v>
      </c>
      <c r="B34" s="70">
        <f>ROUND((B33)/$A$33,0)</f>
        <v>40455</v>
      </c>
      <c r="C34" s="70">
        <f>ROUND((C33)/$A$33,0)</f>
        <v>616818</v>
      </c>
      <c r="D34" s="70">
        <f t="shared" ref="D34:Q34" si="6">ROUND((D33)/$A$33,0)</f>
        <v>1018485</v>
      </c>
      <c r="E34" s="70">
        <f t="shared" si="6"/>
        <v>1179849</v>
      </c>
      <c r="F34" s="70">
        <f t="shared" si="6"/>
        <v>1937578</v>
      </c>
      <c r="G34" s="70">
        <f t="shared" si="6"/>
        <v>2931594</v>
      </c>
      <c r="H34" s="70">
        <f t="shared" si="6"/>
        <v>3295761</v>
      </c>
      <c r="I34" s="70">
        <f t="shared" si="6"/>
        <v>3393482</v>
      </c>
      <c r="J34" s="70">
        <f t="shared" si="6"/>
        <v>2954697</v>
      </c>
      <c r="K34" s="70">
        <f t="shared" si="6"/>
        <v>3554850</v>
      </c>
      <c r="L34" s="70">
        <f t="shared" si="6"/>
        <v>4719747</v>
      </c>
      <c r="M34" s="70">
        <f t="shared" si="6"/>
        <v>4312323</v>
      </c>
      <c r="N34" s="70">
        <f t="shared" si="6"/>
        <v>3798273</v>
      </c>
      <c r="O34" s="70">
        <f t="shared" si="6"/>
        <v>4569548</v>
      </c>
      <c r="P34" s="70">
        <f t="shared" si="6"/>
        <v>4878941</v>
      </c>
      <c r="Q34" s="70">
        <f t="shared" si="6"/>
        <v>1814852</v>
      </c>
      <c r="R34" s="43">
        <f t="shared" ref="R34:R35" si="7">SUM(B34:Q34)</f>
        <v>45017253</v>
      </c>
    </row>
    <row r="35" spans="1:18" x14ac:dyDescent="0.25">
      <c r="A35" s="12" t="s">
        <v>60</v>
      </c>
      <c r="B35" s="12">
        <v>1</v>
      </c>
      <c r="C35" s="12">
        <v>2</v>
      </c>
      <c r="D35" s="12">
        <v>2</v>
      </c>
      <c r="E35" s="12">
        <v>2</v>
      </c>
      <c r="F35" s="12">
        <v>2</v>
      </c>
      <c r="G35" s="12">
        <v>2</v>
      </c>
      <c r="H35" s="12">
        <v>2</v>
      </c>
      <c r="I35" s="12">
        <v>2</v>
      </c>
      <c r="J35" s="12">
        <v>2</v>
      </c>
      <c r="K35" s="12">
        <v>2</v>
      </c>
      <c r="L35" s="12">
        <v>3</v>
      </c>
      <c r="M35" s="12">
        <v>3</v>
      </c>
      <c r="N35" s="12">
        <v>2</v>
      </c>
      <c r="O35" s="12">
        <v>3</v>
      </c>
      <c r="P35" s="12">
        <v>4</v>
      </c>
      <c r="Q35" s="12"/>
      <c r="R35" s="1">
        <f t="shared" si="7"/>
        <v>34</v>
      </c>
    </row>
    <row r="36" spans="1:18" x14ac:dyDescent="0.25">
      <c r="A36" s="12" t="s">
        <v>61</v>
      </c>
      <c r="B36" s="12">
        <v>1</v>
      </c>
      <c r="C36" s="12">
        <v>2</v>
      </c>
      <c r="D36" s="12">
        <v>2</v>
      </c>
      <c r="E36" s="12">
        <v>2</v>
      </c>
      <c r="F36" s="12">
        <v>2</v>
      </c>
      <c r="G36" s="12">
        <v>2</v>
      </c>
      <c r="H36" s="12">
        <v>2</v>
      </c>
      <c r="I36" s="12">
        <v>2</v>
      </c>
      <c r="J36" s="12">
        <v>2</v>
      </c>
      <c r="K36" s="12">
        <v>2</v>
      </c>
      <c r="L36" s="12">
        <v>3</v>
      </c>
      <c r="M36" s="12">
        <v>3</v>
      </c>
      <c r="N36" s="12">
        <v>2</v>
      </c>
      <c r="O36" s="12">
        <v>3</v>
      </c>
      <c r="P36" s="12">
        <v>4</v>
      </c>
      <c r="Q36" s="12"/>
      <c r="R36" s="1">
        <f>SUM(B36:Q36)</f>
        <v>34</v>
      </c>
    </row>
    <row r="37" spans="1:18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8" x14ac:dyDescent="0.25">
      <c r="A38" s="13" t="s">
        <v>75</v>
      </c>
    </row>
    <row r="39" spans="1:18" x14ac:dyDescent="0.25">
      <c r="A39" s="2" t="s">
        <v>78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/>
      <c r="K39" s="2"/>
      <c r="L39" s="2"/>
      <c r="M39" s="2"/>
      <c r="N39" s="2"/>
      <c r="O39" s="2"/>
      <c r="P39" s="2"/>
      <c r="Q39" s="2"/>
    </row>
    <row r="40" spans="1:18" x14ac:dyDescent="0.25">
      <c r="A40" s="2" t="s">
        <v>162</v>
      </c>
      <c r="B40" s="2"/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/>
      <c r="J40" s="2"/>
      <c r="K40" s="2"/>
      <c r="L40" s="2"/>
      <c r="M40" s="2"/>
      <c r="N40" s="2"/>
      <c r="O40" s="2"/>
      <c r="P40" s="2"/>
      <c r="Q40" s="2"/>
    </row>
    <row r="41" spans="1:18" x14ac:dyDescent="0.25">
      <c r="A41" s="2" t="s">
        <v>150</v>
      </c>
      <c r="B41" s="2"/>
      <c r="C41" s="2"/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/>
      <c r="M41" s="2"/>
      <c r="N41" s="2"/>
      <c r="O41" s="2"/>
      <c r="P41" s="2"/>
      <c r="Q41" s="2"/>
    </row>
    <row r="42" spans="1:18" x14ac:dyDescent="0.25">
      <c r="A42" s="2" t="s">
        <v>86</v>
      </c>
      <c r="B42" s="2"/>
      <c r="C42" s="2"/>
      <c r="D42" s="2"/>
      <c r="E42" s="2"/>
      <c r="F42" s="2"/>
      <c r="G42" s="2"/>
      <c r="H42" s="2"/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/>
    </row>
    <row r="43" spans="1:18" x14ac:dyDescent="0.25">
      <c r="A43" s="2" t="s">
        <v>86</v>
      </c>
      <c r="B43" s="2"/>
      <c r="C43" s="2"/>
      <c r="D43" s="2"/>
      <c r="E43" s="2"/>
      <c r="F43" s="2"/>
      <c r="G43" s="2"/>
      <c r="H43" s="2"/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/>
    </row>
    <row r="44" spans="1:18" x14ac:dyDescent="0.25">
      <c r="A44" s="2" t="s">
        <v>161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/>
    </row>
    <row r="45" spans="1:18" x14ac:dyDescent="0.25">
      <c r="A45" s="2" t="s">
        <v>161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/>
    </row>
    <row r="46" spans="1:18" x14ac:dyDescent="0.25">
      <c r="A46" s="2" t="s">
        <v>66</v>
      </c>
      <c r="B46" s="2">
        <f>SUM(B39:B45)</f>
        <v>1</v>
      </c>
      <c r="C46" s="2">
        <f t="shared" ref="C46:Q46" si="8">SUM(C39:C45)</f>
        <v>2</v>
      </c>
      <c r="D46" s="2">
        <f t="shared" si="8"/>
        <v>3</v>
      </c>
      <c r="E46" s="2">
        <f t="shared" si="8"/>
        <v>3</v>
      </c>
      <c r="F46" s="2">
        <f t="shared" si="8"/>
        <v>3</v>
      </c>
      <c r="G46" s="2">
        <f t="shared" si="8"/>
        <v>3</v>
      </c>
      <c r="H46" s="2">
        <f t="shared" si="8"/>
        <v>3</v>
      </c>
      <c r="I46" s="2">
        <f t="shared" si="8"/>
        <v>4</v>
      </c>
      <c r="J46" s="2">
        <f t="shared" si="8"/>
        <v>3</v>
      </c>
      <c r="K46" s="2">
        <f t="shared" si="8"/>
        <v>3</v>
      </c>
      <c r="L46" s="2">
        <f t="shared" si="8"/>
        <v>4</v>
      </c>
      <c r="M46" s="2">
        <f t="shared" si="8"/>
        <v>4</v>
      </c>
      <c r="N46" s="2">
        <f t="shared" si="8"/>
        <v>4</v>
      </c>
      <c r="O46" s="2">
        <f t="shared" si="8"/>
        <v>4</v>
      </c>
      <c r="P46" s="2">
        <f t="shared" si="8"/>
        <v>4</v>
      </c>
      <c r="Q46" s="2">
        <f t="shared" si="8"/>
        <v>0</v>
      </c>
      <c r="R46" s="1">
        <f>SUM(B46:Q46)</f>
        <v>48</v>
      </c>
    </row>
    <row r="48" spans="1:18" x14ac:dyDescent="0.25">
      <c r="A48" s="5" t="s">
        <v>158</v>
      </c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8" s="43" customFormat="1" x14ac:dyDescent="0.25">
      <c r="A49" s="42" t="s">
        <v>134</v>
      </c>
      <c r="B49" s="42"/>
      <c r="C49" s="42">
        <v>643636</v>
      </c>
      <c r="D49" s="42">
        <v>1312730</v>
      </c>
      <c r="E49" s="42">
        <v>1583641</v>
      </c>
      <c r="F49" s="42">
        <v>1756366</v>
      </c>
      <c r="G49" s="42">
        <v>2814542</v>
      </c>
      <c r="H49" s="42">
        <v>4325456</v>
      </c>
      <c r="I49" s="42">
        <v>4094544</v>
      </c>
      <c r="J49" s="42">
        <v>3006363</v>
      </c>
      <c r="K49" s="42">
        <v>4624551</v>
      </c>
      <c r="L49" s="42">
        <v>5256369</v>
      </c>
      <c r="M49" s="42">
        <v>7043729</v>
      </c>
      <c r="N49" s="42">
        <v>7292369</v>
      </c>
      <c r="O49" s="42">
        <v>7175461</v>
      </c>
      <c r="P49" s="42">
        <v>6528188</v>
      </c>
      <c r="Q49" s="42">
        <v>3083642</v>
      </c>
      <c r="R49" s="43">
        <f t="shared" ref="R49:R53" si="9">SUM(B49:Q49)</f>
        <v>60541587</v>
      </c>
    </row>
    <row r="50" spans="1:18" s="43" customFormat="1" x14ac:dyDescent="0.25">
      <c r="A50" s="42" t="s">
        <v>135</v>
      </c>
      <c r="B50" s="42"/>
      <c r="C50" s="42">
        <v>112727</v>
      </c>
      <c r="D50" s="42">
        <v>1005454</v>
      </c>
      <c r="E50" s="42">
        <v>1607274</v>
      </c>
      <c r="F50" s="42">
        <v>3667279</v>
      </c>
      <c r="G50" s="42">
        <v>7080920</v>
      </c>
      <c r="H50" s="42">
        <v>6121828</v>
      </c>
      <c r="I50" s="42">
        <v>4595454</v>
      </c>
      <c r="J50" s="42">
        <v>8054543</v>
      </c>
      <c r="K50" s="42">
        <v>6864547</v>
      </c>
      <c r="L50" s="42">
        <v>9882734</v>
      </c>
      <c r="M50" s="42">
        <v>6123833</v>
      </c>
      <c r="N50" s="42">
        <v>5701817</v>
      </c>
      <c r="O50" s="42">
        <v>6796369</v>
      </c>
      <c r="P50" s="42">
        <v>8149094</v>
      </c>
      <c r="Q50" s="42">
        <v>2967280</v>
      </c>
      <c r="R50" s="43">
        <f t="shared" si="9"/>
        <v>78731153</v>
      </c>
    </row>
    <row r="51" spans="1:18" s="43" customFormat="1" x14ac:dyDescent="0.25">
      <c r="A51" s="42" t="s">
        <v>136</v>
      </c>
      <c r="B51" s="42"/>
      <c r="C51" s="42">
        <v>1807272</v>
      </c>
      <c r="D51" s="42">
        <v>661818</v>
      </c>
      <c r="E51" s="42">
        <v>1659999</v>
      </c>
      <c r="F51" s="42">
        <v>2842733</v>
      </c>
      <c r="G51" s="42">
        <v>2418182</v>
      </c>
      <c r="H51" s="42">
        <v>4594550</v>
      </c>
      <c r="I51" s="42">
        <v>4553641</v>
      </c>
      <c r="J51" s="42">
        <v>2120000</v>
      </c>
      <c r="K51" s="42">
        <v>6240000</v>
      </c>
      <c r="L51" s="42">
        <v>4902738</v>
      </c>
      <c r="M51" s="42">
        <v>5320917</v>
      </c>
      <c r="N51" s="42">
        <v>4166360</v>
      </c>
      <c r="O51" s="42">
        <v>5445458</v>
      </c>
      <c r="P51" s="42">
        <v>6330006</v>
      </c>
      <c r="Q51" s="42">
        <v>2197274</v>
      </c>
      <c r="R51" s="43">
        <f t="shared" si="9"/>
        <v>55260948</v>
      </c>
    </row>
    <row r="52" spans="1:18" s="43" customFormat="1" x14ac:dyDescent="0.25">
      <c r="A52" s="80" t="s">
        <v>137</v>
      </c>
      <c r="B52" s="42">
        <v>242727</v>
      </c>
      <c r="C52" s="42">
        <v>0</v>
      </c>
      <c r="D52" s="42">
        <v>1081819</v>
      </c>
      <c r="E52" s="42">
        <v>1099091</v>
      </c>
      <c r="F52" s="42">
        <v>1421820</v>
      </c>
      <c r="G52" s="42">
        <v>1932731</v>
      </c>
      <c r="H52" s="42">
        <v>1774545</v>
      </c>
      <c r="I52" s="42">
        <v>1181817</v>
      </c>
      <c r="J52" s="42">
        <v>2385454</v>
      </c>
      <c r="K52" s="42">
        <v>975455</v>
      </c>
      <c r="L52" s="42">
        <v>2995728</v>
      </c>
      <c r="M52" s="42">
        <v>2285457</v>
      </c>
      <c r="N52" s="42">
        <v>1218181</v>
      </c>
      <c r="O52" s="42">
        <v>1999092</v>
      </c>
      <c r="P52" s="42">
        <v>1744547</v>
      </c>
      <c r="Q52" s="42">
        <v>0</v>
      </c>
      <c r="R52" s="43">
        <f t="shared" si="9"/>
        <v>22338464</v>
      </c>
    </row>
    <row r="53" spans="1:18" s="43" customFormat="1" x14ac:dyDescent="0.25">
      <c r="A53" s="44">
        <v>4</v>
      </c>
      <c r="B53" s="44">
        <f t="shared" ref="B53:Q53" si="10">SUM(B49:B52)</f>
        <v>242727</v>
      </c>
      <c r="C53" s="44">
        <f t="shared" si="10"/>
        <v>2563635</v>
      </c>
      <c r="D53" s="44">
        <f t="shared" si="10"/>
        <v>4061821</v>
      </c>
      <c r="E53" s="44">
        <f t="shared" si="10"/>
        <v>5950005</v>
      </c>
      <c r="F53" s="44">
        <f t="shared" si="10"/>
        <v>9688198</v>
      </c>
      <c r="G53" s="44">
        <f t="shared" si="10"/>
        <v>14246375</v>
      </c>
      <c r="H53" s="44">
        <f t="shared" si="10"/>
        <v>16816379</v>
      </c>
      <c r="I53" s="44">
        <f t="shared" si="10"/>
        <v>14425456</v>
      </c>
      <c r="J53" s="44">
        <f t="shared" si="10"/>
        <v>15566360</v>
      </c>
      <c r="K53" s="44">
        <f t="shared" si="10"/>
        <v>18704553</v>
      </c>
      <c r="L53" s="44">
        <f t="shared" si="10"/>
        <v>23037569</v>
      </c>
      <c r="M53" s="44">
        <f t="shared" si="10"/>
        <v>20773936</v>
      </c>
      <c r="N53" s="44">
        <f t="shared" si="10"/>
        <v>18378727</v>
      </c>
      <c r="O53" s="44">
        <f t="shared" si="10"/>
        <v>21416380</v>
      </c>
      <c r="P53" s="44">
        <f t="shared" si="10"/>
        <v>22751835</v>
      </c>
      <c r="Q53" s="44">
        <f t="shared" si="10"/>
        <v>8248196</v>
      </c>
      <c r="R53" s="43">
        <f t="shared" si="9"/>
        <v>216872152</v>
      </c>
    </row>
    <row r="54" spans="1:18" s="43" customFormat="1" x14ac:dyDescent="0.25">
      <c r="A54" s="70" t="s">
        <v>40</v>
      </c>
      <c r="B54" s="70">
        <f>ROUND((B53)/$A$53,0)</f>
        <v>60682</v>
      </c>
      <c r="C54" s="70">
        <f t="shared" ref="C54:Q54" si="11">ROUND((C53)/$A$53,0)</f>
        <v>640909</v>
      </c>
      <c r="D54" s="70">
        <f t="shared" si="11"/>
        <v>1015455</v>
      </c>
      <c r="E54" s="70">
        <f t="shared" si="11"/>
        <v>1487501</v>
      </c>
      <c r="F54" s="70">
        <f t="shared" si="11"/>
        <v>2422050</v>
      </c>
      <c r="G54" s="70">
        <f t="shared" si="11"/>
        <v>3561594</v>
      </c>
      <c r="H54" s="70">
        <f t="shared" si="11"/>
        <v>4204095</v>
      </c>
      <c r="I54" s="70">
        <f t="shared" si="11"/>
        <v>3606364</v>
      </c>
      <c r="J54" s="70">
        <f t="shared" si="11"/>
        <v>3891590</v>
      </c>
      <c r="K54" s="70">
        <f t="shared" si="11"/>
        <v>4676138</v>
      </c>
      <c r="L54" s="70">
        <f t="shared" si="11"/>
        <v>5759392</v>
      </c>
      <c r="M54" s="70">
        <f t="shared" si="11"/>
        <v>5193484</v>
      </c>
      <c r="N54" s="70">
        <f t="shared" si="11"/>
        <v>4594682</v>
      </c>
      <c r="O54" s="70">
        <f t="shared" si="11"/>
        <v>5354095</v>
      </c>
      <c r="P54" s="70">
        <f t="shared" si="11"/>
        <v>5687959</v>
      </c>
      <c r="Q54" s="70">
        <f t="shared" si="11"/>
        <v>2062049</v>
      </c>
      <c r="R54" s="43">
        <f t="shared" ref="R54:R55" si="12">SUM(B54:Q54)</f>
        <v>54218039</v>
      </c>
    </row>
    <row r="55" spans="1:18" x14ac:dyDescent="0.25">
      <c r="A55" s="12" t="s">
        <v>60</v>
      </c>
      <c r="B55" s="12">
        <v>1</v>
      </c>
      <c r="C55" s="12">
        <v>2</v>
      </c>
      <c r="D55" s="12">
        <v>2</v>
      </c>
      <c r="E55" s="12">
        <v>2</v>
      </c>
      <c r="F55" s="12">
        <v>3</v>
      </c>
      <c r="G55" s="12">
        <v>4</v>
      </c>
      <c r="H55" s="12">
        <v>4</v>
      </c>
      <c r="I55" s="12">
        <v>3</v>
      </c>
      <c r="J55" s="12">
        <v>3</v>
      </c>
      <c r="K55" s="12">
        <v>4</v>
      </c>
      <c r="L55" s="12">
        <v>5</v>
      </c>
      <c r="M55" s="12">
        <v>5</v>
      </c>
      <c r="N55" s="12">
        <v>4</v>
      </c>
      <c r="O55" s="12">
        <v>5</v>
      </c>
      <c r="P55" s="12">
        <v>5</v>
      </c>
      <c r="Q55" s="12"/>
      <c r="R55" s="1">
        <f t="shared" si="12"/>
        <v>52</v>
      </c>
    </row>
    <row r="56" spans="1:18" x14ac:dyDescent="0.25">
      <c r="A56" s="12" t="s">
        <v>61</v>
      </c>
      <c r="B56" s="12">
        <v>1</v>
      </c>
      <c r="C56" s="12">
        <v>2</v>
      </c>
      <c r="D56" s="12">
        <v>2</v>
      </c>
      <c r="E56" s="12">
        <v>2</v>
      </c>
      <c r="F56" s="12">
        <v>3</v>
      </c>
      <c r="G56" s="12">
        <v>4</v>
      </c>
      <c r="H56" s="12">
        <v>4</v>
      </c>
      <c r="I56" s="12">
        <v>3</v>
      </c>
      <c r="J56" s="12">
        <v>3</v>
      </c>
      <c r="K56" s="12">
        <v>4</v>
      </c>
      <c r="L56" s="12">
        <v>5</v>
      </c>
      <c r="M56" s="12">
        <v>5</v>
      </c>
      <c r="N56" s="12">
        <v>4</v>
      </c>
      <c r="O56" s="12">
        <v>5</v>
      </c>
      <c r="P56" s="12">
        <v>5</v>
      </c>
      <c r="Q56" s="12"/>
      <c r="R56" s="1">
        <f>SUM(B56:Q56)</f>
        <v>52</v>
      </c>
    </row>
    <row r="57" spans="1:18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8" x14ac:dyDescent="0.25">
      <c r="A58" s="13" t="s">
        <v>75</v>
      </c>
    </row>
    <row r="59" spans="1:18" x14ac:dyDescent="0.25">
      <c r="A59" s="2" t="s">
        <v>78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/>
      <c r="K59" s="2"/>
      <c r="L59" s="2"/>
      <c r="M59" s="2"/>
      <c r="N59" s="2"/>
      <c r="O59" s="2"/>
      <c r="P59" s="2"/>
      <c r="Q59" s="2"/>
    </row>
    <row r="60" spans="1:18" x14ac:dyDescent="0.25">
      <c r="A60" s="2" t="s">
        <v>162</v>
      </c>
      <c r="B60" s="2"/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/>
      <c r="J60" s="2"/>
      <c r="K60" s="2"/>
      <c r="L60" s="2"/>
      <c r="M60" s="2"/>
      <c r="N60" s="2"/>
      <c r="O60" s="2"/>
      <c r="P60" s="2"/>
      <c r="Q60" s="2"/>
    </row>
    <row r="61" spans="1:18" x14ac:dyDescent="0.25">
      <c r="A61" s="2" t="s">
        <v>150</v>
      </c>
      <c r="B61" s="2"/>
      <c r="C61" s="2"/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/>
      <c r="M61" s="2"/>
      <c r="N61" s="2"/>
      <c r="O61" s="2"/>
      <c r="P61" s="2"/>
      <c r="Q61" s="2"/>
    </row>
    <row r="62" spans="1:18" x14ac:dyDescent="0.25">
      <c r="A62" s="2" t="s">
        <v>109</v>
      </c>
      <c r="B62" s="2"/>
      <c r="C62" s="2"/>
      <c r="D62" s="2"/>
      <c r="E62" s="2"/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/>
      <c r="O62" s="2"/>
      <c r="P62" s="2"/>
      <c r="Q62" s="2"/>
    </row>
    <row r="63" spans="1:18" x14ac:dyDescent="0.25">
      <c r="A63" s="2" t="s">
        <v>86</v>
      </c>
      <c r="B63" s="2"/>
      <c r="C63" s="2"/>
      <c r="D63" s="2"/>
      <c r="E63" s="2"/>
      <c r="F63" s="2"/>
      <c r="G63" s="2"/>
      <c r="H63" s="2"/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/>
    </row>
    <row r="64" spans="1:18" x14ac:dyDescent="0.25">
      <c r="A64" s="2" t="s">
        <v>86</v>
      </c>
      <c r="B64" s="2"/>
      <c r="C64" s="2"/>
      <c r="D64" s="2"/>
      <c r="E64" s="2"/>
      <c r="F64" s="2"/>
      <c r="G64" s="2"/>
      <c r="H64" s="2"/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/>
    </row>
    <row r="65" spans="1:18" x14ac:dyDescent="0.25">
      <c r="A65" s="2" t="s">
        <v>161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/>
    </row>
    <row r="66" spans="1:18" x14ac:dyDescent="0.25">
      <c r="A66" s="2" t="s">
        <v>161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/>
    </row>
    <row r="67" spans="1:18" x14ac:dyDescent="0.25">
      <c r="A67" s="2" t="s">
        <v>161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/>
    </row>
    <row r="68" spans="1:18" x14ac:dyDescent="0.25">
      <c r="A68" s="2" t="s">
        <v>66</v>
      </c>
      <c r="B68" s="2">
        <f>SUM(B59:B67)</f>
        <v>1</v>
      </c>
      <c r="C68" s="2">
        <f t="shared" ref="C68:Q68" si="13">SUM(C59:C67)</f>
        <v>2</v>
      </c>
      <c r="D68" s="2">
        <f t="shared" si="13"/>
        <v>3</v>
      </c>
      <c r="E68" s="2">
        <f t="shared" si="13"/>
        <v>3</v>
      </c>
      <c r="F68" s="2">
        <f t="shared" si="13"/>
        <v>4</v>
      </c>
      <c r="G68" s="2">
        <f t="shared" si="13"/>
        <v>4</v>
      </c>
      <c r="H68" s="2">
        <f t="shared" si="13"/>
        <v>4</v>
      </c>
      <c r="I68" s="2">
        <f t="shared" si="13"/>
        <v>5</v>
      </c>
      <c r="J68" s="2">
        <f t="shared" si="13"/>
        <v>4</v>
      </c>
      <c r="K68" s="2">
        <f t="shared" si="13"/>
        <v>4</v>
      </c>
      <c r="L68" s="2">
        <f t="shared" si="13"/>
        <v>6</v>
      </c>
      <c r="M68" s="2">
        <f t="shared" si="13"/>
        <v>6</v>
      </c>
      <c r="N68" s="2">
        <f t="shared" si="13"/>
        <v>5</v>
      </c>
      <c r="O68" s="2">
        <f t="shared" si="13"/>
        <v>5</v>
      </c>
      <c r="P68" s="2">
        <f t="shared" si="13"/>
        <v>5</v>
      </c>
      <c r="Q68" s="2">
        <f t="shared" si="13"/>
        <v>0</v>
      </c>
      <c r="R68" s="1">
        <f>SUM(B68:Q68)</f>
        <v>61</v>
      </c>
    </row>
    <row r="71" spans="1:18" x14ac:dyDescent="0.25">
      <c r="A71" s="2" t="s">
        <v>22</v>
      </c>
      <c r="B71" s="2"/>
      <c r="C71" s="2"/>
      <c r="E71" s="1" t="s">
        <v>64</v>
      </c>
      <c r="F71" s="1" t="s">
        <v>70</v>
      </c>
    </row>
    <row r="72" spans="1:18" x14ac:dyDescent="0.25">
      <c r="A72" s="3" t="s">
        <v>0</v>
      </c>
      <c r="B72" s="2"/>
      <c r="C72" s="2"/>
      <c r="E72" s="1" t="s">
        <v>69</v>
      </c>
      <c r="F72" s="1" t="s">
        <v>71</v>
      </c>
    </row>
    <row r="73" spans="1:18" x14ac:dyDescent="0.25">
      <c r="A73" s="2" t="s">
        <v>167</v>
      </c>
      <c r="B73" s="2">
        <f>22.5-8.5</f>
        <v>14</v>
      </c>
      <c r="C73" s="2" t="s">
        <v>24</v>
      </c>
      <c r="E73" s="1">
        <f>D92</f>
        <v>48</v>
      </c>
      <c r="F73" s="1" t="s">
        <v>24</v>
      </c>
      <c r="G73" s="1">
        <f>E73/B73</f>
        <v>3.4285714285714284</v>
      </c>
      <c r="H73" s="1" t="s">
        <v>76</v>
      </c>
    </row>
    <row r="74" spans="1:18" x14ac:dyDescent="0.25">
      <c r="A74" s="3" t="s">
        <v>2</v>
      </c>
      <c r="B74" s="2"/>
      <c r="C74" s="2"/>
    </row>
    <row r="75" spans="1:18" x14ac:dyDescent="0.25">
      <c r="A75" s="2" t="s">
        <v>167</v>
      </c>
      <c r="B75" s="2">
        <f>22.5-8.5</f>
        <v>14</v>
      </c>
      <c r="C75" s="2" t="s">
        <v>24</v>
      </c>
      <c r="E75" s="1">
        <f>D103</f>
        <v>52</v>
      </c>
      <c r="F75" s="1" t="str">
        <f>F73</f>
        <v>H</v>
      </c>
      <c r="G75" s="1">
        <f>E75/B75</f>
        <v>3.7142857142857144</v>
      </c>
      <c r="H75" s="1" t="s">
        <v>76</v>
      </c>
    </row>
    <row r="77" spans="1:18" x14ac:dyDescent="0.25">
      <c r="A77" s="2"/>
      <c r="B77" s="2" t="s">
        <v>26</v>
      </c>
      <c r="C77" s="2" t="s">
        <v>27</v>
      </c>
    </row>
    <row r="78" spans="1:18" x14ac:dyDescent="0.25">
      <c r="A78" s="3" t="s">
        <v>0</v>
      </c>
      <c r="B78" s="2"/>
      <c r="C78" s="2">
        <f>B78*8</f>
        <v>0</v>
      </c>
    </row>
    <row r="79" spans="1:18" x14ac:dyDescent="0.25">
      <c r="A79" s="3" t="s">
        <v>2</v>
      </c>
      <c r="B79" s="2"/>
      <c r="C79" s="2">
        <f>B79*8</f>
        <v>0</v>
      </c>
    </row>
    <row r="81" spans="1:14" x14ac:dyDescent="0.25">
      <c r="A81" s="2" t="s">
        <v>72</v>
      </c>
      <c r="B81" s="2"/>
      <c r="C81" s="2" t="s">
        <v>26</v>
      </c>
      <c r="D81" s="2" t="s">
        <v>27</v>
      </c>
    </row>
    <row r="82" spans="1:14" x14ac:dyDescent="0.25">
      <c r="A82" s="3" t="s">
        <v>0</v>
      </c>
      <c r="B82" s="2"/>
      <c r="C82" s="2"/>
      <c r="D82" s="2"/>
    </row>
    <row r="83" spans="1:14" x14ac:dyDescent="0.25">
      <c r="A83" s="2" t="s">
        <v>78</v>
      </c>
      <c r="B83" s="2" t="s">
        <v>67</v>
      </c>
      <c r="C83" s="2">
        <v>1</v>
      </c>
      <c r="D83" s="2">
        <f>C83*8</f>
        <v>8</v>
      </c>
    </row>
    <row r="84" spans="1:14" x14ac:dyDescent="0.25">
      <c r="A84" s="2" t="s">
        <v>162</v>
      </c>
      <c r="B84" s="2" t="s">
        <v>68</v>
      </c>
      <c r="C84" s="2">
        <v>1</v>
      </c>
      <c r="D84" s="2">
        <f>14-8</f>
        <v>6</v>
      </c>
    </row>
    <row r="85" spans="1:14" x14ac:dyDescent="0.25">
      <c r="A85" s="2" t="s">
        <v>150</v>
      </c>
      <c r="B85" s="2" t="s">
        <v>67</v>
      </c>
      <c r="C85" s="2">
        <v>1</v>
      </c>
      <c r="D85" s="2">
        <v>8</v>
      </c>
      <c r="F85" s="68" t="s">
        <v>114</v>
      </c>
      <c r="G85" s="3" t="s">
        <v>67</v>
      </c>
      <c r="H85" s="3" t="s">
        <v>68</v>
      </c>
      <c r="I85" s="3" t="s">
        <v>90</v>
      </c>
    </row>
    <row r="86" spans="1:14" x14ac:dyDescent="0.25">
      <c r="A86" s="2" t="s">
        <v>86</v>
      </c>
      <c r="B86" s="2" t="s">
        <v>68</v>
      </c>
      <c r="C86" s="2">
        <v>1</v>
      </c>
      <c r="D86" s="2">
        <v>8</v>
      </c>
      <c r="F86" s="11">
        <f>SUM(G86:I86)</f>
        <v>10</v>
      </c>
      <c r="G86" s="2">
        <v>5</v>
      </c>
      <c r="H86" s="2">
        <v>4</v>
      </c>
      <c r="I86" s="2">
        <v>1</v>
      </c>
    </row>
    <row r="87" spans="1:14" x14ac:dyDescent="0.25">
      <c r="A87" s="2" t="s">
        <v>86</v>
      </c>
      <c r="B87" s="2" t="s">
        <v>67</v>
      </c>
      <c r="C87" s="2">
        <v>1</v>
      </c>
      <c r="D87" s="2">
        <v>8</v>
      </c>
    </row>
    <row r="88" spans="1:14" x14ac:dyDescent="0.25">
      <c r="A88" s="2" t="s">
        <v>161</v>
      </c>
      <c r="B88" s="2" t="s">
        <v>68</v>
      </c>
      <c r="C88" s="2">
        <v>1</v>
      </c>
      <c r="D88" s="2">
        <f>22-17</f>
        <v>5</v>
      </c>
    </row>
    <row r="89" spans="1:14" x14ac:dyDescent="0.25">
      <c r="A89" s="2" t="s">
        <v>161</v>
      </c>
      <c r="B89" s="2" t="s">
        <v>68</v>
      </c>
      <c r="C89" s="2">
        <v>1</v>
      </c>
      <c r="D89" s="2">
        <f>22-17</f>
        <v>5</v>
      </c>
    </row>
    <row r="90" spans="1:14" x14ac:dyDescent="0.25">
      <c r="A90" s="2" t="s">
        <v>87</v>
      </c>
      <c r="B90" s="2" t="s">
        <v>164</v>
      </c>
      <c r="C90" s="2">
        <v>2</v>
      </c>
      <c r="D90" s="2"/>
    </row>
    <row r="91" spans="1:14" x14ac:dyDescent="0.25">
      <c r="A91" s="2" t="s">
        <v>88</v>
      </c>
      <c r="B91" s="3"/>
      <c r="C91" s="2">
        <v>1</v>
      </c>
      <c r="D91" s="2"/>
    </row>
    <row r="92" spans="1:14" x14ac:dyDescent="0.25">
      <c r="A92" s="3" t="s">
        <v>66</v>
      </c>
      <c r="B92" s="3"/>
      <c r="C92" s="3">
        <f>SUM(C83:C91)</f>
        <v>10</v>
      </c>
      <c r="D92" s="3">
        <f>SUM(D83:D91)</f>
        <v>48</v>
      </c>
      <c r="F92" s="68" t="s">
        <v>89</v>
      </c>
      <c r="G92" s="3" t="s">
        <v>67</v>
      </c>
      <c r="H92" s="3" t="s">
        <v>68</v>
      </c>
      <c r="I92" s="3" t="s">
        <v>90</v>
      </c>
      <c r="K92" s="68" t="s">
        <v>91</v>
      </c>
      <c r="L92" s="3" t="s">
        <v>67</v>
      </c>
      <c r="M92" s="3" t="s">
        <v>68</v>
      </c>
      <c r="N92" s="3" t="s">
        <v>90</v>
      </c>
    </row>
    <row r="93" spans="1:14" x14ac:dyDescent="0.25">
      <c r="A93" s="3" t="s">
        <v>2</v>
      </c>
      <c r="B93" s="2"/>
      <c r="C93" s="2"/>
      <c r="D93" s="2"/>
      <c r="F93" s="11">
        <f>SUM(G93:I93)</f>
        <v>10</v>
      </c>
      <c r="G93" s="2">
        <v>4</v>
      </c>
      <c r="H93" s="2">
        <v>5</v>
      </c>
      <c r="I93" s="2">
        <v>1</v>
      </c>
      <c r="K93" s="11">
        <f>F86-F93</f>
        <v>0</v>
      </c>
      <c r="L93" s="11">
        <f>G86-G93</f>
        <v>1</v>
      </c>
      <c r="M93" s="11">
        <f>H86-H93</f>
        <v>-1</v>
      </c>
      <c r="N93" s="11">
        <f t="shared" ref="N93" si="14">I86-I93</f>
        <v>0</v>
      </c>
    </row>
    <row r="94" spans="1:14" x14ac:dyDescent="0.25">
      <c r="A94" s="2" t="s">
        <v>78</v>
      </c>
      <c r="B94" s="2" t="s">
        <v>67</v>
      </c>
      <c r="C94" s="2">
        <v>1</v>
      </c>
      <c r="D94" s="2">
        <f>C94*8</f>
        <v>8</v>
      </c>
    </row>
    <row r="95" spans="1:14" x14ac:dyDescent="0.25">
      <c r="A95" s="2" t="s">
        <v>162</v>
      </c>
      <c r="B95" s="2" t="s">
        <v>68</v>
      </c>
      <c r="C95" s="2">
        <v>1</v>
      </c>
      <c r="D95" s="2">
        <f>14-8</f>
        <v>6</v>
      </c>
    </row>
    <row r="96" spans="1:14" x14ac:dyDescent="0.25">
      <c r="A96" s="2" t="s">
        <v>150</v>
      </c>
      <c r="B96" s="2" t="s">
        <v>67</v>
      </c>
      <c r="C96" s="2">
        <v>1</v>
      </c>
      <c r="D96" s="2">
        <f t="shared" ref="D96" si="15">C96*8</f>
        <v>8</v>
      </c>
    </row>
    <row r="97" spans="1:8" x14ac:dyDescent="0.25">
      <c r="A97" s="2" t="s">
        <v>86</v>
      </c>
      <c r="B97" s="2" t="s">
        <v>67</v>
      </c>
      <c r="C97" s="2">
        <v>1</v>
      </c>
      <c r="D97" s="2">
        <f>C97*8</f>
        <v>8</v>
      </c>
    </row>
    <row r="98" spans="1:8" x14ac:dyDescent="0.25">
      <c r="A98" s="2" t="s">
        <v>86</v>
      </c>
      <c r="B98" s="2" t="s">
        <v>67</v>
      </c>
      <c r="C98" s="2">
        <v>1</v>
      </c>
      <c r="D98" s="2">
        <v>8</v>
      </c>
    </row>
    <row r="99" spans="1:8" x14ac:dyDescent="0.25">
      <c r="A99" s="2" t="s">
        <v>161</v>
      </c>
      <c r="B99" s="2" t="s">
        <v>68</v>
      </c>
      <c r="C99" s="2">
        <v>1</v>
      </c>
      <c r="D99" s="2">
        <f>22-17</f>
        <v>5</v>
      </c>
    </row>
    <row r="100" spans="1:8" x14ac:dyDescent="0.25">
      <c r="A100" s="2" t="s">
        <v>161</v>
      </c>
      <c r="B100" s="2" t="s">
        <v>68</v>
      </c>
      <c r="C100" s="2">
        <v>1</v>
      </c>
      <c r="D100" s="2">
        <f>22-17</f>
        <v>5</v>
      </c>
    </row>
    <row r="101" spans="1:8" x14ac:dyDescent="0.25">
      <c r="A101" s="2" t="s">
        <v>163</v>
      </c>
      <c r="B101" s="2" t="s">
        <v>151</v>
      </c>
      <c r="C101" s="2">
        <v>2</v>
      </c>
      <c r="D101" s="2"/>
    </row>
    <row r="102" spans="1:8" x14ac:dyDescent="0.25">
      <c r="A102" s="2" t="s">
        <v>88</v>
      </c>
      <c r="B102" s="2"/>
      <c r="C102" s="2">
        <v>1</v>
      </c>
      <c r="D102" s="2">
        <f>22-18</f>
        <v>4</v>
      </c>
    </row>
    <row r="103" spans="1:8" x14ac:dyDescent="0.25">
      <c r="A103" s="3" t="s">
        <v>66</v>
      </c>
      <c r="B103" s="3"/>
      <c r="C103" s="3">
        <f>SUM(C94:C102)</f>
        <v>10</v>
      </c>
      <c r="D103" s="3">
        <f>SUM(D94:D102)</f>
        <v>52</v>
      </c>
    </row>
    <row r="105" spans="1:8" x14ac:dyDescent="0.25">
      <c r="F105" s="1" t="s">
        <v>106</v>
      </c>
      <c r="G105" s="1" t="s">
        <v>95</v>
      </c>
      <c r="H105" s="1" t="s">
        <v>99</v>
      </c>
    </row>
    <row r="106" spans="1:8" ht="25.5" x14ac:dyDescent="0.35">
      <c r="A106" s="14" t="s">
        <v>84</v>
      </c>
      <c r="B106" s="15"/>
      <c r="C106" s="15"/>
      <c r="D106" s="15"/>
      <c r="E106" s="15"/>
      <c r="F106" s="1" t="s">
        <v>104</v>
      </c>
      <c r="G106" s="1" t="s">
        <v>105</v>
      </c>
      <c r="H106" s="1" t="s">
        <v>100</v>
      </c>
    </row>
    <row r="108" spans="1:8" x14ac:dyDescent="0.25">
      <c r="A108" s="68" t="s">
        <v>80</v>
      </c>
      <c r="B108" s="68" t="s">
        <v>81</v>
      </c>
      <c r="C108" s="68" t="s">
        <v>82</v>
      </c>
      <c r="D108" s="68" t="s">
        <v>66</v>
      </c>
    </row>
    <row r="109" spans="1:8" x14ac:dyDescent="0.25">
      <c r="A109" s="3" t="s">
        <v>0</v>
      </c>
      <c r="B109" s="2"/>
      <c r="C109" s="2"/>
      <c r="D109" s="68"/>
    </row>
    <row r="110" spans="1:8" x14ac:dyDescent="0.25">
      <c r="A110" s="2" t="s">
        <v>143</v>
      </c>
      <c r="B110" s="2">
        <v>383</v>
      </c>
      <c r="C110" s="2">
        <v>74</v>
      </c>
      <c r="D110" s="68">
        <f t="shared" ref="D110:D115" si="16">B110+C110</f>
        <v>457</v>
      </c>
    </row>
    <row r="111" spans="1:8" x14ac:dyDescent="0.25">
      <c r="A111" s="2" t="s">
        <v>144</v>
      </c>
      <c r="B111" s="2">
        <v>45</v>
      </c>
      <c r="C111" s="2">
        <v>0</v>
      </c>
      <c r="D111" s="68">
        <f t="shared" si="16"/>
        <v>45</v>
      </c>
    </row>
    <row r="112" spans="1:8" x14ac:dyDescent="0.25">
      <c r="A112" s="2" t="s">
        <v>145</v>
      </c>
      <c r="B112" s="2">
        <v>2</v>
      </c>
      <c r="C112" s="2">
        <v>0</v>
      </c>
      <c r="D112" s="68">
        <f t="shared" si="16"/>
        <v>2</v>
      </c>
    </row>
    <row r="113" spans="1:12" x14ac:dyDescent="0.25">
      <c r="A113" s="2" t="s">
        <v>146</v>
      </c>
      <c r="B113" s="2">
        <v>29</v>
      </c>
      <c r="C113" s="2">
        <v>4</v>
      </c>
      <c r="D113" s="68">
        <f t="shared" si="16"/>
        <v>33</v>
      </c>
    </row>
    <row r="114" spans="1:12" x14ac:dyDescent="0.25">
      <c r="A114" s="2" t="s">
        <v>147</v>
      </c>
      <c r="B114" s="2">
        <v>171</v>
      </c>
      <c r="C114" s="2">
        <v>4</v>
      </c>
      <c r="D114" s="68">
        <f t="shared" si="16"/>
        <v>175</v>
      </c>
    </row>
    <row r="115" spans="1:12" x14ac:dyDescent="0.25">
      <c r="A115" s="2" t="s">
        <v>148</v>
      </c>
      <c r="B115" s="2">
        <v>35</v>
      </c>
      <c r="C115" s="2">
        <v>5</v>
      </c>
      <c r="D115" s="68">
        <f t="shared" si="16"/>
        <v>40</v>
      </c>
    </row>
    <row r="116" spans="1:12" x14ac:dyDescent="0.25">
      <c r="A116" s="3"/>
      <c r="B116" s="2"/>
      <c r="C116" s="2"/>
      <c r="D116" s="68"/>
    </row>
    <row r="117" spans="1:12" x14ac:dyDescent="0.25">
      <c r="A117" s="3" t="s">
        <v>2</v>
      </c>
      <c r="B117" s="2"/>
      <c r="C117" s="2"/>
      <c r="D117" s="68"/>
    </row>
    <row r="118" spans="1:12" x14ac:dyDescent="0.25">
      <c r="A118" s="2" t="s">
        <v>143</v>
      </c>
      <c r="B118" s="2">
        <v>1133</v>
      </c>
      <c r="C118" s="2">
        <v>148</v>
      </c>
      <c r="D118" s="68">
        <f t="shared" ref="D118:D123" si="17">B118+C118</f>
        <v>1281</v>
      </c>
    </row>
    <row r="119" spans="1:12" x14ac:dyDescent="0.25">
      <c r="A119" s="2" t="s">
        <v>144</v>
      </c>
      <c r="B119" s="2">
        <v>94</v>
      </c>
      <c r="C119" s="2">
        <v>0</v>
      </c>
      <c r="D119" s="68">
        <f t="shared" si="17"/>
        <v>94</v>
      </c>
    </row>
    <row r="120" spans="1:12" x14ac:dyDescent="0.25">
      <c r="A120" s="2" t="s">
        <v>145</v>
      </c>
      <c r="B120" s="2">
        <v>4</v>
      </c>
      <c r="C120" s="2">
        <v>0</v>
      </c>
      <c r="D120" s="68">
        <f t="shared" si="17"/>
        <v>4</v>
      </c>
    </row>
    <row r="121" spans="1:12" x14ac:dyDescent="0.25">
      <c r="A121" s="2" t="s">
        <v>146</v>
      </c>
      <c r="B121" s="2">
        <v>70</v>
      </c>
      <c r="C121" s="2">
        <v>8</v>
      </c>
      <c r="D121" s="68">
        <f t="shared" si="17"/>
        <v>78</v>
      </c>
    </row>
    <row r="122" spans="1:12" x14ac:dyDescent="0.25">
      <c r="A122" s="2" t="s">
        <v>147</v>
      </c>
      <c r="B122" s="2">
        <v>468</v>
      </c>
      <c r="C122" s="2">
        <v>5</v>
      </c>
      <c r="D122" s="68">
        <f t="shared" si="17"/>
        <v>473</v>
      </c>
    </row>
    <row r="123" spans="1:12" x14ac:dyDescent="0.25">
      <c r="A123" s="2" t="s">
        <v>148</v>
      </c>
      <c r="B123" s="2">
        <v>92</v>
      </c>
      <c r="C123" s="2">
        <v>1</v>
      </c>
      <c r="D123" s="68">
        <f t="shared" si="17"/>
        <v>93</v>
      </c>
    </row>
    <row r="124" spans="1:12" x14ac:dyDescent="0.25">
      <c r="A124" s="3"/>
      <c r="B124" s="2"/>
      <c r="C124" s="2"/>
      <c r="D124" s="68"/>
    </row>
    <row r="126" spans="1:12" x14ac:dyDescent="0.25">
      <c r="A126" s="68" t="s">
        <v>103</v>
      </c>
      <c r="B126" s="3" t="s">
        <v>67</v>
      </c>
      <c r="C126" s="68" t="s">
        <v>101</v>
      </c>
      <c r="D126" s="3" t="s">
        <v>90</v>
      </c>
      <c r="F126" s="68" t="s">
        <v>89</v>
      </c>
      <c r="G126" s="3" t="s">
        <v>67</v>
      </c>
      <c r="H126" s="3" t="s">
        <v>90</v>
      </c>
      <c r="J126" s="68" t="s">
        <v>102</v>
      </c>
      <c r="K126" s="3" t="s">
        <v>67</v>
      </c>
      <c r="L126" s="3" t="s">
        <v>90</v>
      </c>
    </row>
    <row r="127" spans="1:12" x14ac:dyDescent="0.25">
      <c r="A127" s="11">
        <f>SUM(B127:D127)</f>
        <v>10</v>
      </c>
      <c r="B127" s="2">
        <v>6</v>
      </c>
      <c r="C127" s="2">
        <v>3</v>
      </c>
      <c r="D127" s="2">
        <v>1</v>
      </c>
      <c r="F127" s="11">
        <f>G127+H127</f>
        <v>9</v>
      </c>
      <c r="G127" s="2">
        <v>8</v>
      </c>
      <c r="H127" s="2">
        <v>1</v>
      </c>
      <c r="J127" s="11">
        <f>A127-F127</f>
        <v>1</v>
      </c>
      <c r="K127" s="2"/>
      <c r="L127" s="2"/>
    </row>
    <row r="129" spans="2:10" x14ac:dyDescent="0.25">
      <c r="B129" s="1" t="s">
        <v>165</v>
      </c>
      <c r="J129" s="1" t="s">
        <v>155</v>
      </c>
    </row>
    <row r="130" spans="2:10" x14ac:dyDescent="0.25">
      <c r="J130" s="1" t="s">
        <v>166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R84"/>
  <sheetViews>
    <sheetView topLeftCell="A19" workbookViewId="0">
      <selection activeCell="A34" sqref="A34"/>
    </sheetView>
  </sheetViews>
  <sheetFormatPr defaultRowHeight="15.75" x14ac:dyDescent="0.25"/>
  <cols>
    <col min="1" max="1" width="24.42578125" style="1" bestFit="1" customWidth="1"/>
    <col min="2" max="2" width="9.28515625" style="1" bestFit="1" customWidth="1"/>
    <col min="3" max="3" width="14.85546875" style="1" bestFit="1" customWidth="1"/>
    <col min="4" max="4" width="8.5703125" style="1" bestFit="1" customWidth="1"/>
    <col min="5" max="5" width="9.7109375" style="1" bestFit="1" customWidth="1"/>
    <col min="6" max="6" width="15.5703125" style="1" bestFit="1" customWidth="1"/>
    <col min="7" max="7" width="13.85546875" style="1" bestFit="1" customWidth="1"/>
    <col min="8" max="8" width="10.7109375" style="1" customWidth="1"/>
    <col min="9" max="9" width="9.5703125" style="1" bestFit="1" customWidth="1"/>
    <col min="10" max="11" width="11.140625" style="1" bestFit="1" customWidth="1"/>
    <col min="12" max="17" width="9.5703125" style="1" bestFit="1" customWidth="1"/>
    <col min="18" max="16384" width="9.140625" style="1"/>
  </cols>
  <sheetData>
    <row r="2" spans="1:18" ht="25.5" x14ac:dyDescent="0.35">
      <c r="A2" s="14" t="s">
        <v>83</v>
      </c>
      <c r="B2" s="15"/>
      <c r="C2" s="15"/>
      <c r="D2" s="15"/>
      <c r="E2" s="15"/>
    </row>
    <row r="4" spans="1:18" x14ac:dyDescent="0.25">
      <c r="A4" s="2" t="s">
        <v>74</v>
      </c>
      <c r="B4" s="3" t="s">
        <v>21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174</v>
      </c>
    </row>
    <row r="5" spans="1:18" x14ac:dyDescent="0.25">
      <c r="A5" s="5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8" x14ac:dyDescent="0.25">
      <c r="A6" s="2" t="s">
        <v>1</v>
      </c>
      <c r="B6" s="2">
        <v>26</v>
      </c>
      <c r="C6" s="2">
        <v>30</v>
      </c>
      <c r="D6" s="2">
        <v>21</v>
      </c>
      <c r="E6" s="2">
        <v>12</v>
      </c>
      <c r="F6" s="2">
        <v>13</v>
      </c>
      <c r="G6" s="2">
        <v>15</v>
      </c>
      <c r="H6" s="2">
        <v>12</v>
      </c>
      <c r="I6" s="2">
        <v>5</v>
      </c>
      <c r="J6" s="2">
        <v>11</v>
      </c>
      <c r="K6" s="2">
        <v>23</v>
      </c>
      <c r="L6" s="2">
        <v>19</v>
      </c>
      <c r="M6" s="2">
        <v>32</v>
      </c>
      <c r="N6" s="2">
        <v>19</v>
      </c>
      <c r="O6" s="2">
        <v>21</v>
      </c>
      <c r="P6" s="2">
        <v>12</v>
      </c>
      <c r="Q6" s="2">
        <v>4</v>
      </c>
    </row>
    <row r="7" spans="1:18" x14ac:dyDescent="0.25">
      <c r="A7" s="4">
        <v>5</v>
      </c>
      <c r="B7" s="4">
        <f>ROUND(B6/$A$7,0)</f>
        <v>5</v>
      </c>
      <c r="C7" s="4">
        <f t="shared" ref="C7:Q7" si="0">ROUND(C6/$A$7,0)</f>
        <v>6</v>
      </c>
      <c r="D7" s="4">
        <f t="shared" si="0"/>
        <v>4</v>
      </c>
      <c r="E7" s="4">
        <f t="shared" si="0"/>
        <v>2</v>
      </c>
      <c r="F7" s="4">
        <f t="shared" si="0"/>
        <v>3</v>
      </c>
      <c r="G7" s="4">
        <f t="shared" si="0"/>
        <v>3</v>
      </c>
      <c r="H7" s="4">
        <f t="shared" si="0"/>
        <v>2</v>
      </c>
      <c r="I7" s="4">
        <f t="shared" si="0"/>
        <v>1</v>
      </c>
      <c r="J7" s="4">
        <f t="shared" si="0"/>
        <v>2</v>
      </c>
      <c r="K7" s="4">
        <f t="shared" si="0"/>
        <v>5</v>
      </c>
      <c r="L7" s="4">
        <f t="shared" si="0"/>
        <v>4</v>
      </c>
      <c r="M7" s="4">
        <f t="shared" si="0"/>
        <v>6</v>
      </c>
      <c r="N7" s="4">
        <f t="shared" si="0"/>
        <v>4</v>
      </c>
      <c r="O7" s="4">
        <f t="shared" si="0"/>
        <v>4</v>
      </c>
      <c r="P7" s="4">
        <f t="shared" si="0"/>
        <v>2</v>
      </c>
      <c r="Q7" s="4">
        <f t="shared" si="0"/>
        <v>1</v>
      </c>
      <c r="R7" s="1">
        <f>SUM(B7:Q7)</f>
        <v>54</v>
      </c>
    </row>
    <row r="8" spans="1:18" x14ac:dyDescent="0.25">
      <c r="A8" s="12" t="s">
        <v>60</v>
      </c>
      <c r="B8" s="12">
        <v>1</v>
      </c>
      <c r="C8" s="12">
        <v>1</v>
      </c>
      <c r="D8" s="12">
        <v>2</v>
      </c>
      <c r="E8" s="12">
        <v>2</v>
      </c>
      <c r="F8" s="12">
        <v>2</v>
      </c>
      <c r="G8" s="12">
        <v>2</v>
      </c>
      <c r="H8" s="12">
        <v>2</v>
      </c>
      <c r="I8" s="12">
        <v>2</v>
      </c>
      <c r="J8" s="12">
        <v>2</v>
      </c>
      <c r="K8" s="12">
        <v>2</v>
      </c>
      <c r="L8" s="12">
        <v>2</v>
      </c>
      <c r="M8" s="12">
        <v>2</v>
      </c>
      <c r="N8" s="12">
        <v>2</v>
      </c>
      <c r="O8" s="12">
        <v>2</v>
      </c>
      <c r="P8" s="12">
        <v>2</v>
      </c>
      <c r="Q8" s="12"/>
      <c r="R8" s="1">
        <f t="shared" ref="R8" si="1">SUM(B8:Q8)</f>
        <v>28</v>
      </c>
    </row>
    <row r="9" spans="1:18" x14ac:dyDescent="0.25">
      <c r="A9" s="12" t="s">
        <v>61</v>
      </c>
      <c r="B9" s="12">
        <v>1</v>
      </c>
      <c r="C9" s="12">
        <v>1</v>
      </c>
      <c r="D9" s="12">
        <v>2</v>
      </c>
      <c r="E9" s="12">
        <v>2</v>
      </c>
      <c r="F9" s="12">
        <v>2</v>
      </c>
      <c r="G9" s="12">
        <v>2</v>
      </c>
      <c r="H9" s="12">
        <v>2</v>
      </c>
      <c r="I9" s="12">
        <v>2</v>
      </c>
      <c r="J9" s="12">
        <v>2</v>
      </c>
      <c r="K9" s="12">
        <v>2</v>
      </c>
      <c r="L9" s="12">
        <v>2</v>
      </c>
      <c r="M9" s="12">
        <v>2</v>
      </c>
      <c r="N9" s="12">
        <v>2</v>
      </c>
      <c r="O9" s="12">
        <v>2</v>
      </c>
      <c r="P9" s="12">
        <v>2</v>
      </c>
      <c r="Q9" s="12"/>
      <c r="R9" s="1">
        <f>SUM(B9:Q9)</f>
        <v>28</v>
      </c>
    </row>
    <row r="11" spans="1:18" x14ac:dyDescent="0.25">
      <c r="A11" s="13" t="s">
        <v>75</v>
      </c>
    </row>
    <row r="12" spans="1:18" x14ac:dyDescent="0.25">
      <c r="A12" s="2" t="s">
        <v>78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/>
      <c r="K12" s="2"/>
      <c r="L12" s="2"/>
      <c r="M12" s="2"/>
      <c r="N12" s="2"/>
      <c r="O12" s="2"/>
      <c r="P12" s="2"/>
      <c r="Q12" s="2"/>
    </row>
    <row r="13" spans="1:18" x14ac:dyDescent="0.25">
      <c r="A13" s="2" t="s">
        <v>73</v>
      </c>
      <c r="B13" s="2"/>
      <c r="C13" s="2"/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/>
      <c r="M13" s="2"/>
      <c r="N13" s="2"/>
      <c r="O13" s="2"/>
      <c r="P13" s="2"/>
      <c r="Q13" s="2"/>
    </row>
    <row r="14" spans="1:18" x14ac:dyDescent="0.25">
      <c r="A14" s="2" t="s">
        <v>63</v>
      </c>
      <c r="B14" s="2"/>
      <c r="C14" s="2"/>
      <c r="D14" s="2"/>
      <c r="E14" s="2"/>
      <c r="F14" s="2"/>
      <c r="G14" s="2"/>
      <c r="H14" s="2"/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/>
    </row>
    <row r="15" spans="1:18" x14ac:dyDescent="0.25">
      <c r="A15" s="2" t="s">
        <v>118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/>
    </row>
    <row r="16" spans="1:18" x14ac:dyDescent="0.25">
      <c r="A16" s="2" t="s">
        <v>66</v>
      </c>
      <c r="B16" s="2">
        <f t="shared" ref="B16:Q16" si="2">SUM(B12:B15)</f>
        <v>1</v>
      </c>
      <c r="C16" s="2">
        <f t="shared" si="2"/>
        <v>1</v>
      </c>
      <c r="D16" s="2">
        <f t="shared" si="2"/>
        <v>2</v>
      </c>
      <c r="E16" s="2">
        <f t="shared" si="2"/>
        <v>2</v>
      </c>
      <c r="F16" s="2">
        <f t="shared" si="2"/>
        <v>2</v>
      </c>
      <c r="G16" s="2">
        <f t="shared" si="2"/>
        <v>2</v>
      </c>
      <c r="H16" s="2">
        <f t="shared" si="2"/>
        <v>2</v>
      </c>
      <c r="I16" s="2">
        <f t="shared" si="2"/>
        <v>3</v>
      </c>
      <c r="J16" s="2">
        <f t="shared" si="2"/>
        <v>2</v>
      </c>
      <c r="K16" s="2">
        <f t="shared" si="2"/>
        <v>2</v>
      </c>
      <c r="L16" s="2">
        <f t="shared" si="2"/>
        <v>2</v>
      </c>
      <c r="M16" s="2">
        <f t="shared" si="2"/>
        <v>2</v>
      </c>
      <c r="N16" s="2">
        <f t="shared" si="2"/>
        <v>2</v>
      </c>
      <c r="O16" s="2">
        <f t="shared" si="2"/>
        <v>2</v>
      </c>
      <c r="P16" s="2">
        <f t="shared" si="2"/>
        <v>2</v>
      </c>
      <c r="Q16" s="2">
        <f t="shared" si="2"/>
        <v>0</v>
      </c>
      <c r="R16" s="1">
        <f>SUM(B16:Q16)</f>
        <v>29</v>
      </c>
    </row>
    <row r="18" spans="1:18" x14ac:dyDescent="0.25">
      <c r="A18" s="2" t="s">
        <v>74</v>
      </c>
      <c r="B18" s="3" t="s">
        <v>21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  <c r="P18" s="3" t="s">
        <v>17</v>
      </c>
      <c r="Q18" s="3" t="s">
        <v>174</v>
      </c>
    </row>
    <row r="19" spans="1:18" x14ac:dyDescent="0.25">
      <c r="A19" s="5" t="s">
        <v>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8" x14ac:dyDescent="0.25">
      <c r="A20" s="2" t="s">
        <v>3</v>
      </c>
      <c r="B20" s="2">
        <v>6</v>
      </c>
      <c r="C20" s="2">
        <v>8</v>
      </c>
      <c r="D20" s="2">
        <v>12</v>
      </c>
      <c r="E20" s="2">
        <v>13</v>
      </c>
      <c r="F20" s="2">
        <v>11</v>
      </c>
      <c r="G20" s="2">
        <v>3</v>
      </c>
      <c r="H20" s="2">
        <v>3</v>
      </c>
      <c r="I20" s="2">
        <v>5</v>
      </c>
      <c r="J20" s="2">
        <v>3</v>
      </c>
      <c r="K20" s="2">
        <v>6</v>
      </c>
      <c r="L20" s="2">
        <v>10</v>
      </c>
      <c r="M20" s="2">
        <v>8</v>
      </c>
      <c r="N20" s="2">
        <v>11</v>
      </c>
      <c r="O20" s="2">
        <v>6</v>
      </c>
      <c r="P20" s="2">
        <v>2</v>
      </c>
      <c r="Q20" s="2">
        <v>2</v>
      </c>
    </row>
    <row r="21" spans="1:18" x14ac:dyDescent="0.25">
      <c r="A21" s="4">
        <v>2</v>
      </c>
      <c r="B21" s="4">
        <f>ROUND(B20/$A$21,0)</f>
        <v>3</v>
      </c>
      <c r="C21" s="4">
        <f t="shared" ref="C21:Q21" si="3">ROUND(C20/$A$21,0)</f>
        <v>4</v>
      </c>
      <c r="D21" s="4">
        <f t="shared" si="3"/>
        <v>6</v>
      </c>
      <c r="E21" s="4">
        <f t="shared" si="3"/>
        <v>7</v>
      </c>
      <c r="F21" s="4">
        <f t="shared" si="3"/>
        <v>6</v>
      </c>
      <c r="G21" s="4">
        <f t="shared" si="3"/>
        <v>2</v>
      </c>
      <c r="H21" s="4">
        <f t="shared" si="3"/>
        <v>2</v>
      </c>
      <c r="I21" s="4">
        <f t="shared" si="3"/>
        <v>3</v>
      </c>
      <c r="J21" s="4">
        <f t="shared" si="3"/>
        <v>2</v>
      </c>
      <c r="K21" s="4">
        <f t="shared" si="3"/>
        <v>3</v>
      </c>
      <c r="L21" s="4">
        <f t="shared" si="3"/>
        <v>5</v>
      </c>
      <c r="M21" s="4">
        <f t="shared" si="3"/>
        <v>4</v>
      </c>
      <c r="N21" s="4">
        <f t="shared" si="3"/>
        <v>6</v>
      </c>
      <c r="O21" s="4">
        <f t="shared" si="3"/>
        <v>3</v>
      </c>
      <c r="P21" s="4">
        <f t="shared" si="3"/>
        <v>1</v>
      </c>
      <c r="Q21" s="4">
        <f t="shared" si="3"/>
        <v>1</v>
      </c>
      <c r="R21" s="1">
        <f t="shared" ref="R21:R22" si="4">SUM(B21:Q21)</f>
        <v>58</v>
      </c>
    </row>
    <row r="22" spans="1:18" x14ac:dyDescent="0.25">
      <c r="A22" s="12" t="s">
        <v>60</v>
      </c>
      <c r="B22" s="12">
        <v>1</v>
      </c>
      <c r="C22" s="12">
        <v>1</v>
      </c>
      <c r="D22" s="12">
        <v>2</v>
      </c>
      <c r="E22" s="12">
        <v>2</v>
      </c>
      <c r="F22" s="12">
        <v>2</v>
      </c>
      <c r="G22" s="12">
        <v>2</v>
      </c>
      <c r="H22" s="12">
        <v>2</v>
      </c>
      <c r="I22" s="12">
        <v>2</v>
      </c>
      <c r="J22" s="12">
        <v>2</v>
      </c>
      <c r="K22" s="12">
        <v>2</v>
      </c>
      <c r="L22" s="12">
        <v>2</v>
      </c>
      <c r="M22" s="12">
        <v>2</v>
      </c>
      <c r="N22" s="12">
        <v>2</v>
      </c>
      <c r="O22" s="12">
        <v>2</v>
      </c>
      <c r="P22" s="12">
        <v>2</v>
      </c>
      <c r="Q22" s="12"/>
      <c r="R22" s="1">
        <f t="shared" si="4"/>
        <v>28</v>
      </c>
    </row>
    <row r="23" spans="1:18" x14ac:dyDescent="0.25">
      <c r="A23" s="12" t="s">
        <v>61</v>
      </c>
      <c r="B23" s="12">
        <v>1</v>
      </c>
      <c r="C23" s="12">
        <v>1</v>
      </c>
      <c r="D23" s="12">
        <v>2</v>
      </c>
      <c r="E23" s="12">
        <v>2</v>
      </c>
      <c r="F23" s="12">
        <v>2</v>
      </c>
      <c r="G23" s="12">
        <v>2</v>
      </c>
      <c r="H23" s="12">
        <v>2</v>
      </c>
      <c r="I23" s="12">
        <v>2</v>
      </c>
      <c r="J23" s="12">
        <v>2</v>
      </c>
      <c r="K23" s="12">
        <v>2</v>
      </c>
      <c r="L23" s="12">
        <v>2</v>
      </c>
      <c r="M23" s="12">
        <v>2</v>
      </c>
      <c r="N23" s="12">
        <v>2</v>
      </c>
      <c r="O23" s="12">
        <v>2</v>
      </c>
      <c r="P23" s="12">
        <v>2</v>
      </c>
      <c r="Q23" s="12"/>
      <c r="R23" s="1">
        <f>SUM(B23:Q23)</f>
        <v>28</v>
      </c>
    </row>
    <row r="25" spans="1:18" x14ac:dyDescent="0.25">
      <c r="A25" s="13" t="s">
        <v>75</v>
      </c>
    </row>
    <row r="26" spans="1:18" x14ac:dyDescent="0.25">
      <c r="A26" s="2" t="s">
        <v>78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/>
      <c r="K26" s="2"/>
      <c r="L26" s="2"/>
      <c r="M26" s="2"/>
      <c r="N26" s="2"/>
      <c r="O26" s="2"/>
      <c r="P26" s="2"/>
      <c r="Q26" s="2"/>
    </row>
    <row r="27" spans="1:18" x14ac:dyDescent="0.25">
      <c r="A27" s="2" t="s">
        <v>73</v>
      </c>
      <c r="B27" s="2"/>
      <c r="C27" s="2"/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/>
      <c r="M27" s="2"/>
      <c r="N27" s="2"/>
      <c r="O27" s="2"/>
      <c r="P27" s="2"/>
      <c r="Q27" s="2"/>
    </row>
    <row r="28" spans="1:18" x14ac:dyDescent="0.25">
      <c r="A28" s="2" t="s">
        <v>63</v>
      </c>
      <c r="B28" s="2"/>
      <c r="C28" s="2"/>
      <c r="D28" s="2"/>
      <c r="E28" s="2"/>
      <c r="F28" s="2"/>
      <c r="G28" s="2"/>
      <c r="H28" s="2"/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/>
    </row>
    <row r="29" spans="1:18" x14ac:dyDescent="0.25">
      <c r="A29" s="2" t="s">
        <v>118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/>
    </row>
    <row r="30" spans="1:18" x14ac:dyDescent="0.25">
      <c r="A30" s="2" t="s">
        <v>66</v>
      </c>
      <c r="B30" s="2">
        <f t="shared" ref="B30:Q30" si="5">SUM(B26:B29)</f>
        <v>1</v>
      </c>
      <c r="C30" s="2">
        <f t="shared" si="5"/>
        <v>1</v>
      </c>
      <c r="D30" s="2">
        <f t="shared" si="5"/>
        <v>2</v>
      </c>
      <c r="E30" s="2">
        <f t="shared" si="5"/>
        <v>2</v>
      </c>
      <c r="F30" s="2">
        <f t="shared" si="5"/>
        <v>2</v>
      </c>
      <c r="G30" s="2">
        <f t="shared" si="5"/>
        <v>2</v>
      </c>
      <c r="H30" s="2">
        <f t="shared" si="5"/>
        <v>2</v>
      </c>
      <c r="I30" s="2">
        <f t="shared" si="5"/>
        <v>3</v>
      </c>
      <c r="J30" s="2">
        <f t="shared" si="5"/>
        <v>2</v>
      </c>
      <c r="K30" s="2">
        <f t="shared" si="5"/>
        <v>2</v>
      </c>
      <c r="L30" s="2">
        <f t="shared" si="5"/>
        <v>2</v>
      </c>
      <c r="M30" s="2">
        <f t="shared" si="5"/>
        <v>2</v>
      </c>
      <c r="N30" s="2">
        <f t="shared" si="5"/>
        <v>2</v>
      </c>
      <c r="O30" s="2">
        <f t="shared" si="5"/>
        <v>2</v>
      </c>
      <c r="P30" s="2">
        <f t="shared" si="5"/>
        <v>2</v>
      </c>
      <c r="Q30" s="2">
        <f t="shared" si="5"/>
        <v>0</v>
      </c>
      <c r="R30" s="1">
        <f>SUM(B30:Q30)</f>
        <v>29</v>
      </c>
    </row>
    <row r="32" spans="1:18" x14ac:dyDescent="0.25">
      <c r="A32" s="2" t="s">
        <v>22</v>
      </c>
      <c r="B32" s="2"/>
      <c r="C32" s="2"/>
      <c r="E32" s="1" t="s">
        <v>64</v>
      </c>
      <c r="F32" s="1" t="s">
        <v>70</v>
      </c>
    </row>
    <row r="33" spans="1:14" x14ac:dyDescent="0.25">
      <c r="A33" s="3" t="s">
        <v>0</v>
      </c>
      <c r="B33" s="2"/>
      <c r="C33" s="2"/>
      <c r="E33" s="1" t="s">
        <v>69</v>
      </c>
      <c r="F33" s="1" t="s">
        <v>71</v>
      </c>
    </row>
    <row r="34" spans="1:14" x14ac:dyDescent="0.25">
      <c r="A34" s="2" t="s">
        <v>49</v>
      </c>
      <c r="B34" s="2">
        <f>22-6.5</f>
        <v>15.5</v>
      </c>
      <c r="C34" s="2" t="s">
        <v>24</v>
      </c>
      <c r="E34" s="1">
        <f>D45</f>
        <v>29</v>
      </c>
      <c r="F34" s="1" t="s">
        <v>24</v>
      </c>
      <c r="G34" s="1">
        <f>E34/B34</f>
        <v>1.8709677419354838</v>
      </c>
      <c r="H34" s="1" t="s">
        <v>76</v>
      </c>
    </row>
    <row r="35" spans="1:14" x14ac:dyDescent="0.25">
      <c r="A35" s="3" t="s">
        <v>2</v>
      </c>
      <c r="B35" s="2"/>
      <c r="C35" s="2"/>
    </row>
    <row r="36" spans="1:14" x14ac:dyDescent="0.25">
      <c r="A36" s="2" t="s">
        <v>49</v>
      </c>
      <c r="B36" s="2">
        <f>22-6.5</f>
        <v>15.5</v>
      </c>
      <c r="C36" s="2" t="s">
        <v>24</v>
      </c>
      <c r="E36" s="1">
        <f>D52</f>
        <v>32</v>
      </c>
      <c r="F36" s="1" t="str">
        <f>F34</f>
        <v>H</v>
      </c>
      <c r="G36" s="1">
        <f>E36/B36</f>
        <v>2.064516129032258</v>
      </c>
      <c r="H36" s="1" t="s">
        <v>76</v>
      </c>
    </row>
    <row r="38" spans="1:14" x14ac:dyDescent="0.25">
      <c r="A38" s="2" t="s">
        <v>72</v>
      </c>
      <c r="B38" s="2"/>
      <c r="C38" s="2" t="s">
        <v>26</v>
      </c>
      <c r="D38" s="2" t="s">
        <v>27</v>
      </c>
    </row>
    <row r="39" spans="1:14" x14ac:dyDescent="0.25">
      <c r="A39" s="3" t="s">
        <v>0</v>
      </c>
      <c r="B39" s="2"/>
      <c r="C39" s="2"/>
      <c r="D39" s="2"/>
    </row>
    <row r="40" spans="1:14" x14ac:dyDescent="0.25">
      <c r="A40" s="2" t="s">
        <v>78</v>
      </c>
      <c r="B40" s="2" t="s">
        <v>67</v>
      </c>
      <c r="C40" s="2">
        <v>1</v>
      </c>
      <c r="D40" s="2">
        <f>C40*8</f>
        <v>8</v>
      </c>
    </row>
    <row r="41" spans="1:14" x14ac:dyDescent="0.25">
      <c r="A41" s="2" t="s">
        <v>73</v>
      </c>
      <c r="B41" s="2" t="s">
        <v>67</v>
      </c>
      <c r="C41" s="2">
        <v>1</v>
      </c>
      <c r="D41" s="2">
        <f>C41*8</f>
        <v>8</v>
      </c>
    </row>
    <row r="42" spans="1:14" x14ac:dyDescent="0.25">
      <c r="A42" s="2" t="s">
        <v>63</v>
      </c>
      <c r="B42" s="2" t="s">
        <v>67</v>
      </c>
      <c r="C42" s="2">
        <v>1</v>
      </c>
      <c r="D42" s="2">
        <v>8</v>
      </c>
      <c r="F42" s="85" t="s">
        <v>114</v>
      </c>
      <c r="G42" s="3" t="s">
        <v>67</v>
      </c>
      <c r="H42" s="3" t="s">
        <v>68</v>
      </c>
      <c r="I42" s="3" t="s">
        <v>90</v>
      </c>
    </row>
    <row r="43" spans="1:14" x14ac:dyDescent="0.25">
      <c r="A43" s="2" t="s">
        <v>118</v>
      </c>
      <c r="B43" s="2" t="s">
        <v>68</v>
      </c>
      <c r="C43" s="2">
        <v>1</v>
      </c>
      <c r="D43" s="2">
        <f>22.5-17.5</f>
        <v>5</v>
      </c>
      <c r="F43" s="11">
        <f>SUM(G43:I43)</f>
        <v>5</v>
      </c>
      <c r="G43" s="2">
        <v>3</v>
      </c>
      <c r="H43" s="2">
        <v>1</v>
      </c>
      <c r="I43" s="2">
        <v>1</v>
      </c>
    </row>
    <row r="44" spans="1:14" x14ac:dyDescent="0.25">
      <c r="A44" s="2" t="s">
        <v>88</v>
      </c>
      <c r="B44" s="2"/>
      <c r="C44" s="2">
        <v>1</v>
      </c>
      <c r="D44" s="2"/>
    </row>
    <row r="45" spans="1:14" x14ac:dyDescent="0.25">
      <c r="A45" s="3" t="s">
        <v>66</v>
      </c>
      <c r="B45" s="3"/>
      <c r="C45" s="3">
        <f>SUM(C40:C44)</f>
        <v>5</v>
      </c>
      <c r="D45" s="3">
        <f>SUM(D40:D44)</f>
        <v>29</v>
      </c>
      <c r="F45" s="85" t="s">
        <v>89</v>
      </c>
      <c r="G45" s="3" t="s">
        <v>67</v>
      </c>
      <c r="H45" s="3" t="s">
        <v>68</v>
      </c>
      <c r="I45" s="3" t="s">
        <v>90</v>
      </c>
      <c r="K45" s="85" t="s">
        <v>91</v>
      </c>
      <c r="L45" s="3" t="s">
        <v>67</v>
      </c>
      <c r="M45" s="3" t="s">
        <v>68</v>
      </c>
      <c r="N45" s="3" t="s">
        <v>90</v>
      </c>
    </row>
    <row r="46" spans="1:14" x14ac:dyDescent="0.25">
      <c r="A46" s="3" t="s">
        <v>2</v>
      </c>
      <c r="B46" s="2"/>
      <c r="C46" s="2"/>
      <c r="D46" s="2"/>
      <c r="F46" s="11">
        <f>SUM(G46:I46)</f>
        <v>3</v>
      </c>
      <c r="G46" s="2"/>
      <c r="H46" s="2">
        <v>2</v>
      </c>
      <c r="I46" s="2">
        <v>1</v>
      </c>
      <c r="K46" s="11">
        <f>F43-F46</f>
        <v>2</v>
      </c>
      <c r="L46" s="11">
        <f t="shared" ref="L46:N46" si="6">G43-G46</f>
        <v>3</v>
      </c>
      <c r="M46" s="11"/>
      <c r="N46" s="11">
        <f t="shared" si="6"/>
        <v>0</v>
      </c>
    </row>
    <row r="47" spans="1:14" x14ac:dyDescent="0.25">
      <c r="A47" s="2" t="s">
        <v>78</v>
      </c>
      <c r="B47" s="2" t="s">
        <v>67</v>
      </c>
      <c r="C47" s="2">
        <v>1</v>
      </c>
      <c r="D47" s="2">
        <f>C47*8</f>
        <v>8</v>
      </c>
    </row>
    <row r="48" spans="1:14" x14ac:dyDescent="0.25">
      <c r="A48" s="2" t="s">
        <v>73</v>
      </c>
      <c r="B48" s="2" t="s">
        <v>67</v>
      </c>
      <c r="C48" s="2">
        <v>1</v>
      </c>
      <c r="D48" s="2">
        <f t="shared" ref="D48:D49" si="7">C48*8</f>
        <v>8</v>
      </c>
      <c r="K48" s="1" t="s">
        <v>119</v>
      </c>
    </row>
    <row r="49" spans="1:11" x14ac:dyDescent="0.25">
      <c r="A49" s="2" t="s">
        <v>63</v>
      </c>
      <c r="B49" s="2" t="s">
        <v>67</v>
      </c>
      <c r="C49" s="2">
        <v>1</v>
      </c>
      <c r="D49" s="2">
        <f t="shared" si="7"/>
        <v>8</v>
      </c>
      <c r="K49" s="1" t="s">
        <v>120</v>
      </c>
    </row>
    <row r="50" spans="1:11" x14ac:dyDescent="0.25">
      <c r="A50" s="2" t="s">
        <v>118</v>
      </c>
      <c r="B50" s="2" t="s">
        <v>68</v>
      </c>
      <c r="C50" s="2">
        <v>1</v>
      </c>
      <c r="D50" s="2">
        <f>C50*8</f>
        <v>8</v>
      </c>
      <c r="K50" s="1" t="s">
        <v>121</v>
      </c>
    </row>
    <row r="51" spans="1:11" x14ac:dyDescent="0.25">
      <c r="A51" s="2" t="s">
        <v>88</v>
      </c>
      <c r="B51" s="2"/>
      <c r="C51" s="2">
        <v>1</v>
      </c>
      <c r="D51" s="2"/>
    </row>
    <row r="52" spans="1:11" x14ac:dyDescent="0.25">
      <c r="A52" s="3" t="s">
        <v>66</v>
      </c>
      <c r="B52" s="3"/>
      <c r="C52" s="3">
        <f>SUM(C47:C51)</f>
        <v>5</v>
      </c>
      <c r="D52" s="3">
        <f>SUM(D47:D51)</f>
        <v>32</v>
      </c>
    </row>
    <row r="54" spans="1:11" x14ac:dyDescent="0.25">
      <c r="F54" s="1" t="s">
        <v>106</v>
      </c>
      <c r="G54" s="1" t="s">
        <v>95</v>
      </c>
      <c r="H54" s="1" t="s">
        <v>99</v>
      </c>
    </row>
    <row r="55" spans="1:11" ht="25.5" x14ac:dyDescent="0.35">
      <c r="A55" s="14" t="s">
        <v>84</v>
      </c>
      <c r="B55" s="15"/>
      <c r="C55" s="15"/>
      <c r="D55" s="15"/>
      <c r="E55" s="15"/>
      <c r="F55" s="1" t="s">
        <v>104</v>
      </c>
      <c r="G55" s="1" t="s">
        <v>105</v>
      </c>
      <c r="H55" s="1" t="s">
        <v>100</v>
      </c>
    </row>
    <row r="57" spans="1:11" x14ac:dyDescent="0.25">
      <c r="A57" s="85" t="s">
        <v>80</v>
      </c>
      <c r="B57" s="85" t="s">
        <v>81</v>
      </c>
      <c r="C57" s="85" t="s">
        <v>82</v>
      </c>
      <c r="D57" s="85" t="s">
        <v>66</v>
      </c>
    </row>
    <row r="58" spans="1:11" x14ac:dyDescent="0.25">
      <c r="A58" s="3" t="s">
        <v>0</v>
      </c>
      <c r="B58" s="2"/>
      <c r="C58" s="2"/>
      <c r="D58" s="85"/>
    </row>
    <row r="59" spans="1:11" x14ac:dyDescent="0.25">
      <c r="A59" s="3" t="s">
        <v>143</v>
      </c>
      <c r="B59" s="2">
        <v>69</v>
      </c>
      <c r="C59" s="2">
        <v>36</v>
      </c>
      <c r="D59" s="85">
        <f t="shared" ref="D59:D69" si="8">B59+C59</f>
        <v>105</v>
      </c>
    </row>
    <row r="60" spans="1:11" x14ac:dyDescent="0.25">
      <c r="A60" s="3" t="s">
        <v>144</v>
      </c>
      <c r="B60" s="2">
        <v>11</v>
      </c>
      <c r="C60" s="2">
        <v>3</v>
      </c>
      <c r="D60" s="85">
        <f t="shared" si="8"/>
        <v>14</v>
      </c>
    </row>
    <row r="61" spans="1:11" x14ac:dyDescent="0.25">
      <c r="A61" s="3" t="s">
        <v>145</v>
      </c>
      <c r="B61" s="2">
        <v>4</v>
      </c>
      <c r="C61" s="2">
        <v>1</v>
      </c>
      <c r="D61" s="85">
        <f t="shared" si="8"/>
        <v>5</v>
      </c>
    </row>
    <row r="62" spans="1:11" x14ac:dyDescent="0.25">
      <c r="A62" s="3" t="s">
        <v>146</v>
      </c>
      <c r="B62" s="2">
        <v>2</v>
      </c>
      <c r="C62" s="2">
        <v>1</v>
      </c>
      <c r="D62" s="85">
        <f t="shared" si="8"/>
        <v>3</v>
      </c>
    </row>
    <row r="63" spans="1:11" x14ac:dyDescent="0.25">
      <c r="A63" s="3" t="s">
        <v>147</v>
      </c>
      <c r="B63" s="2">
        <v>29</v>
      </c>
      <c r="C63" s="2">
        <v>8</v>
      </c>
      <c r="D63" s="85">
        <f t="shared" si="8"/>
        <v>37</v>
      </c>
    </row>
    <row r="64" spans="1:11" x14ac:dyDescent="0.25">
      <c r="A64" s="3" t="s">
        <v>148</v>
      </c>
      <c r="B64" s="2">
        <v>6</v>
      </c>
      <c r="C64" s="2">
        <v>1</v>
      </c>
      <c r="D64" s="85">
        <f t="shared" si="8"/>
        <v>7</v>
      </c>
    </row>
    <row r="65" spans="1:4" x14ac:dyDescent="0.25">
      <c r="A65" s="3" t="s">
        <v>439</v>
      </c>
      <c r="B65" s="2">
        <v>0</v>
      </c>
      <c r="C65" s="2">
        <v>0</v>
      </c>
      <c r="D65" s="85">
        <f t="shared" si="8"/>
        <v>0</v>
      </c>
    </row>
    <row r="66" spans="1:4" x14ac:dyDescent="0.25">
      <c r="A66" s="3" t="s">
        <v>440</v>
      </c>
      <c r="B66" s="2">
        <v>4</v>
      </c>
      <c r="C66" s="2">
        <v>0</v>
      </c>
      <c r="D66" s="85">
        <f t="shared" si="8"/>
        <v>4</v>
      </c>
    </row>
    <row r="67" spans="1:4" x14ac:dyDescent="0.25">
      <c r="A67" s="3" t="s">
        <v>441</v>
      </c>
      <c r="B67" s="2">
        <v>2</v>
      </c>
      <c r="C67" s="2">
        <v>0</v>
      </c>
      <c r="D67" s="85">
        <f t="shared" si="8"/>
        <v>2</v>
      </c>
    </row>
    <row r="68" spans="1:4" x14ac:dyDescent="0.25">
      <c r="A68" s="3" t="s">
        <v>442</v>
      </c>
      <c r="B68" s="2">
        <v>4</v>
      </c>
      <c r="C68" s="2">
        <v>0</v>
      </c>
      <c r="D68" s="85">
        <f t="shared" si="8"/>
        <v>4</v>
      </c>
    </row>
    <row r="69" spans="1:4" x14ac:dyDescent="0.25">
      <c r="A69" s="3" t="s">
        <v>443</v>
      </c>
      <c r="B69" s="2">
        <v>0</v>
      </c>
      <c r="C69" s="2">
        <v>0</v>
      </c>
      <c r="D69" s="85">
        <f t="shared" si="8"/>
        <v>0</v>
      </c>
    </row>
    <row r="70" spans="1:4" x14ac:dyDescent="0.25">
      <c r="A70" s="3" t="s">
        <v>2</v>
      </c>
      <c r="B70" s="2"/>
      <c r="C70" s="2"/>
      <c r="D70" s="85"/>
    </row>
    <row r="71" spans="1:4" x14ac:dyDescent="0.25">
      <c r="A71" s="3" t="s">
        <v>143</v>
      </c>
      <c r="B71" s="2">
        <v>72</v>
      </c>
      <c r="C71" s="2">
        <v>41</v>
      </c>
      <c r="D71" s="85">
        <f t="shared" ref="D71:D81" si="9">B71+C71</f>
        <v>113</v>
      </c>
    </row>
    <row r="72" spans="1:4" x14ac:dyDescent="0.25">
      <c r="A72" s="3" t="s">
        <v>144</v>
      </c>
      <c r="B72" s="2">
        <v>12</v>
      </c>
      <c r="C72" s="2">
        <v>3</v>
      </c>
      <c r="D72" s="85">
        <f t="shared" si="9"/>
        <v>15</v>
      </c>
    </row>
    <row r="73" spans="1:4" x14ac:dyDescent="0.25">
      <c r="A73" s="3" t="s">
        <v>145</v>
      </c>
      <c r="B73" s="2">
        <v>5</v>
      </c>
      <c r="C73" s="2">
        <v>1</v>
      </c>
      <c r="D73" s="85">
        <f t="shared" si="9"/>
        <v>6</v>
      </c>
    </row>
    <row r="74" spans="1:4" x14ac:dyDescent="0.25">
      <c r="A74" s="3" t="s">
        <v>146</v>
      </c>
      <c r="B74" s="2">
        <v>6</v>
      </c>
      <c r="C74" s="2">
        <v>1</v>
      </c>
      <c r="D74" s="85">
        <f t="shared" si="9"/>
        <v>7</v>
      </c>
    </row>
    <row r="75" spans="1:4" x14ac:dyDescent="0.25">
      <c r="A75" s="3" t="s">
        <v>147</v>
      </c>
      <c r="B75" s="2">
        <v>22</v>
      </c>
      <c r="C75" s="2">
        <v>4</v>
      </c>
      <c r="D75" s="85">
        <f t="shared" si="9"/>
        <v>26</v>
      </c>
    </row>
    <row r="76" spans="1:4" x14ac:dyDescent="0.25">
      <c r="A76" s="3" t="s">
        <v>148</v>
      </c>
      <c r="B76" s="2">
        <v>6</v>
      </c>
      <c r="C76" s="2">
        <v>4</v>
      </c>
      <c r="D76" s="85">
        <f t="shared" si="9"/>
        <v>10</v>
      </c>
    </row>
    <row r="77" spans="1:4" x14ac:dyDescent="0.25">
      <c r="A77" s="3" t="s">
        <v>439</v>
      </c>
      <c r="B77" s="2">
        <v>0</v>
      </c>
      <c r="C77" s="2">
        <v>0</v>
      </c>
      <c r="D77" s="85">
        <f t="shared" si="9"/>
        <v>0</v>
      </c>
    </row>
    <row r="78" spans="1:4" x14ac:dyDescent="0.25">
      <c r="A78" s="3" t="s">
        <v>440</v>
      </c>
      <c r="B78" s="2">
        <v>4</v>
      </c>
      <c r="C78" s="2">
        <v>0</v>
      </c>
      <c r="D78" s="85">
        <f t="shared" si="9"/>
        <v>4</v>
      </c>
    </row>
    <row r="79" spans="1:4" x14ac:dyDescent="0.25">
      <c r="A79" s="3" t="s">
        <v>441</v>
      </c>
      <c r="B79" s="2">
        <v>4</v>
      </c>
      <c r="C79" s="2">
        <v>0</v>
      </c>
      <c r="D79" s="85">
        <f t="shared" si="9"/>
        <v>4</v>
      </c>
    </row>
    <row r="80" spans="1:4" x14ac:dyDescent="0.25">
      <c r="A80" s="3" t="s">
        <v>442</v>
      </c>
      <c r="B80" s="2">
        <v>4</v>
      </c>
      <c r="C80" s="2">
        <v>0</v>
      </c>
      <c r="D80" s="85">
        <f t="shared" si="9"/>
        <v>4</v>
      </c>
    </row>
    <row r="81" spans="1:12" x14ac:dyDescent="0.25">
      <c r="A81" s="3" t="s">
        <v>443</v>
      </c>
      <c r="B81" s="2">
        <v>0</v>
      </c>
      <c r="C81" s="2">
        <v>0</v>
      </c>
      <c r="D81" s="85">
        <f t="shared" si="9"/>
        <v>0</v>
      </c>
    </row>
    <row r="83" spans="1:12" x14ac:dyDescent="0.25">
      <c r="A83" s="85" t="s">
        <v>103</v>
      </c>
      <c r="B83" s="3" t="s">
        <v>67</v>
      </c>
      <c r="C83" s="85" t="s">
        <v>101</v>
      </c>
      <c r="D83" s="3" t="s">
        <v>90</v>
      </c>
      <c r="F83" s="85" t="s">
        <v>89</v>
      </c>
      <c r="G83" s="3" t="s">
        <v>67</v>
      </c>
      <c r="H83" s="3" t="s">
        <v>90</v>
      </c>
      <c r="J83" s="85" t="s">
        <v>149</v>
      </c>
      <c r="K83" s="3" t="s">
        <v>67</v>
      </c>
      <c r="L83" s="3" t="s">
        <v>90</v>
      </c>
    </row>
    <row r="84" spans="1:12" x14ac:dyDescent="0.25">
      <c r="A84" s="11">
        <f>SUM(B84:D84)</f>
        <v>4</v>
      </c>
      <c r="B84" s="2">
        <v>2</v>
      </c>
      <c r="C84" s="2">
        <v>1</v>
      </c>
      <c r="D84" s="2">
        <v>1</v>
      </c>
      <c r="F84" s="11">
        <f>SUM(G84:H84)</f>
        <v>4</v>
      </c>
      <c r="G84" s="2">
        <v>3</v>
      </c>
      <c r="H84" s="2">
        <v>1</v>
      </c>
      <c r="J84" s="11">
        <f>A84-F84</f>
        <v>0</v>
      </c>
      <c r="K84" s="2"/>
      <c r="L84" s="2"/>
    </row>
  </sheetData>
  <pageMargins left="0" right="0" top="0" bottom="0" header="0" footer="0"/>
  <pageSetup paperSize="9" scale="69" orientation="landscape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V96"/>
  <sheetViews>
    <sheetView topLeftCell="F7" workbookViewId="0">
      <selection activeCell="R25" sqref="R25"/>
    </sheetView>
  </sheetViews>
  <sheetFormatPr defaultRowHeight="15.75" x14ac:dyDescent="0.25"/>
  <cols>
    <col min="1" max="1" width="32.5703125" style="1" customWidth="1"/>
    <col min="2" max="2" width="11.7109375" style="1" bestFit="1" customWidth="1"/>
    <col min="3" max="3" width="15.140625" style="1" bestFit="1" customWidth="1"/>
    <col min="4" max="5" width="14.7109375" style="1" bestFit="1" customWidth="1"/>
    <col min="6" max="6" width="15.85546875" style="1" bestFit="1" customWidth="1"/>
    <col min="7" max="7" width="14.7109375" style="1" bestFit="1" customWidth="1"/>
    <col min="8" max="8" width="11.28515625" style="1" customWidth="1"/>
    <col min="9" max="16" width="14.7109375" style="1" bestFit="1" customWidth="1"/>
    <col min="17" max="18" width="11.5703125" style="1" bestFit="1" customWidth="1"/>
    <col min="19" max="16384" width="9.140625" style="1"/>
  </cols>
  <sheetData>
    <row r="2" spans="1:19" ht="25.5" x14ac:dyDescent="0.35">
      <c r="A2" s="14" t="s">
        <v>83</v>
      </c>
      <c r="B2" s="15"/>
      <c r="C2" s="15"/>
      <c r="D2" s="15"/>
      <c r="E2" s="15"/>
      <c r="F2" s="1" t="s">
        <v>382</v>
      </c>
    </row>
    <row r="4" spans="1:19" x14ac:dyDescent="0.25">
      <c r="A4" s="2" t="s">
        <v>74</v>
      </c>
      <c r="B4" s="3" t="s">
        <v>21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</row>
    <row r="5" spans="1:19" x14ac:dyDescent="0.25">
      <c r="A5" s="5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s="43" customFormat="1" x14ac:dyDescent="0.25">
      <c r="A6" s="42" t="s">
        <v>1</v>
      </c>
      <c r="B6" s="42">
        <v>1042732</v>
      </c>
      <c r="C6" s="42">
        <v>1077823</v>
      </c>
      <c r="D6" s="42">
        <v>838544</v>
      </c>
      <c r="E6" s="42">
        <v>1653913</v>
      </c>
      <c r="F6" s="42">
        <v>1003272</v>
      </c>
      <c r="G6" s="42">
        <v>1177913</v>
      </c>
      <c r="H6" s="42">
        <v>1738185</v>
      </c>
      <c r="I6" s="42">
        <v>239091</v>
      </c>
      <c r="J6" s="42">
        <v>571730</v>
      </c>
      <c r="K6" s="42">
        <v>1674367</v>
      </c>
      <c r="L6" s="42">
        <v>1838911</v>
      </c>
      <c r="M6" s="42">
        <v>3237274</v>
      </c>
      <c r="N6" s="42">
        <v>2150912</v>
      </c>
      <c r="O6" s="42">
        <v>1223635</v>
      </c>
      <c r="P6" s="42">
        <v>849091</v>
      </c>
      <c r="Q6" s="42">
        <v>131091</v>
      </c>
    </row>
    <row r="7" spans="1:19" s="43" customFormat="1" x14ac:dyDescent="0.25">
      <c r="A7" s="44">
        <v>5</v>
      </c>
      <c r="B7" s="44">
        <f>ROUND(B6/$A$7,0)</f>
        <v>208546</v>
      </c>
      <c r="C7" s="44">
        <f t="shared" ref="C7:Q7" si="0">ROUND(C6/$A$7,0)</f>
        <v>215565</v>
      </c>
      <c r="D7" s="44">
        <f t="shared" si="0"/>
        <v>167709</v>
      </c>
      <c r="E7" s="44">
        <f t="shared" si="0"/>
        <v>330783</v>
      </c>
      <c r="F7" s="44">
        <f t="shared" si="0"/>
        <v>200654</v>
      </c>
      <c r="G7" s="44">
        <f t="shared" si="0"/>
        <v>235583</v>
      </c>
      <c r="H7" s="44">
        <f t="shared" si="0"/>
        <v>347637</v>
      </c>
      <c r="I7" s="44">
        <f t="shared" si="0"/>
        <v>47818</v>
      </c>
      <c r="J7" s="44">
        <f t="shared" si="0"/>
        <v>114346</v>
      </c>
      <c r="K7" s="44">
        <f t="shared" si="0"/>
        <v>334873</v>
      </c>
      <c r="L7" s="44">
        <f t="shared" si="0"/>
        <v>367782</v>
      </c>
      <c r="M7" s="44">
        <f t="shared" si="0"/>
        <v>647455</v>
      </c>
      <c r="N7" s="44">
        <f t="shared" si="0"/>
        <v>430182</v>
      </c>
      <c r="O7" s="44">
        <f t="shared" si="0"/>
        <v>244727</v>
      </c>
      <c r="P7" s="44">
        <f t="shared" si="0"/>
        <v>169818</v>
      </c>
      <c r="Q7" s="44">
        <f t="shared" si="0"/>
        <v>26218</v>
      </c>
    </row>
    <row r="8" spans="1:19" s="37" customFormat="1" x14ac:dyDescent="0.25">
      <c r="A8" s="45" t="s">
        <v>302</v>
      </c>
      <c r="B8" s="45">
        <f>B7</f>
        <v>208546</v>
      </c>
      <c r="C8" s="45">
        <f t="shared" ref="C8:Q8" si="1">C7</f>
        <v>215565</v>
      </c>
      <c r="D8" s="45">
        <f t="shared" si="1"/>
        <v>167709</v>
      </c>
      <c r="E8" s="45">
        <f t="shared" si="1"/>
        <v>330783</v>
      </c>
      <c r="F8" s="45">
        <f t="shared" si="1"/>
        <v>200654</v>
      </c>
      <c r="G8" s="45">
        <f t="shared" si="1"/>
        <v>235583</v>
      </c>
      <c r="H8" s="45">
        <f t="shared" si="1"/>
        <v>347637</v>
      </c>
      <c r="I8" s="45">
        <f t="shared" si="1"/>
        <v>47818</v>
      </c>
      <c r="J8" s="45">
        <f t="shared" si="1"/>
        <v>114346</v>
      </c>
      <c r="K8" s="45">
        <f t="shared" si="1"/>
        <v>334873</v>
      </c>
      <c r="L8" s="45">
        <f t="shared" si="1"/>
        <v>367782</v>
      </c>
      <c r="M8" s="45">
        <f t="shared" si="1"/>
        <v>647455</v>
      </c>
      <c r="N8" s="45">
        <f t="shared" si="1"/>
        <v>430182</v>
      </c>
      <c r="O8" s="45">
        <f t="shared" si="1"/>
        <v>244727</v>
      </c>
      <c r="P8" s="45">
        <f t="shared" si="1"/>
        <v>169818</v>
      </c>
      <c r="Q8" s="45">
        <f t="shared" si="1"/>
        <v>26218</v>
      </c>
      <c r="R8" s="43">
        <f t="shared" ref="R8:R9" si="2">SUM(B8:Q8)</f>
        <v>4089696</v>
      </c>
    </row>
    <row r="9" spans="1:19" x14ac:dyDescent="0.25">
      <c r="A9" s="12" t="s">
        <v>303</v>
      </c>
      <c r="B9" s="12">
        <v>2</v>
      </c>
      <c r="C9" s="12">
        <v>2</v>
      </c>
      <c r="D9" s="12">
        <v>2</v>
      </c>
      <c r="E9" s="12">
        <v>2</v>
      </c>
      <c r="F9" s="12">
        <v>2</v>
      </c>
      <c r="G9" s="12">
        <v>2</v>
      </c>
      <c r="H9" s="12">
        <v>2</v>
      </c>
      <c r="I9" s="12">
        <v>2</v>
      </c>
      <c r="J9" s="12">
        <v>2</v>
      </c>
      <c r="K9" s="12">
        <v>2</v>
      </c>
      <c r="L9" s="12">
        <v>3</v>
      </c>
      <c r="M9" s="12">
        <v>2</v>
      </c>
      <c r="N9" s="12">
        <v>3</v>
      </c>
      <c r="O9" s="12">
        <v>2</v>
      </c>
      <c r="P9" s="12">
        <v>2</v>
      </c>
      <c r="Q9" s="12"/>
      <c r="R9" s="43">
        <f t="shared" si="2"/>
        <v>32</v>
      </c>
    </row>
    <row r="10" spans="1:19" x14ac:dyDescent="0.25">
      <c r="A10" s="12" t="s">
        <v>304</v>
      </c>
      <c r="B10" s="46">
        <f t="shared" ref="B10:P10" si="3">B9*18000</f>
        <v>36000</v>
      </c>
      <c r="C10" s="46">
        <f t="shared" si="3"/>
        <v>36000</v>
      </c>
      <c r="D10" s="46">
        <f t="shared" si="3"/>
        <v>36000</v>
      </c>
      <c r="E10" s="46">
        <f t="shared" si="3"/>
        <v>36000</v>
      </c>
      <c r="F10" s="46">
        <f t="shared" si="3"/>
        <v>36000</v>
      </c>
      <c r="G10" s="46">
        <f t="shared" si="3"/>
        <v>36000</v>
      </c>
      <c r="H10" s="46">
        <f t="shared" si="3"/>
        <v>36000</v>
      </c>
      <c r="I10" s="46">
        <f t="shared" si="3"/>
        <v>36000</v>
      </c>
      <c r="J10" s="46">
        <f t="shared" si="3"/>
        <v>36000</v>
      </c>
      <c r="K10" s="46">
        <f t="shared" si="3"/>
        <v>36000</v>
      </c>
      <c r="L10" s="46">
        <f t="shared" si="3"/>
        <v>54000</v>
      </c>
      <c r="M10" s="46">
        <f t="shared" si="3"/>
        <v>36000</v>
      </c>
      <c r="N10" s="46">
        <f t="shared" si="3"/>
        <v>54000</v>
      </c>
      <c r="O10" s="46">
        <f t="shared" si="3"/>
        <v>36000</v>
      </c>
      <c r="P10" s="46">
        <f t="shared" si="3"/>
        <v>36000</v>
      </c>
      <c r="Q10" s="12"/>
      <c r="R10" s="43">
        <f>SUM(B10:Q10)</f>
        <v>576000</v>
      </c>
      <c r="S10" s="47">
        <f>R10/R8</f>
        <v>0.14084176427783385</v>
      </c>
    </row>
    <row r="12" spans="1:19" x14ac:dyDescent="0.25">
      <c r="A12" s="13" t="s">
        <v>75</v>
      </c>
    </row>
    <row r="13" spans="1:19" x14ac:dyDescent="0.25">
      <c r="A13" s="2" t="s">
        <v>78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/>
      <c r="K13" s="2"/>
      <c r="L13" s="2"/>
      <c r="M13" s="2"/>
      <c r="N13" s="2"/>
      <c r="O13" s="2"/>
      <c r="P13" s="2"/>
      <c r="Q13" s="2"/>
    </row>
    <row r="14" spans="1:19" x14ac:dyDescent="0.25">
      <c r="A14" s="2" t="s">
        <v>78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/>
      <c r="L14" s="2"/>
      <c r="M14" s="2"/>
      <c r="N14" s="2"/>
      <c r="O14" s="2"/>
      <c r="P14" s="2"/>
      <c r="Q14" s="2"/>
    </row>
    <row r="15" spans="1:19" x14ac:dyDescent="0.25">
      <c r="A15" s="2" t="s">
        <v>63</v>
      </c>
      <c r="B15" s="2"/>
      <c r="C15" s="2"/>
      <c r="D15" s="2"/>
      <c r="E15" s="2"/>
      <c r="F15" s="2"/>
      <c r="G15" s="2"/>
      <c r="H15" s="2"/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/>
    </row>
    <row r="16" spans="1:19" x14ac:dyDescent="0.25">
      <c r="A16" s="2" t="s">
        <v>63</v>
      </c>
      <c r="B16" s="2"/>
      <c r="C16" s="2"/>
      <c r="D16" s="2"/>
      <c r="E16" s="2"/>
      <c r="F16" s="2"/>
      <c r="G16" s="2"/>
      <c r="H16" s="2"/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/>
    </row>
    <row r="17" spans="1:19" x14ac:dyDescent="0.25">
      <c r="A17" s="2" t="s">
        <v>383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</v>
      </c>
      <c r="M17" s="2">
        <v>1</v>
      </c>
      <c r="N17" s="2">
        <v>1</v>
      </c>
      <c r="O17" s="2">
        <v>1</v>
      </c>
      <c r="P17" s="2"/>
      <c r="Q17" s="2"/>
    </row>
    <row r="18" spans="1:19" x14ac:dyDescent="0.25">
      <c r="A18" s="7" t="s">
        <v>303</v>
      </c>
      <c r="B18" s="7">
        <f>SUM(B13:B17)</f>
        <v>2</v>
      </c>
      <c r="C18" s="7">
        <f t="shared" ref="C18:Q18" si="4">SUM(C13:C17)</f>
        <v>2</v>
      </c>
      <c r="D18" s="7">
        <f t="shared" si="4"/>
        <v>2</v>
      </c>
      <c r="E18" s="7">
        <f t="shared" si="4"/>
        <v>2</v>
      </c>
      <c r="F18" s="7">
        <f t="shared" si="4"/>
        <v>2</v>
      </c>
      <c r="G18" s="7">
        <f t="shared" si="4"/>
        <v>2</v>
      </c>
      <c r="H18" s="7">
        <f t="shared" si="4"/>
        <v>2</v>
      </c>
      <c r="I18" s="7">
        <f t="shared" si="4"/>
        <v>4</v>
      </c>
      <c r="J18" s="7">
        <f t="shared" si="4"/>
        <v>2</v>
      </c>
      <c r="K18" s="7">
        <f t="shared" si="4"/>
        <v>2</v>
      </c>
      <c r="L18" s="7">
        <f t="shared" si="4"/>
        <v>3</v>
      </c>
      <c r="M18" s="7">
        <f t="shared" si="4"/>
        <v>3</v>
      </c>
      <c r="N18" s="7">
        <f t="shared" si="4"/>
        <v>3</v>
      </c>
      <c r="O18" s="7">
        <f t="shared" si="4"/>
        <v>3</v>
      </c>
      <c r="P18" s="7">
        <f t="shared" si="4"/>
        <v>2</v>
      </c>
      <c r="Q18" s="7">
        <f t="shared" si="4"/>
        <v>0</v>
      </c>
      <c r="R18" s="43">
        <f>SUM(B18:Q18)</f>
        <v>36</v>
      </c>
    </row>
    <row r="19" spans="1:19" x14ac:dyDescent="0.25">
      <c r="A19" s="12" t="s">
        <v>304</v>
      </c>
      <c r="B19" s="46">
        <f>B18*18000</f>
        <v>36000</v>
      </c>
      <c r="C19" s="46">
        <f t="shared" ref="C19:Q19" si="5">C18*18000</f>
        <v>36000</v>
      </c>
      <c r="D19" s="46">
        <f t="shared" si="5"/>
        <v>36000</v>
      </c>
      <c r="E19" s="46">
        <f t="shared" si="5"/>
        <v>36000</v>
      </c>
      <c r="F19" s="46">
        <f t="shared" si="5"/>
        <v>36000</v>
      </c>
      <c r="G19" s="46">
        <f t="shared" si="5"/>
        <v>36000</v>
      </c>
      <c r="H19" s="46">
        <f t="shared" si="5"/>
        <v>36000</v>
      </c>
      <c r="I19" s="46">
        <f t="shared" si="5"/>
        <v>72000</v>
      </c>
      <c r="J19" s="46">
        <f t="shared" si="5"/>
        <v>36000</v>
      </c>
      <c r="K19" s="46">
        <f t="shared" si="5"/>
        <v>36000</v>
      </c>
      <c r="L19" s="46">
        <f t="shared" si="5"/>
        <v>54000</v>
      </c>
      <c r="M19" s="46">
        <f t="shared" si="5"/>
        <v>54000</v>
      </c>
      <c r="N19" s="46">
        <f t="shared" si="5"/>
        <v>54000</v>
      </c>
      <c r="O19" s="46">
        <f t="shared" si="5"/>
        <v>54000</v>
      </c>
      <c r="P19" s="46">
        <f t="shared" si="5"/>
        <v>36000</v>
      </c>
      <c r="Q19" s="46">
        <f t="shared" si="5"/>
        <v>0</v>
      </c>
      <c r="R19" s="43">
        <f>SUM(B19:Q19)</f>
        <v>648000</v>
      </c>
      <c r="S19" s="47">
        <f>R19/R8</f>
        <v>0.15844698481256309</v>
      </c>
    </row>
    <row r="21" spans="1:19" x14ac:dyDescent="0.25">
      <c r="A21" s="2" t="s">
        <v>74</v>
      </c>
      <c r="B21" s="3" t="s">
        <v>21</v>
      </c>
      <c r="C21" s="3" t="s">
        <v>4</v>
      </c>
      <c r="D21" s="3" t="s">
        <v>5</v>
      </c>
      <c r="E21" s="3" t="s">
        <v>6</v>
      </c>
      <c r="F21" s="3" t="s">
        <v>7</v>
      </c>
      <c r="G21" s="3" t="s">
        <v>8</v>
      </c>
      <c r="H21" s="3" t="s">
        <v>9</v>
      </c>
      <c r="I21" s="3" t="s">
        <v>10</v>
      </c>
      <c r="J21" s="3" t="s">
        <v>11</v>
      </c>
      <c r="K21" s="3" t="s">
        <v>12</v>
      </c>
      <c r="L21" s="3" t="s">
        <v>13</v>
      </c>
      <c r="M21" s="3" t="s">
        <v>14</v>
      </c>
      <c r="N21" s="3" t="s">
        <v>15</v>
      </c>
      <c r="O21" s="3" t="s">
        <v>16</v>
      </c>
      <c r="P21" s="3" t="s">
        <v>17</v>
      </c>
      <c r="Q21" s="3" t="s">
        <v>18</v>
      </c>
    </row>
    <row r="22" spans="1:19" x14ac:dyDescent="0.25">
      <c r="A22" s="5" t="s">
        <v>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9" s="43" customFormat="1" x14ac:dyDescent="0.25">
      <c r="A23" s="42" t="s">
        <v>3</v>
      </c>
      <c r="B23" s="42">
        <v>299092</v>
      </c>
      <c r="C23" s="42">
        <v>637272</v>
      </c>
      <c r="D23" s="42">
        <v>1866180</v>
      </c>
      <c r="E23" s="42">
        <v>797270</v>
      </c>
      <c r="F23" s="42">
        <v>1121271</v>
      </c>
      <c r="G23" s="42">
        <v>205455</v>
      </c>
      <c r="H23" s="42">
        <v>327271</v>
      </c>
      <c r="I23" s="42">
        <v>382729</v>
      </c>
      <c r="J23" s="42">
        <v>287270</v>
      </c>
      <c r="K23" s="42">
        <v>575454</v>
      </c>
      <c r="L23" s="42">
        <v>523637</v>
      </c>
      <c r="M23" s="42">
        <v>1059092</v>
      </c>
      <c r="N23" s="42">
        <v>697275</v>
      </c>
      <c r="O23" s="42">
        <v>400364</v>
      </c>
      <c r="P23" s="42">
        <v>69091</v>
      </c>
      <c r="Q23" s="42">
        <v>43637</v>
      </c>
    </row>
    <row r="24" spans="1:19" s="43" customFormat="1" x14ac:dyDescent="0.25">
      <c r="A24" s="44">
        <v>2</v>
      </c>
      <c r="B24" s="44">
        <f>ROUND(B23/$A$24,0)</f>
        <v>149546</v>
      </c>
      <c r="C24" s="44">
        <f t="shared" ref="C24:Q24" si="6">ROUND(C23/$A$24,0)</f>
        <v>318636</v>
      </c>
      <c r="D24" s="44">
        <f t="shared" si="6"/>
        <v>933090</v>
      </c>
      <c r="E24" s="44">
        <f t="shared" si="6"/>
        <v>398635</v>
      </c>
      <c r="F24" s="44">
        <f t="shared" si="6"/>
        <v>560636</v>
      </c>
      <c r="G24" s="44">
        <f t="shared" si="6"/>
        <v>102728</v>
      </c>
      <c r="H24" s="44">
        <f t="shared" si="6"/>
        <v>163636</v>
      </c>
      <c r="I24" s="44">
        <f t="shared" si="6"/>
        <v>191365</v>
      </c>
      <c r="J24" s="44">
        <f t="shared" si="6"/>
        <v>143635</v>
      </c>
      <c r="K24" s="44">
        <f t="shared" si="6"/>
        <v>287727</v>
      </c>
      <c r="L24" s="44">
        <f t="shared" si="6"/>
        <v>261819</v>
      </c>
      <c r="M24" s="44">
        <f t="shared" si="6"/>
        <v>529546</v>
      </c>
      <c r="N24" s="44">
        <f t="shared" si="6"/>
        <v>348638</v>
      </c>
      <c r="O24" s="44">
        <f t="shared" si="6"/>
        <v>200182</v>
      </c>
      <c r="P24" s="44">
        <f t="shared" si="6"/>
        <v>34546</v>
      </c>
      <c r="Q24" s="44">
        <f t="shared" si="6"/>
        <v>21819</v>
      </c>
    </row>
    <row r="25" spans="1:19" s="37" customFormat="1" x14ac:dyDescent="0.25">
      <c r="A25" s="45" t="s">
        <v>302</v>
      </c>
      <c r="B25" s="45">
        <f>B24</f>
        <v>149546</v>
      </c>
      <c r="C25" s="45">
        <f t="shared" ref="C25:Q25" si="7">C24</f>
        <v>318636</v>
      </c>
      <c r="D25" s="45">
        <f t="shared" si="7"/>
        <v>933090</v>
      </c>
      <c r="E25" s="45">
        <f t="shared" si="7"/>
        <v>398635</v>
      </c>
      <c r="F25" s="45">
        <f t="shared" si="7"/>
        <v>560636</v>
      </c>
      <c r="G25" s="45">
        <f t="shared" si="7"/>
        <v>102728</v>
      </c>
      <c r="H25" s="45">
        <f t="shared" si="7"/>
        <v>163636</v>
      </c>
      <c r="I25" s="45">
        <f t="shared" si="7"/>
        <v>191365</v>
      </c>
      <c r="J25" s="45">
        <f t="shared" si="7"/>
        <v>143635</v>
      </c>
      <c r="K25" s="45">
        <f t="shared" si="7"/>
        <v>287727</v>
      </c>
      <c r="L25" s="45">
        <f t="shared" si="7"/>
        <v>261819</v>
      </c>
      <c r="M25" s="45">
        <f t="shared" si="7"/>
        <v>529546</v>
      </c>
      <c r="N25" s="45">
        <f t="shared" si="7"/>
        <v>348638</v>
      </c>
      <c r="O25" s="45">
        <f t="shared" si="7"/>
        <v>200182</v>
      </c>
      <c r="P25" s="45">
        <f t="shared" si="7"/>
        <v>34546</v>
      </c>
      <c r="Q25" s="45">
        <f t="shared" si="7"/>
        <v>21819</v>
      </c>
      <c r="R25" s="37">
        <f>SUM(B25:Q25)</f>
        <v>4646184</v>
      </c>
    </row>
    <row r="26" spans="1:19" x14ac:dyDescent="0.25">
      <c r="A26" s="12" t="s">
        <v>303</v>
      </c>
      <c r="B26" s="12">
        <v>2</v>
      </c>
      <c r="C26" s="12">
        <v>2</v>
      </c>
      <c r="D26" s="12">
        <v>2</v>
      </c>
      <c r="E26" s="12">
        <v>2</v>
      </c>
      <c r="F26" s="12">
        <v>3</v>
      </c>
      <c r="G26" s="12">
        <v>3</v>
      </c>
      <c r="H26" s="12">
        <v>2</v>
      </c>
      <c r="I26" s="12">
        <v>2</v>
      </c>
      <c r="J26" s="12">
        <v>2</v>
      </c>
      <c r="K26" s="12">
        <v>3</v>
      </c>
      <c r="L26" s="12">
        <v>2</v>
      </c>
      <c r="M26" s="12">
        <v>3</v>
      </c>
      <c r="N26" s="12">
        <v>3</v>
      </c>
      <c r="O26" s="12">
        <v>2</v>
      </c>
      <c r="P26" s="12">
        <v>2</v>
      </c>
      <c r="Q26" s="12"/>
      <c r="R26" s="37">
        <f t="shared" ref="R26:R27" si="8">SUM(B26:Q26)</f>
        <v>35</v>
      </c>
    </row>
    <row r="27" spans="1:19" x14ac:dyDescent="0.25">
      <c r="A27" s="12" t="s">
        <v>304</v>
      </c>
      <c r="B27" s="46">
        <f>B26*18000</f>
        <v>36000</v>
      </c>
      <c r="C27" s="46">
        <f t="shared" ref="C27:P27" si="9">C26*18000</f>
        <v>36000</v>
      </c>
      <c r="D27" s="46">
        <f t="shared" si="9"/>
        <v>36000</v>
      </c>
      <c r="E27" s="46">
        <f t="shared" si="9"/>
        <v>36000</v>
      </c>
      <c r="F27" s="46">
        <f t="shared" si="9"/>
        <v>54000</v>
      </c>
      <c r="G27" s="46">
        <f t="shared" si="9"/>
        <v>54000</v>
      </c>
      <c r="H27" s="46">
        <f t="shared" si="9"/>
        <v>36000</v>
      </c>
      <c r="I27" s="46">
        <f t="shared" si="9"/>
        <v>36000</v>
      </c>
      <c r="J27" s="46">
        <f t="shared" si="9"/>
        <v>36000</v>
      </c>
      <c r="K27" s="46">
        <f t="shared" si="9"/>
        <v>54000</v>
      </c>
      <c r="L27" s="46">
        <f t="shared" si="9"/>
        <v>36000</v>
      </c>
      <c r="M27" s="46">
        <f t="shared" si="9"/>
        <v>54000</v>
      </c>
      <c r="N27" s="46">
        <f t="shared" si="9"/>
        <v>54000</v>
      </c>
      <c r="O27" s="46">
        <f t="shared" si="9"/>
        <v>36000</v>
      </c>
      <c r="P27" s="46">
        <f t="shared" si="9"/>
        <v>36000</v>
      </c>
      <c r="Q27" s="12"/>
      <c r="R27" s="37">
        <f t="shared" si="8"/>
        <v>630000</v>
      </c>
      <c r="S27" s="47">
        <f>R27/R25</f>
        <v>0.13559514646858584</v>
      </c>
    </row>
    <row r="29" spans="1:19" x14ac:dyDescent="0.25">
      <c r="A29" s="13" t="s">
        <v>75</v>
      </c>
    </row>
    <row r="30" spans="1:19" x14ac:dyDescent="0.25">
      <c r="A30" s="2" t="s">
        <v>78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/>
      <c r="K30" s="2"/>
      <c r="L30" s="2"/>
      <c r="M30" s="2"/>
      <c r="N30" s="2"/>
      <c r="O30" s="2"/>
      <c r="P30" s="2"/>
      <c r="Q30" s="2"/>
    </row>
    <row r="31" spans="1:19" x14ac:dyDescent="0.25">
      <c r="A31" s="2" t="s">
        <v>78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/>
      <c r="K31" s="2"/>
      <c r="L31" s="2"/>
      <c r="M31" s="2"/>
      <c r="N31" s="2"/>
      <c r="O31" s="2"/>
      <c r="P31" s="2"/>
      <c r="Q31" s="2"/>
    </row>
    <row r="32" spans="1:19" x14ac:dyDescent="0.25">
      <c r="A32" s="2" t="s">
        <v>73</v>
      </c>
      <c r="B32" s="2"/>
      <c r="C32" s="2"/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/>
      <c r="M32" s="2"/>
      <c r="N32" s="2"/>
      <c r="O32" s="2"/>
      <c r="P32" s="2"/>
      <c r="Q32" s="2"/>
    </row>
    <row r="33" spans="1:19" x14ac:dyDescent="0.25">
      <c r="A33" s="2" t="s">
        <v>63</v>
      </c>
      <c r="B33" s="2"/>
      <c r="C33" s="2"/>
      <c r="D33" s="2"/>
      <c r="E33" s="2"/>
      <c r="F33" s="2"/>
      <c r="G33" s="2"/>
      <c r="H33" s="2"/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/>
    </row>
    <row r="34" spans="1:19" x14ac:dyDescent="0.25">
      <c r="A34" s="2" t="s">
        <v>63</v>
      </c>
      <c r="B34" s="2"/>
      <c r="C34" s="2"/>
      <c r="D34" s="2"/>
      <c r="E34" s="2"/>
      <c r="F34" s="2"/>
      <c r="G34" s="2"/>
      <c r="H34" s="2"/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/>
    </row>
    <row r="35" spans="1:19" x14ac:dyDescent="0.25">
      <c r="A35" s="2" t="s">
        <v>383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</v>
      </c>
      <c r="M35" s="2">
        <v>1</v>
      </c>
      <c r="N35" s="2">
        <v>1</v>
      </c>
      <c r="O35" s="2">
        <v>1</v>
      </c>
      <c r="P35" s="2"/>
      <c r="Q35" s="2"/>
    </row>
    <row r="36" spans="1:19" x14ac:dyDescent="0.25">
      <c r="A36" s="7" t="s">
        <v>303</v>
      </c>
      <c r="B36" s="7">
        <f>SUM(B30:B35)</f>
        <v>2</v>
      </c>
      <c r="C36" s="7">
        <f t="shared" ref="C36:Q36" si="10">SUM(C30:C35)</f>
        <v>2</v>
      </c>
      <c r="D36" s="7">
        <f t="shared" si="10"/>
        <v>3</v>
      </c>
      <c r="E36" s="7">
        <f t="shared" si="10"/>
        <v>3</v>
      </c>
      <c r="F36" s="7">
        <f t="shared" si="10"/>
        <v>3</v>
      </c>
      <c r="G36" s="7">
        <f t="shared" si="10"/>
        <v>3</v>
      </c>
      <c r="H36" s="7">
        <f t="shared" si="10"/>
        <v>3</v>
      </c>
      <c r="I36" s="7">
        <f t="shared" si="10"/>
        <v>5</v>
      </c>
      <c r="J36" s="7">
        <f t="shared" si="10"/>
        <v>3</v>
      </c>
      <c r="K36" s="7">
        <f t="shared" si="10"/>
        <v>3</v>
      </c>
      <c r="L36" s="7">
        <f t="shared" si="10"/>
        <v>3</v>
      </c>
      <c r="M36" s="7">
        <f t="shared" si="10"/>
        <v>3</v>
      </c>
      <c r="N36" s="7">
        <f t="shared" si="10"/>
        <v>3</v>
      </c>
      <c r="O36" s="7">
        <f t="shared" si="10"/>
        <v>3</v>
      </c>
      <c r="P36" s="7">
        <f t="shared" si="10"/>
        <v>2</v>
      </c>
      <c r="Q36" s="7">
        <f t="shared" si="10"/>
        <v>0</v>
      </c>
      <c r="R36" s="1">
        <f>SUM(B36:Q36)</f>
        <v>44</v>
      </c>
    </row>
    <row r="37" spans="1:19" x14ac:dyDescent="0.25">
      <c r="A37" s="12" t="s">
        <v>304</v>
      </c>
      <c r="B37" s="46">
        <f>B36*18000</f>
        <v>36000</v>
      </c>
      <c r="C37" s="46">
        <f t="shared" ref="C37:P37" si="11">C36*18000</f>
        <v>36000</v>
      </c>
      <c r="D37" s="46">
        <f t="shared" si="11"/>
        <v>54000</v>
      </c>
      <c r="E37" s="46">
        <f t="shared" si="11"/>
        <v>54000</v>
      </c>
      <c r="F37" s="46">
        <f t="shared" si="11"/>
        <v>54000</v>
      </c>
      <c r="G37" s="46">
        <f t="shared" si="11"/>
        <v>54000</v>
      </c>
      <c r="H37" s="46">
        <f t="shared" si="11"/>
        <v>54000</v>
      </c>
      <c r="I37" s="46">
        <f t="shared" si="11"/>
        <v>90000</v>
      </c>
      <c r="J37" s="46">
        <f t="shared" si="11"/>
        <v>54000</v>
      </c>
      <c r="K37" s="46">
        <f t="shared" si="11"/>
        <v>54000</v>
      </c>
      <c r="L37" s="46">
        <f t="shared" si="11"/>
        <v>54000</v>
      </c>
      <c r="M37" s="46">
        <f t="shared" si="11"/>
        <v>54000</v>
      </c>
      <c r="N37" s="46">
        <f t="shared" si="11"/>
        <v>54000</v>
      </c>
      <c r="O37" s="46">
        <f t="shared" si="11"/>
        <v>54000</v>
      </c>
      <c r="P37" s="46">
        <f t="shared" si="11"/>
        <v>36000</v>
      </c>
      <c r="Q37" s="12"/>
      <c r="R37" s="37">
        <f t="shared" ref="R37" si="12">SUM(B37:Q37)</f>
        <v>792000</v>
      </c>
      <c r="S37" s="47">
        <f>R37/R25</f>
        <v>0.17046246984622218</v>
      </c>
    </row>
    <row r="39" spans="1:19" x14ac:dyDescent="0.25">
      <c r="A39" s="2" t="s">
        <v>72</v>
      </c>
      <c r="B39" s="2"/>
      <c r="C39" s="2" t="s">
        <v>26</v>
      </c>
      <c r="D39" s="2" t="s">
        <v>27</v>
      </c>
    </row>
    <row r="40" spans="1:19" x14ac:dyDescent="0.25">
      <c r="A40" s="3" t="s">
        <v>0</v>
      </c>
      <c r="B40" s="2"/>
      <c r="C40" s="2"/>
      <c r="D40" s="2"/>
    </row>
    <row r="41" spans="1:19" x14ac:dyDescent="0.25">
      <c r="A41" s="2" t="s">
        <v>78</v>
      </c>
      <c r="B41" s="2" t="s">
        <v>67</v>
      </c>
      <c r="C41" s="2">
        <v>1</v>
      </c>
      <c r="D41" s="2">
        <f>C41*8</f>
        <v>8</v>
      </c>
    </row>
    <row r="42" spans="1:19" x14ac:dyDescent="0.25">
      <c r="A42" s="2" t="s">
        <v>78</v>
      </c>
      <c r="B42" s="2" t="s">
        <v>67</v>
      </c>
      <c r="C42" s="2">
        <v>1</v>
      </c>
      <c r="D42" s="2">
        <f>C42*8</f>
        <v>8</v>
      </c>
    </row>
    <row r="43" spans="1:19" x14ac:dyDescent="0.25">
      <c r="A43" s="2" t="s">
        <v>63</v>
      </c>
      <c r="B43" s="2" t="s">
        <v>67</v>
      </c>
      <c r="C43" s="2">
        <v>1</v>
      </c>
      <c r="D43" s="2">
        <v>8</v>
      </c>
      <c r="F43" s="85" t="s">
        <v>114</v>
      </c>
      <c r="G43" s="3" t="s">
        <v>67</v>
      </c>
      <c r="H43" s="3" t="s">
        <v>68</v>
      </c>
      <c r="I43" s="3" t="s">
        <v>90</v>
      </c>
    </row>
    <row r="44" spans="1:19" x14ac:dyDescent="0.25">
      <c r="A44" s="2" t="s">
        <v>63</v>
      </c>
      <c r="B44" s="2" t="s">
        <v>67</v>
      </c>
      <c r="C44" s="2">
        <v>1</v>
      </c>
      <c r="D44" s="2">
        <v>8</v>
      </c>
      <c r="F44" s="11">
        <f>SUM(G44:I44)</f>
        <v>7</v>
      </c>
      <c r="G44" s="2">
        <v>5</v>
      </c>
      <c r="H44" s="2">
        <v>1</v>
      </c>
      <c r="I44" s="2">
        <v>1</v>
      </c>
    </row>
    <row r="45" spans="1:19" x14ac:dyDescent="0.25">
      <c r="A45" s="2" t="s">
        <v>383</v>
      </c>
      <c r="B45" s="2" t="s">
        <v>68</v>
      </c>
      <c r="C45" s="2">
        <v>1</v>
      </c>
      <c r="D45" s="2">
        <f>21-17</f>
        <v>4</v>
      </c>
      <c r="F45" s="21"/>
      <c r="G45" s="22"/>
      <c r="H45" s="22"/>
      <c r="I45" s="22"/>
    </row>
    <row r="46" spans="1:19" x14ac:dyDescent="0.25">
      <c r="A46" s="2" t="s">
        <v>87</v>
      </c>
      <c r="B46" s="2" t="s">
        <v>67</v>
      </c>
      <c r="C46" s="2">
        <v>1</v>
      </c>
      <c r="D46" s="2"/>
      <c r="F46" s="21"/>
      <c r="G46" s="22"/>
      <c r="H46" s="22"/>
      <c r="I46" s="22"/>
    </row>
    <row r="47" spans="1:19" x14ac:dyDescent="0.25">
      <c r="A47" s="2" t="s">
        <v>88</v>
      </c>
      <c r="B47" s="2"/>
      <c r="C47" s="2">
        <v>1</v>
      </c>
      <c r="D47" s="2"/>
    </row>
    <row r="48" spans="1:19" x14ac:dyDescent="0.25">
      <c r="A48" s="3" t="s">
        <v>66</v>
      </c>
      <c r="B48" s="3"/>
      <c r="C48" s="3">
        <f>SUM(C41:C47)</f>
        <v>7</v>
      </c>
      <c r="D48" s="3">
        <f>SUM(D41:D47)</f>
        <v>36</v>
      </c>
      <c r="F48" s="85" t="s">
        <v>89</v>
      </c>
      <c r="G48" s="3" t="s">
        <v>67</v>
      </c>
      <c r="H48" s="3" t="s">
        <v>68</v>
      </c>
      <c r="I48" s="3" t="s">
        <v>90</v>
      </c>
      <c r="K48" s="85" t="s">
        <v>91</v>
      </c>
      <c r="L48" s="3" t="s">
        <v>67</v>
      </c>
      <c r="M48" s="3" t="s">
        <v>68</v>
      </c>
      <c r="N48" s="3" t="s">
        <v>90</v>
      </c>
    </row>
    <row r="49" spans="1:14" x14ac:dyDescent="0.25">
      <c r="A49" s="3" t="s">
        <v>2</v>
      </c>
      <c r="B49" s="2"/>
      <c r="C49" s="2"/>
      <c r="D49" s="2"/>
      <c r="F49" s="11">
        <f>SUM(G49:I49)</f>
        <v>4</v>
      </c>
      <c r="G49" s="2">
        <v>1</v>
      </c>
      <c r="H49" s="2">
        <v>2</v>
      </c>
      <c r="I49" s="2">
        <v>1</v>
      </c>
      <c r="K49" s="11">
        <f>F44-F49</f>
        <v>3</v>
      </c>
      <c r="L49" s="11">
        <f t="shared" ref="L49:N49" si="13">G44-G49</f>
        <v>4</v>
      </c>
      <c r="M49" s="11"/>
      <c r="N49" s="11">
        <f t="shared" si="13"/>
        <v>0</v>
      </c>
    </row>
    <row r="50" spans="1:14" x14ac:dyDescent="0.25">
      <c r="A50" s="2" t="s">
        <v>78</v>
      </c>
      <c r="B50" s="2" t="s">
        <v>67</v>
      </c>
      <c r="C50" s="2">
        <v>1</v>
      </c>
      <c r="D50" s="2">
        <f>C50*8</f>
        <v>8</v>
      </c>
    </row>
    <row r="51" spans="1:14" x14ac:dyDescent="0.25">
      <c r="A51" s="2" t="s">
        <v>78</v>
      </c>
      <c r="B51" s="2" t="s">
        <v>67</v>
      </c>
      <c r="C51" s="2">
        <v>1</v>
      </c>
      <c r="D51" s="2">
        <f t="shared" ref="D51:D52" si="14">C51*8</f>
        <v>8</v>
      </c>
      <c r="K51" s="1" t="s">
        <v>119</v>
      </c>
    </row>
    <row r="52" spans="1:14" x14ac:dyDescent="0.25">
      <c r="A52" s="2" t="s">
        <v>73</v>
      </c>
      <c r="B52" s="2" t="s">
        <v>67</v>
      </c>
      <c r="C52" s="2">
        <v>1</v>
      </c>
      <c r="D52" s="2">
        <f t="shared" si="14"/>
        <v>8</v>
      </c>
      <c r="K52" s="1" t="s">
        <v>384</v>
      </c>
    </row>
    <row r="53" spans="1:14" x14ac:dyDescent="0.25">
      <c r="A53" s="2" t="s">
        <v>63</v>
      </c>
      <c r="B53" s="2" t="s">
        <v>67</v>
      </c>
      <c r="C53" s="2">
        <v>1</v>
      </c>
      <c r="D53" s="2">
        <f>C53*8</f>
        <v>8</v>
      </c>
      <c r="K53" s="1" t="s">
        <v>121</v>
      </c>
    </row>
    <row r="54" spans="1:14" x14ac:dyDescent="0.25">
      <c r="A54" s="2" t="s">
        <v>63</v>
      </c>
      <c r="B54" s="2" t="s">
        <v>67</v>
      </c>
      <c r="C54" s="2">
        <v>1</v>
      </c>
      <c r="D54" s="2">
        <v>8</v>
      </c>
    </row>
    <row r="55" spans="1:14" x14ac:dyDescent="0.25">
      <c r="A55" s="2" t="s">
        <v>383</v>
      </c>
      <c r="B55" s="2" t="s">
        <v>68</v>
      </c>
      <c r="C55" s="2">
        <v>1</v>
      </c>
      <c r="D55" s="2">
        <v>4</v>
      </c>
    </row>
    <row r="56" spans="1:14" x14ac:dyDescent="0.25">
      <c r="A56" s="2" t="s">
        <v>88</v>
      </c>
      <c r="B56" s="2"/>
      <c r="C56" s="2">
        <v>1</v>
      </c>
      <c r="D56" s="2"/>
    </row>
    <row r="57" spans="1:14" x14ac:dyDescent="0.25">
      <c r="A57" s="3" t="s">
        <v>66</v>
      </c>
      <c r="B57" s="3"/>
      <c r="C57" s="3">
        <f>SUM(C50:C56)</f>
        <v>7</v>
      </c>
      <c r="D57" s="3">
        <f>SUM(D50:D56)</f>
        <v>44</v>
      </c>
    </row>
    <row r="59" spans="1:14" x14ac:dyDescent="0.25">
      <c r="A59" s="2" t="s">
        <v>22</v>
      </c>
      <c r="B59" s="2"/>
      <c r="C59" s="2"/>
      <c r="E59" s="1" t="s">
        <v>64</v>
      </c>
      <c r="F59" s="1" t="s">
        <v>70</v>
      </c>
    </row>
    <row r="60" spans="1:14" x14ac:dyDescent="0.25">
      <c r="A60" s="3" t="s">
        <v>0</v>
      </c>
      <c r="B60" s="2"/>
      <c r="C60" s="2"/>
      <c r="E60" s="1" t="s">
        <v>69</v>
      </c>
      <c r="F60" s="1" t="s">
        <v>71</v>
      </c>
    </row>
    <row r="61" spans="1:14" x14ac:dyDescent="0.25">
      <c r="A61" s="2" t="s">
        <v>23</v>
      </c>
      <c r="B61" s="2">
        <v>12</v>
      </c>
      <c r="C61" s="2" t="s">
        <v>24</v>
      </c>
      <c r="E61" s="1">
        <f>D48</f>
        <v>36</v>
      </c>
      <c r="F61" s="1" t="s">
        <v>24</v>
      </c>
      <c r="G61" s="1">
        <f>E61/B61</f>
        <v>3</v>
      </c>
      <c r="H61" s="1" t="s">
        <v>76</v>
      </c>
    </row>
    <row r="62" spans="1:14" x14ac:dyDescent="0.25">
      <c r="A62" s="3" t="s">
        <v>2</v>
      </c>
      <c r="B62" s="2"/>
      <c r="C62" s="2"/>
    </row>
    <row r="63" spans="1:14" x14ac:dyDescent="0.25">
      <c r="A63" s="2" t="s">
        <v>25</v>
      </c>
      <c r="B63" s="2">
        <f>22-9</f>
        <v>13</v>
      </c>
      <c r="C63" s="2" t="s">
        <v>24</v>
      </c>
      <c r="E63" s="1">
        <f>D57</f>
        <v>44</v>
      </c>
      <c r="F63" s="1" t="str">
        <f>F61</f>
        <v>H</v>
      </c>
      <c r="G63" s="1">
        <f>E63/B63</f>
        <v>3.3846153846153846</v>
      </c>
      <c r="H63" s="1" t="s">
        <v>76</v>
      </c>
    </row>
    <row r="65" spans="1:22" customFormat="1" x14ac:dyDescent="0.25">
      <c r="A65" s="48" t="s">
        <v>307</v>
      </c>
      <c r="B65" s="1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</row>
    <row r="66" spans="1:22" customFormat="1" x14ac:dyDescent="0.25">
      <c r="A66" s="48"/>
      <c r="B66" s="1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</row>
    <row r="67" spans="1:22" customFormat="1" x14ac:dyDescent="0.25">
      <c r="A67" s="50" t="s">
        <v>308</v>
      </c>
      <c r="B67" s="51" t="s">
        <v>309</v>
      </c>
      <c r="C67" s="52" t="s">
        <v>310</v>
      </c>
      <c r="D67" s="51" t="s">
        <v>311</v>
      </c>
      <c r="E67" s="51" t="s">
        <v>312</v>
      </c>
      <c r="F67" s="53" t="s">
        <v>313</v>
      </c>
      <c r="G67" s="51" t="s">
        <v>314</v>
      </c>
      <c r="H67" s="1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</row>
    <row r="68" spans="1:22" customFormat="1" x14ac:dyDescent="0.25">
      <c r="A68" s="50" t="s">
        <v>315</v>
      </c>
      <c r="B68" s="51">
        <v>1</v>
      </c>
      <c r="C68" s="51">
        <v>1</v>
      </c>
      <c r="D68" s="51">
        <v>1</v>
      </c>
      <c r="E68" s="51">
        <v>1</v>
      </c>
      <c r="F68" s="51">
        <v>1</v>
      </c>
      <c r="G68" s="51">
        <v>1</v>
      </c>
      <c r="H68" s="1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</row>
    <row r="69" spans="1:22" customFormat="1" x14ac:dyDescent="0.25">
      <c r="A69" s="50" t="s">
        <v>316</v>
      </c>
      <c r="B69" s="51">
        <v>1</v>
      </c>
      <c r="C69" s="51">
        <v>1</v>
      </c>
      <c r="D69" s="51">
        <v>1</v>
      </c>
      <c r="E69" s="51">
        <v>1</v>
      </c>
      <c r="F69" s="51">
        <v>1</v>
      </c>
      <c r="G69" s="51">
        <v>2</v>
      </c>
      <c r="H69" s="1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</row>
    <row r="70" spans="1:22" customFormat="1" x14ac:dyDescent="0.25">
      <c r="A70" s="50" t="s">
        <v>317</v>
      </c>
      <c r="B70" s="51">
        <v>1</v>
      </c>
      <c r="C70" s="51">
        <v>1</v>
      </c>
      <c r="D70" s="51">
        <v>1</v>
      </c>
      <c r="E70" s="51">
        <v>2</v>
      </c>
      <c r="F70" s="51">
        <v>2</v>
      </c>
      <c r="G70" s="51">
        <v>2</v>
      </c>
      <c r="H70" s="1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</row>
    <row r="71" spans="1:22" customFormat="1" x14ac:dyDescent="0.25">
      <c r="A71" s="50" t="s">
        <v>318</v>
      </c>
      <c r="B71" s="51">
        <v>0</v>
      </c>
      <c r="C71" s="51">
        <v>1</v>
      </c>
      <c r="D71" s="51">
        <v>1</v>
      </c>
      <c r="E71" s="51">
        <v>1</v>
      </c>
      <c r="F71" s="51">
        <v>1</v>
      </c>
      <c r="G71" s="51">
        <v>1</v>
      </c>
      <c r="H71" s="1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</row>
    <row r="72" spans="1:22" customFormat="1" x14ac:dyDescent="0.25">
      <c r="A72" s="50" t="s">
        <v>319</v>
      </c>
      <c r="B72" s="51">
        <f t="shared" ref="B72:G72" si="15">SUM(B68:B71)</f>
        <v>3</v>
      </c>
      <c r="C72" s="51">
        <f t="shared" si="15"/>
        <v>4</v>
      </c>
      <c r="D72" s="51">
        <f t="shared" si="15"/>
        <v>4</v>
      </c>
      <c r="E72" s="51">
        <f t="shared" si="15"/>
        <v>5</v>
      </c>
      <c r="F72" s="51">
        <f t="shared" si="15"/>
        <v>5</v>
      </c>
      <c r="G72" s="51">
        <f t="shared" si="15"/>
        <v>6</v>
      </c>
      <c r="H72" s="1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</row>
    <row r="73" spans="1:22" customFormat="1" x14ac:dyDescent="0.25">
      <c r="B73" s="49"/>
      <c r="C73" s="49"/>
      <c r="D73" s="49"/>
      <c r="E73" s="49"/>
      <c r="F73" s="49"/>
      <c r="G73" s="49"/>
      <c r="H73" s="1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</row>
    <row r="74" spans="1:22" customFormat="1" x14ac:dyDescent="0.25">
      <c r="A74" s="50" t="s">
        <v>320</v>
      </c>
      <c r="B74" s="54">
        <f>22-10</f>
        <v>12</v>
      </c>
      <c r="C74" s="54">
        <f t="shared" ref="C74:G74" si="16">22-10</f>
        <v>12</v>
      </c>
      <c r="D74" s="54">
        <f t="shared" si="16"/>
        <v>12</v>
      </c>
      <c r="E74" s="54">
        <f t="shared" si="16"/>
        <v>12</v>
      </c>
      <c r="F74" s="54">
        <f t="shared" si="16"/>
        <v>12</v>
      </c>
      <c r="G74" s="54">
        <f t="shared" si="16"/>
        <v>12</v>
      </c>
      <c r="H74" s="1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</row>
    <row r="75" spans="1:22" customFormat="1" x14ac:dyDescent="0.25">
      <c r="A75" s="50" t="s">
        <v>321</v>
      </c>
      <c r="B75" s="54">
        <v>2</v>
      </c>
      <c r="C75" s="54">
        <v>2</v>
      </c>
      <c r="D75" s="54">
        <v>2</v>
      </c>
      <c r="E75" s="54">
        <v>2</v>
      </c>
      <c r="F75" s="54">
        <v>2</v>
      </c>
      <c r="G75" s="54">
        <v>2</v>
      </c>
      <c r="H75" s="1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</row>
    <row r="76" spans="1:22" customFormat="1" x14ac:dyDescent="0.25">
      <c r="A76" s="50" t="s">
        <v>322</v>
      </c>
      <c r="B76" s="55">
        <f t="shared" ref="B76:G76" si="17">SUM(B74+B75)/8</f>
        <v>1.75</v>
      </c>
      <c r="C76" s="55">
        <f t="shared" si="17"/>
        <v>1.75</v>
      </c>
      <c r="D76" s="55">
        <f t="shared" si="17"/>
        <v>1.75</v>
      </c>
      <c r="E76" s="55">
        <f t="shared" si="17"/>
        <v>1.75</v>
      </c>
      <c r="F76" s="55">
        <f t="shared" si="17"/>
        <v>1.75</v>
      </c>
      <c r="G76" s="55">
        <f t="shared" si="17"/>
        <v>1.75</v>
      </c>
      <c r="H76" s="1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</row>
    <row r="77" spans="1:22" customFormat="1" x14ac:dyDescent="0.25">
      <c r="A77" s="50" t="s">
        <v>323</v>
      </c>
      <c r="B77" s="55">
        <f>SUM(B72*B76)</f>
        <v>5.25</v>
      </c>
      <c r="C77" s="55">
        <f t="shared" ref="C77:G77" si="18">SUM(C72*C76)</f>
        <v>7</v>
      </c>
      <c r="D77" s="55">
        <f t="shared" si="18"/>
        <v>7</v>
      </c>
      <c r="E77" s="55">
        <f t="shared" si="18"/>
        <v>8.75</v>
      </c>
      <c r="F77" s="55">
        <f t="shared" si="18"/>
        <v>8.75</v>
      </c>
      <c r="G77" s="55">
        <f t="shared" si="18"/>
        <v>10.5</v>
      </c>
      <c r="H77" s="1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</row>
    <row r="78" spans="1:22" customFormat="1" x14ac:dyDescent="0.25">
      <c r="B78" s="49"/>
      <c r="C78" s="49"/>
      <c r="D78" s="49"/>
      <c r="E78" s="49"/>
      <c r="F78" s="49"/>
      <c r="G78" s="49"/>
      <c r="H78" s="1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</row>
    <row r="79" spans="1:22" customFormat="1" x14ac:dyDescent="0.25">
      <c r="A79" s="50" t="s">
        <v>324</v>
      </c>
      <c r="B79" s="55">
        <f>SUM(B77*7)/6</f>
        <v>6.125</v>
      </c>
      <c r="C79" s="55">
        <f t="shared" ref="C79:G79" si="19">SUM(C77*7)/6</f>
        <v>8.1666666666666661</v>
      </c>
      <c r="D79" s="55">
        <f t="shared" si="19"/>
        <v>8.1666666666666661</v>
      </c>
      <c r="E79" s="55">
        <f t="shared" si="19"/>
        <v>10.208333333333334</v>
      </c>
      <c r="F79" s="55">
        <f t="shared" si="19"/>
        <v>10.208333333333334</v>
      </c>
      <c r="G79" s="55">
        <f t="shared" si="19"/>
        <v>12.25</v>
      </c>
      <c r="H79" s="1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</row>
    <row r="80" spans="1:22" x14ac:dyDescent="0.25">
      <c r="R80" s="37"/>
    </row>
    <row r="81" spans="1:22" customFormat="1" x14ac:dyDescent="0.25">
      <c r="A81" s="50" t="s">
        <v>365</v>
      </c>
      <c r="B81" s="54">
        <f>22-9</f>
        <v>13</v>
      </c>
      <c r="C81" s="54">
        <f t="shared" ref="C81:G81" si="20">22-9</f>
        <v>13</v>
      </c>
      <c r="D81" s="54">
        <f t="shared" si="20"/>
        <v>13</v>
      </c>
      <c r="E81" s="54">
        <f t="shared" si="20"/>
        <v>13</v>
      </c>
      <c r="F81" s="54">
        <f t="shared" si="20"/>
        <v>13</v>
      </c>
      <c r="G81" s="54">
        <f t="shared" si="20"/>
        <v>13</v>
      </c>
      <c r="H81" s="1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</row>
    <row r="82" spans="1:22" customFormat="1" x14ac:dyDescent="0.25">
      <c r="A82" s="50" t="s">
        <v>321</v>
      </c>
      <c r="B82" s="54">
        <v>2</v>
      </c>
      <c r="C82" s="54">
        <v>2</v>
      </c>
      <c r="D82" s="54">
        <v>2</v>
      </c>
      <c r="E82" s="54">
        <v>2</v>
      </c>
      <c r="F82" s="54">
        <v>2</v>
      </c>
      <c r="G82" s="54">
        <v>2</v>
      </c>
      <c r="H82" s="1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</row>
    <row r="83" spans="1:22" customFormat="1" x14ac:dyDescent="0.25">
      <c r="A83" s="50" t="s">
        <v>322</v>
      </c>
      <c r="B83" s="55">
        <f>SUM(B81+B82)/8</f>
        <v>1.875</v>
      </c>
      <c r="C83" s="55">
        <f t="shared" ref="C83" si="21">SUM(C81+C82)/8</f>
        <v>1.875</v>
      </c>
      <c r="D83" s="55">
        <f t="shared" ref="D83:G83" si="22">SUM(D81+D82)/8</f>
        <v>1.875</v>
      </c>
      <c r="E83" s="55">
        <f t="shared" si="22"/>
        <v>1.875</v>
      </c>
      <c r="F83" s="55">
        <f t="shared" si="22"/>
        <v>1.875</v>
      </c>
      <c r="G83" s="55">
        <f t="shared" si="22"/>
        <v>1.875</v>
      </c>
      <c r="H83" s="1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</row>
    <row r="84" spans="1:22" customFormat="1" x14ac:dyDescent="0.25">
      <c r="A84" s="50" t="s">
        <v>323</v>
      </c>
      <c r="B84" s="55">
        <f>B83*B72</f>
        <v>5.625</v>
      </c>
      <c r="C84" s="55">
        <f t="shared" ref="C84:G84" si="23">C83*C72</f>
        <v>7.5</v>
      </c>
      <c r="D84" s="55">
        <f t="shared" si="23"/>
        <v>7.5</v>
      </c>
      <c r="E84" s="55">
        <f t="shared" si="23"/>
        <v>9.375</v>
      </c>
      <c r="F84" s="55">
        <f t="shared" si="23"/>
        <v>9.375</v>
      </c>
      <c r="G84" s="55">
        <f t="shared" si="23"/>
        <v>11.25</v>
      </c>
      <c r="H84" s="1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</row>
    <row r="85" spans="1:22" customFormat="1" x14ac:dyDescent="0.25">
      <c r="B85" s="49"/>
      <c r="C85" s="49"/>
      <c r="D85" s="49"/>
      <c r="E85" s="49"/>
      <c r="F85" s="49"/>
      <c r="G85" s="49"/>
      <c r="H85" s="1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</row>
    <row r="86" spans="1:22" customFormat="1" x14ac:dyDescent="0.25">
      <c r="A86" s="50" t="s">
        <v>324</v>
      </c>
      <c r="B86" s="55">
        <f>SUM(B84*7)/6</f>
        <v>6.5625</v>
      </c>
      <c r="C86" s="55">
        <f t="shared" ref="C86:G86" si="24">SUM(C84*7)/6</f>
        <v>8.75</v>
      </c>
      <c r="D86" s="55">
        <f t="shared" si="24"/>
        <v>8.75</v>
      </c>
      <c r="E86" s="55">
        <f t="shared" si="24"/>
        <v>10.9375</v>
      </c>
      <c r="F86" s="55">
        <f t="shared" si="24"/>
        <v>10.9375</v>
      </c>
      <c r="G86" s="55">
        <f t="shared" si="24"/>
        <v>13.125</v>
      </c>
      <c r="H86" s="1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</row>
    <row r="87" spans="1:22" x14ac:dyDescent="0.25">
      <c r="R87" s="37"/>
    </row>
    <row r="88" spans="1:22" x14ac:dyDescent="0.25">
      <c r="F88" s="1" t="s">
        <v>106</v>
      </c>
      <c r="G88" s="1" t="s">
        <v>95</v>
      </c>
      <c r="H88" s="1" t="s">
        <v>99</v>
      </c>
    </row>
    <row r="89" spans="1:22" ht="25.5" x14ac:dyDescent="0.35">
      <c r="A89" s="14" t="s">
        <v>84</v>
      </c>
      <c r="B89" s="15"/>
      <c r="C89" s="15"/>
      <c r="D89" s="15"/>
      <c r="E89" s="15"/>
      <c r="F89" s="1" t="s">
        <v>104</v>
      </c>
      <c r="G89" s="1" t="s">
        <v>105</v>
      </c>
      <c r="H89" s="1" t="s">
        <v>100</v>
      </c>
    </row>
    <row r="91" spans="1:22" x14ac:dyDescent="0.25">
      <c r="A91" s="85" t="s">
        <v>80</v>
      </c>
      <c r="B91" s="85" t="s">
        <v>81</v>
      </c>
      <c r="C91" s="85" t="s">
        <v>82</v>
      </c>
      <c r="D91" s="85" t="s">
        <v>66</v>
      </c>
    </row>
    <row r="92" spans="1:22" x14ac:dyDescent="0.25">
      <c r="A92" s="3" t="s">
        <v>0</v>
      </c>
      <c r="B92" s="2">
        <v>243</v>
      </c>
      <c r="C92" s="2">
        <v>47</v>
      </c>
      <c r="D92" s="85">
        <f>B92+C92</f>
        <v>290</v>
      </c>
    </row>
    <row r="93" spans="1:22" x14ac:dyDescent="0.25">
      <c r="A93" s="3" t="s">
        <v>2</v>
      </c>
      <c r="B93" s="2">
        <v>274</v>
      </c>
      <c r="C93" s="2">
        <v>101</v>
      </c>
      <c r="D93" s="85">
        <f>B93+C93</f>
        <v>375</v>
      </c>
    </row>
    <row r="95" spans="1:22" x14ac:dyDescent="0.25">
      <c r="A95" s="85" t="s">
        <v>103</v>
      </c>
      <c r="B95" s="3" t="s">
        <v>67</v>
      </c>
      <c r="C95" s="85" t="s">
        <v>101</v>
      </c>
      <c r="D95" s="3" t="s">
        <v>90</v>
      </c>
      <c r="F95" s="85" t="s">
        <v>89</v>
      </c>
      <c r="G95" s="3" t="s">
        <v>67</v>
      </c>
      <c r="H95" s="3" t="s">
        <v>90</v>
      </c>
      <c r="J95" s="85" t="s">
        <v>149</v>
      </c>
      <c r="K95" s="3" t="s">
        <v>67</v>
      </c>
      <c r="L95" s="3" t="s">
        <v>90</v>
      </c>
    </row>
    <row r="96" spans="1:22" x14ac:dyDescent="0.25">
      <c r="A96" s="11">
        <f>SUM(B96:D96)</f>
        <v>4</v>
      </c>
      <c r="B96" s="2">
        <v>2</v>
      </c>
      <c r="C96" s="2">
        <v>1</v>
      </c>
      <c r="D96" s="2">
        <v>1</v>
      </c>
      <c r="F96" s="11">
        <f>SUM(G96:H96)</f>
        <v>4</v>
      </c>
      <c r="G96" s="2">
        <v>3</v>
      </c>
      <c r="H96" s="2">
        <v>1</v>
      </c>
      <c r="J96" s="11">
        <f>A96-F96</f>
        <v>0</v>
      </c>
      <c r="K96" s="2"/>
      <c r="L96" s="2"/>
    </row>
  </sheetData>
  <pageMargins left="0" right="0" top="0" bottom="0" header="0" footer="0"/>
  <pageSetup paperSize="9" scale="50" orientation="landscape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0"/>
  <sheetViews>
    <sheetView topLeftCell="A13" workbookViewId="0">
      <selection activeCell="C26" sqref="C26"/>
    </sheetView>
  </sheetViews>
  <sheetFormatPr defaultRowHeight="15.75" x14ac:dyDescent="0.25"/>
  <cols>
    <col min="1" max="1" width="14.85546875" style="26" customWidth="1"/>
    <col min="2" max="2" width="37" style="1" customWidth="1"/>
    <col min="3" max="3" width="33.42578125" style="1" customWidth="1"/>
    <col min="4" max="4" width="9.140625" style="1"/>
    <col min="5" max="5" width="15.42578125" style="1" bestFit="1" customWidth="1"/>
    <col min="6" max="6" width="15.7109375" style="1" bestFit="1" customWidth="1"/>
    <col min="7" max="7" width="16.42578125" style="1" bestFit="1" customWidth="1"/>
    <col min="8" max="8" width="15" style="1" bestFit="1" customWidth="1"/>
    <col min="9" max="9" width="21" style="1" bestFit="1" customWidth="1"/>
    <col min="10" max="10" width="17.140625" style="1" customWidth="1"/>
    <col min="11" max="11" width="16" style="1" bestFit="1" customWidth="1"/>
    <col min="12" max="12" width="9.140625" style="1"/>
    <col min="13" max="13" width="15.42578125" style="1" bestFit="1" customWidth="1"/>
    <col min="14" max="14" width="11.5703125" style="1" bestFit="1" customWidth="1"/>
    <col min="15" max="15" width="16.5703125" style="1" bestFit="1" customWidth="1"/>
    <col min="16" max="17" width="12.7109375" style="1" bestFit="1" customWidth="1"/>
    <col min="18" max="18" width="14" style="1" bestFit="1" customWidth="1"/>
    <col min="19" max="19" width="15" style="1" bestFit="1" customWidth="1"/>
    <col min="20" max="20" width="13.140625" style="1" customWidth="1"/>
    <col min="21" max="16384" width="9.140625" style="1"/>
  </cols>
  <sheetData>
    <row r="1" spans="1:19" x14ac:dyDescent="0.25">
      <c r="A1" s="116" t="s">
        <v>434</v>
      </c>
      <c r="B1" s="116"/>
      <c r="C1" s="116"/>
    </row>
    <row r="2" spans="1:19" ht="7.5" customHeight="1" x14ac:dyDescent="0.25">
      <c r="A2" s="91"/>
      <c r="B2" s="91"/>
      <c r="C2" s="91"/>
    </row>
    <row r="3" spans="1:19" ht="19.5" x14ac:dyDescent="0.3">
      <c r="A3" s="117" t="s">
        <v>435</v>
      </c>
      <c r="B3" s="117"/>
      <c r="C3" s="117"/>
    </row>
    <row r="4" spans="1:19" ht="10.5" customHeight="1" x14ac:dyDescent="0.25"/>
    <row r="5" spans="1:19" x14ac:dyDescent="0.25">
      <c r="A5" s="102" t="s">
        <v>401</v>
      </c>
      <c r="B5" s="102"/>
      <c r="C5" s="102"/>
      <c r="E5" s="13" t="s">
        <v>325</v>
      </c>
      <c r="F5" s="102" t="s">
        <v>401</v>
      </c>
      <c r="G5" s="102"/>
      <c r="H5" s="102"/>
    </row>
    <row r="6" spans="1:19" x14ac:dyDescent="0.25">
      <c r="A6" s="103" t="s">
        <v>185</v>
      </c>
      <c r="B6" s="103" t="s">
        <v>186</v>
      </c>
      <c r="C6" s="103" t="s">
        <v>188</v>
      </c>
      <c r="E6" s="107" t="s">
        <v>339</v>
      </c>
      <c r="F6" s="103" t="s">
        <v>328</v>
      </c>
      <c r="G6" s="103"/>
      <c r="H6" s="107" t="s">
        <v>329</v>
      </c>
      <c r="I6" s="104" t="s">
        <v>333</v>
      </c>
      <c r="J6" s="104"/>
      <c r="K6" s="104"/>
      <c r="M6" s="107" t="s">
        <v>195</v>
      </c>
      <c r="N6" s="103" t="s">
        <v>343</v>
      </c>
      <c r="O6" s="103"/>
      <c r="P6" s="104" t="s">
        <v>357</v>
      </c>
      <c r="Q6" s="104"/>
      <c r="R6" s="104"/>
      <c r="S6" s="40" t="s">
        <v>361</v>
      </c>
    </row>
    <row r="7" spans="1:19" x14ac:dyDescent="0.25">
      <c r="A7" s="103"/>
      <c r="B7" s="103"/>
      <c r="C7" s="103"/>
      <c r="E7" s="108"/>
      <c r="F7" s="41" t="s">
        <v>334</v>
      </c>
      <c r="G7" s="41" t="s">
        <v>335</v>
      </c>
      <c r="H7" s="108"/>
      <c r="I7" s="3" t="s">
        <v>330</v>
      </c>
      <c r="J7" s="3" t="s">
        <v>331</v>
      </c>
      <c r="K7" s="3" t="s">
        <v>332</v>
      </c>
      <c r="M7" s="108"/>
      <c r="N7" s="41" t="s">
        <v>344</v>
      </c>
      <c r="O7" s="41"/>
      <c r="P7" s="41" t="s">
        <v>344</v>
      </c>
      <c r="Q7" s="41"/>
      <c r="R7" s="40" t="s">
        <v>66</v>
      </c>
      <c r="S7" s="40" t="s">
        <v>362</v>
      </c>
    </row>
    <row r="8" spans="1:19" x14ac:dyDescent="0.25">
      <c r="A8" s="24">
        <v>1</v>
      </c>
      <c r="B8" s="4" t="s">
        <v>432</v>
      </c>
      <c r="C8" s="29">
        <v>1</v>
      </c>
      <c r="E8" s="3" t="s">
        <v>326</v>
      </c>
      <c r="F8" s="11">
        <v>220</v>
      </c>
      <c r="G8" s="11">
        <f>ROUND(F8/8,0)</f>
        <v>28</v>
      </c>
      <c r="H8" s="56">
        <v>15980180</v>
      </c>
      <c r="I8" s="11" t="s">
        <v>23</v>
      </c>
      <c r="J8" s="2">
        <f>22-10</f>
        <v>12</v>
      </c>
      <c r="K8" s="2">
        <f>J8*7</f>
        <v>84</v>
      </c>
      <c r="M8" s="3" t="s">
        <v>326</v>
      </c>
      <c r="N8" s="11">
        <v>297</v>
      </c>
      <c r="O8" s="11"/>
      <c r="P8" s="60">
        <f>H8</f>
        <v>15980180</v>
      </c>
      <c r="Q8" s="42"/>
      <c r="R8" s="60">
        <f>P8+Q8</f>
        <v>15980180</v>
      </c>
      <c r="S8" s="57">
        <f>P16/R8</f>
        <v>0.11714511350935972</v>
      </c>
    </row>
    <row r="9" spans="1:19" x14ac:dyDescent="0.25">
      <c r="A9" s="24">
        <v>2</v>
      </c>
      <c r="B9" s="4" t="s">
        <v>346</v>
      </c>
      <c r="C9" s="29">
        <v>1</v>
      </c>
      <c r="E9" s="3" t="s">
        <v>327</v>
      </c>
      <c r="F9" s="11">
        <v>356</v>
      </c>
      <c r="G9" s="11">
        <f>ROUND(F9/8,0)</f>
        <v>45</v>
      </c>
      <c r="H9" s="56">
        <v>26533506</v>
      </c>
      <c r="I9" s="11" t="s">
        <v>25</v>
      </c>
      <c r="J9" s="2">
        <f>22-9</f>
        <v>13</v>
      </c>
      <c r="K9" s="2">
        <f>J9*7</f>
        <v>91</v>
      </c>
      <c r="M9" s="3" t="s">
        <v>327</v>
      </c>
      <c r="N9" s="11">
        <v>957</v>
      </c>
      <c r="O9" s="11"/>
      <c r="P9" s="60">
        <f>H9</f>
        <v>26533506</v>
      </c>
      <c r="Q9" s="42"/>
      <c r="R9" s="60">
        <f>P9+Q9</f>
        <v>26533506</v>
      </c>
      <c r="S9" s="57">
        <f>P16/R9</f>
        <v>7.0552304697313648E-2</v>
      </c>
    </row>
    <row r="10" spans="1:19" x14ac:dyDescent="0.25">
      <c r="A10" s="24">
        <v>3</v>
      </c>
      <c r="B10" s="4" t="s">
        <v>193</v>
      </c>
      <c r="C10" s="29">
        <v>4</v>
      </c>
    </row>
    <row r="11" spans="1:19" x14ac:dyDescent="0.25">
      <c r="A11" s="24">
        <v>4</v>
      </c>
      <c r="B11" s="4" t="s">
        <v>194</v>
      </c>
      <c r="C11" s="29">
        <v>1</v>
      </c>
      <c r="E11" s="107" t="s">
        <v>339</v>
      </c>
      <c r="F11" s="107" t="s">
        <v>336</v>
      </c>
      <c r="G11" s="105" t="s">
        <v>337</v>
      </c>
      <c r="H11" s="106"/>
      <c r="I11" s="40" t="s">
        <v>341</v>
      </c>
      <c r="J11" s="40" t="s">
        <v>349</v>
      </c>
      <c r="K11" s="3" t="s">
        <v>351</v>
      </c>
      <c r="M11" s="103" t="s">
        <v>353</v>
      </c>
      <c r="N11" s="103" t="s">
        <v>336</v>
      </c>
      <c r="O11" s="104" t="s">
        <v>349</v>
      </c>
      <c r="P11" s="104"/>
      <c r="Q11" s="104"/>
      <c r="R11" s="105" t="s">
        <v>358</v>
      </c>
      <c r="S11" s="106"/>
    </row>
    <row r="12" spans="1:19" x14ac:dyDescent="0.25">
      <c r="A12" s="24">
        <v>5</v>
      </c>
      <c r="B12" s="4" t="s">
        <v>417</v>
      </c>
      <c r="C12" s="29">
        <v>3</v>
      </c>
      <c r="E12" s="108"/>
      <c r="F12" s="108"/>
      <c r="G12" s="3" t="s">
        <v>331</v>
      </c>
      <c r="H12" s="3" t="s">
        <v>338</v>
      </c>
      <c r="I12" s="40" t="s">
        <v>342</v>
      </c>
      <c r="J12" s="40" t="s">
        <v>350</v>
      </c>
      <c r="K12" s="3" t="s">
        <v>352</v>
      </c>
      <c r="M12" s="103"/>
      <c r="N12" s="103"/>
      <c r="O12" s="40" t="s">
        <v>356</v>
      </c>
      <c r="P12" s="40" t="s">
        <v>334</v>
      </c>
      <c r="Q12" s="40" t="s">
        <v>340</v>
      </c>
      <c r="R12" s="40" t="s">
        <v>359</v>
      </c>
      <c r="S12" s="40" t="s">
        <v>360</v>
      </c>
    </row>
    <row r="13" spans="1:19" x14ac:dyDescent="0.25">
      <c r="A13" s="30"/>
      <c r="B13" s="12" t="s">
        <v>224</v>
      </c>
      <c r="C13" s="12">
        <v>1</v>
      </c>
      <c r="E13" s="3" t="s">
        <v>326</v>
      </c>
      <c r="F13" s="2">
        <v>3</v>
      </c>
      <c r="G13" s="2">
        <f>F13*8</f>
        <v>24</v>
      </c>
      <c r="H13" s="2">
        <f>F13*8*7</f>
        <v>168</v>
      </c>
      <c r="I13" s="2">
        <f>H13/K8</f>
        <v>2</v>
      </c>
      <c r="J13" s="42">
        <v>21000</v>
      </c>
      <c r="K13" s="57">
        <f>(G13*J13)/H8</f>
        <v>3.1539069021750694E-2</v>
      </c>
      <c r="M13" s="58" t="s">
        <v>195</v>
      </c>
      <c r="N13" s="2">
        <v>4</v>
      </c>
      <c r="O13" s="42">
        <v>27000</v>
      </c>
      <c r="P13" s="60">
        <f>N13*O13*8</f>
        <v>864000</v>
      </c>
      <c r="Q13" s="60">
        <f>P13*7</f>
        <v>6048000</v>
      </c>
      <c r="R13" s="2"/>
      <c r="S13" s="2"/>
    </row>
    <row r="14" spans="1:19" x14ac:dyDescent="0.25">
      <c r="A14" s="30"/>
      <c r="B14" s="12" t="s">
        <v>225</v>
      </c>
      <c r="C14" s="12">
        <v>1</v>
      </c>
      <c r="E14" s="3" t="s">
        <v>327</v>
      </c>
      <c r="F14" s="2">
        <v>4</v>
      </c>
      <c r="G14" s="2">
        <f>F14*8</f>
        <v>32</v>
      </c>
      <c r="H14" s="2">
        <f>F14*8*7</f>
        <v>224</v>
      </c>
      <c r="I14" s="69">
        <f>H14/K9</f>
        <v>2.4615384615384617</v>
      </c>
      <c r="J14" s="42">
        <v>21000</v>
      </c>
      <c r="K14" s="57">
        <f>(G14*J14)/H9</f>
        <v>2.5326468352881826E-2</v>
      </c>
      <c r="M14" s="58" t="s">
        <v>192</v>
      </c>
      <c r="N14" s="2">
        <v>6</v>
      </c>
      <c r="O14" s="42">
        <v>21000</v>
      </c>
      <c r="P14" s="60">
        <f t="shared" ref="P14:P15" si="0">N14*O14*8</f>
        <v>1008000</v>
      </c>
      <c r="Q14" s="60">
        <f t="shared" ref="Q14:Q15" si="1">P14*7</f>
        <v>7056000</v>
      </c>
      <c r="R14" s="2"/>
      <c r="S14" s="2"/>
    </row>
    <row r="15" spans="1:19" x14ac:dyDescent="0.25">
      <c r="A15" s="30"/>
      <c r="B15" s="12" t="s">
        <v>226</v>
      </c>
      <c r="C15" s="12">
        <v>1</v>
      </c>
      <c r="M15" s="59" t="s">
        <v>354</v>
      </c>
      <c r="N15" s="2">
        <v>0</v>
      </c>
      <c r="O15" s="42">
        <v>21000</v>
      </c>
      <c r="P15" s="60">
        <f t="shared" si="0"/>
        <v>0</v>
      </c>
      <c r="Q15" s="60">
        <f t="shared" si="1"/>
        <v>0</v>
      </c>
      <c r="R15" s="2"/>
      <c r="S15" s="2"/>
    </row>
    <row r="16" spans="1:19" x14ac:dyDescent="0.25">
      <c r="A16" s="30"/>
      <c r="B16" s="12" t="s">
        <v>227</v>
      </c>
      <c r="C16" s="12" t="s">
        <v>373</v>
      </c>
      <c r="M16" s="3" t="s">
        <v>355</v>
      </c>
      <c r="N16" s="3">
        <f>SUM(N13:N15)</f>
        <v>10</v>
      </c>
      <c r="O16" s="61">
        <f>SUM(O13:O15)</f>
        <v>69000</v>
      </c>
      <c r="P16" s="61">
        <f>SUM(P13:P15)</f>
        <v>1872000</v>
      </c>
      <c r="Q16" s="61">
        <f>SUM(Q13:Q15)</f>
        <v>13104000</v>
      </c>
      <c r="R16" s="62">
        <f>(R8*5)+R9*2</f>
        <v>132967912</v>
      </c>
      <c r="S16" s="57">
        <f>Q16/R16</f>
        <v>9.8550092295951824E-2</v>
      </c>
    </row>
    <row r="17" spans="1:19" x14ac:dyDescent="0.25">
      <c r="A17" s="101" t="s">
        <v>201</v>
      </c>
      <c r="B17" s="101"/>
      <c r="C17" s="29">
        <f>C12+C11+C10+C9+C8</f>
        <v>10</v>
      </c>
      <c r="E17" s="77"/>
    </row>
    <row r="18" spans="1:19" x14ac:dyDescent="0.25">
      <c r="A18" s="13" t="s">
        <v>398</v>
      </c>
    </row>
    <row r="20" spans="1:19" x14ac:dyDescent="0.25">
      <c r="A20" s="102" t="s">
        <v>402</v>
      </c>
      <c r="B20" s="102"/>
      <c r="C20" s="102"/>
      <c r="E20" s="13" t="s">
        <v>325</v>
      </c>
      <c r="F20" s="102" t="s">
        <v>402</v>
      </c>
      <c r="G20" s="102"/>
      <c r="H20" s="102"/>
    </row>
    <row r="21" spans="1:19" x14ac:dyDescent="0.25">
      <c r="A21" s="103" t="s">
        <v>185</v>
      </c>
      <c r="B21" s="103" t="s">
        <v>186</v>
      </c>
      <c r="C21" s="103" t="s">
        <v>188</v>
      </c>
      <c r="E21" s="107" t="s">
        <v>339</v>
      </c>
      <c r="F21" s="103" t="s">
        <v>328</v>
      </c>
      <c r="G21" s="103"/>
      <c r="H21" s="107" t="s">
        <v>329</v>
      </c>
      <c r="I21" s="104" t="s">
        <v>333</v>
      </c>
      <c r="J21" s="104"/>
      <c r="K21" s="104"/>
      <c r="M21" s="107" t="s">
        <v>195</v>
      </c>
      <c r="N21" s="103" t="s">
        <v>343</v>
      </c>
      <c r="O21" s="103"/>
      <c r="P21" s="104" t="s">
        <v>357</v>
      </c>
      <c r="Q21" s="104"/>
      <c r="R21" s="104"/>
      <c r="S21" s="40" t="s">
        <v>361</v>
      </c>
    </row>
    <row r="22" spans="1:19" x14ac:dyDescent="0.25">
      <c r="A22" s="103"/>
      <c r="B22" s="103"/>
      <c r="C22" s="103"/>
      <c r="E22" s="108"/>
      <c r="F22" s="41" t="s">
        <v>334</v>
      </c>
      <c r="G22" s="41" t="s">
        <v>335</v>
      </c>
      <c r="H22" s="108"/>
      <c r="I22" s="3" t="s">
        <v>330</v>
      </c>
      <c r="J22" s="3" t="s">
        <v>331</v>
      </c>
      <c r="K22" s="3" t="s">
        <v>332</v>
      </c>
      <c r="M22" s="108"/>
      <c r="N22" s="41" t="s">
        <v>344</v>
      </c>
      <c r="O22" s="41" t="s">
        <v>239</v>
      </c>
      <c r="P22" s="41" t="s">
        <v>344</v>
      </c>
      <c r="Q22" s="41" t="s">
        <v>239</v>
      </c>
      <c r="R22" s="40" t="s">
        <v>66</v>
      </c>
      <c r="S22" s="40" t="s">
        <v>362</v>
      </c>
    </row>
    <row r="23" spans="1:19" x14ac:dyDescent="0.25">
      <c r="A23" s="24">
        <v>1</v>
      </c>
      <c r="B23" s="4" t="s">
        <v>432</v>
      </c>
      <c r="C23" s="29">
        <v>1</v>
      </c>
      <c r="E23" s="3" t="s">
        <v>326</v>
      </c>
      <c r="F23" s="11">
        <v>239</v>
      </c>
      <c r="G23" s="11">
        <f>ROUND(F23/8,0)</f>
        <v>30</v>
      </c>
      <c r="H23" s="56">
        <v>18094246</v>
      </c>
      <c r="I23" s="11" t="s">
        <v>53</v>
      </c>
      <c r="J23" s="2">
        <f>22.5-7</f>
        <v>15.5</v>
      </c>
      <c r="K23" s="2">
        <f>J23*7</f>
        <v>108.5</v>
      </c>
      <c r="M23" s="3" t="s">
        <v>326</v>
      </c>
      <c r="N23" s="11">
        <v>318</v>
      </c>
      <c r="O23" s="11">
        <v>143</v>
      </c>
      <c r="P23" s="60">
        <f>H23</f>
        <v>18094246</v>
      </c>
      <c r="Q23" s="42">
        <f>O23*20000</f>
        <v>2860000</v>
      </c>
      <c r="R23" s="60">
        <f>P23+Q23</f>
        <v>20954246</v>
      </c>
      <c r="S23" s="57">
        <f>P31/R23</f>
        <v>0.10995384897170721</v>
      </c>
    </row>
    <row r="24" spans="1:19" x14ac:dyDescent="0.25">
      <c r="A24" s="24">
        <v>2</v>
      </c>
      <c r="B24" s="4" t="s">
        <v>346</v>
      </c>
      <c r="C24" s="29">
        <v>1</v>
      </c>
      <c r="E24" s="3" t="s">
        <v>327</v>
      </c>
      <c r="F24" s="11">
        <v>287</v>
      </c>
      <c r="G24" s="11">
        <f>ROUND(F24/8,0)</f>
        <v>36</v>
      </c>
      <c r="H24" s="56">
        <v>24240421</v>
      </c>
      <c r="I24" s="11" t="s">
        <v>53</v>
      </c>
      <c r="J24" s="2">
        <f>22.5-7</f>
        <v>15.5</v>
      </c>
      <c r="K24" s="2">
        <f>J24*7</f>
        <v>108.5</v>
      </c>
      <c r="M24" s="3" t="s">
        <v>327</v>
      </c>
      <c r="N24" s="11">
        <v>262</v>
      </c>
      <c r="O24" s="11">
        <v>306</v>
      </c>
      <c r="P24" s="60">
        <f>H24</f>
        <v>24240421</v>
      </c>
      <c r="Q24" s="42">
        <f>O24*20000</f>
        <v>6120000</v>
      </c>
      <c r="R24" s="60">
        <f>P24+Q24</f>
        <v>30360421</v>
      </c>
      <c r="S24" s="57">
        <f>P31/R24</f>
        <v>7.5888275725820797E-2</v>
      </c>
    </row>
    <row r="25" spans="1:19" x14ac:dyDescent="0.25">
      <c r="A25" s="24">
        <v>3</v>
      </c>
      <c r="B25" s="4" t="s">
        <v>193</v>
      </c>
      <c r="C25" s="29">
        <v>3</v>
      </c>
    </row>
    <row r="26" spans="1:19" x14ac:dyDescent="0.25">
      <c r="A26" s="24">
        <v>4</v>
      </c>
      <c r="B26" s="4" t="s">
        <v>377</v>
      </c>
      <c r="C26" s="29">
        <v>1</v>
      </c>
      <c r="E26" s="107" t="s">
        <v>339</v>
      </c>
      <c r="F26" s="107" t="s">
        <v>336</v>
      </c>
      <c r="G26" s="105" t="s">
        <v>337</v>
      </c>
      <c r="H26" s="106"/>
      <c r="I26" s="40" t="s">
        <v>341</v>
      </c>
      <c r="J26" s="40" t="s">
        <v>349</v>
      </c>
      <c r="K26" s="3" t="s">
        <v>351</v>
      </c>
      <c r="M26" s="103" t="s">
        <v>353</v>
      </c>
      <c r="N26" s="103" t="s">
        <v>336</v>
      </c>
      <c r="O26" s="104" t="s">
        <v>349</v>
      </c>
      <c r="P26" s="104"/>
      <c r="Q26" s="104"/>
      <c r="R26" s="105" t="s">
        <v>358</v>
      </c>
      <c r="S26" s="106"/>
    </row>
    <row r="27" spans="1:19" x14ac:dyDescent="0.25">
      <c r="A27" s="24">
        <v>5</v>
      </c>
      <c r="B27" s="4" t="s">
        <v>194</v>
      </c>
      <c r="C27" s="29">
        <v>1</v>
      </c>
      <c r="E27" s="108"/>
      <c r="F27" s="108"/>
      <c r="G27" s="3" t="s">
        <v>331</v>
      </c>
      <c r="H27" s="3" t="s">
        <v>338</v>
      </c>
      <c r="I27" s="40" t="s">
        <v>342</v>
      </c>
      <c r="J27" s="40" t="s">
        <v>350</v>
      </c>
      <c r="K27" s="3" t="s">
        <v>352</v>
      </c>
      <c r="M27" s="103"/>
      <c r="N27" s="103"/>
      <c r="O27" s="40" t="s">
        <v>356</v>
      </c>
      <c r="P27" s="40" t="s">
        <v>334</v>
      </c>
      <c r="Q27" s="40" t="s">
        <v>340</v>
      </c>
      <c r="R27" s="40" t="s">
        <v>359</v>
      </c>
      <c r="S27" s="40" t="s">
        <v>360</v>
      </c>
    </row>
    <row r="28" spans="1:19" x14ac:dyDescent="0.25">
      <c r="A28" s="24">
        <v>6</v>
      </c>
      <c r="B28" s="4" t="s">
        <v>417</v>
      </c>
      <c r="C28" s="29">
        <v>5</v>
      </c>
      <c r="E28" s="3" t="s">
        <v>326</v>
      </c>
      <c r="F28" s="2">
        <v>3</v>
      </c>
      <c r="G28" s="2">
        <f>F28*8</f>
        <v>24</v>
      </c>
      <c r="H28" s="2">
        <f>F28*8*7</f>
        <v>168</v>
      </c>
      <c r="I28" s="69">
        <f>H28/K23</f>
        <v>1.5483870967741935</v>
      </c>
      <c r="J28" s="42">
        <v>21000</v>
      </c>
      <c r="K28" s="57">
        <f>(G28*J28)/H23</f>
        <v>2.7854158719849392E-2</v>
      </c>
      <c r="M28" s="58" t="s">
        <v>195</v>
      </c>
      <c r="N28" s="2">
        <v>6</v>
      </c>
      <c r="O28" s="42">
        <v>27000</v>
      </c>
      <c r="P28" s="60">
        <f>N28*O28*8</f>
        <v>1296000</v>
      </c>
      <c r="Q28" s="60">
        <f>P28*7</f>
        <v>9072000</v>
      </c>
      <c r="R28" s="2"/>
      <c r="S28" s="2"/>
    </row>
    <row r="29" spans="1:19" x14ac:dyDescent="0.25">
      <c r="A29" s="30"/>
      <c r="B29" s="12" t="s">
        <v>224</v>
      </c>
      <c r="C29" s="12">
        <v>1</v>
      </c>
      <c r="E29" s="3" t="s">
        <v>327</v>
      </c>
      <c r="F29" s="2">
        <v>4</v>
      </c>
      <c r="G29" s="2">
        <f>F29*8</f>
        <v>32</v>
      </c>
      <c r="H29" s="2">
        <f>F29*8*7</f>
        <v>224</v>
      </c>
      <c r="I29" s="69">
        <f>H29/K24</f>
        <v>2.064516129032258</v>
      </c>
      <c r="J29" s="42">
        <v>21000</v>
      </c>
      <c r="K29" s="57">
        <f>(G29*J29)/H24</f>
        <v>2.7722290796847134E-2</v>
      </c>
      <c r="M29" s="58" t="s">
        <v>192</v>
      </c>
      <c r="N29" s="2">
        <v>5</v>
      </c>
      <c r="O29" s="42">
        <v>21000</v>
      </c>
      <c r="P29" s="60">
        <f t="shared" ref="P29:P30" si="2">N29*O29*8</f>
        <v>840000</v>
      </c>
      <c r="Q29" s="60">
        <f t="shared" ref="Q29:Q30" si="3">P29*7</f>
        <v>5880000</v>
      </c>
      <c r="R29" s="2"/>
      <c r="S29" s="2"/>
    </row>
    <row r="30" spans="1:19" x14ac:dyDescent="0.25">
      <c r="A30" s="30"/>
      <c r="B30" s="12" t="s">
        <v>225</v>
      </c>
      <c r="C30" s="12">
        <v>1</v>
      </c>
      <c r="M30" s="59" t="s">
        <v>354</v>
      </c>
      <c r="N30" s="2">
        <v>1</v>
      </c>
      <c r="O30" s="42">
        <v>21000</v>
      </c>
      <c r="P30" s="60">
        <f t="shared" si="2"/>
        <v>168000</v>
      </c>
      <c r="Q30" s="60">
        <f t="shared" si="3"/>
        <v>1176000</v>
      </c>
      <c r="R30" s="2"/>
      <c r="S30" s="2"/>
    </row>
    <row r="31" spans="1:19" x14ac:dyDescent="0.25">
      <c r="A31" s="30"/>
      <c r="B31" s="12" t="s">
        <v>226</v>
      </c>
      <c r="C31" s="12">
        <v>1</v>
      </c>
      <c r="M31" s="3" t="s">
        <v>355</v>
      </c>
      <c r="N31" s="3">
        <f>SUM(N28:N30)</f>
        <v>12</v>
      </c>
      <c r="O31" s="61">
        <f>SUM(O28:O30)</f>
        <v>69000</v>
      </c>
      <c r="P31" s="61">
        <f>SUM(P28:P30)</f>
        <v>2304000</v>
      </c>
      <c r="Q31" s="61">
        <f>SUM(Q28:Q30)</f>
        <v>16128000</v>
      </c>
      <c r="R31" s="62">
        <f>(R23*5)+R24*2</f>
        <v>165492072</v>
      </c>
      <c r="S31" s="57">
        <f>Q31/R31</f>
        <v>9.745481946712227E-2</v>
      </c>
    </row>
    <row r="32" spans="1:19" x14ac:dyDescent="0.25">
      <c r="A32" s="30"/>
      <c r="B32" s="12" t="s">
        <v>227</v>
      </c>
      <c r="C32" s="12">
        <v>1</v>
      </c>
    </row>
    <row r="33" spans="1:19" x14ac:dyDescent="0.25">
      <c r="A33" s="30"/>
      <c r="B33" s="12" t="s">
        <v>239</v>
      </c>
      <c r="C33" s="12">
        <v>1</v>
      </c>
    </row>
    <row r="34" spans="1:19" x14ac:dyDescent="0.25">
      <c r="A34" s="101" t="s">
        <v>201</v>
      </c>
      <c r="B34" s="101"/>
      <c r="C34" s="29">
        <f>C28+C27+C25+C24+C23+C26</f>
        <v>12</v>
      </c>
    </row>
    <row r="36" spans="1:19" x14ac:dyDescent="0.25">
      <c r="A36" s="102" t="s">
        <v>403</v>
      </c>
      <c r="B36" s="102"/>
      <c r="C36" s="102"/>
      <c r="E36" s="13" t="s">
        <v>325</v>
      </c>
      <c r="F36" s="102" t="s">
        <v>403</v>
      </c>
      <c r="G36" s="102"/>
      <c r="H36" s="102"/>
    </row>
    <row r="37" spans="1:19" x14ac:dyDescent="0.25">
      <c r="A37" s="103" t="s">
        <v>185</v>
      </c>
      <c r="B37" s="103" t="s">
        <v>186</v>
      </c>
      <c r="C37" s="103" t="s">
        <v>188</v>
      </c>
      <c r="E37" s="107" t="s">
        <v>339</v>
      </c>
      <c r="F37" s="103" t="s">
        <v>328</v>
      </c>
      <c r="G37" s="103"/>
      <c r="H37" s="107" t="s">
        <v>329</v>
      </c>
      <c r="I37" s="104" t="s">
        <v>333</v>
      </c>
      <c r="J37" s="104"/>
      <c r="K37" s="104"/>
      <c r="M37" s="107" t="s">
        <v>195</v>
      </c>
      <c r="N37" s="103" t="s">
        <v>343</v>
      </c>
      <c r="O37" s="103"/>
      <c r="P37" s="104" t="s">
        <v>357</v>
      </c>
      <c r="Q37" s="104"/>
      <c r="R37" s="104"/>
      <c r="S37" s="40" t="s">
        <v>361</v>
      </c>
    </row>
    <row r="38" spans="1:19" x14ac:dyDescent="0.25">
      <c r="A38" s="103"/>
      <c r="B38" s="103"/>
      <c r="C38" s="103"/>
      <c r="E38" s="108"/>
      <c r="F38" s="41" t="s">
        <v>334</v>
      </c>
      <c r="G38" s="41" t="s">
        <v>335</v>
      </c>
      <c r="H38" s="108"/>
      <c r="I38" s="3" t="s">
        <v>330</v>
      </c>
      <c r="J38" s="3" t="s">
        <v>331</v>
      </c>
      <c r="K38" s="3" t="s">
        <v>332</v>
      </c>
      <c r="M38" s="108"/>
      <c r="N38" s="41" t="s">
        <v>344</v>
      </c>
      <c r="O38" s="41" t="s">
        <v>345</v>
      </c>
      <c r="P38" s="41" t="s">
        <v>344</v>
      </c>
      <c r="Q38" s="41" t="s">
        <v>345</v>
      </c>
      <c r="R38" s="40" t="s">
        <v>66</v>
      </c>
      <c r="S38" s="40" t="s">
        <v>362</v>
      </c>
    </row>
    <row r="39" spans="1:19" x14ac:dyDescent="0.25">
      <c r="A39" s="24">
        <v>1</v>
      </c>
      <c r="B39" s="4" t="s">
        <v>432</v>
      </c>
      <c r="C39" s="29">
        <v>1</v>
      </c>
      <c r="E39" s="3" t="s">
        <v>326</v>
      </c>
      <c r="F39" s="11">
        <v>95</v>
      </c>
      <c r="G39" s="11">
        <f>ROUND(F39/8,0)</f>
        <v>12</v>
      </c>
      <c r="H39" s="56">
        <v>6514516</v>
      </c>
      <c r="I39" s="11" t="s">
        <v>98</v>
      </c>
      <c r="J39" s="2">
        <f>22-7.5</f>
        <v>14.5</v>
      </c>
      <c r="K39" s="2">
        <f>J39*7</f>
        <v>101.5</v>
      </c>
      <c r="M39" s="3" t="s">
        <v>326</v>
      </c>
      <c r="N39" s="11">
        <v>197</v>
      </c>
      <c r="O39" s="11">
        <v>210</v>
      </c>
      <c r="P39" s="60">
        <f>H39</f>
        <v>6514516</v>
      </c>
      <c r="Q39" s="42">
        <f>O39*14000</f>
        <v>2940000</v>
      </c>
      <c r="R39" s="60">
        <f>P39+Q39</f>
        <v>9454516</v>
      </c>
      <c r="S39" s="57">
        <f>P47/R39</f>
        <v>0.18023133072068417</v>
      </c>
    </row>
    <row r="40" spans="1:19" x14ac:dyDescent="0.25">
      <c r="A40" s="24">
        <v>2</v>
      </c>
      <c r="B40" s="4" t="s">
        <v>346</v>
      </c>
      <c r="C40" s="29">
        <v>1</v>
      </c>
      <c r="E40" s="3" t="s">
        <v>327</v>
      </c>
      <c r="F40" s="11">
        <v>212</v>
      </c>
      <c r="G40" s="11">
        <f>ROUND(F40/8,0)</f>
        <v>27</v>
      </c>
      <c r="H40" s="56">
        <v>14633046</v>
      </c>
      <c r="I40" s="11" t="s">
        <v>97</v>
      </c>
      <c r="J40" s="2">
        <f>22-7</f>
        <v>15</v>
      </c>
      <c r="K40" s="2">
        <f>J40*7</f>
        <v>105</v>
      </c>
      <c r="M40" s="3" t="s">
        <v>327</v>
      </c>
      <c r="N40" s="11">
        <v>332</v>
      </c>
      <c r="O40" s="11">
        <v>375</v>
      </c>
      <c r="P40" s="60">
        <f>H40</f>
        <v>14633046</v>
      </c>
      <c r="Q40" s="42">
        <f>O40*14000</f>
        <v>5250000</v>
      </c>
      <c r="R40" s="60">
        <f>P40+Q40</f>
        <v>19883046</v>
      </c>
      <c r="S40" s="57">
        <f>P47/R40</f>
        <v>8.5701154642000024E-2</v>
      </c>
    </row>
    <row r="41" spans="1:19" x14ac:dyDescent="0.25">
      <c r="A41" s="24">
        <v>3</v>
      </c>
      <c r="B41" s="4" t="s">
        <v>193</v>
      </c>
      <c r="C41" s="29">
        <v>2</v>
      </c>
    </row>
    <row r="42" spans="1:19" x14ac:dyDescent="0.25">
      <c r="A42" s="24">
        <v>4</v>
      </c>
      <c r="B42" s="4" t="s">
        <v>380</v>
      </c>
      <c r="C42" s="29">
        <v>1</v>
      </c>
      <c r="E42" s="107" t="s">
        <v>339</v>
      </c>
      <c r="F42" s="107" t="s">
        <v>336</v>
      </c>
      <c r="G42" s="105" t="s">
        <v>337</v>
      </c>
      <c r="H42" s="106"/>
      <c r="I42" s="40" t="s">
        <v>341</v>
      </c>
      <c r="J42" s="40" t="s">
        <v>349</v>
      </c>
      <c r="K42" s="3" t="s">
        <v>351</v>
      </c>
      <c r="M42" s="103" t="s">
        <v>353</v>
      </c>
      <c r="N42" s="103" t="s">
        <v>336</v>
      </c>
      <c r="O42" s="104" t="s">
        <v>349</v>
      </c>
      <c r="P42" s="104"/>
      <c r="Q42" s="104"/>
      <c r="R42" s="105" t="s">
        <v>358</v>
      </c>
      <c r="S42" s="106"/>
    </row>
    <row r="43" spans="1:19" x14ac:dyDescent="0.25">
      <c r="A43" s="24">
        <v>5</v>
      </c>
      <c r="B43" s="4" t="s">
        <v>194</v>
      </c>
      <c r="C43" s="29">
        <v>1</v>
      </c>
      <c r="E43" s="108"/>
      <c r="F43" s="108"/>
      <c r="G43" s="3" t="s">
        <v>331</v>
      </c>
      <c r="H43" s="3" t="s">
        <v>338</v>
      </c>
      <c r="I43" s="40" t="s">
        <v>342</v>
      </c>
      <c r="J43" s="40" t="s">
        <v>350</v>
      </c>
      <c r="K43" s="3" t="s">
        <v>352</v>
      </c>
      <c r="M43" s="103"/>
      <c r="N43" s="103"/>
      <c r="O43" s="40" t="s">
        <v>356</v>
      </c>
      <c r="P43" s="40" t="s">
        <v>334</v>
      </c>
      <c r="Q43" s="40" t="s">
        <v>340</v>
      </c>
      <c r="R43" s="40" t="s">
        <v>359</v>
      </c>
      <c r="S43" s="40" t="s">
        <v>360</v>
      </c>
    </row>
    <row r="44" spans="1:19" x14ac:dyDescent="0.25">
      <c r="A44" s="24">
        <v>6</v>
      </c>
      <c r="B44" s="4" t="s">
        <v>417</v>
      </c>
      <c r="C44" s="29">
        <v>3</v>
      </c>
      <c r="E44" s="3" t="s">
        <v>326</v>
      </c>
      <c r="F44" s="2">
        <v>3</v>
      </c>
      <c r="G44" s="2">
        <f>F44*8</f>
        <v>24</v>
      </c>
      <c r="H44" s="2">
        <f>F44*8*7</f>
        <v>168</v>
      </c>
      <c r="I44" s="69">
        <f>H44/K39</f>
        <v>1.6551724137931034</v>
      </c>
      <c r="J44" s="42">
        <v>21000</v>
      </c>
      <c r="K44" s="57">
        <f>(G44*J44)/H39</f>
        <v>7.7365686107763038E-2</v>
      </c>
      <c r="M44" s="58" t="s">
        <v>195</v>
      </c>
      <c r="N44" s="2">
        <v>4</v>
      </c>
      <c r="O44" s="42">
        <v>27000</v>
      </c>
      <c r="P44" s="60">
        <f>N44*O44*8</f>
        <v>864000</v>
      </c>
      <c r="Q44" s="60">
        <f>P44*7</f>
        <v>6048000</v>
      </c>
      <c r="R44" s="2"/>
      <c r="S44" s="2"/>
    </row>
    <row r="45" spans="1:19" x14ac:dyDescent="0.25">
      <c r="A45" s="30"/>
      <c r="B45" s="12" t="s">
        <v>224</v>
      </c>
      <c r="C45" s="12">
        <v>1</v>
      </c>
      <c r="E45" s="3" t="s">
        <v>327</v>
      </c>
      <c r="F45" s="2">
        <v>3</v>
      </c>
      <c r="G45" s="2">
        <f>F45*8</f>
        <v>24</v>
      </c>
      <c r="H45" s="2">
        <f>F45*8*7</f>
        <v>168</v>
      </c>
      <c r="I45" s="2">
        <f>H45/K40</f>
        <v>1.6</v>
      </c>
      <c r="J45" s="42">
        <v>21000</v>
      </c>
      <c r="K45" s="57">
        <f>(G45*J45)/H40</f>
        <v>3.4442589738322427E-2</v>
      </c>
      <c r="M45" s="58" t="s">
        <v>192</v>
      </c>
      <c r="N45" s="2">
        <v>4</v>
      </c>
      <c r="O45" s="42">
        <v>21000</v>
      </c>
      <c r="P45" s="60">
        <f t="shared" ref="P45:P46" si="4">N45*O45*8</f>
        <v>672000</v>
      </c>
      <c r="Q45" s="60">
        <f t="shared" ref="Q45:Q46" si="5">P45*7</f>
        <v>4704000</v>
      </c>
      <c r="R45" s="2"/>
      <c r="S45" s="2"/>
    </row>
    <row r="46" spans="1:19" x14ac:dyDescent="0.25">
      <c r="A46" s="30"/>
      <c r="B46" s="12" t="s">
        <v>225</v>
      </c>
      <c r="C46" s="12">
        <v>1</v>
      </c>
      <c r="M46" s="59" t="s">
        <v>354</v>
      </c>
      <c r="N46" s="2">
        <v>1</v>
      </c>
      <c r="O46" s="42">
        <v>21000</v>
      </c>
      <c r="P46" s="60">
        <f t="shared" si="4"/>
        <v>168000</v>
      </c>
      <c r="Q46" s="60">
        <f t="shared" si="5"/>
        <v>1176000</v>
      </c>
      <c r="R46" s="2"/>
      <c r="S46" s="2"/>
    </row>
    <row r="47" spans="1:19" x14ac:dyDescent="0.25">
      <c r="A47" s="30"/>
      <c r="B47" s="12" t="s">
        <v>226</v>
      </c>
      <c r="C47" s="12">
        <v>1</v>
      </c>
      <c r="M47" s="3" t="s">
        <v>355</v>
      </c>
      <c r="N47" s="3">
        <f>SUM(N44:N46)</f>
        <v>9</v>
      </c>
      <c r="O47" s="61">
        <f>SUM(O44:O46)</f>
        <v>69000</v>
      </c>
      <c r="P47" s="61">
        <f>SUM(P44:P46)</f>
        <v>1704000</v>
      </c>
      <c r="Q47" s="61">
        <f>SUM(Q44:Q46)</f>
        <v>11928000</v>
      </c>
      <c r="R47" s="62">
        <f>(R39*5)+R40*2</f>
        <v>87038672</v>
      </c>
      <c r="S47" s="57">
        <f>Q47/R47</f>
        <v>0.13704253208275052</v>
      </c>
    </row>
    <row r="48" spans="1:19" x14ac:dyDescent="0.25">
      <c r="A48" s="30"/>
      <c r="B48" s="12" t="s">
        <v>227</v>
      </c>
      <c r="C48" s="12" t="s">
        <v>381</v>
      </c>
    </row>
    <row r="49" spans="1:19" x14ac:dyDescent="0.25">
      <c r="A49" s="101" t="s">
        <v>201</v>
      </c>
      <c r="B49" s="101"/>
      <c r="C49" s="29">
        <f>C44+C43+C41+C40+C39+C42</f>
        <v>9</v>
      </c>
    </row>
    <row r="54" spans="1:19" x14ac:dyDescent="0.25">
      <c r="A54" s="111" t="s">
        <v>404</v>
      </c>
      <c r="B54" s="112"/>
      <c r="C54" s="112"/>
      <c r="E54" s="13" t="s">
        <v>325</v>
      </c>
      <c r="F54" s="111" t="s">
        <v>404</v>
      </c>
      <c r="G54" s="112"/>
      <c r="H54" s="112"/>
    </row>
    <row r="55" spans="1:19" x14ac:dyDescent="0.25">
      <c r="A55" s="107" t="s">
        <v>185</v>
      </c>
      <c r="B55" s="107" t="s">
        <v>186</v>
      </c>
      <c r="C55" s="107" t="s">
        <v>188</v>
      </c>
      <c r="E55" s="107" t="s">
        <v>339</v>
      </c>
      <c r="F55" s="103" t="s">
        <v>328</v>
      </c>
      <c r="G55" s="103"/>
      <c r="H55" s="107" t="s">
        <v>329</v>
      </c>
      <c r="I55" s="104" t="s">
        <v>333</v>
      </c>
      <c r="J55" s="104"/>
      <c r="K55" s="104"/>
      <c r="M55" s="107" t="s">
        <v>195</v>
      </c>
      <c r="N55" s="103" t="s">
        <v>343</v>
      </c>
      <c r="O55" s="103"/>
      <c r="P55" s="104" t="s">
        <v>357</v>
      </c>
      <c r="Q55" s="104"/>
      <c r="R55" s="104"/>
      <c r="S55" s="68" t="s">
        <v>361</v>
      </c>
    </row>
    <row r="56" spans="1:19" x14ac:dyDescent="0.25">
      <c r="A56" s="108"/>
      <c r="B56" s="108"/>
      <c r="C56" s="108"/>
      <c r="E56" s="108"/>
      <c r="F56" s="67" t="s">
        <v>334</v>
      </c>
      <c r="G56" s="67" t="s">
        <v>335</v>
      </c>
      <c r="H56" s="108"/>
      <c r="I56" s="3" t="s">
        <v>330</v>
      </c>
      <c r="J56" s="3" t="s">
        <v>331</v>
      </c>
      <c r="K56" s="3" t="s">
        <v>332</v>
      </c>
      <c r="M56" s="108"/>
      <c r="N56" s="67" t="s">
        <v>344</v>
      </c>
      <c r="O56" s="67"/>
      <c r="P56" s="67" t="s">
        <v>344</v>
      </c>
      <c r="Q56" s="67"/>
      <c r="R56" s="68" t="s">
        <v>66</v>
      </c>
      <c r="S56" s="68" t="s">
        <v>362</v>
      </c>
    </row>
    <row r="57" spans="1:19" x14ac:dyDescent="0.25">
      <c r="A57" s="24">
        <v>1</v>
      </c>
      <c r="B57" s="4" t="s">
        <v>432</v>
      </c>
      <c r="C57" s="29">
        <v>1</v>
      </c>
      <c r="E57" s="3" t="s">
        <v>326</v>
      </c>
      <c r="F57" s="11">
        <v>179</v>
      </c>
      <c r="G57" s="11">
        <f>ROUND(F57/8,0)</f>
        <v>22</v>
      </c>
      <c r="H57" s="56">
        <v>9828568</v>
      </c>
      <c r="I57" s="11" t="s">
        <v>23</v>
      </c>
      <c r="J57" s="2">
        <f>22-10</f>
        <v>12</v>
      </c>
      <c r="K57" s="2">
        <f>J57*7</f>
        <v>84</v>
      </c>
      <c r="M57" s="3" t="s">
        <v>326</v>
      </c>
      <c r="N57" s="11">
        <v>290</v>
      </c>
      <c r="O57" s="11"/>
      <c r="P57" s="60">
        <f>H57</f>
        <v>9828568</v>
      </c>
      <c r="Q57" s="42"/>
      <c r="R57" s="60">
        <f>P57+Q57</f>
        <v>9828568</v>
      </c>
      <c r="S57" s="57">
        <f>P65/R57</f>
        <v>0.15139540164955873</v>
      </c>
    </row>
    <row r="58" spans="1:19" x14ac:dyDescent="0.25">
      <c r="A58" s="24">
        <v>2</v>
      </c>
      <c r="B58" s="4" t="s">
        <v>346</v>
      </c>
      <c r="C58" s="29">
        <v>1</v>
      </c>
      <c r="E58" s="3" t="s">
        <v>327</v>
      </c>
      <c r="F58" s="11">
        <v>214</v>
      </c>
      <c r="G58" s="11">
        <f>ROUND(F58/8,0)</f>
        <v>27</v>
      </c>
      <c r="H58" s="56">
        <v>12742014</v>
      </c>
      <c r="I58" s="11" t="s">
        <v>25</v>
      </c>
      <c r="J58" s="2">
        <f>22-9</f>
        <v>13</v>
      </c>
      <c r="K58" s="2">
        <f>J58*7</f>
        <v>91</v>
      </c>
      <c r="M58" s="3" t="s">
        <v>327</v>
      </c>
      <c r="N58" s="11">
        <v>375</v>
      </c>
      <c r="O58" s="11"/>
      <c r="P58" s="60">
        <f>H58</f>
        <v>12742014</v>
      </c>
      <c r="Q58" s="42"/>
      <c r="R58" s="60">
        <f>P58+Q58</f>
        <v>12742014</v>
      </c>
      <c r="S58" s="57">
        <f>P65/R58</f>
        <v>0.11677902724012075</v>
      </c>
    </row>
    <row r="59" spans="1:19" x14ac:dyDescent="0.25">
      <c r="A59" s="24">
        <v>3</v>
      </c>
      <c r="B59" s="4" t="s">
        <v>193</v>
      </c>
      <c r="C59" s="29">
        <v>3</v>
      </c>
    </row>
    <row r="60" spans="1:19" x14ac:dyDescent="0.25">
      <c r="A60" s="24">
        <v>4</v>
      </c>
      <c r="B60" s="4" t="s">
        <v>194</v>
      </c>
      <c r="C60" s="29">
        <v>1</v>
      </c>
      <c r="E60" s="107" t="s">
        <v>339</v>
      </c>
      <c r="F60" s="107" t="s">
        <v>336</v>
      </c>
      <c r="G60" s="105" t="s">
        <v>337</v>
      </c>
      <c r="H60" s="106"/>
      <c r="I60" s="68" t="s">
        <v>341</v>
      </c>
      <c r="J60" s="68" t="s">
        <v>349</v>
      </c>
      <c r="K60" s="3" t="s">
        <v>351</v>
      </c>
      <c r="M60" s="103" t="s">
        <v>353</v>
      </c>
      <c r="N60" s="103" t="s">
        <v>336</v>
      </c>
      <c r="O60" s="104" t="s">
        <v>349</v>
      </c>
      <c r="P60" s="104"/>
      <c r="Q60" s="104"/>
      <c r="R60" s="105" t="s">
        <v>358</v>
      </c>
      <c r="S60" s="106"/>
    </row>
    <row r="61" spans="1:19" x14ac:dyDescent="0.25">
      <c r="A61" s="24">
        <v>5</v>
      </c>
      <c r="B61" s="4" t="s">
        <v>417</v>
      </c>
      <c r="C61" s="29">
        <v>2</v>
      </c>
      <c r="E61" s="108"/>
      <c r="F61" s="108"/>
      <c r="G61" s="3" t="s">
        <v>331</v>
      </c>
      <c r="H61" s="3" t="s">
        <v>338</v>
      </c>
      <c r="I61" s="68" t="s">
        <v>342</v>
      </c>
      <c r="J61" s="68" t="s">
        <v>350</v>
      </c>
      <c r="K61" s="3" t="s">
        <v>352</v>
      </c>
      <c r="M61" s="103"/>
      <c r="N61" s="103"/>
      <c r="O61" s="68" t="s">
        <v>356</v>
      </c>
      <c r="P61" s="68" t="s">
        <v>334</v>
      </c>
      <c r="Q61" s="68" t="s">
        <v>340</v>
      </c>
      <c r="R61" s="68" t="s">
        <v>359</v>
      </c>
      <c r="S61" s="68" t="s">
        <v>360</v>
      </c>
    </row>
    <row r="62" spans="1:19" x14ac:dyDescent="0.25">
      <c r="A62" s="30"/>
      <c r="B62" s="12" t="s">
        <v>224</v>
      </c>
      <c r="C62" s="12">
        <v>1</v>
      </c>
      <c r="E62" s="3" t="s">
        <v>326</v>
      </c>
      <c r="F62" s="2">
        <v>3</v>
      </c>
      <c r="G62" s="2">
        <f>F62*8</f>
        <v>24</v>
      </c>
      <c r="H62" s="2">
        <f>F62*8*7</f>
        <v>168</v>
      </c>
      <c r="I62" s="69">
        <f>H62/K57</f>
        <v>2</v>
      </c>
      <c r="J62" s="42">
        <v>21000</v>
      </c>
      <c r="K62" s="57">
        <f>(G62*J62)/H57</f>
        <v>5.1279087655495693E-2</v>
      </c>
      <c r="M62" s="58" t="s">
        <v>195</v>
      </c>
      <c r="N62" s="2">
        <v>3</v>
      </c>
      <c r="O62" s="42">
        <v>27000</v>
      </c>
      <c r="P62" s="60">
        <f>N62*O62*8</f>
        <v>648000</v>
      </c>
      <c r="Q62" s="60">
        <f>P62*7</f>
        <v>4536000</v>
      </c>
      <c r="R62" s="2"/>
      <c r="S62" s="2"/>
    </row>
    <row r="63" spans="1:19" x14ac:dyDescent="0.25">
      <c r="A63" s="30"/>
      <c r="B63" s="12" t="s">
        <v>225</v>
      </c>
      <c r="C63" s="12">
        <v>1</v>
      </c>
      <c r="E63" s="3" t="s">
        <v>327</v>
      </c>
      <c r="F63" s="2">
        <v>3</v>
      </c>
      <c r="G63" s="2">
        <f>F63*8</f>
        <v>24</v>
      </c>
      <c r="H63" s="2">
        <f>F63*8*7</f>
        <v>168</v>
      </c>
      <c r="I63" s="69">
        <f>H63/K58</f>
        <v>1.8461538461538463</v>
      </c>
      <c r="J63" s="42">
        <v>21000</v>
      </c>
      <c r="K63" s="57">
        <f>(G63*J63)/H58</f>
        <v>3.9554186645847353E-2</v>
      </c>
      <c r="M63" s="58" t="s">
        <v>192</v>
      </c>
      <c r="N63" s="2">
        <v>5</v>
      </c>
      <c r="O63" s="42">
        <v>21000</v>
      </c>
      <c r="P63" s="60">
        <f t="shared" ref="P63:P64" si="6">N63*O63*8</f>
        <v>840000</v>
      </c>
      <c r="Q63" s="60">
        <f t="shared" ref="Q63:Q64" si="7">P63*7</f>
        <v>5880000</v>
      </c>
      <c r="R63" s="2"/>
      <c r="S63" s="2"/>
    </row>
    <row r="64" spans="1:19" x14ac:dyDescent="0.25">
      <c r="A64" s="30"/>
      <c r="B64" s="12" t="s">
        <v>226</v>
      </c>
      <c r="C64" s="12" t="s">
        <v>381</v>
      </c>
      <c r="M64" s="59" t="s">
        <v>354</v>
      </c>
      <c r="N64" s="2">
        <v>0</v>
      </c>
      <c r="O64" s="42">
        <v>21000</v>
      </c>
      <c r="P64" s="60">
        <f t="shared" si="6"/>
        <v>0</v>
      </c>
      <c r="Q64" s="60">
        <f t="shared" si="7"/>
        <v>0</v>
      </c>
      <c r="R64" s="2"/>
      <c r="S64" s="2"/>
    </row>
    <row r="65" spans="1:19" x14ac:dyDescent="0.25">
      <c r="A65" s="30"/>
      <c r="B65" s="12" t="s">
        <v>227</v>
      </c>
      <c r="C65" s="12" t="s">
        <v>381</v>
      </c>
      <c r="M65" s="3" t="s">
        <v>355</v>
      </c>
      <c r="N65" s="3">
        <f>SUM(N62:N64)</f>
        <v>8</v>
      </c>
      <c r="O65" s="61">
        <f>SUM(O62:O64)</f>
        <v>69000</v>
      </c>
      <c r="P65" s="61">
        <f>SUM(P62:P64)</f>
        <v>1488000</v>
      </c>
      <c r="Q65" s="61">
        <f>SUM(Q62:Q64)</f>
        <v>10416000</v>
      </c>
      <c r="R65" s="62">
        <f>(R57*5)+R58*2</f>
        <v>74626868</v>
      </c>
      <c r="S65" s="57">
        <f>Q65/R65</f>
        <v>0.13957439564527885</v>
      </c>
    </row>
    <row r="66" spans="1:19" x14ac:dyDescent="0.25">
      <c r="A66" s="113" t="s">
        <v>201</v>
      </c>
      <c r="B66" s="114"/>
      <c r="C66" s="29">
        <f>C61+C60+C59+C58+C57</f>
        <v>8</v>
      </c>
    </row>
    <row r="68" spans="1:19" x14ac:dyDescent="0.25">
      <c r="A68" s="111" t="s">
        <v>405</v>
      </c>
      <c r="B68" s="112"/>
      <c r="C68" s="112"/>
      <c r="E68" s="13" t="s">
        <v>325</v>
      </c>
      <c r="F68" s="111" t="s">
        <v>405</v>
      </c>
      <c r="G68" s="112"/>
      <c r="H68" s="112"/>
    </row>
    <row r="69" spans="1:19" x14ac:dyDescent="0.25">
      <c r="A69" s="107" t="s">
        <v>185</v>
      </c>
      <c r="B69" s="107" t="s">
        <v>186</v>
      </c>
      <c r="C69" s="107" t="s">
        <v>188</v>
      </c>
      <c r="E69" s="107" t="s">
        <v>339</v>
      </c>
      <c r="F69" s="103" t="s">
        <v>328</v>
      </c>
      <c r="G69" s="103"/>
      <c r="H69" s="107" t="s">
        <v>329</v>
      </c>
      <c r="I69" s="104" t="s">
        <v>333</v>
      </c>
      <c r="J69" s="104"/>
      <c r="K69" s="104"/>
      <c r="M69" s="107" t="s">
        <v>195</v>
      </c>
      <c r="N69" s="103" t="s">
        <v>343</v>
      </c>
      <c r="O69" s="103"/>
      <c r="P69" s="104" t="s">
        <v>357</v>
      </c>
      <c r="Q69" s="104"/>
      <c r="R69" s="104"/>
      <c r="S69" s="68" t="s">
        <v>361</v>
      </c>
    </row>
    <row r="70" spans="1:19" x14ac:dyDescent="0.25">
      <c r="A70" s="108"/>
      <c r="B70" s="108"/>
      <c r="C70" s="108"/>
      <c r="E70" s="108"/>
      <c r="F70" s="67" t="s">
        <v>334</v>
      </c>
      <c r="G70" s="67" t="s">
        <v>335</v>
      </c>
      <c r="H70" s="108"/>
      <c r="I70" s="3" t="s">
        <v>330</v>
      </c>
      <c r="J70" s="3" t="s">
        <v>331</v>
      </c>
      <c r="K70" s="3" t="s">
        <v>332</v>
      </c>
      <c r="M70" s="108"/>
      <c r="N70" s="67" t="s">
        <v>344</v>
      </c>
      <c r="O70" s="67"/>
      <c r="P70" s="67" t="s">
        <v>344</v>
      </c>
      <c r="Q70" s="67"/>
      <c r="R70" s="68" t="s">
        <v>66</v>
      </c>
      <c r="S70" s="68" t="s">
        <v>362</v>
      </c>
    </row>
    <row r="71" spans="1:19" x14ac:dyDescent="0.25">
      <c r="A71" s="24">
        <v>1</v>
      </c>
      <c r="B71" s="4" t="s">
        <v>432</v>
      </c>
      <c r="C71" s="29">
        <v>1</v>
      </c>
      <c r="E71" s="3" t="s">
        <v>326</v>
      </c>
      <c r="F71" s="11">
        <v>376</v>
      </c>
      <c r="G71" s="11">
        <f>ROUND(F71/8,0)</f>
        <v>47</v>
      </c>
      <c r="H71" s="56">
        <v>24294735</v>
      </c>
      <c r="I71" s="11" t="s">
        <v>56</v>
      </c>
      <c r="J71" s="2">
        <f>22-8</f>
        <v>14</v>
      </c>
      <c r="K71" s="2">
        <f>J71*7</f>
        <v>98</v>
      </c>
      <c r="M71" s="3" t="s">
        <v>326</v>
      </c>
      <c r="N71" s="11">
        <v>750</v>
      </c>
      <c r="O71" s="11"/>
      <c r="P71" s="60">
        <f>H71</f>
        <v>24294735</v>
      </c>
      <c r="Q71" s="42"/>
      <c r="R71" s="60">
        <f>P71+Q71</f>
        <v>24294735</v>
      </c>
      <c r="S71" s="57">
        <f>P79/R71</f>
        <v>9.2859625758420494E-2</v>
      </c>
    </row>
    <row r="72" spans="1:19" x14ac:dyDescent="0.25">
      <c r="A72" s="24">
        <v>2</v>
      </c>
      <c r="B72" s="4" t="s">
        <v>346</v>
      </c>
      <c r="C72" s="29">
        <v>1</v>
      </c>
      <c r="E72" s="3" t="s">
        <v>327</v>
      </c>
      <c r="F72" s="11">
        <v>438</v>
      </c>
      <c r="G72" s="11">
        <f>ROUND(F72/8,0)</f>
        <v>55</v>
      </c>
      <c r="H72" s="56">
        <v>31238053</v>
      </c>
      <c r="I72" s="11" t="s">
        <v>56</v>
      </c>
      <c r="J72" s="2">
        <f>22-8</f>
        <v>14</v>
      </c>
      <c r="K72" s="2">
        <f>J72*7</f>
        <v>98</v>
      </c>
      <c r="M72" s="3" t="s">
        <v>327</v>
      </c>
      <c r="N72" s="11">
        <v>1198</v>
      </c>
      <c r="O72" s="11"/>
      <c r="P72" s="60">
        <f>H72</f>
        <v>31238053</v>
      </c>
      <c r="Q72" s="42"/>
      <c r="R72" s="60">
        <f>P72+Q72</f>
        <v>31238053</v>
      </c>
      <c r="S72" s="57">
        <f>P79/R72</f>
        <v>7.2219609845722454E-2</v>
      </c>
    </row>
    <row r="73" spans="1:19" x14ac:dyDescent="0.25">
      <c r="A73" s="24">
        <v>3</v>
      </c>
      <c r="B73" s="4" t="s">
        <v>193</v>
      </c>
      <c r="C73" s="29">
        <v>5</v>
      </c>
    </row>
    <row r="74" spans="1:19" x14ac:dyDescent="0.25">
      <c r="A74" s="24">
        <v>4</v>
      </c>
      <c r="B74" s="4" t="s">
        <v>194</v>
      </c>
      <c r="C74" s="29">
        <v>1</v>
      </c>
      <c r="E74" s="107" t="s">
        <v>339</v>
      </c>
      <c r="F74" s="107" t="s">
        <v>336</v>
      </c>
      <c r="G74" s="105" t="s">
        <v>337</v>
      </c>
      <c r="H74" s="106"/>
      <c r="I74" s="68" t="s">
        <v>341</v>
      </c>
      <c r="J74" s="68" t="s">
        <v>349</v>
      </c>
      <c r="K74" s="3" t="s">
        <v>351</v>
      </c>
      <c r="M74" s="103" t="s">
        <v>353</v>
      </c>
      <c r="N74" s="103" t="s">
        <v>336</v>
      </c>
      <c r="O74" s="104" t="s">
        <v>349</v>
      </c>
      <c r="P74" s="104"/>
      <c r="Q74" s="104"/>
      <c r="R74" s="105" t="s">
        <v>358</v>
      </c>
      <c r="S74" s="106"/>
    </row>
    <row r="75" spans="1:19" x14ac:dyDescent="0.25">
      <c r="A75" s="24">
        <v>5</v>
      </c>
      <c r="B75" s="4" t="s">
        <v>417</v>
      </c>
      <c r="C75" s="29">
        <v>4</v>
      </c>
      <c r="E75" s="108"/>
      <c r="F75" s="108"/>
      <c r="G75" s="3" t="s">
        <v>331</v>
      </c>
      <c r="H75" s="3" t="s">
        <v>338</v>
      </c>
      <c r="I75" s="68" t="s">
        <v>342</v>
      </c>
      <c r="J75" s="68" t="s">
        <v>350</v>
      </c>
      <c r="K75" s="3" t="s">
        <v>352</v>
      </c>
      <c r="M75" s="103"/>
      <c r="N75" s="103"/>
      <c r="O75" s="68" t="s">
        <v>356</v>
      </c>
      <c r="P75" s="68" t="s">
        <v>334</v>
      </c>
      <c r="Q75" s="68" t="s">
        <v>340</v>
      </c>
      <c r="R75" s="68" t="s">
        <v>359</v>
      </c>
      <c r="S75" s="68" t="s">
        <v>360</v>
      </c>
    </row>
    <row r="76" spans="1:19" x14ac:dyDescent="0.25">
      <c r="A76" s="30"/>
      <c r="B76" s="12" t="s">
        <v>224</v>
      </c>
      <c r="C76" s="12">
        <v>1</v>
      </c>
      <c r="E76" s="3" t="s">
        <v>326</v>
      </c>
      <c r="F76" s="2">
        <v>4</v>
      </c>
      <c r="G76" s="2">
        <f>F76*8</f>
        <v>32</v>
      </c>
      <c r="H76" s="2">
        <f>F76*8*7</f>
        <v>224</v>
      </c>
      <c r="I76" s="69">
        <f>H76/K71</f>
        <v>2.2857142857142856</v>
      </c>
      <c r="J76" s="42">
        <v>21000</v>
      </c>
      <c r="K76" s="57">
        <f>(G76*J76)/H71</f>
        <v>2.7660314055699721E-2</v>
      </c>
      <c r="M76" s="58" t="s">
        <v>195</v>
      </c>
      <c r="N76" s="2">
        <v>5</v>
      </c>
      <c r="O76" s="42">
        <v>27000</v>
      </c>
      <c r="P76" s="60">
        <f>N76*O76*8</f>
        <v>1080000</v>
      </c>
      <c r="Q76" s="60">
        <f>P76*7</f>
        <v>7560000</v>
      </c>
      <c r="R76" s="2"/>
      <c r="S76" s="2"/>
    </row>
    <row r="77" spans="1:19" x14ac:dyDescent="0.25">
      <c r="A77" s="30"/>
      <c r="B77" s="12" t="s">
        <v>225</v>
      </c>
      <c r="C77" s="12">
        <v>1</v>
      </c>
      <c r="E77" s="3" t="s">
        <v>327</v>
      </c>
      <c r="F77" s="2">
        <v>4</v>
      </c>
      <c r="G77" s="2">
        <f>F77*8</f>
        <v>32</v>
      </c>
      <c r="H77" s="2">
        <f>F77*8*7</f>
        <v>224</v>
      </c>
      <c r="I77" s="69">
        <f>H77/K72</f>
        <v>2.2857142857142856</v>
      </c>
      <c r="J77" s="42">
        <v>21000</v>
      </c>
      <c r="K77" s="57">
        <f>(G77*J77)/H72</f>
        <v>2.1512224209364137E-2</v>
      </c>
      <c r="M77" s="58" t="s">
        <v>192</v>
      </c>
      <c r="N77" s="2">
        <v>7</v>
      </c>
      <c r="O77" s="42">
        <v>21000</v>
      </c>
      <c r="P77" s="60">
        <f t="shared" ref="P77:P78" si="8">N77*O77*8</f>
        <v>1176000</v>
      </c>
      <c r="Q77" s="60">
        <f t="shared" ref="Q77:Q78" si="9">P77*7</f>
        <v>8232000</v>
      </c>
      <c r="R77" s="2"/>
      <c r="S77" s="2"/>
    </row>
    <row r="78" spans="1:19" x14ac:dyDescent="0.25">
      <c r="A78" s="30"/>
      <c r="B78" s="12" t="s">
        <v>226</v>
      </c>
      <c r="C78" s="12">
        <v>1</v>
      </c>
      <c r="M78" s="59" t="s">
        <v>354</v>
      </c>
      <c r="N78" s="2">
        <v>0</v>
      </c>
      <c r="O78" s="42">
        <v>21000</v>
      </c>
      <c r="P78" s="60">
        <f t="shared" si="8"/>
        <v>0</v>
      </c>
      <c r="Q78" s="60">
        <f t="shared" si="9"/>
        <v>0</v>
      </c>
      <c r="R78" s="2"/>
      <c r="S78" s="2"/>
    </row>
    <row r="79" spans="1:19" x14ac:dyDescent="0.25">
      <c r="A79" s="30"/>
      <c r="B79" s="12" t="s">
        <v>227</v>
      </c>
      <c r="C79" s="12">
        <v>1</v>
      </c>
      <c r="M79" s="3" t="s">
        <v>355</v>
      </c>
      <c r="N79" s="3">
        <f>SUM(N76:N78)</f>
        <v>12</v>
      </c>
      <c r="O79" s="61">
        <f>SUM(O76:O78)</f>
        <v>69000</v>
      </c>
      <c r="P79" s="61">
        <f>SUM(P76:P78)</f>
        <v>2256000</v>
      </c>
      <c r="Q79" s="61">
        <f>SUM(Q76:Q78)</f>
        <v>15792000</v>
      </c>
      <c r="R79" s="62">
        <f>(R71*5)+R72*2</f>
        <v>183949781</v>
      </c>
      <c r="S79" s="57">
        <f>Q79/R79</f>
        <v>8.5849517809428649E-2</v>
      </c>
    </row>
    <row r="80" spans="1:19" x14ac:dyDescent="0.25">
      <c r="A80" s="113" t="s">
        <v>201</v>
      </c>
      <c r="B80" s="114"/>
      <c r="C80" s="29">
        <f>C75+C74+C73+C72+C71</f>
        <v>12</v>
      </c>
    </row>
    <row r="82" spans="1:19" x14ac:dyDescent="0.25">
      <c r="A82" s="111" t="s">
        <v>406</v>
      </c>
      <c r="B82" s="112"/>
      <c r="C82" s="112"/>
      <c r="E82" s="13" t="s">
        <v>325</v>
      </c>
      <c r="F82" s="111" t="s">
        <v>406</v>
      </c>
      <c r="G82" s="112"/>
      <c r="H82" s="112"/>
    </row>
    <row r="83" spans="1:19" x14ac:dyDescent="0.25">
      <c r="A83" s="107" t="s">
        <v>185</v>
      </c>
      <c r="B83" s="107" t="s">
        <v>186</v>
      </c>
      <c r="C83" s="107" t="s">
        <v>188</v>
      </c>
      <c r="E83" s="107" t="s">
        <v>339</v>
      </c>
      <c r="F83" s="103" t="s">
        <v>328</v>
      </c>
      <c r="G83" s="103"/>
      <c r="H83" s="107" t="s">
        <v>329</v>
      </c>
      <c r="I83" s="104" t="s">
        <v>333</v>
      </c>
      <c r="J83" s="104"/>
      <c r="K83" s="104"/>
      <c r="M83" s="107" t="s">
        <v>195</v>
      </c>
      <c r="N83" s="103" t="s">
        <v>343</v>
      </c>
      <c r="O83" s="103"/>
      <c r="P83" s="104" t="s">
        <v>357</v>
      </c>
      <c r="Q83" s="104"/>
      <c r="R83" s="104"/>
      <c r="S83" s="68" t="s">
        <v>361</v>
      </c>
    </row>
    <row r="84" spans="1:19" x14ac:dyDescent="0.25">
      <c r="A84" s="108"/>
      <c r="B84" s="108"/>
      <c r="C84" s="108"/>
      <c r="E84" s="108"/>
      <c r="F84" s="67" t="s">
        <v>334</v>
      </c>
      <c r="G84" s="67" t="s">
        <v>335</v>
      </c>
      <c r="H84" s="108"/>
      <c r="I84" s="3" t="s">
        <v>330</v>
      </c>
      <c r="J84" s="3" t="s">
        <v>331</v>
      </c>
      <c r="K84" s="3" t="s">
        <v>332</v>
      </c>
      <c r="M84" s="108"/>
      <c r="N84" s="67" t="s">
        <v>344</v>
      </c>
      <c r="O84" s="67" t="s">
        <v>367</v>
      </c>
      <c r="P84" s="67" t="s">
        <v>344</v>
      </c>
      <c r="Q84" s="67" t="s">
        <v>367</v>
      </c>
      <c r="R84" s="68" t="s">
        <v>66</v>
      </c>
      <c r="S84" s="68" t="s">
        <v>362</v>
      </c>
    </row>
    <row r="85" spans="1:19" x14ac:dyDescent="0.25">
      <c r="A85" s="24">
        <v>1</v>
      </c>
      <c r="B85" s="4" t="s">
        <v>432</v>
      </c>
      <c r="C85" s="29">
        <v>1</v>
      </c>
      <c r="E85" s="3" t="s">
        <v>326</v>
      </c>
      <c r="F85" s="11">
        <v>398</v>
      </c>
      <c r="G85" s="11">
        <f>ROUND(F85/8,0)</f>
        <v>50</v>
      </c>
      <c r="H85" s="56">
        <v>24097018</v>
      </c>
      <c r="I85" s="11" t="s">
        <v>23</v>
      </c>
      <c r="J85" s="2">
        <f>22-10</f>
        <v>12</v>
      </c>
      <c r="K85" s="2">
        <f>J85*7</f>
        <v>84</v>
      </c>
      <c r="M85" s="3" t="s">
        <v>326</v>
      </c>
      <c r="N85" s="11">
        <v>992</v>
      </c>
      <c r="O85" s="11">
        <v>95</v>
      </c>
      <c r="P85" s="60">
        <f>H85</f>
        <v>24097018</v>
      </c>
      <c r="Q85" s="42">
        <f>32000*O85</f>
        <v>3040000</v>
      </c>
      <c r="R85" s="60">
        <f>P85+Q85</f>
        <v>27137018</v>
      </c>
      <c r="S85" s="57">
        <f>P93/R85</f>
        <v>8.3133673714628487E-2</v>
      </c>
    </row>
    <row r="86" spans="1:19" x14ac:dyDescent="0.25">
      <c r="A86" s="24">
        <v>2</v>
      </c>
      <c r="B86" s="4" t="s">
        <v>346</v>
      </c>
      <c r="C86" s="29">
        <v>1</v>
      </c>
      <c r="E86" s="3" t="s">
        <v>327</v>
      </c>
      <c r="F86" s="11">
        <v>940</v>
      </c>
      <c r="G86" s="11">
        <f>ROUND(F86/8,0)</f>
        <v>118</v>
      </c>
      <c r="H86" s="56">
        <v>61695305</v>
      </c>
      <c r="I86" s="11" t="s">
        <v>23</v>
      </c>
      <c r="J86" s="2">
        <f>22-10</f>
        <v>12</v>
      </c>
      <c r="K86" s="2">
        <f>J86*7</f>
        <v>84</v>
      </c>
      <c r="M86" s="3" t="s">
        <v>327</v>
      </c>
      <c r="N86" s="11">
        <v>2425</v>
      </c>
      <c r="O86" s="11">
        <v>187</v>
      </c>
      <c r="P86" s="60">
        <f>H86</f>
        <v>61695305</v>
      </c>
      <c r="Q86" s="42">
        <f>32000*O86</f>
        <v>5984000</v>
      </c>
      <c r="R86" s="60">
        <f>P86+Q86</f>
        <v>67679305</v>
      </c>
      <c r="S86" s="57">
        <f>P93/R86</f>
        <v>3.3333675633932705E-2</v>
      </c>
    </row>
    <row r="87" spans="1:19" x14ac:dyDescent="0.25">
      <c r="A87" s="24">
        <v>3</v>
      </c>
      <c r="B87" s="4" t="s">
        <v>193</v>
      </c>
      <c r="C87" s="29">
        <v>5</v>
      </c>
    </row>
    <row r="88" spans="1:19" x14ac:dyDescent="0.25">
      <c r="A88" s="24">
        <v>4</v>
      </c>
      <c r="B88" s="4" t="s">
        <v>194</v>
      </c>
      <c r="C88" s="29">
        <v>1</v>
      </c>
      <c r="E88" s="107" t="s">
        <v>339</v>
      </c>
      <c r="F88" s="107" t="s">
        <v>336</v>
      </c>
      <c r="G88" s="105" t="s">
        <v>337</v>
      </c>
      <c r="H88" s="106"/>
      <c r="I88" s="68" t="s">
        <v>341</v>
      </c>
      <c r="J88" s="68" t="s">
        <v>349</v>
      </c>
      <c r="K88" s="3" t="s">
        <v>351</v>
      </c>
      <c r="M88" s="103" t="s">
        <v>353</v>
      </c>
      <c r="N88" s="103" t="s">
        <v>336</v>
      </c>
      <c r="O88" s="104" t="s">
        <v>349</v>
      </c>
      <c r="P88" s="104"/>
      <c r="Q88" s="104"/>
      <c r="R88" s="105" t="s">
        <v>358</v>
      </c>
      <c r="S88" s="106"/>
    </row>
    <row r="89" spans="1:19" x14ac:dyDescent="0.25">
      <c r="A89" s="24">
        <v>5</v>
      </c>
      <c r="B89" s="4" t="s">
        <v>417</v>
      </c>
      <c r="C89" s="29">
        <v>4</v>
      </c>
      <c r="E89" s="108"/>
      <c r="F89" s="108"/>
      <c r="G89" s="3" t="s">
        <v>331</v>
      </c>
      <c r="H89" s="3" t="s">
        <v>338</v>
      </c>
      <c r="I89" s="68" t="s">
        <v>342</v>
      </c>
      <c r="J89" s="68" t="s">
        <v>350</v>
      </c>
      <c r="K89" s="3" t="s">
        <v>352</v>
      </c>
      <c r="M89" s="103"/>
      <c r="N89" s="103"/>
      <c r="O89" s="68" t="s">
        <v>356</v>
      </c>
      <c r="P89" s="68" t="s">
        <v>334</v>
      </c>
      <c r="Q89" s="68" t="s">
        <v>340</v>
      </c>
      <c r="R89" s="68" t="s">
        <v>359</v>
      </c>
      <c r="S89" s="68" t="s">
        <v>360</v>
      </c>
    </row>
    <row r="90" spans="1:19" x14ac:dyDescent="0.25">
      <c r="A90" s="30"/>
      <c r="B90" s="12" t="s">
        <v>224</v>
      </c>
      <c r="C90" s="12">
        <v>1</v>
      </c>
      <c r="E90" s="3" t="s">
        <v>326</v>
      </c>
      <c r="F90" s="2">
        <v>4</v>
      </c>
      <c r="G90" s="2">
        <f>F90*8</f>
        <v>32</v>
      </c>
      <c r="H90" s="2">
        <f>F90*8*7</f>
        <v>224</v>
      </c>
      <c r="I90" s="69">
        <f>H90/K85</f>
        <v>2.6666666666666665</v>
      </c>
      <c r="J90" s="42">
        <v>21000</v>
      </c>
      <c r="K90" s="57">
        <f>(G90*J90)/H85</f>
        <v>2.7887268042875678E-2</v>
      </c>
      <c r="M90" s="58" t="s">
        <v>195</v>
      </c>
      <c r="N90" s="2">
        <v>5</v>
      </c>
      <c r="O90" s="42">
        <v>27000</v>
      </c>
      <c r="P90" s="60">
        <f>N90*O90*8</f>
        <v>1080000</v>
      </c>
      <c r="Q90" s="60">
        <f>P90*7</f>
        <v>7560000</v>
      </c>
      <c r="R90" s="2"/>
      <c r="S90" s="2"/>
    </row>
    <row r="91" spans="1:19" x14ac:dyDescent="0.25">
      <c r="A91" s="30"/>
      <c r="B91" s="12" t="s">
        <v>225</v>
      </c>
      <c r="C91" s="12">
        <v>1</v>
      </c>
      <c r="E91" s="3" t="s">
        <v>327</v>
      </c>
      <c r="F91" s="2">
        <v>6</v>
      </c>
      <c r="G91" s="2">
        <f>F91*8</f>
        <v>48</v>
      </c>
      <c r="H91" s="2">
        <f>F91*8*7</f>
        <v>336</v>
      </c>
      <c r="I91" s="69">
        <f>H91/K86</f>
        <v>4</v>
      </c>
      <c r="J91" s="42">
        <v>21000</v>
      </c>
      <c r="K91" s="57">
        <f>(G91*J91)/H86</f>
        <v>1.6338358324024818E-2</v>
      </c>
      <c r="M91" s="58" t="s">
        <v>192</v>
      </c>
      <c r="N91" s="2">
        <v>7</v>
      </c>
      <c r="O91" s="42">
        <v>21000</v>
      </c>
      <c r="P91" s="60">
        <f t="shared" ref="P91:P92" si="10">N91*O91*8</f>
        <v>1176000</v>
      </c>
      <c r="Q91" s="60">
        <f t="shared" ref="Q91:Q92" si="11">P91*7</f>
        <v>8232000</v>
      </c>
      <c r="R91" s="2"/>
      <c r="S91" s="2"/>
    </row>
    <row r="92" spans="1:19" x14ac:dyDescent="0.25">
      <c r="A92" s="30"/>
      <c r="B92" s="12" t="s">
        <v>226</v>
      </c>
      <c r="C92" s="12">
        <v>1</v>
      </c>
      <c r="M92" s="59" t="s">
        <v>354</v>
      </c>
      <c r="N92" s="2">
        <v>0</v>
      </c>
      <c r="O92" s="42">
        <v>21000</v>
      </c>
      <c r="P92" s="60">
        <f t="shared" si="10"/>
        <v>0</v>
      </c>
      <c r="Q92" s="60">
        <f t="shared" si="11"/>
        <v>0</v>
      </c>
      <c r="R92" s="2"/>
      <c r="S92" s="2"/>
    </row>
    <row r="93" spans="1:19" x14ac:dyDescent="0.25">
      <c r="A93" s="30"/>
      <c r="B93" s="12" t="s">
        <v>227</v>
      </c>
      <c r="C93" s="12">
        <v>1</v>
      </c>
      <c r="M93" s="3" t="s">
        <v>355</v>
      </c>
      <c r="N93" s="3">
        <f>SUM(N90:N92)</f>
        <v>12</v>
      </c>
      <c r="O93" s="61">
        <f>SUM(O90:O92)</f>
        <v>69000</v>
      </c>
      <c r="P93" s="61">
        <f>SUM(P90:P92)</f>
        <v>2256000</v>
      </c>
      <c r="Q93" s="61">
        <f>SUM(Q90:Q92)</f>
        <v>15792000</v>
      </c>
      <c r="R93" s="62">
        <f>(R85*5)+R86*2</f>
        <v>271043700</v>
      </c>
      <c r="S93" s="57">
        <f>Q93/R93</f>
        <v>5.8263667445507865E-2</v>
      </c>
    </row>
    <row r="94" spans="1:19" x14ac:dyDescent="0.25">
      <c r="A94" s="113" t="s">
        <v>201</v>
      </c>
      <c r="B94" s="114"/>
      <c r="C94" s="29">
        <f>C89+C88+C87+C86+C85</f>
        <v>12</v>
      </c>
    </row>
    <row r="95" spans="1:19" x14ac:dyDescent="0.25">
      <c r="A95" s="13" t="s">
        <v>393</v>
      </c>
    </row>
    <row r="96" spans="1:19" x14ac:dyDescent="0.25">
      <c r="A96" s="13" t="s">
        <v>394</v>
      </c>
    </row>
    <row r="97" spans="1:19" x14ac:dyDescent="0.25">
      <c r="A97" s="1"/>
    </row>
    <row r="98" spans="1:19" x14ac:dyDescent="0.25">
      <c r="A98" s="1"/>
    </row>
    <row r="99" spans="1:19" x14ac:dyDescent="0.25">
      <c r="A99" s="1"/>
    </row>
    <row r="100" spans="1:19" x14ac:dyDescent="0.25">
      <c r="A100" s="1"/>
    </row>
    <row r="101" spans="1:19" x14ac:dyDescent="0.25">
      <c r="A101" s="1"/>
    </row>
    <row r="102" spans="1:19" x14ac:dyDescent="0.25">
      <c r="A102" s="1"/>
    </row>
    <row r="103" spans="1:19" x14ac:dyDescent="0.25">
      <c r="A103" s="1"/>
    </row>
    <row r="104" spans="1:19" x14ac:dyDescent="0.25">
      <c r="A104" s="1"/>
    </row>
    <row r="105" spans="1:19" x14ac:dyDescent="0.25">
      <c r="A105" s="1"/>
    </row>
    <row r="106" spans="1:19" x14ac:dyDescent="0.25">
      <c r="A106" s="102" t="s">
        <v>410</v>
      </c>
      <c r="B106" s="102"/>
      <c r="C106" s="102"/>
      <c r="E106" s="13" t="s">
        <v>325</v>
      </c>
      <c r="F106" s="102" t="s">
        <v>410</v>
      </c>
      <c r="G106" s="102"/>
      <c r="H106" s="102"/>
    </row>
    <row r="107" spans="1:19" x14ac:dyDescent="0.25">
      <c r="A107" s="103" t="s">
        <v>185</v>
      </c>
      <c r="B107" s="103" t="s">
        <v>186</v>
      </c>
      <c r="C107" s="103" t="s">
        <v>188</v>
      </c>
      <c r="E107" s="107" t="s">
        <v>339</v>
      </c>
      <c r="F107" s="103" t="s">
        <v>328</v>
      </c>
      <c r="G107" s="103"/>
      <c r="H107" s="107" t="s">
        <v>329</v>
      </c>
      <c r="I107" s="104" t="s">
        <v>333</v>
      </c>
      <c r="J107" s="104"/>
      <c r="K107" s="104"/>
      <c r="M107" s="107" t="s">
        <v>195</v>
      </c>
      <c r="N107" s="103" t="s">
        <v>343</v>
      </c>
      <c r="O107" s="103"/>
      <c r="P107" s="104" t="s">
        <v>357</v>
      </c>
      <c r="Q107" s="104"/>
      <c r="R107" s="104"/>
      <c r="S107" s="68" t="s">
        <v>361</v>
      </c>
    </row>
    <row r="108" spans="1:19" x14ac:dyDescent="0.25">
      <c r="A108" s="103"/>
      <c r="B108" s="103"/>
      <c r="C108" s="103"/>
      <c r="E108" s="108"/>
      <c r="F108" s="67" t="s">
        <v>334</v>
      </c>
      <c r="G108" s="67" t="s">
        <v>335</v>
      </c>
      <c r="H108" s="108"/>
      <c r="I108" s="3" t="s">
        <v>330</v>
      </c>
      <c r="J108" s="3" t="s">
        <v>331</v>
      </c>
      <c r="K108" s="3" t="s">
        <v>332</v>
      </c>
      <c r="M108" s="108"/>
      <c r="N108" s="67" t="s">
        <v>344</v>
      </c>
      <c r="O108" s="67" t="s">
        <v>345</v>
      </c>
      <c r="P108" s="67" t="s">
        <v>344</v>
      </c>
      <c r="Q108" s="67" t="s">
        <v>345</v>
      </c>
      <c r="R108" s="68" t="s">
        <v>66</v>
      </c>
      <c r="S108" s="68" t="s">
        <v>362</v>
      </c>
    </row>
    <row r="109" spans="1:19" x14ac:dyDescent="0.25">
      <c r="A109" s="24">
        <v>1</v>
      </c>
      <c r="B109" s="4" t="s">
        <v>432</v>
      </c>
      <c r="C109" s="29">
        <v>1</v>
      </c>
      <c r="E109" s="3" t="s">
        <v>326</v>
      </c>
      <c r="F109" s="11">
        <v>233</v>
      </c>
      <c r="G109" s="11">
        <f>ROUND(F109/8,0)</f>
        <v>29</v>
      </c>
      <c r="H109" s="56">
        <v>15713916</v>
      </c>
      <c r="I109" s="11" t="s">
        <v>23</v>
      </c>
      <c r="J109" s="2">
        <f>22-10</f>
        <v>12</v>
      </c>
      <c r="K109" s="2">
        <f>J109*7</f>
        <v>84</v>
      </c>
      <c r="M109" s="3" t="s">
        <v>326</v>
      </c>
      <c r="N109" s="11">
        <v>479</v>
      </c>
      <c r="O109" s="11">
        <v>255</v>
      </c>
      <c r="P109" s="60">
        <f>H109</f>
        <v>15713916</v>
      </c>
      <c r="Q109" s="42">
        <f>O109*12000</f>
        <v>3060000</v>
      </c>
      <c r="R109" s="60">
        <f>P109+Q109</f>
        <v>18773916</v>
      </c>
      <c r="S109" s="57">
        <f>P117/R109</f>
        <v>0.13167204966720847</v>
      </c>
    </row>
    <row r="110" spans="1:19" x14ac:dyDescent="0.25">
      <c r="A110" s="24">
        <v>2</v>
      </c>
      <c r="B110" s="4" t="s">
        <v>346</v>
      </c>
      <c r="C110" s="29">
        <v>1</v>
      </c>
      <c r="E110" s="3" t="s">
        <v>327</v>
      </c>
      <c r="F110" s="11">
        <v>498</v>
      </c>
      <c r="G110" s="11">
        <f>ROUND(F110/8,0)</f>
        <v>62</v>
      </c>
      <c r="H110" s="56">
        <v>32833990</v>
      </c>
      <c r="I110" s="11" t="s">
        <v>23</v>
      </c>
      <c r="J110" s="2">
        <f>22-10</f>
        <v>12</v>
      </c>
      <c r="K110" s="2">
        <f>J110*7</f>
        <v>84</v>
      </c>
      <c r="M110" s="3" t="s">
        <v>327</v>
      </c>
      <c r="N110" s="11">
        <v>1289</v>
      </c>
      <c r="O110" s="11">
        <v>571</v>
      </c>
      <c r="P110" s="60">
        <f>H110</f>
        <v>32833990</v>
      </c>
      <c r="Q110" s="42">
        <f>O110*12000</f>
        <v>6852000</v>
      </c>
      <c r="R110" s="60">
        <f>P110+Q110</f>
        <v>39685990</v>
      </c>
      <c r="S110" s="57">
        <f>P117/R110</f>
        <v>6.2288984097410696E-2</v>
      </c>
    </row>
    <row r="111" spans="1:19" x14ac:dyDescent="0.25">
      <c r="A111" s="24">
        <v>3</v>
      </c>
      <c r="B111" s="4" t="s">
        <v>193</v>
      </c>
      <c r="C111" s="29">
        <v>5</v>
      </c>
    </row>
    <row r="112" spans="1:19" x14ac:dyDescent="0.25">
      <c r="A112" s="24">
        <v>4</v>
      </c>
      <c r="B112" s="4" t="s">
        <v>194</v>
      </c>
      <c r="C112" s="29">
        <v>1</v>
      </c>
      <c r="E112" s="107" t="s">
        <v>339</v>
      </c>
      <c r="F112" s="107" t="s">
        <v>336</v>
      </c>
      <c r="G112" s="105" t="s">
        <v>337</v>
      </c>
      <c r="H112" s="106"/>
      <c r="I112" s="68" t="s">
        <v>341</v>
      </c>
      <c r="J112" s="68" t="s">
        <v>349</v>
      </c>
      <c r="K112" s="3" t="s">
        <v>351</v>
      </c>
      <c r="M112" s="103" t="s">
        <v>353</v>
      </c>
      <c r="N112" s="103" t="s">
        <v>336</v>
      </c>
      <c r="O112" s="104" t="s">
        <v>349</v>
      </c>
      <c r="P112" s="104"/>
      <c r="Q112" s="104"/>
      <c r="R112" s="105" t="s">
        <v>358</v>
      </c>
      <c r="S112" s="106"/>
    </row>
    <row r="113" spans="1:19" x14ac:dyDescent="0.25">
      <c r="A113" s="24">
        <v>5</v>
      </c>
      <c r="B113" s="4" t="s">
        <v>417</v>
      </c>
      <c r="C113" s="29">
        <f>SUM(C114:C118)</f>
        <v>5</v>
      </c>
      <c r="E113" s="108"/>
      <c r="F113" s="108"/>
      <c r="G113" s="3" t="s">
        <v>331</v>
      </c>
      <c r="H113" s="3" t="s">
        <v>338</v>
      </c>
      <c r="I113" s="68" t="s">
        <v>342</v>
      </c>
      <c r="J113" s="68" t="s">
        <v>350</v>
      </c>
      <c r="K113" s="3" t="s">
        <v>352</v>
      </c>
      <c r="M113" s="103"/>
      <c r="N113" s="103"/>
      <c r="O113" s="68" t="s">
        <v>356</v>
      </c>
      <c r="P113" s="68" t="s">
        <v>334</v>
      </c>
      <c r="Q113" s="68" t="s">
        <v>340</v>
      </c>
      <c r="R113" s="68" t="s">
        <v>359</v>
      </c>
      <c r="S113" s="68" t="s">
        <v>360</v>
      </c>
    </row>
    <row r="114" spans="1:19" x14ac:dyDescent="0.25">
      <c r="A114" s="30"/>
      <c r="B114" s="12" t="s">
        <v>224</v>
      </c>
      <c r="C114" s="12">
        <v>1</v>
      </c>
      <c r="E114" s="3" t="s">
        <v>326</v>
      </c>
      <c r="F114" s="2">
        <v>3</v>
      </c>
      <c r="G114" s="2">
        <f>F114*8</f>
        <v>24</v>
      </c>
      <c r="H114" s="2">
        <f>F114*8*7</f>
        <v>168</v>
      </c>
      <c r="I114" s="2">
        <f>H114/K109</f>
        <v>2</v>
      </c>
      <c r="J114" s="42">
        <v>21000</v>
      </c>
      <c r="K114" s="57">
        <f>(G114*J114)/H109</f>
        <v>3.207348187428264E-2</v>
      </c>
      <c r="M114" s="58" t="s">
        <v>195</v>
      </c>
      <c r="N114" s="2">
        <v>6</v>
      </c>
      <c r="O114" s="42">
        <v>27000</v>
      </c>
      <c r="P114" s="60">
        <f>N114*O114*8</f>
        <v>1296000</v>
      </c>
      <c r="Q114" s="60">
        <f>P114*7</f>
        <v>9072000</v>
      </c>
      <c r="R114" s="2"/>
      <c r="S114" s="2"/>
    </row>
    <row r="115" spans="1:19" x14ac:dyDescent="0.25">
      <c r="A115" s="30"/>
      <c r="B115" s="12" t="s">
        <v>225</v>
      </c>
      <c r="C115" s="12">
        <v>1</v>
      </c>
      <c r="E115" s="3" t="s">
        <v>327</v>
      </c>
      <c r="F115" s="2">
        <v>4</v>
      </c>
      <c r="G115" s="2">
        <f>F115*8</f>
        <v>32</v>
      </c>
      <c r="H115" s="2">
        <f>F115*8*7</f>
        <v>224</v>
      </c>
      <c r="I115" s="69">
        <f>H115/K110</f>
        <v>2.6666666666666665</v>
      </c>
      <c r="J115" s="42">
        <v>21000</v>
      </c>
      <c r="K115" s="57">
        <f>(G115*J115)/H110</f>
        <v>2.0466595744227246E-2</v>
      </c>
      <c r="M115" s="58" t="s">
        <v>192</v>
      </c>
      <c r="N115" s="2">
        <v>7</v>
      </c>
      <c r="O115" s="42">
        <v>21000</v>
      </c>
      <c r="P115" s="60">
        <f t="shared" ref="P115:P116" si="12">N115*O115*8</f>
        <v>1176000</v>
      </c>
      <c r="Q115" s="60">
        <f t="shared" ref="Q115:Q116" si="13">P115*7</f>
        <v>8232000</v>
      </c>
      <c r="R115" s="2"/>
      <c r="S115" s="2"/>
    </row>
    <row r="116" spans="1:19" x14ac:dyDescent="0.25">
      <c r="A116" s="30"/>
      <c r="B116" s="12" t="s">
        <v>226</v>
      </c>
      <c r="C116" s="12">
        <v>1</v>
      </c>
      <c r="M116" s="59" t="s">
        <v>354</v>
      </c>
      <c r="N116" s="2">
        <v>0</v>
      </c>
      <c r="O116" s="42">
        <v>21000</v>
      </c>
      <c r="P116" s="60">
        <f t="shared" si="12"/>
        <v>0</v>
      </c>
      <c r="Q116" s="60">
        <f t="shared" si="13"/>
        <v>0</v>
      </c>
      <c r="R116" s="2"/>
      <c r="S116" s="2"/>
    </row>
    <row r="117" spans="1:19" x14ac:dyDescent="0.25">
      <c r="A117" s="30"/>
      <c r="B117" s="12" t="s">
        <v>227</v>
      </c>
      <c r="C117" s="12" t="s">
        <v>373</v>
      </c>
      <c r="M117" s="3" t="s">
        <v>355</v>
      </c>
      <c r="N117" s="3">
        <f>SUM(N114:N116)</f>
        <v>13</v>
      </c>
      <c r="O117" s="61">
        <f>SUM(O114:O116)</f>
        <v>69000</v>
      </c>
      <c r="P117" s="61">
        <f>SUM(P114:P116)</f>
        <v>2472000</v>
      </c>
      <c r="Q117" s="61">
        <f>SUM(Q114:Q116)</f>
        <v>17304000</v>
      </c>
      <c r="R117" s="62">
        <f>(R109*5)+R110*2</f>
        <v>173241560</v>
      </c>
      <c r="S117" s="57">
        <f>Q117/R117</f>
        <v>9.9883653783768747E-2</v>
      </c>
    </row>
    <row r="118" spans="1:19" x14ac:dyDescent="0.25">
      <c r="A118" s="30"/>
      <c r="B118" s="12" t="s">
        <v>253</v>
      </c>
      <c r="C118" s="12">
        <v>2</v>
      </c>
    </row>
    <row r="119" spans="1:19" x14ac:dyDescent="0.25">
      <c r="A119" s="101" t="s">
        <v>201</v>
      </c>
      <c r="B119" s="101"/>
      <c r="C119" s="29">
        <f>C113+C112+C111+C110+C109</f>
        <v>13</v>
      </c>
    </row>
    <row r="121" spans="1:19" x14ac:dyDescent="0.25">
      <c r="A121" s="102" t="s">
        <v>407</v>
      </c>
      <c r="B121" s="102"/>
      <c r="C121" s="102"/>
      <c r="E121" s="13" t="s">
        <v>325</v>
      </c>
      <c r="F121" s="102" t="s">
        <v>407</v>
      </c>
      <c r="G121" s="102"/>
      <c r="H121" s="102"/>
    </row>
    <row r="122" spans="1:19" x14ac:dyDescent="0.25">
      <c r="A122" s="103" t="s">
        <v>185</v>
      </c>
      <c r="B122" s="103" t="s">
        <v>186</v>
      </c>
      <c r="C122" s="103" t="s">
        <v>188</v>
      </c>
      <c r="E122" s="107" t="s">
        <v>339</v>
      </c>
      <c r="F122" s="103" t="s">
        <v>328</v>
      </c>
      <c r="G122" s="103"/>
      <c r="H122" s="107" t="s">
        <v>329</v>
      </c>
      <c r="I122" s="104" t="s">
        <v>333</v>
      </c>
      <c r="J122" s="104"/>
      <c r="K122" s="104"/>
      <c r="M122" s="107" t="s">
        <v>195</v>
      </c>
      <c r="N122" s="103" t="s">
        <v>343</v>
      </c>
      <c r="O122" s="103"/>
      <c r="P122" s="104" t="s">
        <v>357</v>
      </c>
      <c r="Q122" s="104"/>
      <c r="R122" s="104"/>
      <c r="S122" s="40" t="s">
        <v>361</v>
      </c>
    </row>
    <row r="123" spans="1:19" x14ac:dyDescent="0.25">
      <c r="A123" s="103"/>
      <c r="B123" s="103"/>
      <c r="C123" s="103"/>
      <c r="E123" s="108"/>
      <c r="F123" s="39" t="s">
        <v>334</v>
      </c>
      <c r="G123" s="39" t="s">
        <v>335</v>
      </c>
      <c r="H123" s="108"/>
      <c r="I123" s="3" t="s">
        <v>330</v>
      </c>
      <c r="J123" s="3" t="s">
        <v>331</v>
      </c>
      <c r="K123" s="3" t="s">
        <v>332</v>
      </c>
      <c r="M123" s="108"/>
      <c r="N123" s="39" t="s">
        <v>344</v>
      </c>
      <c r="O123" s="39" t="s">
        <v>345</v>
      </c>
      <c r="P123" s="41" t="s">
        <v>344</v>
      </c>
      <c r="Q123" s="41" t="s">
        <v>345</v>
      </c>
      <c r="R123" s="40" t="s">
        <v>66</v>
      </c>
      <c r="S123" s="40" t="s">
        <v>362</v>
      </c>
    </row>
    <row r="124" spans="1:19" x14ac:dyDescent="0.25">
      <c r="A124" s="24">
        <v>1</v>
      </c>
      <c r="B124" s="4" t="s">
        <v>432</v>
      </c>
      <c r="C124" s="12">
        <v>1</v>
      </c>
      <c r="E124" s="3" t="s">
        <v>326</v>
      </c>
      <c r="F124" s="11">
        <v>102</v>
      </c>
      <c r="G124" s="11">
        <f>ROUND(F124/8,0)</f>
        <v>13</v>
      </c>
      <c r="H124" s="56">
        <v>10269624</v>
      </c>
      <c r="I124" s="11" t="s">
        <v>47</v>
      </c>
      <c r="J124" s="2">
        <f>22-6</f>
        <v>16</v>
      </c>
      <c r="K124" s="2">
        <f>J124*7</f>
        <v>112</v>
      </c>
      <c r="M124" s="3" t="s">
        <v>326</v>
      </c>
      <c r="N124" s="11">
        <v>318</v>
      </c>
      <c r="O124" s="11">
        <v>423</v>
      </c>
      <c r="P124" s="60">
        <f>H124</f>
        <v>10269624</v>
      </c>
      <c r="Q124" s="42">
        <f>O124*14000</f>
        <v>5922000</v>
      </c>
      <c r="R124" s="60">
        <f>P124+Q124</f>
        <v>16191624</v>
      </c>
      <c r="S124" s="57">
        <f>P132/R124</f>
        <v>0.14229579441815102</v>
      </c>
    </row>
    <row r="125" spans="1:19" x14ac:dyDescent="0.25">
      <c r="A125" s="24">
        <v>2</v>
      </c>
      <c r="B125" s="4" t="s">
        <v>346</v>
      </c>
      <c r="C125" s="12">
        <v>1</v>
      </c>
      <c r="E125" s="3" t="s">
        <v>327</v>
      </c>
      <c r="F125" s="11">
        <v>173</v>
      </c>
      <c r="G125" s="11">
        <f>ROUND(F125/8,0)</f>
        <v>22</v>
      </c>
      <c r="H125" s="56">
        <v>20476787</v>
      </c>
      <c r="I125" s="11" t="s">
        <v>47</v>
      </c>
      <c r="J125" s="2">
        <f>22-6</f>
        <v>16</v>
      </c>
      <c r="K125" s="2">
        <f>J125*7</f>
        <v>112</v>
      </c>
      <c r="M125" s="3" t="s">
        <v>327</v>
      </c>
      <c r="N125" s="11">
        <v>262</v>
      </c>
      <c r="O125" s="11">
        <v>535</v>
      </c>
      <c r="P125" s="60">
        <f>H125</f>
        <v>20476787</v>
      </c>
      <c r="Q125" s="42">
        <f>O125*14000</f>
        <v>7490000</v>
      </c>
      <c r="R125" s="60">
        <f>P125+Q125</f>
        <v>27966787</v>
      </c>
      <c r="S125" s="57">
        <f>P132/R125</f>
        <v>8.2383435751843787E-2</v>
      </c>
    </row>
    <row r="126" spans="1:19" x14ac:dyDescent="0.25">
      <c r="A126" s="24">
        <v>3</v>
      </c>
      <c r="B126" s="4" t="s">
        <v>193</v>
      </c>
      <c r="C126" s="12">
        <v>3</v>
      </c>
    </row>
    <row r="127" spans="1:19" x14ac:dyDescent="0.25">
      <c r="A127" s="24">
        <v>4</v>
      </c>
      <c r="B127" s="4" t="s">
        <v>348</v>
      </c>
      <c r="C127" s="12">
        <v>1</v>
      </c>
      <c r="E127" s="107" t="s">
        <v>339</v>
      </c>
      <c r="F127" s="107" t="s">
        <v>336</v>
      </c>
      <c r="G127" s="105" t="s">
        <v>337</v>
      </c>
      <c r="H127" s="106"/>
      <c r="I127" s="38" t="s">
        <v>341</v>
      </c>
      <c r="J127" s="38" t="s">
        <v>349</v>
      </c>
      <c r="K127" s="3" t="s">
        <v>351</v>
      </c>
      <c r="M127" s="103" t="s">
        <v>353</v>
      </c>
      <c r="N127" s="103" t="s">
        <v>336</v>
      </c>
      <c r="O127" s="104" t="s">
        <v>349</v>
      </c>
      <c r="P127" s="104"/>
      <c r="Q127" s="104"/>
      <c r="R127" s="105" t="s">
        <v>358</v>
      </c>
      <c r="S127" s="106"/>
    </row>
    <row r="128" spans="1:19" x14ac:dyDescent="0.25">
      <c r="A128" s="24">
        <v>5</v>
      </c>
      <c r="B128" s="4" t="s">
        <v>347</v>
      </c>
      <c r="C128" s="12">
        <v>1</v>
      </c>
      <c r="E128" s="108"/>
      <c r="F128" s="108"/>
      <c r="G128" s="3" t="s">
        <v>331</v>
      </c>
      <c r="H128" s="3" t="s">
        <v>338</v>
      </c>
      <c r="I128" s="38" t="s">
        <v>342</v>
      </c>
      <c r="J128" s="38" t="s">
        <v>350</v>
      </c>
      <c r="K128" s="3" t="s">
        <v>352</v>
      </c>
      <c r="M128" s="103"/>
      <c r="N128" s="103"/>
      <c r="O128" s="40" t="s">
        <v>356</v>
      </c>
      <c r="P128" s="40" t="s">
        <v>334</v>
      </c>
      <c r="Q128" s="40" t="s">
        <v>340</v>
      </c>
      <c r="R128" s="40" t="s">
        <v>359</v>
      </c>
      <c r="S128" s="40" t="s">
        <v>360</v>
      </c>
    </row>
    <row r="129" spans="1:19" x14ac:dyDescent="0.25">
      <c r="A129" s="24">
        <v>6</v>
      </c>
      <c r="B129" s="4" t="s">
        <v>196</v>
      </c>
      <c r="C129" s="12">
        <v>1</v>
      </c>
      <c r="E129" s="3" t="s">
        <v>326</v>
      </c>
      <c r="F129" s="2">
        <v>3</v>
      </c>
      <c r="G129" s="2">
        <f>F129*8</f>
        <v>24</v>
      </c>
      <c r="H129" s="2">
        <f>F129*8*7</f>
        <v>168</v>
      </c>
      <c r="I129" s="2">
        <f>H129/K124</f>
        <v>1.5</v>
      </c>
      <c r="J129" s="42">
        <v>21000</v>
      </c>
      <c r="K129" s="57">
        <f>(G129*J129)/H124</f>
        <v>4.9076772431006235E-2</v>
      </c>
      <c r="M129" s="58" t="s">
        <v>195</v>
      </c>
      <c r="N129" s="2">
        <v>6</v>
      </c>
      <c r="O129" s="42">
        <v>27000</v>
      </c>
      <c r="P129" s="60">
        <f>N129*O129*8</f>
        <v>1296000</v>
      </c>
      <c r="Q129" s="60">
        <f>P129*7</f>
        <v>9072000</v>
      </c>
      <c r="R129" s="2"/>
      <c r="S129" s="2"/>
    </row>
    <row r="130" spans="1:19" x14ac:dyDescent="0.25">
      <c r="A130" s="24">
        <v>7</v>
      </c>
      <c r="B130" s="4" t="s">
        <v>418</v>
      </c>
      <c r="C130" s="12">
        <v>2</v>
      </c>
      <c r="E130" s="3" t="s">
        <v>327</v>
      </c>
      <c r="F130" s="2">
        <v>4</v>
      </c>
      <c r="G130" s="2">
        <f>F130*8</f>
        <v>32</v>
      </c>
      <c r="H130" s="2">
        <f>F130*8*7</f>
        <v>224</v>
      </c>
      <c r="I130" s="2">
        <f>H130/K125</f>
        <v>2</v>
      </c>
      <c r="J130" s="42">
        <v>21000</v>
      </c>
      <c r="K130" s="57">
        <f>(G130*J130)/H125</f>
        <v>3.2817648589107268E-2</v>
      </c>
      <c r="M130" s="58" t="s">
        <v>192</v>
      </c>
      <c r="N130" s="2">
        <v>5</v>
      </c>
      <c r="O130" s="42">
        <v>21000</v>
      </c>
      <c r="P130" s="60">
        <f t="shared" ref="P130:P131" si="14">N130*O130*8</f>
        <v>840000</v>
      </c>
      <c r="Q130" s="60">
        <f t="shared" ref="Q130:Q131" si="15">P130*7</f>
        <v>5880000</v>
      </c>
      <c r="R130" s="2"/>
      <c r="S130" s="2"/>
    </row>
    <row r="131" spans="1:19" x14ac:dyDescent="0.25">
      <c r="A131" s="24">
        <v>8</v>
      </c>
      <c r="B131" s="4" t="s">
        <v>419</v>
      </c>
      <c r="C131" s="12">
        <v>2</v>
      </c>
      <c r="M131" s="59" t="s">
        <v>354</v>
      </c>
      <c r="N131" s="2">
        <v>1</v>
      </c>
      <c r="O131" s="42">
        <v>21000</v>
      </c>
      <c r="P131" s="60">
        <f t="shared" si="14"/>
        <v>168000</v>
      </c>
      <c r="Q131" s="60">
        <f t="shared" si="15"/>
        <v>1176000</v>
      </c>
      <c r="R131" s="2"/>
      <c r="S131" s="2"/>
    </row>
    <row r="132" spans="1:19" x14ac:dyDescent="0.25">
      <c r="A132" s="101" t="s">
        <v>201</v>
      </c>
      <c r="B132" s="101"/>
      <c r="C132" s="29">
        <f>SUM(C124:C131)</f>
        <v>12</v>
      </c>
      <c r="M132" s="3" t="s">
        <v>355</v>
      </c>
      <c r="N132" s="3">
        <f>SUM(N129:N131)</f>
        <v>12</v>
      </c>
      <c r="O132" s="61">
        <f>SUM(O129:O131)</f>
        <v>69000</v>
      </c>
      <c r="P132" s="61">
        <f>SUM(P129:P131)</f>
        <v>2304000</v>
      </c>
      <c r="Q132" s="61">
        <f>SUM(Q129:Q131)</f>
        <v>16128000</v>
      </c>
      <c r="R132" s="62">
        <f>(R124*5)+R125*2</f>
        <v>136891694</v>
      </c>
      <c r="S132" s="57">
        <f>Q132/R132</f>
        <v>0.11781576755124383</v>
      </c>
    </row>
    <row r="134" spans="1:19" x14ac:dyDescent="0.25">
      <c r="A134" s="104" t="s">
        <v>408</v>
      </c>
      <c r="B134" s="104"/>
      <c r="C134" s="104"/>
      <c r="E134" s="13" t="s">
        <v>325</v>
      </c>
      <c r="F134" s="104" t="s">
        <v>408</v>
      </c>
      <c r="G134" s="104"/>
      <c r="H134" s="104"/>
    </row>
    <row r="135" spans="1:19" x14ac:dyDescent="0.25">
      <c r="A135" s="103" t="s">
        <v>185</v>
      </c>
      <c r="B135" s="103" t="s">
        <v>186</v>
      </c>
      <c r="C135" s="103" t="s">
        <v>188</v>
      </c>
      <c r="E135" s="107" t="s">
        <v>339</v>
      </c>
      <c r="F135" s="103" t="s">
        <v>328</v>
      </c>
      <c r="G135" s="103"/>
      <c r="H135" s="107" t="s">
        <v>329</v>
      </c>
      <c r="I135" s="104" t="s">
        <v>333</v>
      </c>
      <c r="J135" s="104"/>
      <c r="K135" s="104"/>
      <c r="M135" s="107"/>
      <c r="N135" s="103"/>
      <c r="O135" s="103"/>
      <c r="P135" s="104" t="s">
        <v>357</v>
      </c>
      <c r="Q135" s="104"/>
      <c r="R135" s="104"/>
      <c r="S135" s="85" t="s">
        <v>361</v>
      </c>
    </row>
    <row r="136" spans="1:19" x14ac:dyDescent="0.25">
      <c r="A136" s="103"/>
      <c r="B136" s="103"/>
      <c r="C136" s="103"/>
      <c r="E136" s="108"/>
      <c r="F136" s="84" t="s">
        <v>334</v>
      </c>
      <c r="G136" s="84" t="s">
        <v>335</v>
      </c>
      <c r="H136" s="108"/>
      <c r="I136" s="3" t="s">
        <v>330</v>
      </c>
      <c r="J136" s="3" t="s">
        <v>331</v>
      </c>
      <c r="K136" s="3" t="s">
        <v>332</v>
      </c>
      <c r="M136" s="108"/>
      <c r="N136" s="84"/>
      <c r="O136" s="84"/>
      <c r="P136" s="84"/>
      <c r="Q136" s="84"/>
      <c r="R136" s="85" t="s">
        <v>66</v>
      </c>
      <c r="S136" s="85" t="s">
        <v>362</v>
      </c>
    </row>
    <row r="137" spans="1:19" x14ac:dyDescent="0.25">
      <c r="A137" s="24">
        <v>1</v>
      </c>
      <c r="B137" s="4" t="s">
        <v>432</v>
      </c>
      <c r="C137" s="12">
        <v>1</v>
      </c>
      <c r="E137" s="3" t="s">
        <v>326</v>
      </c>
      <c r="F137" s="11">
        <v>54</v>
      </c>
      <c r="G137" s="11">
        <f>ROUND(F137/8,0)</f>
        <v>7</v>
      </c>
      <c r="H137" s="56">
        <v>4089696</v>
      </c>
      <c r="I137" s="11" t="s">
        <v>49</v>
      </c>
      <c r="J137" s="2">
        <f>22-6</f>
        <v>16</v>
      </c>
      <c r="K137" s="2">
        <f>J137*7</f>
        <v>112</v>
      </c>
      <c r="M137" s="3"/>
      <c r="N137" s="11"/>
      <c r="O137" s="11"/>
      <c r="P137" s="60"/>
      <c r="Q137" s="42"/>
      <c r="R137" s="60">
        <f>H137</f>
        <v>4089696</v>
      </c>
      <c r="S137" s="57">
        <f>P146/R137</f>
        <v>0.12323654374310462</v>
      </c>
    </row>
    <row r="138" spans="1:19" x14ac:dyDescent="0.25">
      <c r="A138" s="24">
        <v>2</v>
      </c>
      <c r="B138" s="4" t="s">
        <v>193</v>
      </c>
      <c r="C138" s="12">
        <v>2</v>
      </c>
      <c r="E138" s="3" t="s">
        <v>327</v>
      </c>
      <c r="F138" s="11">
        <v>58</v>
      </c>
      <c r="G138" s="11">
        <f>ROUND(F138/8,0)</f>
        <v>7</v>
      </c>
      <c r="H138" s="56">
        <v>4646184</v>
      </c>
      <c r="I138" s="11" t="s">
        <v>49</v>
      </c>
      <c r="J138" s="2">
        <f>22-6</f>
        <v>16</v>
      </c>
      <c r="K138" s="2">
        <f>J138*7</f>
        <v>112</v>
      </c>
      <c r="M138" s="3"/>
      <c r="N138" s="11"/>
      <c r="O138" s="11"/>
      <c r="P138" s="60"/>
      <c r="Q138" s="42"/>
      <c r="R138" s="60">
        <f t="shared" ref="R138" si="16">H138</f>
        <v>4646184</v>
      </c>
      <c r="S138" s="57">
        <f>P146/R138</f>
        <v>0.10847611717486867</v>
      </c>
    </row>
    <row r="139" spans="1:19" x14ac:dyDescent="0.25">
      <c r="A139" s="101" t="s">
        <v>201</v>
      </c>
      <c r="B139" s="101"/>
      <c r="C139" s="29">
        <f>C137+C138</f>
        <v>3</v>
      </c>
      <c r="R139" s="60"/>
    </row>
    <row r="140" spans="1:19" x14ac:dyDescent="0.25">
      <c r="A140" s="13" t="s">
        <v>444</v>
      </c>
    </row>
    <row r="141" spans="1:19" x14ac:dyDescent="0.25">
      <c r="E141" s="107" t="s">
        <v>339</v>
      </c>
      <c r="F141" s="107" t="s">
        <v>336</v>
      </c>
      <c r="G141" s="105" t="s">
        <v>337</v>
      </c>
      <c r="H141" s="106"/>
      <c r="I141" s="85" t="s">
        <v>341</v>
      </c>
      <c r="J141" s="85" t="s">
        <v>349</v>
      </c>
      <c r="K141" s="3" t="s">
        <v>351</v>
      </c>
      <c r="M141" s="103" t="s">
        <v>353</v>
      </c>
      <c r="N141" s="103" t="s">
        <v>336</v>
      </c>
      <c r="O141" s="104" t="s">
        <v>349</v>
      </c>
      <c r="P141" s="104"/>
      <c r="Q141" s="104"/>
      <c r="R141" s="105" t="s">
        <v>358</v>
      </c>
      <c r="S141" s="106"/>
    </row>
    <row r="142" spans="1:19" x14ac:dyDescent="0.25">
      <c r="E142" s="108"/>
      <c r="F142" s="108"/>
      <c r="G142" s="3" t="s">
        <v>331</v>
      </c>
      <c r="H142" s="3" t="s">
        <v>338</v>
      </c>
      <c r="I142" s="85" t="s">
        <v>342</v>
      </c>
      <c r="J142" s="85" t="s">
        <v>350</v>
      </c>
      <c r="K142" s="3" t="s">
        <v>352</v>
      </c>
      <c r="M142" s="103"/>
      <c r="N142" s="103"/>
      <c r="O142" s="85" t="s">
        <v>356</v>
      </c>
      <c r="P142" s="85" t="s">
        <v>334</v>
      </c>
      <c r="Q142" s="85" t="s">
        <v>340</v>
      </c>
      <c r="R142" s="85" t="s">
        <v>359</v>
      </c>
      <c r="S142" s="85" t="s">
        <v>360</v>
      </c>
    </row>
    <row r="143" spans="1:19" x14ac:dyDescent="0.25">
      <c r="E143" s="3" t="s">
        <v>326</v>
      </c>
      <c r="F143" s="2">
        <v>3</v>
      </c>
      <c r="G143" s="2">
        <f>F143*8</f>
        <v>24</v>
      </c>
      <c r="H143" s="2">
        <f>F143*8*7</f>
        <v>168</v>
      </c>
      <c r="I143" s="2">
        <f>H143/K137</f>
        <v>1.5</v>
      </c>
      <c r="J143" s="42">
        <v>21000</v>
      </c>
      <c r="K143" s="57">
        <f>(G143*J143)/H137</f>
        <v>0.12323654374310462</v>
      </c>
      <c r="M143" s="58" t="s">
        <v>195</v>
      </c>
      <c r="N143" s="2">
        <v>0</v>
      </c>
      <c r="O143" s="42">
        <v>27000</v>
      </c>
      <c r="P143" s="60">
        <f>N143*O143*8</f>
        <v>0</v>
      </c>
      <c r="Q143" s="60">
        <f>P143*7</f>
        <v>0</v>
      </c>
      <c r="R143" s="2"/>
      <c r="S143" s="2"/>
    </row>
    <row r="144" spans="1:19" x14ac:dyDescent="0.25">
      <c r="E144" s="3" t="s">
        <v>327</v>
      </c>
      <c r="F144" s="2">
        <v>3</v>
      </c>
      <c r="G144" s="2">
        <f>F144*8</f>
        <v>24</v>
      </c>
      <c r="H144" s="2">
        <f>F144*8*7</f>
        <v>168</v>
      </c>
      <c r="I144" s="2">
        <f>H144/K138</f>
        <v>1.5</v>
      </c>
      <c r="J144" s="42">
        <v>21000</v>
      </c>
      <c r="K144" s="57">
        <f>(G144*J144)/H138</f>
        <v>0.10847611717486867</v>
      </c>
      <c r="M144" s="58" t="s">
        <v>192</v>
      </c>
      <c r="N144" s="2">
        <v>3</v>
      </c>
      <c r="O144" s="42">
        <v>21000</v>
      </c>
      <c r="P144" s="60">
        <f t="shared" ref="P144:P145" si="17">N144*O144*8</f>
        <v>504000</v>
      </c>
      <c r="Q144" s="60">
        <f t="shared" ref="Q144:Q145" si="18">P144*7</f>
        <v>3528000</v>
      </c>
      <c r="R144" s="2"/>
      <c r="S144" s="2"/>
    </row>
    <row r="145" spans="1:19" x14ac:dyDescent="0.25">
      <c r="M145" s="59" t="s">
        <v>354</v>
      </c>
      <c r="N145" s="2"/>
      <c r="O145" s="42">
        <v>21000</v>
      </c>
      <c r="P145" s="60">
        <f t="shared" si="17"/>
        <v>0</v>
      </c>
      <c r="Q145" s="60">
        <f t="shared" si="18"/>
        <v>0</v>
      </c>
      <c r="R145" s="2"/>
      <c r="S145" s="2"/>
    </row>
    <row r="146" spans="1:19" x14ac:dyDescent="0.25">
      <c r="M146" s="3" t="s">
        <v>355</v>
      </c>
      <c r="N146" s="3">
        <f>SUM(N143:N145)</f>
        <v>3</v>
      </c>
      <c r="O146" s="61">
        <f>SUM(O143:O145)</f>
        <v>69000</v>
      </c>
      <c r="P146" s="61">
        <f>SUM(P143:P145)</f>
        <v>504000</v>
      </c>
      <c r="Q146" s="61">
        <f>SUM(Q143:Q145)</f>
        <v>3528000</v>
      </c>
      <c r="R146" s="62">
        <f>(R137*5)+R138*2</f>
        <v>29740848</v>
      </c>
      <c r="S146" s="57">
        <f>Q146/R146</f>
        <v>0.11862472784905125</v>
      </c>
    </row>
    <row r="158" spans="1:19" x14ac:dyDescent="0.25">
      <c r="A158" s="102" t="s">
        <v>409</v>
      </c>
      <c r="B158" s="102"/>
      <c r="C158" s="102"/>
      <c r="E158" s="13" t="s">
        <v>325</v>
      </c>
      <c r="F158" s="102" t="s">
        <v>409</v>
      </c>
      <c r="G158" s="102"/>
      <c r="H158" s="102"/>
    </row>
    <row r="159" spans="1:19" x14ac:dyDescent="0.25">
      <c r="A159" s="103" t="s">
        <v>185</v>
      </c>
      <c r="B159" s="103" t="s">
        <v>186</v>
      </c>
      <c r="C159" s="103" t="s">
        <v>188</v>
      </c>
      <c r="E159" s="107" t="s">
        <v>339</v>
      </c>
      <c r="F159" s="103" t="s">
        <v>328</v>
      </c>
      <c r="G159" s="103"/>
      <c r="H159" s="107" t="s">
        <v>329</v>
      </c>
      <c r="I159" s="104" t="s">
        <v>333</v>
      </c>
      <c r="J159" s="104"/>
      <c r="K159" s="104"/>
      <c r="M159" s="107" t="s">
        <v>195</v>
      </c>
      <c r="N159" s="103" t="s">
        <v>343</v>
      </c>
      <c r="O159" s="103"/>
      <c r="P159" s="105" t="s">
        <v>357</v>
      </c>
      <c r="Q159" s="115"/>
      <c r="R159" s="106"/>
      <c r="S159" s="40" t="s">
        <v>361</v>
      </c>
    </row>
    <row r="160" spans="1:19" x14ac:dyDescent="0.25">
      <c r="A160" s="103"/>
      <c r="B160" s="103"/>
      <c r="C160" s="103"/>
      <c r="E160" s="108"/>
      <c r="F160" s="41" t="s">
        <v>334</v>
      </c>
      <c r="G160" s="41" t="s">
        <v>335</v>
      </c>
      <c r="H160" s="108"/>
      <c r="I160" s="3" t="s">
        <v>330</v>
      </c>
      <c r="J160" s="3" t="s">
        <v>331</v>
      </c>
      <c r="K160" s="3" t="s">
        <v>332</v>
      </c>
      <c r="M160" s="108"/>
      <c r="N160" s="41" t="s">
        <v>344</v>
      </c>
      <c r="O160" s="41" t="s">
        <v>367</v>
      </c>
      <c r="P160" s="41" t="s">
        <v>344</v>
      </c>
      <c r="Q160" s="41" t="s">
        <v>367</v>
      </c>
      <c r="R160" s="40" t="s">
        <v>66</v>
      </c>
      <c r="S160" s="40" t="s">
        <v>362</v>
      </c>
    </row>
    <row r="161" spans="1:19" x14ac:dyDescent="0.25">
      <c r="A161" s="24">
        <v>1</v>
      </c>
      <c r="B161" s="4" t="s">
        <v>432</v>
      </c>
      <c r="C161" s="29">
        <v>1</v>
      </c>
      <c r="E161" s="3" t="s">
        <v>326</v>
      </c>
      <c r="F161" s="11">
        <v>126</v>
      </c>
      <c r="G161" s="11">
        <f>ROUND(F161/8,0)</f>
        <v>16</v>
      </c>
      <c r="H161" s="56">
        <v>10987052</v>
      </c>
      <c r="I161" s="11" t="s">
        <v>47</v>
      </c>
      <c r="J161" s="2">
        <f>22-6</f>
        <v>16</v>
      </c>
      <c r="K161" s="2">
        <f>J161*7</f>
        <v>112</v>
      </c>
      <c r="M161" s="3" t="s">
        <v>326</v>
      </c>
      <c r="N161" s="11">
        <v>318</v>
      </c>
      <c r="O161" s="11">
        <v>317</v>
      </c>
      <c r="P161" s="60">
        <f>H161</f>
        <v>10987052</v>
      </c>
      <c r="Q161" s="42">
        <f>O161*32000</f>
        <v>10144000</v>
      </c>
      <c r="R161" s="60">
        <f>P161+Q161</f>
        <v>21131052</v>
      </c>
      <c r="S161" s="57">
        <f>P169/R161</f>
        <v>0.10903385217167608</v>
      </c>
    </row>
    <row r="162" spans="1:19" x14ac:dyDescent="0.25">
      <c r="A162" s="24">
        <v>2</v>
      </c>
      <c r="B162" s="4" t="s">
        <v>346</v>
      </c>
      <c r="C162" s="29">
        <v>1</v>
      </c>
      <c r="E162" s="3" t="s">
        <v>327</v>
      </c>
      <c r="F162" s="11">
        <v>138</v>
      </c>
      <c r="G162" s="11">
        <f>ROUND(F162/8,0)</f>
        <v>17</v>
      </c>
      <c r="H162" s="56">
        <v>11171685</v>
      </c>
      <c r="I162" s="11" t="s">
        <v>51</v>
      </c>
      <c r="J162" s="2">
        <v>17</v>
      </c>
      <c r="K162" s="2">
        <f>J162*7</f>
        <v>119</v>
      </c>
      <c r="M162" s="3" t="s">
        <v>327</v>
      </c>
      <c r="N162" s="11">
        <v>262</v>
      </c>
      <c r="O162" s="11">
        <v>392</v>
      </c>
      <c r="P162" s="60">
        <f>H162</f>
        <v>11171685</v>
      </c>
      <c r="Q162" s="42">
        <f>O162*32000</f>
        <v>12544000</v>
      </c>
      <c r="R162" s="60">
        <f>P162+Q162</f>
        <v>23715685</v>
      </c>
      <c r="S162" s="57">
        <f>P169/R162</f>
        <v>9.715089401803069E-2</v>
      </c>
    </row>
    <row r="163" spans="1:19" x14ac:dyDescent="0.25">
      <c r="A163" s="24">
        <v>3</v>
      </c>
      <c r="B163" s="4" t="s">
        <v>193</v>
      </c>
      <c r="C163" s="29">
        <v>3</v>
      </c>
    </row>
    <row r="164" spans="1:19" x14ac:dyDescent="0.25">
      <c r="A164" s="24">
        <v>4</v>
      </c>
      <c r="B164" s="4" t="s">
        <v>368</v>
      </c>
      <c r="C164" s="29">
        <v>1</v>
      </c>
      <c r="E164" s="107" t="s">
        <v>339</v>
      </c>
      <c r="F164" s="107" t="s">
        <v>336</v>
      </c>
      <c r="G164" s="105" t="s">
        <v>337</v>
      </c>
      <c r="H164" s="106"/>
      <c r="I164" s="40" t="s">
        <v>341</v>
      </c>
      <c r="J164" s="40" t="s">
        <v>349</v>
      </c>
      <c r="K164" s="3" t="s">
        <v>351</v>
      </c>
      <c r="M164" s="103" t="s">
        <v>353</v>
      </c>
      <c r="N164" s="103" t="s">
        <v>336</v>
      </c>
      <c r="O164" s="104" t="s">
        <v>349</v>
      </c>
      <c r="P164" s="104"/>
      <c r="Q164" s="104"/>
      <c r="R164" s="105" t="s">
        <v>358</v>
      </c>
      <c r="S164" s="106"/>
    </row>
    <row r="165" spans="1:19" x14ac:dyDescent="0.25">
      <c r="A165" s="24">
        <v>5</v>
      </c>
      <c r="B165" s="4" t="s">
        <v>194</v>
      </c>
      <c r="C165" s="29">
        <v>1</v>
      </c>
      <c r="E165" s="108"/>
      <c r="F165" s="108"/>
      <c r="G165" s="3" t="s">
        <v>331</v>
      </c>
      <c r="H165" s="3" t="s">
        <v>338</v>
      </c>
      <c r="I165" s="40" t="s">
        <v>342</v>
      </c>
      <c r="J165" s="40" t="s">
        <v>350</v>
      </c>
      <c r="K165" s="3" t="s">
        <v>352</v>
      </c>
      <c r="M165" s="103"/>
      <c r="N165" s="103"/>
      <c r="O165" s="40" t="s">
        <v>356</v>
      </c>
      <c r="P165" s="40" t="s">
        <v>334</v>
      </c>
      <c r="Q165" s="40" t="s">
        <v>340</v>
      </c>
      <c r="R165" s="40" t="s">
        <v>359</v>
      </c>
      <c r="S165" s="40" t="s">
        <v>360</v>
      </c>
    </row>
    <row r="166" spans="1:19" x14ac:dyDescent="0.25">
      <c r="A166" s="24">
        <v>6</v>
      </c>
      <c r="B166" s="4" t="s">
        <v>420</v>
      </c>
      <c r="C166" s="29">
        <f>SUM(C167:C170)</f>
        <v>5</v>
      </c>
      <c r="E166" s="3" t="s">
        <v>326</v>
      </c>
      <c r="F166" s="2">
        <v>3</v>
      </c>
      <c r="G166" s="2">
        <f>F166*8</f>
        <v>24</v>
      </c>
      <c r="H166" s="2">
        <f>F166*8*7</f>
        <v>168</v>
      </c>
      <c r="I166" s="2">
        <f>H166/K161</f>
        <v>1.5</v>
      </c>
      <c r="J166" s="42">
        <v>21000</v>
      </c>
      <c r="K166" s="57">
        <f>(G166*J166)/H161</f>
        <v>4.587217754134594E-2</v>
      </c>
      <c r="M166" s="58" t="s">
        <v>195</v>
      </c>
      <c r="N166" s="2">
        <v>6</v>
      </c>
      <c r="O166" s="42">
        <v>27000</v>
      </c>
      <c r="P166" s="60">
        <f>N166*O166*8</f>
        <v>1296000</v>
      </c>
      <c r="Q166" s="60">
        <f>P166*7</f>
        <v>9072000</v>
      </c>
      <c r="R166" s="2"/>
      <c r="S166" s="2"/>
    </row>
    <row r="167" spans="1:19" x14ac:dyDescent="0.25">
      <c r="A167" s="30"/>
      <c r="B167" s="12" t="s">
        <v>224</v>
      </c>
      <c r="C167" s="12">
        <v>1</v>
      </c>
      <c r="E167" s="3" t="s">
        <v>327</v>
      </c>
      <c r="F167" s="2">
        <v>3</v>
      </c>
      <c r="G167" s="2">
        <f>F167*8</f>
        <v>24</v>
      </c>
      <c r="H167" s="2">
        <f>F167*8*7</f>
        <v>168</v>
      </c>
      <c r="I167" s="69">
        <f>H167/K162</f>
        <v>1.411764705882353</v>
      </c>
      <c r="J167" s="42">
        <v>21000</v>
      </c>
      <c r="K167" s="57">
        <f>(G167*J167)/H162</f>
        <v>4.5114053967687057E-2</v>
      </c>
      <c r="M167" s="58" t="s">
        <v>192</v>
      </c>
      <c r="N167" s="2">
        <v>5</v>
      </c>
      <c r="O167" s="42">
        <v>21000</v>
      </c>
      <c r="P167" s="60">
        <f t="shared" ref="P167:P168" si="19">N167*O167*8</f>
        <v>840000</v>
      </c>
      <c r="Q167" s="60">
        <f t="shared" ref="Q167:Q168" si="20">P167*7</f>
        <v>5880000</v>
      </c>
      <c r="R167" s="2"/>
      <c r="S167" s="2"/>
    </row>
    <row r="168" spans="1:19" x14ac:dyDescent="0.25">
      <c r="A168" s="30"/>
      <c r="B168" s="12" t="s">
        <v>225</v>
      </c>
      <c r="C168" s="12">
        <v>2</v>
      </c>
      <c r="M168" s="59" t="s">
        <v>354</v>
      </c>
      <c r="N168" s="2">
        <v>1</v>
      </c>
      <c r="O168" s="42">
        <v>21000</v>
      </c>
      <c r="P168" s="60">
        <f t="shared" si="19"/>
        <v>168000</v>
      </c>
      <c r="Q168" s="60">
        <f t="shared" si="20"/>
        <v>1176000</v>
      </c>
      <c r="R168" s="2"/>
      <c r="S168" s="2"/>
    </row>
    <row r="169" spans="1:19" x14ac:dyDescent="0.25">
      <c r="A169" s="30"/>
      <c r="B169" s="12" t="s">
        <v>226</v>
      </c>
      <c r="C169" s="12">
        <v>1</v>
      </c>
      <c r="M169" s="3" t="s">
        <v>355</v>
      </c>
      <c r="N169" s="3">
        <f>SUM(N166:N168)</f>
        <v>12</v>
      </c>
      <c r="O169" s="61">
        <f>SUM(O166:O168)</f>
        <v>69000</v>
      </c>
      <c r="P169" s="61">
        <f>SUM(P166:P168)</f>
        <v>2304000</v>
      </c>
      <c r="Q169" s="61">
        <f>SUM(Q166:Q168)</f>
        <v>16128000</v>
      </c>
      <c r="R169" s="62">
        <f>(R161*5)+R162*2</f>
        <v>153086630</v>
      </c>
      <c r="S169" s="57">
        <f>Q169/R169</f>
        <v>0.105352113375283</v>
      </c>
    </row>
    <row r="170" spans="1:19" x14ac:dyDescent="0.25">
      <c r="A170" s="30"/>
      <c r="B170" s="12" t="s">
        <v>227</v>
      </c>
      <c r="C170" s="12">
        <v>1</v>
      </c>
    </row>
    <row r="171" spans="1:19" x14ac:dyDescent="0.25">
      <c r="A171" s="101" t="s">
        <v>201</v>
      </c>
      <c r="B171" s="101"/>
      <c r="C171" s="29">
        <f>C166+C165+C163+C162+C161+C164</f>
        <v>12</v>
      </c>
    </row>
    <row r="172" spans="1:19" x14ac:dyDescent="0.25">
      <c r="A172" s="111" t="s">
        <v>426</v>
      </c>
      <c r="B172" s="112"/>
      <c r="C172" s="112"/>
      <c r="E172" s="13" t="s">
        <v>325</v>
      </c>
      <c r="F172" s="111" t="s">
        <v>426</v>
      </c>
      <c r="G172" s="112"/>
      <c r="H172" s="112"/>
    </row>
    <row r="173" spans="1:19" x14ac:dyDescent="0.25">
      <c r="A173" s="107" t="s">
        <v>185</v>
      </c>
      <c r="B173" s="107" t="s">
        <v>186</v>
      </c>
      <c r="C173" s="107" t="s">
        <v>188</v>
      </c>
      <c r="E173" s="3" t="s">
        <v>413</v>
      </c>
      <c r="F173" s="83"/>
      <c r="G173" s="83"/>
      <c r="H173" s="81"/>
      <c r="I173" s="82"/>
      <c r="M173" s="103" t="s">
        <v>353</v>
      </c>
      <c r="N173" s="103" t="s">
        <v>336</v>
      </c>
      <c r="O173" s="104" t="s">
        <v>349</v>
      </c>
      <c r="P173" s="104"/>
      <c r="Q173" s="104"/>
      <c r="R173" s="105" t="s">
        <v>358</v>
      </c>
      <c r="S173" s="106"/>
    </row>
    <row r="174" spans="1:19" x14ac:dyDescent="0.25">
      <c r="A174" s="108"/>
      <c r="B174" s="108"/>
      <c r="C174" s="108"/>
      <c r="E174" s="2"/>
      <c r="F174" s="2"/>
      <c r="G174" s="2"/>
      <c r="H174" s="2"/>
      <c r="I174" s="2"/>
      <c r="M174" s="103"/>
      <c r="N174" s="103"/>
      <c r="O174" s="85" t="s">
        <v>356</v>
      </c>
      <c r="P174" s="85" t="s">
        <v>334</v>
      </c>
      <c r="Q174" s="85" t="s">
        <v>340</v>
      </c>
      <c r="R174" s="85" t="s">
        <v>359</v>
      </c>
      <c r="S174" s="85" t="s">
        <v>360</v>
      </c>
    </row>
    <row r="175" spans="1:19" x14ac:dyDescent="0.25">
      <c r="A175" s="24">
        <v>1</v>
      </c>
      <c r="B175" s="4" t="s">
        <v>265</v>
      </c>
      <c r="C175" s="12" t="s">
        <v>423</v>
      </c>
      <c r="E175" s="98"/>
      <c r="F175" s="98"/>
      <c r="G175" s="98"/>
      <c r="H175" s="98"/>
      <c r="I175" s="98"/>
      <c r="M175" s="58" t="s">
        <v>195</v>
      </c>
      <c r="N175" s="2">
        <v>4</v>
      </c>
      <c r="O175" s="42">
        <v>27000</v>
      </c>
      <c r="P175" s="60">
        <f>N175*O175*8</f>
        <v>864000</v>
      </c>
      <c r="Q175" s="60">
        <f>P175*7</f>
        <v>6048000</v>
      </c>
      <c r="R175" s="2"/>
      <c r="S175" s="2"/>
    </row>
    <row r="176" spans="1:19" x14ac:dyDescent="0.25">
      <c r="A176" s="24">
        <v>2</v>
      </c>
      <c r="B176" s="90" t="s">
        <v>422</v>
      </c>
      <c r="C176" s="12" t="s">
        <v>346</v>
      </c>
      <c r="E176" s="3" t="s">
        <v>329</v>
      </c>
      <c r="F176" s="97" t="s">
        <v>445</v>
      </c>
      <c r="G176" s="97" t="s">
        <v>446</v>
      </c>
      <c r="H176" s="97" t="s">
        <v>448</v>
      </c>
      <c r="I176" s="97" t="s">
        <v>449</v>
      </c>
      <c r="J176" s="3" t="s">
        <v>450</v>
      </c>
      <c r="K176" s="85" t="s">
        <v>66</v>
      </c>
      <c r="M176" s="58" t="s">
        <v>192</v>
      </c>
      <c r="N176" s="2">
        <v>0</v>
      </c>
      <c r="O176" s="42">
        <v>21000</v>
      </c>
      <c r="P176" s="60">
        <f t="shared" ref="P176:P177" si="21">N176*O176*8</f>
        <v>0</v>
      </c>
      <c r="Q176" s="60">
        <f t="shared" ref="Q176:Q177" si="22">P176*7</f>
        <v>0</v>
      </c>
      <c r="R176" s="2"/>
      <c r="S176" s="2"/>
    </row>
    <row r="177" spans="1:19" x14ac:dyDescent="0.25">
      <c r="A177" s="24">
        <v>3</v>
      </c>
      <c r="B177" s="90" t="s">
        <v>424</v>
      </c>
      <c r="C177" s="12">
        <v>1</v>
      </c>
      <c r="E177" s="3" t="s">
        <v>447</v>
      </c>
      <c r="F177" s="42">
        <f>ROUND(83594000/3,0)</f>
        <v>27864667</v>
      </c>
      <c r="G177" s="42">
        <f>ROUND(679881606/3,0)</f>
        <v>226627202</v>
      </c>
      <c r="H177" s="42">
        <f>ROUND((84540600+78067700)/3,0)</f>
        <v>54202767</v>
      </c>
      <c r="I177" s="42">
        <f>ROUND(357010500/3,0)</f>
        <v>119003500</v>
      </c>
      <c r="J177" s="42">
        <f>ROUND(39280221/3,0)</f>
        <v>13093407</v>
      </c>
      <c r="K177" s="62">
        <f>SUM(F177:J177)</f>
        <v>440791543</v>
      </c>
      <c r="M177" s="59" t="s">
        <v>354</v>
      </c>
      <c r="N177" s="2">
        <v>1</v>
      </c>
      <c r="O177" s="42">
        <v>21000</v>
      </c>
      <c r="P177" s="60">
        <f t="shared" si="21"/>
        <v>168000</v>
      </c>
      <c r="Q177" s="60">
        <f t="shared" si="22"/>
        <v>1176000</v>
      </c>
      <c r="R177" s="2"/>
      <c r="S177" s="2"/>
    </row>
    <row r="178" spans="1:19" x14ac:dyDescent="0.25">
      <c r="A178" s="24">
        <v>4</v>
      </c>
      <c r="B178" s="4" t="s">
        <v>425</v>
      </c>
      <c r="C178" s="12">
        <v>4</v>
      </c>
      <c r="M178" s="3" t="s">
        <v>355</v>
      </c>
      <c r="N178" s="3">
        <f>SUM(N175:N177)</f>
        <v>5</v>
      </c>
      <c r="O178" s="61">
        <f>SUM(O175:O177)</f>
        <v>69000</v>
      </c>
      <c r="P178" s="61">
        <f>SUM(P175:P177)</f>
        <v>1032000</v>
      </c>
      <c r="Q178" s="61">
        <f>SUM(Q175:Q177)</f>
        <v>7224000</v>
      </c>
      <c r="R178" s="62">
        <f>ROUND(K177/4,0)</f>
        <v>110197886</v>
      </c>
      <c r="S178" s="57">
        <f>Q178/R178</f>
        <v>6.5554796577495147E-2</v>
      </c>
    </row>
    <row r="179" spans="1:19" x14ac:dyDescent="0.25">
      <c r="A179" s="113" t="s">
        <v>201</v>
      </c>
      <c r="B179" s="114"/>
      <c r="C179" s="29">
        <f>SUM(C177:C178)</f>
        <v>5</v>
      </c>
    </row>
    <row r="181" spans="1:19" x14ac:dyDescent="0.25">
      <c r="A181" s="111" t="s">
        <v>411</v>
      </c>
      <c r="B181" s="112"/>
      <c r="C181" s="112"/>
      <c r="E181" s="13" t="s">
        <v>325</v>
      </c>
      <c r="F181" s="111" t="s">
        <v>411</v>
      </c>
      <c r="G181" s="112"/>
      <c r="H181" s="112"/>
    </row>
    <row r="182" spans="1:19" x14ac:dyDescent="0.25">
      <c r="A182" s="107" t="s">
        <v>185</v>
      </c>
      <c r="B182" s="107" t="s">
        <v>186</v>
      </c>
      <c r="C182" s="107" t="s">
        <v>188</v>
      </c>
      <c r="E182" s="2"/>
      <c r="F182" s="109" t="s">
        <v>261</v>
      </c>
      <c r="G182" s="109" t="s">
        <v>224</v>
      </c>
      <c r="H182" s="104" t="s">
        <v>253</v>
      </c>
      <c r="I182" s="104"/>
    </row>
    <row r="183" spans="1:19" x14ac:dyDescent="0.25">
      <c r="A183" s="108"/>
      <c r="B183" s="108"/>
      <c r="C183" s="108"/>
      <c r="E183" s="3" t="s">
        <v>413</v>
      </c>
      <c r="F183" s="110"/>
      <c r="G183" s="110"/>
      <c r="H183" s="68" t="s">
        <v>414</v>
      </c>
      <c r="I183" s="68" t="s">
        <v>415</v>
      </c>
    </row>
    <row r="184" spans="1:19" x14ac:dyDescent="0.25">
      <c r="A184" s="24">
        <v>1</v>
      </c>
      <c r="B184" s="4" t="s">
        <v>265</v>
      </c>
      <c r="C184" s="29">
        <v>1</v>
      </c>
      <c r="E184" s="2" t="s">
        <v>416</v>
      </c>
      <c r="F184" s="2"/>
      <c r="G184" s="2"/>
      <c r="H184" s="2">
        <v>75</v>
      </c>
      <c r="I184" s="2">
        <v>101</v>
      </c>
    </row>
    <row r="185" spans="1:19" x14ac:dyDescent="0.25">
      <c r="A185" s="24">
        <v>2</v>
      </c>
      <c r="B185" s="4" t="s">
        <v>266</v>
      </c>
      <c r="C185" s="29">
        <f>SUM(C186:C189)</f>
        <v>4</v>
      </c>
      <c r="E185" s="2" t="s">
        <v>327</v>
      </c>
      <c r="F185" s="2"/>
      <c r="G185" s="2"/>
      <c r="H185" s="2">
        <v>168</v>
      </c>
      <c r="I185" s="2">
        <v>298</v>
      </c>
    </row>
    <row r="186" spans="1:19" x14ac:dyDescent="0.25">
      <c r="A186" s="11"/>
      <c r="B186" s="28" t="s">
        <v>421</v>
      </c>
      <c r="C186" s="12">
        <v>1</v>
      </c>
    </row>
    <row r="187" spans="1:19" x14ac:dyDescent="0.25">
      <c r="A187" s="11"/>
      <c r="B187" s="28" t="s">
        <v>268</v>
      </c>
      <c r="C187" s="12">
        <v>1</v>
      </c>
    </row>
    <row r="188" spans="1:19" x14ac:dyDescent="0.25">
      <c r="A188" s="11"/>
      <c r="B188" s="28" t="s">
        <v>412</v>
      </c>
      <c r="C188" s="12">
        <v>1</v>
      </c>
    </row>
    <row r="189" spans="1:19" x14ac:dyDescent="0.25">
      <c r="A189" s="11"/>
      <c r="B189" s="28" t="s">
        <v>269</v>
      </c>
      <c r="C189" s="12">
        <v>1</v>
      </c>
    </row>
    <row r="190" spans="1:19" x14ac:dyDescent="0.25">
      <c r="A190" s="24">
        <v>3</v>
      </c>
      <c r="B190" s="4" t="s">
        <v>270</v>
      </c>
      <c r="C190" s="29">
        <v>2</v>
      </c>
    </row>
    <row r="191" spans="1:19" x14ac:dyDescent="0.25">
      <c r="A191" s="24">
        <v>4</v>
      </c>
      <c r="B191" s="4" t="s">
        <v>272</v>
      </c>
      <c r="C191" s="29">
        <v>2</v>
      </c>
    </row>
    <row r="192" spans="1:19" x14ac:dyDescent="0.25">
      <c r="A192" s="24">
        <v>5</v>
      </c>
      <c r="B192" s="4" t="s">
        <v>418</v>
      </c>
      <c r="C192" s="29">
        <f>SUM(C193:C195)</f>
        <v>11</v>
      </c>
    </row>
    <row r="193" spans="1:3" x14ac:dyDescent="0.25">
      <c r="A193" s="11"/>
      <c r="B193" s="28" t="s">
        <v>274</v>
      </c>
      <c r="C193" s="12">
        <v>4</v>
      </c>
    </row>
    <row r="194" spans="1:3" x14ac:dyDescent="0.25">
      <c r="A194" s="11"/>
      <c r="B194" s="28" t="s">
        <v>275</v>
      </c>
      <c r="C194" s="12">
        <v>6</v>
      </c>
    </row>
    <row r="195" spans="1:3" x14ac:dyDescent="0.25">
      <c r="A195" s="11"/>
      <c r="B195" s="28" t="s">
        <v>276</v>
      </c>
      <c r="C195" s="12">
        <v>1</v>
      </c>
    </row>
    <row r="196" spans="1:3" x14ac:dyDescent="0.25">
      <c r="A196" s="113" t="s">
        <v>201</v>
      </c>
      <c r="B196" s="114"/>
      <c r="C196" s="29">
        <f>C192+C191+C190+C185+C184</f>
        <v>20</v>
      </c>
    </row>
    <row r="210" spans="1:19" x14ac:dyDescent="0.25">
      <c r="A210" s="111" t="s">
        <v>427</v>
      </c>
      <c r="B210" s="112"/>
      <c r="C210" s="112"/>
      <c r="E210" s="13" t="s">
        <v>325</v>
      </c>
      <c r="F210" s="111" t="s">
        <v>427</v>
      </c>
      <c r="G210" s="112"/>
      <c r="H210" s="112"/>
    </row>
    <row r="211" spans="1:19" x14ac:dyDescent="0.25">
      <c r="A211" s="107" t="s">
        <v>185</v>
      </c>
      <c r="B211" s="107" t="s">
        <v>186</v>
      </c>
      <c r="C211" s="107" t="s">
        <v>188</v>
      </c>
      <c r="E211" s="107" t="s">
        <v>339</v>
      </c>
      <c r="F211" s="103" t="s">
        <v>328</v>
      </c>
      <c r="G211" s="103"/>
      <c r="H211" s="107" t="s">
        <v>329</v>
      </c>
      <c r="I211" s="104" t="s">
        <v>333</v>
      </c>
      <c r="J211" s="104"/>
      <c r="K211" s="104"/>
      <c r="M211" s="107" t="s">
        <v>195</v>
      </c>
      <c r="N211" s="103" t="s">
        <v>343</v>
      </c>
      <c r="O211" s="103"/>
      <c r="P211" s="104" t="s">
        <v>357</v>
      </c>
      <c r="Q211" s="104"/>
      <c r="R211" s="104"/>
      <c r="S211" s="68" t="s">
        <v>361</v>
      </c>
    </row>
    <row r="212" spans="1:19" x14ac:dyDescent="0.25">
      <c r="A212" s="108"/>
      <c r="B212" s="108"/>
      <c r="C212" s="108"/>
      <c r="E212" s="108"/>
      <c r="F212" s="67" t="s">
        <v>334</v>
      </c>
      <c r="G212" s="67" t="s">
        <v>335</v>
      </c>
      <c r="H212" s="108"/>
      <c r="I212" s="3" t="s">
        <v>330</v>
      </c>
      <c r="J212" s="3" t="s">
        <v>331</v>
      </c>
      <c r="K212" s="3" t="s">
        <v>332</v>
      </c>
      <c r="M212" s="108"/>
      <c r="N212" s="67" t="s">
        <v>344</v>
      </c>
      <c r="O212" s="67" t="s">
        <v>253</v>
      </c>
      <c r="P212" s="67" t="s">
        <v>399</v>
      </c>
      <c r="Q212" s="67"/>
      <c r="R212" s="68" t="s">
        <v>66</v>
      </c>
      <c r="S212" s="68" t="s">
        <v>362</v>
      </c>
    </row>
    <row r="213" spans="1:19" x14ac:dyDescent="0.25">
      <c r="A213" s="24">
        <v>1</v>
      </c>
      <c r="B213" s="4" t="s">
        <v>432</v>
      </c>
      <c r="C213" s="29">
        <v>1</v>
      </c>
      <c r="E213" s="3" t="s">
        <v>326</v>
      </c>
      <c r="F213" s="11">
        <v>196</v>
      </c>
      <c r="G213" s="11">
        <f>ROUND(F213/8,0)</f>
        <v>25</v>
      </c>
      <c r="H213" s="56">
        <v>11980874</v>
      </c>
      <c r="I213" s="11" t="s">
        <v>42</v>
      </c>
      <c r="J213" s="2">
        <f>22-8</f>
        <v>14</v>
      </c>
      <c r="K213" s="2">
        <f>J213*7</f>
        <v>98</v>
      </c>
      <c r="M213" s="3" t="s">
        <v>326</v>
      </c>
      <c r="N213" s="11">
        <v>391</v>
      </c>
      <c r="O213" s="11">
        <v>134</v>
      </c>
      <c r="P213" s="60">
        <f>H213</f>
        <v>11980874</v>
      </c>
      <c r="Q213" s="42"/>
      <c r="R213" s="60">
        <f>P213+Q213</f>
        <v>11980874</v>
      </c>
      <c r="S213" s="57">
        <f>P221/R213</f>
        <v>0.1923065045171162</v>
      </c>
    </row>
    <row r="214" spans="1:19" x14ac:dyDescent="0.25">
      <c r="A214" s="24">
        <v>2</v>
      </c>
      <c r="B214" s="4" t="s">
        <v>346</v>
      </c>
      <c r="C214" s="29">
        <v>1</v>
      </c>
      <c r="E214" s="3" t="s">
        <v>327</v>
      </c>
      <c r="F214" s="11">
        <v>457</v>
      </c>
      <c r="G214" s="11">
        <f>ROUND(F214/8,0)</f>
        <v>57</v>
      </c>
      <c r="H214" s="56">
        <v>29364028</v>
      </c>
      <c r="I214" s="11" t="s">
        <v>42</v>
      </c>
      <c r="J214" s="2">
        <f>22-8</f>
        <v>14</v>
      </c>
      <c r="K214" s="2">
        <f>J214*7</f>
        <v>98</v>
      </c>
      <c r="M214" s="3" t="s">
        <v>327</v>
      </c>
      <c r="N214" s="11">
        <v>897</v>
      </c>
      <c r="O214" s="11">
        <v>335</v>
      </c>
      <c r="P214" s="60">
        <f>H214</f>
        <v>29364028</v>
      </c>
      <c r="Q214" s="42"/>
      <c r="R214" s="60">
        <f>P214+Q214</f>
        <v>29364028</v>
      </c>
      <c r="S214" s="57">
        <f>P221/R214</f>
        <v>7.8463349782938493E-2</v>
      </c>
    </row>
    <row r="215" spans="1:19" x14ac:dyDescent="0.25">
      <c r="A215" s="24">
        <v>3</v>
      </c>
      <c r="B215" s="4" t="s">
        <v>193</v>
      </c>
      <c r="C215" s="29">
        <v>4</v>
      </c>
    </row>
    <row r="216" spans="1:19" x14ac:dyDescent="0.25">
      <c r="A216" s="24">
        <v>4</v>
      </c>
      <c r="B216" s="4" t="s">
        <v>194</v>
      </c>
      <c r="C216" s="29">
        <v>1</v>
      </c>
      <c r="E216" s="107" t="s">
        <v>339</v>
      </c>
      <c r="F216" s="107" t="s">
        <v>336</v>
      </c>
      <c r="G216" s="105" t="s">
        <v>337</v>
      </c>
      <c r="H216" s="106"/>
      <c r="I216" s="68" t="s">
        <v>341</v>
      </c>
      <c r="J216" s="68" t="s">
        <v>349</v>
      </c>
      <c r="K216" s="3" t="s">
        <v>351</v>
      </c>
      <c r="M216" s="103" t="s">
        <v>353</v>
      </c>
      <c r="N216" s="103" t="s">
        <v>336</v>
      </c>
      <c r="O216" s="104" t="s">
        <v>349</v>
      </c>
      <c r="P216" s="104"/>
      <c r="Q216" s="104"/>
      <c r="R216" s="105" t="s">
        <v>358</v>
      </c>
      <c r="S216" s="106"/>
    </row>
    <row r="217" spans="1:19" x14ac:dyDescent="0.25">
      <c r="A217" s="24">
        <v>5</v>
      </c>
      <c r="B217" s="4" t="s">
        <v>199</v>
      </c>
      <c r="C217" s="29">
        <f>SUM(C218:C222)</f>
        <v>5</v>
      </c>
      <c r="E217" s="108"/>
      <c r="F217" s="108"/>
      <c r="G217" s="3" t="s">
        <v>331</v>
      </c>
      <c r="H217" s="3" t="s">
        <v>338</v>
      </c>
      <c r="I217" s="68" t="s">
        <v>342</v>
      </c>
      <c r="J217" s="68" t="s">
        <v>350</v>
      </c>
      <c r="K217" s="3" t="s">
        <v>352</v>
      </c>
      <c r="M217" s="103"/>
      <c r="N217" s="103"/>
      <c r="O217" s="68" t="s">
        <v>356</v>
      </c>
      <c r="P217" s="68" t="s">
        <v>334</v>
      </c>
      <c r="Q217" s="68" t="s">
        <v>340</v>
      </c>
      <c r="R217" s="68" t="s">
        <v>359</v>
      </c>
      <c r="S217" s="68" t="s">
        <v>360</v>
      </c>
    </row>
    <row r="218" spans="1:19" x14ac:dyDescent="0.25">
      <c r="A218" s="30"/>
      <c r="B218" s="12" t="s">
        <v>224</v>
      </c>
      <c r="C218" s="12">
        <v>1</v>
      </c>
      <c r="E218" s="3" t="s">
        <v>326</v>
      </c>
      <c r="F218" s="2">
        <v>3</v>
      </c>
      <c r="G218" s="2">
        <f>F218*8</f>
        <v>24</v>
      </c>
      <c r="H218" s="2">
        <f>F218*8*7</f>
        <v>168</v>
      </c>
      <c r="I218" s="69">
        <f>H218/K213</f>
        <v>1.7142857142857142</v>
      </c>
      <c r="J218" s="42">
        <v>21000</v>
      </c>
      <c r="K218" s="57">
        <f>(G218*J218)/H213</f>
        <v>4.206704786311917E-2</v>
      </c>
      <c r="M218" s="58" t="s">
        <v>195</v>
      </c>
      <c r="N218" s="2">
        <v>6</v>
      </c>
      <c r="O218" s="42">
        <v>27000</v>
      </c>
      <c r="P218" s="60">
        <f>N218*O218*8</f>
        <v>1296000</v>
      </c>
      <c r="Q218" s="60">
        <f>P218*7</f>
        <v>9072000</v>
      </c>
      <c r="R218" s="2"/>
      <c r="S218" s="2"/>
    </row>
    <row r="219" spans="1:19" x14ac:dyDescent="0.25">
      <c r="A219" s="30"/>
      <c r="B219" s="12" t="s">
        <v>225</v>
      </c>
      <c r="C219" s="12">
        <v>1</v>
      </c>
      <c r="E219" s="3" t="s">
        <v>327</v>
      </c>
      <c r="F219" s="2">
        <v>4</v>
      </c>
      <c r="G219" s="2">
        <f>F219*8</f>
        <v>32</v>
      </c>
      <c r="H219" s="2">
        <f>F219*8*7</f>
        <v>224</v>
      </c>
      <c r="I219" s="69">
        <f>H219/K214</f>
        <v>2.2857142857142856</v>
      </c>
      <c r="J219" s="42">
        <v>21000</v>
      </c>
      <c r="K219" s="57">
        <f>(G219*J219)/H214</f>
        <v>2.2885143686690396E-2</v>
      </c>
      <c r="M219" s="58" t="s">
        <v>192</v>
      </c>
      <c r="N219" s="2">
        <v>6</v>
      </c>
      <c r="O219" s="42">
        <v>21000</v>
      </c>
      <c r="P219" s="60">
        <f t="shared" ref="P219:P220" si="23">N219*O219*8</f>
        <v>1008000</v>
      </c>
      <c r="Q219" s="60">
        <f t="shared" ref="Q219:Q220" si="24">P219*7</f>
        <v>7056000</v>
      </c>
      <c r="R219" s="2"/>
      <c r="S219" s="2"/>
    </row>
    <row r="220" spans="1:19" x14ac:dyDescent="0.25">
      <c r="A220" s="30"/>
      <c r="B220" s="12" t="s">
        <v>226</v>
      </c>
      <c r="C220" s="12">
        <v>1</v>
      </c>
      <c r="M220" s="59" t="s">
        <v>354</v>
      </c>
      <c r="N220" s="2">
        <v>0</v>
      </c>
      <c r="O220" s="42">
        <v>21000</v>
      </c>
      <c r="P220" s="60">
        <f t="shared" si="23"/>
        <v>0</v>
      </c>
      <c r="Q220" s="60">
        <f t="shared" si="24"/>
        <v>0</v>
      </c>
      <c r="R220" s="2"/>
      <c r="S220" s="2"/>
    </row>
    <row r="221" spans="1:19" x14ac:dyDescent="0.25">
      <c r="A221" s="30"/>
      <c r="B221" s="12" t="s">
        <v>227</v>
      </c>
      <c r="C221" s="12" t="s">
        <v>381</v>
      </c>
      <c r="M221" s="3" t="s">
        <v>355</v>
      </c>
      <c r="N221" s="3">
        <f>SUM(N218:N220)</f>
        <v>12</v>
      </c>
      <c r="O221" s="61">
        <f>SUM(O218:O220)</f>
        <v>69000</v>
      </c>
      <c r="P221" s="61">
        <f>SUM(P218:P220)</f>
        <v>2304000</v>
      </c>
      <c r="Q221" s="61">
        <f>SUM(Q218:Q220)</f>
        <v>16128000</v>
      </c>
      <c r="R221" s="62">
        <f>(R213*5)+R214*2</f>
        <v>118632426</v>
      </c>
      <c r="S221" s="57">
        <f>Q221/R221</f>
        <v>0.13594933985418117</v>
      </c>
    </row>
    <row r="222" spans="1:19" x14ac:dyDescent="0.25">
      <c r="A222" s="30"/>
      <c r="B222" s="12" t="s">
        <v>253</v>
      </c>
      <c r="C222" s="12">
        <v>2</v>
      </c>
    </row>
    <row r="223" spans="1:19" x14ac:dyDescent="0.25">
      <c r="A223" s="113" t="s">
        <v>201</v>
      </c>
      <c r="B223" s="114"/>
      <c r="C223" s="29">
        <f>C217+C216+C215+C214+C213</f>
        <v>12</v>
      </c>
    </row>
    <row r="224" spans="1:19" x14ac:dyDescent="0.25">
      <c r="A224" s="13" t="s">
        <v>398</v>
      </c>
    </row>
    <row r="225" spans="1:19" x14ac:dyDescent="0.25">
      <c r="A225" s="13"/>
    </row>
    <row r="226" spans="1:19" x14ac:dyDescent="0.25">
      <c r="A226" s="111" t="s">
        <v>428</v>
      </c>
      <c r="B226" s="112"/>
      <c r="C226" s="112"/>
      <c r="E226" s="13" t="s">
        <v>325</v>
      </c>
      <c r="F226" s="111" t="s">
        <v>428</v>
      </c>
      <c r="G226" s="112"/>
      <c r="H226" s="112"/>
    </row>
    <row r="227" spans="1:19" x14ac:dyDescent="0.25">
      <c r="A227" s="107" t="s">
        <v>185</v>
      </c>
      <c r="B227" s="107" t="s">
        <v>186</v>
      </c>
      <c r="C227" s="107" t="s">
        <v>188</v>
      </c>
      <c r="E227" s="107" t="s">
        <v>339</v>
      </c>
      <c r="F227" s="103" t="s">
        <v>328</v>
      </c>
      <c r="G227" s="103"/>
      <c r="H227" s="107" t="s">
        <v>329</v>
      </c>
      <c r="I227" s="104" t="s">
        <v>333</v>
      </c>
      <c r="J227" s="104"/>
      <c r="K227" s="104"/>
      <c r="M227" s="107" t="s">
        <v>195</v>
      </c>
      <c r="N227" s="103" t="s">
        <v>343</v>
      </c>
      <c r="O227" s="103"/>
      <c r="P227" s="104" t="s">
        <v>357</v>
      </c>
      <c r="Q227" s="104"/>
      <c r="R227" s="104"/>
      <c r="S227" s="68" t="s">
        <v>361</v>
      </c>
    </row>
    <row r="228" spans="1:19" x14ac:dyDescent="0.25">
      <c r="A228" s="108"/>
      <c r="B228" s="108"/>
      <c r="C228" s="108"/>
      <c r="E228" s="108"/>
      <c r="F228" s="67" t="s">
        <v>334</v>
      </c>
      <c r="G228" s="67" t="s">
        <v>335</v>
      </c>
      <c r="H228" s="108"/>
      <c r="I228" s="3" t="s">
        <v>330</v>
      </c>
      <c r="J228" s="3" t="s">
        <v>331</v>
      </c>
      <c r="K228" s="3" t="s">
        <v>332</v>
      </c>
      <c r="M228" s="108"/>
      <c r="N228" s="67" t="s">
        <v>344</v>
      </c>
      <c r="O228" s="67" t="s">
        <v>253</v>
      </c>
      <c r="P228" s="67" t="s">
        <v>399</v>
      </c>
      <c r="Q228" s="67"/>
      <c r="R228" s="68" t="s">
        <v>66</v>
      </c>
      <c r="S228" s="68" t="s">
        <v>362</v>
      </c>
    </row>
    <row r="229" spans="1:19" x14ac:dyDescent="0.25">
      <c r="A229" s="24">
        <v>1</v>
      </c>
      <c r="B229" s="4" t="s">
        <v>432</v>
      </c>
      <c r="C229" s="29">
        <v>1</v>
      </c>
      <c r="E229" s="3" t="s">
        <v>326</v>
      </c>
      <c r="F229" s="11">
        <v>212</v>
      </c>
      <c r="G229" s="11">
        <f>ROUND(F229/8,0)</f>
        <v>27</v>
      </c>
      <c r="H229" s="56">
        <v>13819417</v>
      </c>
      <c r="I229" s="11" t="s">
        <v>42</v>
      </c>
      <c r="J229" s="2">
        <f>22-8</f>
        <v>14</v>
      </c>
      <c r="K229" s="2">
        <f>J229*7</f>
        <v>98</v>
      </c>
      <c r="M229" s="3" t="s">
        <v>326</v>
      </c>
      <c r="N229" s="11">
        <v>362</v>
      </c>
      <c r="O229" s="11">
        <v>157</v>
      </c>
      <c r="P229" s="60">
        <f>H229</f>
        <v>13819417</v>
      </c>
      <c r="Q229" s="42"/>
      <c r="R229" s="60">
        <f>P229+Q229</f>
        <v>13819417</v>
      </c>
      <c r="S229" s="57">
        <f>P237/R229</f>
        <v>0.15109175734403268</v>
      </c>
    </row>
    <row r="230" spans="1:19" x14ac:dyDescent="0.25">
      <c r="A230" s="24">
        <v>2</v>
      </c>
      <c r="B230" s="4" t="s">
        <v>346</v>
      </c>
      <c r="C230" s="29">
        <v>1</v>
      </c>
      <c r="E230" s="3" t="s">
        <v>327</v>
      </c>
      <c r="F230" s="11">
        <v>311</v>
      </c>
      <c r="G230" s="11">
        <f>ROUND(F230/8,0)</f>
        <v>39</v>
      </c>
      <c r="H230" s="56">
        <v>20990835</v>
      </c>
      <c r="I230" s="11" t="s">
        <v>42</v>
      </c>
      <c r="J230" s="2">
        <f>22-8</f>
        <v>14</v>
      </c>
      <c r="K230" s="2">
        <f>J230*7</f>
        <v>98</v>
      </c>
      <c r="M230" s="3" t="s">
        <v>327</v>
      </c>
      <c r="N230" s="11">
        <v>679</v>
      </c>
      <c r="O230" s="11">
        <v>316</v>
      </c>
      <c r="P230" s="60">
        <f>H230</f>
        <v>20990835</v>
      </c>
      <c r="Q230" s="42"/>
      <c r="R230" s="60">
        <f>P230+Q230</f>
        <v>20990835</v>
      </c>
      <c r="S230" s="57">
        <f>P237/R230</f>
        <v>9.947198384437779E-2</v>
      </c>
    </row>
    <row r="231" spans="1:19" x14ac:dyDescent="0.25">
      <c r="A231" s="24">
        <v>3</v>
      </c>
      <c r="B231" s="4" t="s">
        <v>193</v>
      </c>
      <c r="C231" s="29">
        <v>4</v>
      </c>
    </row>
    <row r="232" spans="1:19" x14ac:dyDescent="0.25">
      <c r="A232" s="24">
        <v>4</v>
      </c>
      <c r="B232" s="4" t="s">
        <v>194</v>
      </c>
      <c r="C232" s="29"/>
      <c r="E232" s="107" t="s">
        <v>339</v>
      </c>
      <c r="F232" s="107" t="s">
        <v>336</v>
      </c>
      <c r="G232" s="105" t="s">
        <v>337</v>
      </c>
      <c r="H232" s="106"/>
      <c r="I232" s="68" t="s">
        <v>341</v>
      </c>
      <c r="J232" s="68" t="s">
        <v>349</v>
      </c>
      <c r="K232" s="3" t="s">
        <v>351</v>
      </c>
      <c r="M232" s="103" t="s">
        <v>353</v>
      </c>
      <c r="N232" s="103" t="s">
        <v>336</v>
      </c>
      <c r="O232" s="104" t="s">
        <v>349</v>
      </c>
      <c r="P232" s="104"/>
      <c r="Q232" s="104"/>
      <c r="R232" s="105" t="s">
        <v>358</v>
      </c>
      <c r="S232" s="106"/>
    </row>
    <row r="233" spans="1:19" x14ac:dyDescent="0.25">
      <c r="A233" s="24">
        <v>5</v>
      </c>
      <c r="B233" s="4" t="s">
        <v>430</v>
      </c>
      <c r="C233" s="29">
        <f>SUM(C234:C238)</f>
        <v>5</v>
      </c>
      <c r="E233" s="108"/>
      <c r="F233" s="108"/>
      <c r="G233" s="3" t="s">
        <v>331</v>
      </c>
      <c r="H233" s="3" t="s">
        <v>338</v>
      </c>
      <c r="I233" s="68" t="s">
        <v>342</v>
      </c>
      <c r="J233" s="68" t="s">
        <v>350</v>
      </c>
      <c r="K233" s="3" t="s">
        <v>352</v>
      </c>
      <c r="M233" s="103"/>
      <c r="N233" s="103"/>
      <c r="O233" s="68" t="s">
        <v>356</v>
      </c>
      <c r="P233" s="68" t="s">
        <v>334</v>
      </c>
      <c r="Q233" s="68" t="s">
        <v>340</v>
      </c>
      <c r="R233" s="68" t="s">
        <v>359</v>
      </c>
      <c r="S233" s="68" t="s">
        <v>360</v>
      </c>
    </row>
    <row r="234" spans="1:19" x14ac:dyDescent="0.25">
      <c r="A234" s="30"/>
      <c r="B234" s="12" t="s">
        <v>224</v>
      </c>
      <c r="C234" s="12">
        <v>1</v>
      </c>
      <c r="E234" s="3" t="s">
        <v>326</v>
      </c>
      <c r="F234" s="2">
        <v>3</v>
      </c>
      <c r="G234" s="2">
        <f>F234*8</f>
        <v>24</v>
      </c>
      <c r="H234" s="2">
        <f>F234*8*7</f>
        <v>168</v>
      </c>
      <c r="I234" s="69">
        <f>H234/K229</f>
        <v>1.7142857142857142</v>
      </c>
      <c r="J234" s="42">
        <v>21000</v>
      </c>
      <c r="K234" s="57">
        <f>(G234*J234)/H229</f>
        <v>3.6470424186490644E-2</v>
      </c>
      <c r="M234" s="58" t="s">
        <v>195</v>
      </c>
      <c r="N234" s="2">
        <v>5</v>
      </c>
      <c r="O234" s="42">
        <v>27000</v>
      </c>
      <c r="P234" s="60">
        <f>N234*O234*8</f>
        <v>1080000</v>
      </c>
      <c r="Q234" s="60">
        <f>P234*7</f>
        <v>7560000</v>
      </c>
      <c r="R234" s="2"/>
      <c r="S234" s="2"/>
    </row>
    <row r="235" spans="1:19" x14ac:dyDescent="0.25">
      <c r="A235" s="30"/>
      <c r="B235" s="12" t="s">
        <v>225</v>
      </c>
      <c r="C235" s="12">
        <v>1</v>
      </c>
      <c r="E235" s="3" t="s">
        <v>327</v>
      </c>
      <c r="F235" s="2">
        <v>4</v>
      </c>
      <c r="G235" s="2">
        <f>F235*8</f>
        <v>32</v>
      </c>
      <c r="H235" s="2">
        <f>F235*8*7</f>
        <v>224</v>
      </c>
      <c r="I235" s="69">
        <f>H235/K230</f>
        <v>2.2857142857142856</v>
      </c>
      <c r="J235" s="42">
        <v>21000</v>
      </c>
      <c r="K235" s="57">
        <f>(G235*J235)/H230</f>
        <v>3.2013971811983656E-2</v>
      </c>
      <c r="M235" s="58" t="s">
        <v>192</v>
      </c>
      <c r="N235" s="2">
        <v>6</v>
      </c>
      <c r="O235" s="42">
        <v>21000</v>
      </c>
      <c r="P235" s="60">
        <f t="shared" ref="P235:P236" si="25">N235*O235*8</f>
        <v>1008000</v>
      </c>
      <c r="Q235" s="60">
        <f t="shared" ref="Q235:Q236" si="26">P235*7</f>
        <v>7056000</v>
      </c>
      <c r="R235" s="2"/>
      <c r="S235" s="2"/>
    </row>
    <row r="236" spans="1:19" x14ac:dyDescent="0.25">
      <c r="A236" s="30"/>
      <c r="B236" s="12" t="s">
        <v>226</v>
      </c>
      <c r="C236" s="12">
        <v>1</v>
      </c>
      <c r="M236" s="59" t="s">
        <v>354</v>
      </c>
      <c r="N236" s="2">
        <v>0</v>
      </c>
      <c r="O236" s="42">
        <v>21000</v>
      </c>
      <c r="P236" s="60">
        <f t="shared" si="25"/>
        <v>0</v>
      </c>
      <c r="Q236" s="60">
        <f t="shared" si="26"/>
        <v>0</v>
      </c>
      <c r="R236" s="2"/>
      <c r="S236" s="2"/>
    </row>
    <row r="237" spans="1:19" x14ac:dyDescent="0.25">
      <c r="A237" s="30"/>
      <c r="B237" s="12" t="s">
        <v>227</v>
      </c>
      <c r="C237" s="12" t="s">
        <v>381</v>
      </c>
      <c r="M237" s="3" t="s">
        <v>355</v>
      </c>
      <c r="N237" s="3">
        <f>SUM(N234:N236)</f>
        <v>11</v>
      </c>
      <c r="O237" s="61">
        <f>SUM(O234:O236)</f>
        <v>69000</v>
      </c>
      <c r="P237" s="61">
        <f>SUM(P234:P236)</f>
        <v>2088000</v>
      </c>
      <c r="Q237" s="61">
        <f>SUM(Q234:Q236)</f>
        <v>14616000</v>
      </c>
      <c r="R237" s="62">
        <f>(R229*5)+R230*2</f>
        <v>111078755</v>
      </c>
      <c r="S237" s="57">
        <f>Q237/R237</f>
        <v>0.13158231742874685</v>
      </c>
    </row>
    <row r="238" spans="1:19" x14ac:dyDescent="0.25">
      <c r="A238" s="30"/>
      <c r="B238" s="12" t="s">
        <v>253</v>
      </c>
      <c r="C238" s="12">
        <v>2</v>
      </c>
    </row>
    <row r="239" spans="1:19" x14ac:dyDescent="0.25">
      <c r="A239" s="113" t="s">
        <v>201</v>
      </c>
      <c r="B239" s="114"/>
      <c r="C239" s="29">
        <f>C233+C232+C231+C230+C229</f>
        <v>11</v>
      </c>
    </row>
    <row r="241" spans="1:19" x14ac:dyDescent="0.25">
      <c r="A241" s="111" t="s">
        <v>429</v>
      </c>
      <c r="B241" s="112"/>
      <c r="C241" s="112"/>
      <c r="E241" s="13" t="s">
        <v>325</v>
      </c>
      <c r="F241" s="111" t="s">
        <v>429</v>
      </c>
      <c r="G241" s="112"/>
      <c r="H241" s="112"/>
    </row>
    <row r="242" spans="1:19" x14ac:dyDescent="0.25">
      <c r="A242" s="107" t="s">
        <v>185</v>
      </c>
      <c r="B242" s="107" t="s">
        <v>186</v>
      </c>
      <c r="C242" s="107" t="s">
        <v>188</v>
      </c>
      <c r="E242" s="107" t="s">
        <v>339</v>
      </c>
      <c r="F242" s="103" t="s">
        <v>328</v>
      </c>
      <c r="G242" s="103"/>
      <c r="H242" s="107" t="s">
        <v>329</v>
      </c>
      <c r="I242" s="104" t="s">
        <v>333</v>
      </c>
      <c r="J242" s="104"/>
      <c r="K242" s="104"/>
      <c r="M242" s="107" t="s">
        <v>195</v>
      </c>
      <c r="N242" s="103" t="s">
        <v>343</v>
      </c>
      <c r="O242" s="103"/>
      <c r="P242" s="104" t="s">
        <v>357</v>
      </c>
      <c r="Q242" s="104"/>
      <c r="R242" s="104"/>
      <c r="S242" s="68" t="s">
        <v>361</v>
      </c>
    </row>
    <row r="243" spans="1:19" x14ac:dyDescent="0.25">
      <c r="A243" s="108"/>
      <c r="B243" s="108"/>
      <c r="C243" s="108"/>
      <c r="E243" s="108"/>
      <c r="F243" s="67" t="s">
        <v>334</v>
      </c>
      <c r="G243" s="67" t="s">
        <v>335</v>
      </c>
      <c r="H243" s="108"/>
      <c r="I243" s="3" t="s">
        <v>330</v>
      </c>
      <c r="J243" s="3" t="s">
        <v>331</v>
      </c>
      <c r="K243" s="3" t="s">
        <v>332</v>
      </c>
      <c r="M243" s="108"/>
      <c r="N243" s="67" t="s">
        <v>344</v>
      </c>
      <c r="O243" s="67" t="s">
        <v>253</v>
      </c>
      <c r="P243" s="67" t="s">
        <v>399</v>
      </c>
      <c r="Q243" s="67"/>
      <c r="R243" s="68" t="s">
        <v>66</v>
      </c>
      <c r="S243" s="68" t="s">
        <v>362</v>
      </c>
    </row>
    <row r="244" spans="1:19" x14ac:dyDescent="0.25">
      <c r="A244" s="24">
        <v>1</v>
      </c>
      <c r="B244" s="4" t="s">
        <v>432</v>
      </c>
      <c r="C244" s="29">
        <v>1</v>
      </c>
      <c r="E244" s="3" t="s">
        <v>326</v>
      </c>
      <c r="F244" s="11">
        <v>128</v>
      </c>
      <c r="G244" s="11">
        <f>ROUND(F244/8,0)</f>
        <v>16</v>
      </c>
      <c r="H244" s="56">
        <v>11860771</v>
      </c>
      <c r="I244" s="11" t="s">
        <v>167</v>
      </c>
      <c r="J244" s="2">
        <f>22-8</f>
        <v>14</v>
      </c>
      <c r="K244" s="2">
        <f>J244*7</f>
        <v>98</v>
      </c>
      <c r="M244" s="3" t="s">
        <v>326</v>
      </c>
      <c r="N244" s="11">
        <v>457</v>
      </c>
      <c r="O244" s="11">
        <v>295</v>
      </c>
      <c r="P244" s="60">
        <f>H244</f>
        <v>11860771</v>
      </c>
      <c r="Q244" s="42"/>
      <c r="R244" s="60">
        <f>P244+Q244</f>
        <v>11860771</v>
      </c>
      <c r="S244" s="57">
        <f>P253/R244</f>
        <v>0.25495813046217652</v>
      </c>
    </row>
    <row r="245" spans="1:19" x14ac:dyDescent="0.25">
      <c r="A245" s="24">
        <v>2</v>
      </c>
      <c r="B245" s="4" t="s">
        <v>346</v>
      </c>
      <c r="C245" s="29">
        <v>1</v>
      </c>
      <c r="E245" s="3" t="s">
        <v>327</v>
      </c>
      <c r="F245" s="11">
        <v>431</v>
      </c>
      <c r="G245" s="11">
        <f>ROUND(F245/8,0)</f>
        <v>54</v>
      </c>
      <c r="H245" s="56">
        <v>45017253</v>
      </c>
      <c r="I245" s="11" t="s">
        <v>167</v>
      </c>
      <c r="J245" s="2">
        <f>22-8</f>
        <v>14</v>
      </c>
      <c r="K245" s="2">
        <f>J245*7</f>
        <v>98</v>
      </c>
      <c r="M245" s="3" t="s">
        <v>327</v>
      </c>
      <c r="N245" s="11">
        <v>1281</v>
      </c>
      <c r="O245" s="11">
        <v>742</v>
      </c>
      <c r="P245" s="60">
        <f>H245</f>
        <v>45017253</v>
      </c>
      <c r="Q245" s="42"/>
      <c r="R245" s="60">
        <f>P245+Q245</f>
        <v>45017253</v>
      </c>
      <c r="S245" s="57">
        <f>P253/R245</f>
        <v>6.7174245394315824E-2</v>
      </c>
    </row>
    <row r="246" spans="1:19" x14ac:dyDescent="0.25">
      <c r="A246" s="24">
        <v>3</v>
      </c>
      <c r="B246" s="4" t="s">
        <v>193</v>
      </c>
      <c r="C246" s="29">
        <v>7</v>
      </c>
    </row>
    <row r="247" spans="1:19" x14ac:dyDescent="0.25">
      <c r="A247" s="24">
        <v>4</v>
      </c>
      <c r="B247" s="4" t="s">
        <v>194</v>
      </c>
      <c r="C247" s="29">
        <v>1</v>
      </c>
    </row>
    <row r="248" spans="1:19" x14ac:dyDescent="0.25">
      <c r="A248" s="24">
        <v>5</v>
      </c>
      <c r="B248" s="4" t="s">
        <v>430</v>
      </c>
      <c r="C248" s="29">
        <f>SUM(C249:C255)</f>
        <v>6</v>
      </c>
      <c r="E248" s="65" t="s">
        <v>339</v>
      </c>
      <c r="F248" s="65" t="s">
        <v>336</v>
      </c>
      <c r="G248" s="63" t="s">
        <v>337</v>
      </c>
      <c r="H248" s="64"/>
      <c r="I248" s="68" t="s">
        <v>341</v>
      </c>
      <c r="J248" s="68" t="s">
        <v>349</v>
      </c>
      <c r="K248" s="3" t="s">
        <v>351</v>
      </c>
      <c r="M248" s="67" t="s">
        <v>353</v>
      </c>
      <c r="N248" s="67" t="s">
        <v>336</v>
      </c>
      <c r="O248" s="68" t="s">
        <v>349</v>
      </c>
      <c r="P248" s="68"/>
      <c r="Q248" s="68"/>
      <c r="R248" s="63" t="s">
        <v>358</v>
      </c>
      <c r="S248" s="64"/>
    </row>
    <row r="249" spans="1:19" x14ac:dyDescent="0.25">
      <c r="A249" s="30"/>
      <c r="B249" s="12" t="s">
        <v>224</v>
      </c>
      <c r="C249" s="12">
        <v>1</v>
      </c>
      <c r="E249" s="66"/>
      <c r="F249" s="66"/>
      <c r="G249" s="3" t="s">
        <v>331</v>
      </c>
      <c r="H249" s="3" t="s">
        <v>338</v>
      </c>
      <c r="I249" s="68" t="s">
        <v>342</v>
      </c>
      <c r="J249" s="68" t="s">
        <v>350</v>
      </c>
      <c r="K249" s="3" t="s">
        <v>352</v>
      </c>
      <c r="M249" s="67"/>
      <c r="N249" s="67"/>
      <c r="O249" s="68" t="s">
        <v>356</v>
      </c>
      <c r="P249" s="68" t="s">
        <v>334</v>
      </c>
      <c r="Q249" s="68" t="s">
        <v>340</v>
      </c>
      <c r="R249" s="68" t="s">
        <v>359</v>
      </c>
      <c r="S249" s="68" t="s">
        <v>360</v>
      </c>
    </row>
    <row r="250" spans="1:19" x14ac:dyDescent="0.25">
      <c r="A250" s="30"/>
      <c r="B250" s="12" t="s">
        <v>225</v>
      </c>
      <c r="C250" s="12">
        <v>1</v>
      </c>
      <c r="E250" s="3" t="s">
        <v>326</v>
      </c>
      <c r="F250" s="2">
        <v>3</v>
      </c>
      <c r="G250" s="2">
        <f>F250*8</f>
        <v>24</v>
      </c>
      <c r="H250" s="2">
        <f>F250*8*7</f>
        <v>168</v>
      </c>
      <c r="I250" s="69">
        <f>H250/K244</f>
        <v>1.7142857142857142</v>
      </c>
      <c r="J250" s="42">
        <v>21000</v>
      </c>
      <c r="K250" s="57">
        <f>(G250*J250)/H244</f>
        <v>4.249302174369609E-2</v>
      </c>
      <c r="M250" s="58" t="s">
        <v>195</v>
      </c>
      <c r="N250" s="2">
        <v>7</v>
      </c>
      <c r="O250" s="42">
        <v>27000</v>
      </c>
      <c r="P250" s="60">
        <f>N250*O250*8</f>
        <v>1512000</v>
      </c>
      <c r="Q250" s="60">
        <f>P250*7</f>
        <v>10584000</v>
      </c>
      <c r="R250" s="2"/>
      <c r="S250" s="2"/>
    </row>
    <row r="251" spans="1:19" x14ac:dyDescent="0.25">
      <c r="A251" s="30"/>
      <c r="B251" s="12" t="s">
        <v>226</v>
      </c>
      <c r="C251" s="12">
        <v>1</v>
      </c>
      <c r="E251" s="3" t="s">
        <v>327</v>
      </c>
      <c r="F251" s="2">
        <v>5</v>
      </c>
      <c r="G251" s="2">
        <f>F251*8</f>
        <v>40</v>
      </c>
      <c r="H251" s="2">
        <f>F251*8*7</f>
        <v>280</v>
      </c>
      <c r="I251" s="69">
        <f>H251/K245</f>
        <v>2.8571428571428572</v>
      </c>
      <c r="J251" s="42">
        <v>21000</v>
      </c>
      <c r="K251" s="57">
        <f>(G251*J251)/H245</f>
        <v>1.8659512609532171E-2</v>
      </c>
      <c r="M251" s="58" t="s">
        <v>192</v>
      </c>
      <c r="N251" s="2">
        <v>9</v>
      </c>
      <c r="O251" s="42">
        <v>21000</v>
      </c>
      <c r="P251" s="60">
        <f t="shared" ref="P251:P252" si="27">N251*O251*8</f>
        <v>1512000</v>
      </c>
      <c r="Q251" s="60">
        <f t="shared" ref="Q251:Q252" si="28">P251*7</f>
        <v>10584000</v>
      </c>
      <c r="R251" s="2"/>
      <c r="S251" s="2"/>
    </row>
    <row r="252" spans="1:19" x14ac:dyDescent="0.25">
      <c r="A252" s="30"/>
      <c r="B252" s="12" t="s">
        <v>227</v>
      </c>
      <c r="C252" s="12" t="s">
        <v>381</v>
      </c>
      <c r="M252" s="59" t="s">
        <v>354</v>
      </c>
      <c r="N252" s="2">
        <v>0</v>
      </c>
      <c r="O252" s="42">
        <v>21000</v>
      </c>
      <c r="P252" s="60">
        <f t="shared" si="27"/>
        <v>0</v>
      </c>
      <c r="Q252" s="60">
        <f t="shared" si="28"/>
        <v>0</v>
      </c>
      <c r="R252" s="2"/>
      <c r="S252" s="2"/>
    </row>
    <row r="253" spans="1:19" x14ac:dyDescent="0.25">
      <c r="A253" s="30"/>
      <c r="B253" s="12" t="s">
        <v>239</v>
      </c>
      <c r="C253" s="12" t="s">
        <v>381</v>
      </c>
      <c r="M253" s="3" t="s">
        <v>355</v>
      </c>
      <c r="N253" s="3">
        <f>SUM(N250:N252)</f>
        <v>16</v>
      </c>
      <c r="O253" s="61">
        <f>SUM(O250:O252)</f>
        <v>69000</v>
      </c>
      <c r="P253" s="61">
        <f>SUM(P250:P252)</f>
        <v>3024000</v>
      </c>
      <c r="Q253" s="61">
        <f>SUM(Q250:Q252)</f>
        <v>21168000</v>
      </c>
      <c r="R253" s="62">
        <f>(R244*5)+R245*2</f>
        <v>149338361</v>
      </c>
      <c r="S253" s="57">
        <f>Q253/R253</f>
        <v>0.14174522780519869</v>
      </c>
    </row>
    <row r="254" spans="1:19" x14ac:dyDescent="0.25">
      <c r="A254" s="30"/>
      <c r="B254" s="12" t="s">
        <v>261</v>
      </c>
      <c r="C254" s="12">
        <v>1</v>
      </c>
    </row>
    <row r="255" spans="1:19" x14ac:dyDescent="0.25">
      <c r="A255" s="30"/>
      <c r="B255" s="12" t="s">
        <v>253</v>
      </c>
      <c r="C255" s="12">
        <v>2</v>
      </c>
    </row>
    <row r="256" spans="1:19" x14ac:dyDescent="0.25">
      <c r="A256" s="113" t="s">
        <v>201</v>
      </c>
      <c r="B256" s="114"/>
      <c r="C256" s="29">
        <f>C248+C247+C246+C245+C244</f>
        <v>16</v>
      </c>
    </row>
    <row r="262" spans="1:3" x14ac:dyDescent="0.25">
      <c r="A262" s="102" t="s">
        <v>431</v>
      </c>
      <c r="B262" s="102"/>
      <c r="C262" s="102"/>
    </row>
    <row r="263" spans="1:3" x14ac:dyDescent="0.25">
      <c r="A263" s="103" t="s">
        <v>185</v>
      </c>
      <c r="B263" s="103" t="s">
        <v>186</v>
      </c>
      <c r="C263" s="103" t="s">
        <v>188</v>
      </c>
    </row>
    <row r="264" spans="1:3" x14ac:dyDescent="0.25">
      <c r="A264" s="103"/>
      <c r="B264" s="103"/>
      <c r="C264" s="103"/>
    </row>
    <row r="265" spans="1:3" x14ac:dyDescent="0.25">
      <c r="A265" s="24">
        <v>1</v>
      </c>
      <c r="B265" s="4" t="s">
        <v>432</v>
      </c>
      <c r="C265" s="29">
        <v>1</v>
      </c>
    </row>
    <row r="266" spans="1:3" x14ac:dyDescent="0.25">
      <c r="A266" s="24">
        <v>2</v>
      </c>
      <c r="B266" s="4" t="s">
        <v>346</v>
      </c>
      <c r="C266" s="29">
        <v>1</v>
      </c>
    </row>
    <row r="267" spans="1:3" x14ac:dyDescent="0.25">
      <c r="A267" s="24">
        <v>3</v>
      </c>
      <c r="B267" s="4" t="s">
        <v>193</v>
      </c>
      <c r="C267" s="29">
        <v>6</v>
      </c>
    </row>
    <row r="268" spans="1:3" x14ac:dyDescent="0.25">
      <c r="A268" s="24">
        <v>4</v>
      </c>
      <c r="B268" s="4" t="s">
        <v>194</v>
      </c>
      <c r="C268" s="29">
        <v>1</v>
      </c>
    </row>
    <row r="269" spans="1:3" x14ac:dyDescent="0.25">
      <c r="A269" s="24">
        <v>5</v>
      </c>
      <c r="B269" s="4" t="s">
        <v>430</v>
      </c>
      <c r="C269" s="29">
        <v>4</v>
      </c>
    </row>
    <row r="270" spans="1:3" x14ac:dyDescent="0.25">
      <c r="A270" s="30"/>
      <c r="B270" s="12" t="s">
        <v>224</v>
      </c>
      <c r="C270" s="12">
        <v>1</v>
      </c>
    </row>
    <row r="271" spans="1:3" x14ac:dyDescent="0.25">
      <c r="A271" s="30"/>
      <c r="B271" s="12" t="s">
        <v>225</v>
      </c>
      <c r="C271" s="12">
        <v>1</v>
      </c>
    </row>
    <row r="272" spans="1:3" x14ac:dyDescent="0.25">
      <c r="A272" s="30"/>
      <c r="B272" s="12" t="s">
        <v>226</v>
      </c>
      <c r="C272" s="12">
        <v>1</v>
      </c>
    </row>
    <row r="273" spans="1:3" x14ac:dyDescent="0.25">
      <c r="A273" s="30"/>
      <c r="B273" s="12" t="s">
        <v>227</v>
      </c>
      <c r="C273" s="12">
        <v>1</v>
      </c>
    </row>
    <row r="274" spans="1:3" x14ac:dyDescent="0.25">
      <c r="A274" s="101" t="s">
        <v>201</v>
      </c>
      <c r="B274" s="101"/>
      <c r="C274" s="29">
        <f>C269+C268+C267+C266+C265</f>
        <v>13</v>
      </c>
    </row>
    <row r="276" spans="1:3" x14ac:dyDescent="0.25">
      <c r="A276" s="102" t="s">
        <v>433</v>
      </c>
      <c r="B276" s="102"/>
      <c r="C276" s="102"/>
    </row>
    <row r="277" spans="1:3" x14ac:dyDescent="0.25">
      <c r="A277" s="103" t="s">
        <v>185</v>
      </c>
      <c r="B277" s="103" t="s">
        <v>186</v>
      </c>
      <c r="C277" s="103" t="s">
        <v>188</v>
      </c>
    </row>
    <row r="278" spans="1:3" x14ac:dyDescent="0.25">
      <c r="A278" s="103"/>
      <c r="B278" s="103"/>
      <c r="C278" s="103"/>
    </row>
    <row r="279" spans="1:3" x14ac:dyDescent="0.25">
      <c r="A279" s="24">
        <v>1</v>
      </c>
      <c r="B279" s="4" t="s">
        <v>432</v>
      </c>
      <c r="C279" s="29">
        <v>1</v>
      </c>
    </row>
    <row r="280" spans="1:3" x14ac:dyDescent="0.25">
      <c r="A280" s="24">
        <v>2</v>
      </c>
      <c r="B280" s="4" t="s">
        <v>346</v>
      </c>
      <c r="C280" s="29">
        <v>1</v>
      </c>
    </row>
    <row r="281" spans="1:3" x14ac:dyDescent="0.25">
      <c r="A281" s="24">
        <v>3</v>
      </c>
      <c r="B281" s="4" t="s">
        <v>193</v>
      </c>
      <c r="C281" s="29">
        <v>6</v>
      </c>
    </row>
    <row r="282" spans="1:3" x14ac:dyDescent="0.25">
      <c r="A282" s="24">
        <v>4</v>
      </c>
      <c r="B282" s="4" t="s">
        <v>194</v>
      </c>
      <c r="C282" s="29">
        <v>1</v>
      </c>
    </row>
    <row r="283" spans="1:3" x14ac:dyDescent="0.25">
      <c r="A283" s="24">
        <v>5</v>
      </c>
      <c r="B283" s="4" t="s">
        <v>430</v>
      </c>
      <c r="C283" s="29">
        <v>4</v>
      </c>
    </row>
    <row r="284" spans="1:3" x14ac:dyDescent="0.25">
      <c r="A284" s="30"/>
      <c r="B284" s="12" t="s">
        <v>224</v>
      </c>
      <c r="C284" s="12">
        <v>1</v>
      </c>
    </row>
    <row r="285" spans="1:3" x14ac:dyDescent="0.25">
      <c r="A285" s="30"/>
      <c r="B285" s="12" t="s">
        <v>225</v>
      </c>
      <c r="C285" s="12">
        <v>1</v>
      </c>
    </row>
    <row r="286" spans="1:3" x14ac:dyDescent="0.25">
      <c r="A286" s="30"/>
      <c r="B286" s="12" t="s">
        <v>226</v>
      </c>
      <c r="C286" s="12">
        <v>1</v>
      </c>
    </row>
    <row r="287" spans="1:3" x14ac:dyDescent="0.25">
      <c r="A287" s="30"/>
      <c r="B287" s="12" t="s">
        <v>227</v>
      </c>
      <c r="C287" s="12">
        <v>1</v>
      </c>
    </row>
    <row r="288" spans="1:3" x14ac:dyDescent="0.25">
      <c r="A288" s="101" t="s">
        <v>201</v>
      </c>
      <c r="B288" s="101"/>
      <c r="C288" s="29">
        <f>C283+C282+C281+C280+C279</f>
        <v>13</v>
      </c>
    </row>
    <row r="290" spans="1:3" s="13" customFormat="1" x14ac:dyDescent="0.25">
      <c r="A290" s="92" t="s">
        <v>436</v>
      </c>
      <c r="B290" s="93" t="s">
        <v>438</v>
      </c>
      <c r="C290" s="92" t="s">
        <v>437</v>
      </c>
    </row>
  </sheetData>
  <mergeCells count="284">
    <mergeCell ref="M173:M174"/>
    <mergeCell ref="N173:N174"/>
    <mergeCell ref="O173:Q173"/>
    <mergeCell ref="R173:S173"/>
    <mergeCell ref="A1:C1"/>
    <mergeCell ref="A3:C3"/>
    <mergeCell ref="E135:E136"/>
    <mergeCell ref="F135:G135"/>
    <mergeCell ref="H135:H136"/>
    <mergeCell ref="I135:K135"/>
    <mergeCell ref="M135:M136"/>
    <mergeCell ref="N135:O135"/>
    <mergeCell ref="P135:R135"/>
    <mergeCell ref="F5:H5"/>
    <mergeCell ref="F20:H20"/>
    <mergeCell ref="F36:H36"/>
    <mergeCell ref="F54:H54"/>
    <mergeCell ref="F68:H68"/>
    <mergeCell ref="F82:H82"/>
    <mergeCell ref="F106:H106"/>
    <mergeCell ref="F121:H121"/>
    <mergeCell ref="F134:H134"/>
    <mergeCell ref="N11:N12"/>
    <mergeCell ref="O42:Q42"/>
    <mergeCell ref="R42:S42"/>
    <mergeCell ref="A49:B49"/>
    <mergeCell ref="E42:E43"/>
    <mergeCell ref="F42:F43"/>
    <mergeCell ref="G42:H42"/>
    <mergeCell ref="M42:M43"/>
    <mergeCell ref="N42:N43"/>
    <mergeCell ref="O26:Q26"/>
    <mergeCell ref="R26:S26"/>
    <mergeCell ref="E37:E38"/>
    <mergeCell ref="F37:G37"/>
    <mergeCell ref="H37:H38"/>
    <mergeCell ref="I37:K37"/>
    <mergeCell ref="M37:M38"/>
    <mergeCell ref="N37:O37"/>
    <mergeCell ref="P37:R37"/>
    <mergeCell ref="E26:E27"/>
    <mergeCell ref="F26:F27"/>
    <mergeCell ref="G26:H26"/>
    <mergeCell ref="M26:M27"/>
    <mergeCell ref="N26:N27"/>
    <mergeCell ref="A17:B17"/>
    <mergeCell ref="O164:Q164"/>
    <mergeCell ref="R164:S164"/>
    <mergeCell ref="E6:E7"/>
    <mergeCell ref="F6:G6"/>
    <mergeCell ref="H6:H7"/>
    <mergeCell ref="I6:K6"/>
    <mergeCell ref="M6:M7"/>
    <mergeCell ref="N6:O6"/>
    <mergeCell ref="P6:R6"/>
    <mergeCell ref="E164:E165"/>
    <mergeCell ref="F164:F165"/>
    <mergeCell ref="G164:H164"/>
    <mergeCell ref="M164:M165"/>
    <mergeCell ref="N164:N165"/>
    <mergeCell ref="E107:E108"/>
    <mergeCell ref="F107:G107"/>
    <mergeCell ref="H107:H108"/>
    <mergeCell ref="I107:K107"/>
    <mergeCell ref="M107:M108"/>
    <mergeCell ref="N107:O107"/>
    <mergeCell ref="P107:R107"/>
    <mergeCell ref="E112:E113"/>
    <mergeCell ref="F112:F113"/>
    <mergeCell ref="G112:H112"/>
    <mergeCell ref="M127:M128"/>
    <mergeCell ref="N127:N128"/>
    <mergeCell ref="O127:Q127"/>
    <mergeCell ref="R127:S127"/>
    <mergeCell ref="E159:E160"/>
    <mergeCell ref="F159:G159"/>
    <mergeCell ref="H159:H160"/>
    <mergeCell ref="I159:K159"/>
    <mergeCell ref="M159:M160"/>
    <mergeCell ref="N159:O159"/>
    <mergeCell ref="P159:R159"/>
    <mergeCell ref="E141:E142"/>
    <mergeCell ref="F141:F142"/>
    <mergeCell ref="G141:H141"/>
    <mergeCell ref="M141:M142"/>
    <mergeCell ref="N141:N142"/>
    <mergeCell ref="O141:Q141"/>
    <mergeCell ref="R141:S141"/>
    <mergeCell ref="F158:H158"/>
    <mergeCell ref="A5:C5"/>
    <mergeCell ref="A6:A7"/>
    <mergeCell ref="B6:B7"/>
    <mergeCell ref="C6:C7"/>
    <mergeCell ref="A121:C121"/>
    <mergeCell ref="A122:A123"/>
    <mergeCell ref="B122:B123"/>
    <mergeCell ref="C122:C123"/>
    <mergeCell ref="P122:R122"/>
    <mergeCell ref="M122:M123"/>
    <mergeCell ref="N122:O122"/>
    <mergeCell ref="O11:Q11"/>
    <mergeCell ref="R11:S11"/>
    <mergeCell ref="E21:E22"/>
    <mergeCell ref="F21:G21"/>
    <mergeCell ref="H21:H22"/>
    <mergeCell ref="I21:K21"/>
    <mergeCell ref="M21:M22"/>
    <mergeCell ref="N21:O21"/>
    <mergeCell ref="P21:R21"/>
    <mergeCell ref="E11:E12"/>
    <mergeCell ref="F11:F12"/>
    <mergeCell ref="G11:H11"/>
    <mergeCell ref="M11:M12"/>
    <mergeCell ref="A20:C20"/>
    <mergeCell ref="A21:A22"/>
    <mergeCell ref="B21:B22"/>
    <mergeCell ref="C21:C22"/>
    <mergeCell ref="A34:B34"/>
    <mergeCell ref="A36:C36"/>
    <mergeCell ref="A37:A38"/>
    <mergeCell ref="B37:B38"/>
    <mergeCell ref="C37:C38"/>
    <mergeCell ref="A54:C54"/>
    <mergeCell ref="A55:A56"/>
    <mergeCell ref="B55:B56"/>
    <mergeCell ref="C55:C56"/>
    <mergeCell ref="A66:B66"/>
    <mergeCell ref="A68:C68"/>
    <mergeCell ref="A69:A70"/>
    <mergeCell ref="B69:B70"/>
    <mergeCell ref="C69:C70"/>
    <mergeCell ref="A80:B80"/>
    <mergeCell ref="A82:C82"/>
    <mergeCell ref="A83:A84"/>
    <mergeCell ref="B83:B84"/>
    <mergeCell ref="C83:C84"/>
    <mergeCell ref="A94:B94"/>
    <mergeCell ref="A210:C210"/>
    <mergeCell ref="A211:A212"/>
    <mergeCell ref="B211:B212"/>
    <mergeCell ref="C211:C212"/>
    <mergeCell ref="A139:B139"/>
    <mergeCell ref="A158:C158"/>
    <mergeCell ref="A159:A160"/>
    <mergeCell ref="B159:B160"/>
    <mergeCell ref="C159:C160"/>
    <mergeCell ref="A171:B171"/>
    <mergeCell ref="A132:B132"/>
    <mergeCell ref="A134:C134"/>
    <mergeCell ref="A135:A136"/>
    <mergeCell ref="B135:B136"/>
    <mergeCell ref="C135:C136"/>
    <mergeCell ref="A106:C106"/>
    <mergeCell ref="A107:A108"/>
    <mergeCell ref="B107:B108"/>
    <mergeCell ref="C107:C108"/>
    <mergeCell ref="A274:B274"/>
    <mergeCell ref="G127:H127"/>
    <mergeCell ref="E55:E56"/>
    <mergeCell ref="A256:B256"/>
    <mergeCell ref="A181:C181"/>
    <mergeCell ref="A182:A183"/>
    <mergeCell ref="B182:B183"/>
    <mergeCell ref="C182:C183"/>
    <mergeCell ref="A172:C172"/>
    <mergeCell ref="A173:A174"/>
    <mergeCell ref="B173:B174"/>
    <mergeCell ref="C173:C174"/>
    <mergeCell ref="A179:B179"/>
    <mergeCell ref="A223:B223"/>
    <mergeCell ref="A226:C226"/>
    <mergeCell ref="A227:A228"/>
    <mergeCell ref="B227:B228"/>
    <mergeCell ref="C227:C228"/>
    <mergeCell ref="A239:B239"/>
    <mergeCell ref="A241:C241"/>
    <mergeCell ref="A196:B196"/>
    <mergeCell ref="A262:C262"/>
    <mergeCell ref="A263:A264"/>
    <mergeCell ref="B263:B264"/>
    <mergeCell ref="C263:C264"/>
    <mergeCell ref="A119:B119"/>
    <mergeCell ref="I122:K122"/>
    <mergeCell ref="H122:H123"/>
    <mergeCell ref="E122:E123"/>
    <mergeCell ref="F122:G122"/>
    <mergeCell ref="E127:E128"/>
    <mergeCell ref="F127:F128"/>
    <mergeCell ref="A242:A243"/>
    <mergeCell ref="B242:B243"/>
    <mergeCell ref="C242:C243"/>
    <mergeCell ref="E211:E212"/>
    <mergeCell ref="F211:G211"/>
    <mergeCell ref="H211:H212"/>
    <mergeCell ref="I211:K211"/>
    <mergeCell ref="F172:H172"/>
    <mergeCell ref="F181:H181"/>
    <mergeCell ref="F210:H210"/>
    <mergeCell ref="F226:H226"/>
    <mergeCell ref="F241:H241"/>
    <mergeCell ref="F55:G55"/>
    <mergeCell ref="H55:H56"/>
    <mergeCell ref="I55:K55"/>
    <mergeCell ref="M55:M56"/>
    <mergeCell ref="N55:O55"/>
    <mergeCell ref="P55:R55"/>
    <mergeCell ref="E60:E61"/>
    <mergeCell ref="F60:F61"/>
    <mergeCell ref="G60:H60"/>
    <mergeCell ref="M60:M61"/>
    <mergeCell ref="N60:N61"/>
    <mergeCell ref="O60:Q60"/>
    <mergeCell ref="R60:S60"/>
    <mergeCell ref="E69:E70"/>
    <mergeCell ref="F69:G69"/>
    <mergeCell ref="H69:H70"/>
    <mergeCell ref="I69:K69"/>
    <mergeCell ref="M69:M70"/>
    <mergeCell ref="N69:O69"/>
    <mergeCell ref="P69:R69"/>
    <mergeCell ref="E74:E75"/>
    <mergeCell ref="F74:F75"/>
    <mergeCell ref="G74:H74"/>
    <mergeCell ref="M74:M75"/>
    <mergeCell ref="N74:N75"/>
    <mergeCell ref="O74:Q74"/>
    <mergeCell ref="R74:S74"/>
    <mergeCell ref="E83:E84"/>
    <mergeCell ref="F83:G83"/>
    <mergeCell ref="H83:H84"/>
    <mergeCell ref="I83:K83"/>
    <mergeCell ref="M83:M84"/>
    <mergeCell ref="N83:O83"/>
    <mergeCell ref="P83:R83"/>
    <mergeCell ref="E88:E89"/>
    <mergeCell ref="F88:F89"/>
    <mergeCell ref="G88:H88"/>
    <mergeCell ref="M88:M89"/>
    <mergeCell ref="N88:N89"/>
    <mergeCell ref="O88:Q88"/>
    <mergeCell ref="R88:S88"/>
    <mergeCell ref="M211:M212"/>
    <mergeCell ref="N211:O211"/>
    <mergeCell ref="P211:R211"/>
    <mergeCell ref="E216:E217"/>
    <mergeCell ref="F216:F217"/>
    <mergeCell ref="G216:H216"/>
    <mergeCell ref="M216:M217"/>
    <mergeCell ref="N216:N217"/>
    <mergeCell ref="O216:Q216"/>
    <mergeCell ref="R216:S216"/>
    <mergeCell ref="N227:O227"/>
    <mergeCell ref="P227:R227"/>
    <mergeCell ref="E232:E233"/>
    <mergeCell ref="F232:F233"/>
    <mergeCell ref="G232:H232"/>
    <mergeCell ref="M232:M233"/>
    <mergeCell ref="N232:N233"/>
    <mergeCell ref="O232:Q232"/>
    <mergeCell ref="R232:S232"/>
    <mergeCell ref="A288:B288"/>
    <mergeCell ref="A276:C276"/>
    <mergeCell ref="A277:A278"/>
    <mergeCell ref="B277:B278"/>
    <mergeCell ref="C277:C278"/>
    <mergeCell ref="M112:M113"/>
    <mergeCell ref="N112:N113"/>
    <mergeCell ref="O112:Q112"/>
    <mergeCell ref="R112:S112"/>
    <mergeCell ref="E242:E243"/>
    <mergeCell ref="F242:G242"/>
    <mergeCell ref="H242:H243"/>
    <mergeCell ref="I242:K242"/>
    <mergeCell ref="M242:M243"/>
    <mergeCell ref="N242:O242"/>
    <mergeCell ref="P242:R242"/>
    <mergeCell ref="H182:I182"/>
    <mergeCell ref="F182:F183"/>
    <mergeCell ref="G182:G183"/>
    <mergeCell ref="E227:E228"/>
    <mergeCell ref="F227:G227"/>
    <mergeCell ref="H227:H228"/>
    <mergeCell ref="I227:K227"/>
    <mergeCell ref="M227:M228"/>
  </mergeCells>
  <pageMargins left="0.25" right="0" top="0.25" bottom="0.25" header="0.25" footer="0.25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"/>
  <sheetViews>
    <sheetView topLeftCell="A181" workbookViewId="0">
      <selection activeCell="O173" sqref="O173"/>
    </sheetView>
  </sheetViews>
  <sheetFormatPr defaultRowHeight="15.75" x14ac:dyDescent="0.25"/>
  <cols>
    <col min="1" max="1" width="15.42578125" style="1" bestFit="1" customWidth="1"/>
    <col min="2" max="2" width="12.7109375" style="1" bestFit="1" customWidth="1"/>
    <col min="3" max="3" width="16.42578125" style="1" bestFit="1" customWidth="1"/>
    <col min="4" max="4" width="14.28515625" style="1" bestFit="1" customWidth="1"/>
    <col min="5" max="5" width="21" style="1" bestFit="1" customWidth="1"/>
    <col min="6" max="6" width="17.5703125" style="1" bestFit="1" customWidth="1"/>
    <col min="7" max="7" width="16" style="1" bestFit="1" customWidth="1"/>
    <col min="8" max="8" width="6.28515625" style="1" customWidth="1"/>
    <col min="9" max="9" width="15.42578125" style="1" bestFit="1" customWidth="1"/>
    <col min="10" max="10" width="11.5703125" style="1" bestFit="1" customWidth="1"/>
    <col min="11" max="11" width="17.5703125" style="1" bestFit="1" customWidth="1"/>
    <col min="12" max="12" width="12.7109375" style="1" bestFit="1" customWidth="1"/>
    <col min="13" max="13" width="13" style="1" customWidth="1"/>
    <col min="14" max="14" width="14" style="1" bestFit="1" customWidth="1"/>
    <col min="15" max="15" width="15" style="1" bestFit="1" customWidth="1"/>
    <col min="16" max="16" width="13.140625" style="1" customWidth="1"/>
    <col min="17" max="16384" width="9.140625" style="1"/>
  </cols>
  <sheetData>
    <row r="1" spans="1:15" x14ac:dyDescent="0.25">
      <c r="A1" s="99" t="s">
        <v>325</v>
      </c>
      <c r="B1" s="102" t="s">
        <v>401</v>
      </c>
      <c r="C1" s="102"/>
      <c r="D1" s="102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</row>
    <row r="2" spans="1:15" x14ac:dyDescent="0.25">
      <c r="A2" s="107" t="s">
        <v>339</v>
      </c>
      <c r="B2" s="103" t="s">
        <v>328</v>
      </c>
      <c r="C2" s="103"/>
      <c r="D2" s="107" t="s">
        <v>329</v>
      </c>
      <c r="E2" s="104" t="s">
        <v>333</v>
      </c>
      <c r="F2" s="104"/>
      <c r="G2" s="104"/>
      <c r="I2" s="107" t="s">
        <v>195</v>
      </c>
      <c r="J2" s="103" t="s">
        <v>343</v>
      </c>
      <c r="K2" s="103"/>
      <c r="L2" s="104" t="s">
        <v>357</v>
      </c>
      <c r="M2" s="104"/>
      <c r="N2" s="104"/>
      <c r="O2" s="85" t="s">
        <v>361</v>
      </c>
    </row>
    <row r="3" spans="1:15" x14ac:dyDescent="0.25">
      <c r="A3" s="108"/>
      <c r="B3" s="84" t="s">
        <v>334</v>
      </c>
      <c r="C3" s="84" t="s">
        <v>335</v>
      </c>
      <c r="D3" s="108"/>
      <c r="E3" s="3" t="s">
        <v>330</v>
      </c>
      <c r="F3" s="3" t="s">
        <v>331</v>
      </c>
      <c r="G3" s="3" t="s">
        <v>332</v>
      </c>
      <c r="I3" s="108"/>
      <c r="J3" s="84" t="s">
        <v>344</v>
      </c>
      <c r="K3" s="84"/>
      <c r="L3" s="84" t="s">
        <v>344</v>
      </c>
      <c r="M3" s="84"/>
      <c r="N3" s="85" t="s">
        <v>66</v>
      </c>
      <c r="O3" s="85" t="s">
        <v>362</v>
      </c>
    </row>
    <row r="4" spans="1:15" x14ac:dyDescent="0.25">
      <c r="A4" s="3" t="s">
        <v>326</v>
      </c>
      <c r="B4" s="11">
        <v>220</v>
      </c>
      <c r="C4" s="11">
        <f>ROUND(B4/8,0)</f>
        <v>28</v>
      </c>
      <c r="D4" s="56">
        <v>15980180</v>
      </c>
      <c r="E4" s="11" t="s">
        <v>23</v>
      </c>
      <c r="F4" s="2">
        <f>22-10</f>
        <v>12</v>
      </c>
      <c r="G4" s="2">
        <f>F4*7</f>
        <v>84</v>
      </c>
      <c r="I4" s="3" t="s">
        <v>326</v>
      </c>
      <c r="J4" s="11">
        <v>297</v>
      </c>
      <c r="K4" s="11"/>
      <c r="L4" s="60">
        <f>D4</f>
        <v>15980180</v>
      </c>
      <c r="M4" s="42"/>
      <c r="N4" s="60">
        <f>L4+M4</f>
        <v>15980180</v>
      </c>
      <c r="O4" s="57">
        <f>L12/N4</f>
        <v>0.11714511350935972</v>
      </c>
    </row>
    <row r="5" spans="1:15" x14ac:dyDescent="0.25">
      <c r="A5" s="3" t="s">
        <v>327</v>
      </c>
      <c r="B5" s="11">
        <v>356</v>
      </c>
      <c r="C5" s="11">
        <f>ROUND(B5/8,0)</f>
        <v>45</v>
      </c>
      <c r="D5" s="56">
        <v>26533506</v>
      </c>
      <c r="E5" s="11" t="s">
        <v>25</v>
      </c>
      <c r="F5" s="2">
        <f>22-9</f>
        <v>13</v>
      </c>
      <c r="G5" s="2">
        <f>F5*7</f>
        <v>91</v>
      </c>
      <c r="I5" s="3" t="s">
        <v>327</v>
      </c>
      <c r="J5" s="11">
        <v>957</v>
      </c>
      <c r="K5" s="11"/>
      <c r="L5" s="60">
        <f>D5</f>
        <v>26533506</v>
      </c>
      <c r="M5" s="42"/>
      <c r="N5" s="60">
        <f>L5+M5</f>
        <v>26533506</v>
      </c>
      <c r="O5" s="57">
        <f>L12/N5</f>
        <v>7.0552304697313648E-2</v>
      </c>
    </row>
    <row r="7" spans="1:15" x14ac:dyDescent="0.25">
      <c r="A7" s="107" t="s">
        <v>339</v>
      </c>
      <c r="B7" s="107" t="s">
        <v>336</v>
      </c>
      <c r="C7" s="105" t="s">
        <v>337</v>
      </c>
      <c r="D7" s="106"/>
      <c r="E7" s="85" t="s">
        <v>341</v>
      </c>
      <c r="F7" s="85" t="s">
        <v>349</v>
      </c>
      <c r="G7" s="3" t="s">
        <v>351</v>
      </c>
      <c r="I7" s="103" t="s">
        <v>353</v>
      </c>
      <c r="J7" s="103" t="s">
        <v>336</v>
      </c>
      <c r="K7" s="104" t="s">
        <v>349</v>
      </c>
      <c r="L7" s="104"/>
      <c r="M7" s="104"/>
      <c r="N7" s="105" t="s">
        <v>358</v>
      </c>
      <c r="O7" s="106"/>
    </row>
    <row r="8" spans="1:15" x14ac:dyDescent="0.25">
      <c r="A8" s="108"/>
      <c r="B8" s="108"/>
      <c r="C8" s="3" t="s">
        <v>331</v>
      </c>
      <c r="D8" s="3" t="s">
        <v>338</v>
      </c>
      <c r="E8" s="85" t="s">
        <v>342</v>
      </c>
      <c r="F8" s="85" t="s">
        <v>350</v>
      </c>
      <c r="G8" s="3" t="s">
        <v>352</v>
      </c>
      <c r="I8" s="103"/>
      <c r="J8" s="103"/>
      <c r="K8" s="85" t="s">
        <v>356</v>
      </c>
      <c r="L8" s="85" t="s">
        <v>334</v>
      </c>
      <c r="M8" s="85" t="s">
        <v>340</v>
      </c>
      <c r="N8" s="85" t="s">
        <v>359</v>
      </c>
      <c r="O8" s="85" t="s">
        <v>360</v>
      </c>
    </row>
    <row r="9" spans="1:15" x14ac:dyDescent="0.25">
      <c r="A9" s="3" t="s">
        <v>326</v>
      </c>
      <c r="B9" s="2">
        <v>3</v>
      </c>
      <c r="C9" s="2">
        <f>B9*8</f>
        <v>24</v>
      </c>
      <c r="D9" s="2">
        <f>B9*8*7</f>
        <v>168</v>
      </c>
      <c r="E9" s="2">
        <f>D9/G4</f>
        <v>2</v>
      </c>
      <c r="F9" s="42">
        <v>21000</v>
      </c>
      <c r="G9" s="57">
        <f>(C9*F9)/D4</f>
        <v>3.1539069021750694E-2</v>
      </c>
      <c r="I9" s="58" t="s">
        <v>195</v>
      </c>
      <c r="J9" s="2">
        <v>4</v>
      </c>
      <c r="K9" s="42">
        <v>27000</v>
      </c>
      <c r="L9" s="60">
        <f>J9*K9*8</f>
        <v>864000</v>
      </c>
      <c r="M9" s="60">
        <f>L9*7</f>
        <v>6048000</v>
      </c>
      <c r="N9" s="2"/>
      <c r="O9" s="2"/>
    </row>
    <row r="10" spans="1:15" x14ac:dyDescent="0.25">
      <c r="A10" s="3" t="s">
        <v>327</v>
      </c>
      <c r="B10" s="2">
        <v>4</v>
      </c>
      <c r="C10" s="2">
        <f>B10*8</f>
        <v>32</v>
      </c>
      <c r="D10" s="2">
        <f>B10*8*7</f>
        <v>224</v>
      </c>
      <c r="E10" s="69">
        <f>D10/G5</f>
        <v>2.4615384615384617</v>
      </c>
      <c r="F10" s="42">
        <v>21000</v>
      </c>
      <c r="G10" s="57">
        <f>(C10*F10)/D5</f>
        <v>2.5326468352881826E-2</v>
      </c>
      <c r="I10" s="58" t="s">
        <v>192</v>
      </c>
      <c r="J10" s="2">
        <v>6</v>
      </c>
      <c r="K10" s="42">
        <v>21000</v>
      </c>
      <c r="L10" s="60">
        <f t="shared" ref="L10:L11" si="0">J10*K10*8</f>
        <v>1008000</v>
      </c>
      <c r="M10" s="60">
        <f t="shared" ref="M10:M11" si="1">L10*7</f>
        <v>7056000</v>
      </c>
      <c r="N10" s="2"/>
      <c r="O10" s="2"/>
    </row>
    <row r="11" spans="1:15" x14ac:dyDescent="0.25">
      <c r="I11" s="59" t="s">
        <v>354</v>
      </c>
      <c r="J11" s="2">
        <v>0</v>
      </c>
      <c r="K11" s="42">
        <v>21000</v>
      </c>
      <c r="L11" s="60">
        <f t="shared" si="0"/>
        <v>0</v>
      </c>
      <c r="M11" s="60">
        <f t="shared" si="1"/>
        <v>0</v>
      </c>
      <c r="N11" s="2"/>
      <c r="O11" s="2"/>
    </row>
    <row r="12" spans="1:15" x14ac:dyDescent="0.25">
      <c r="I12" s="3" t="s">
        <v>355</v>
      </c>
      <c r="J12" s="3">
        <f>SUM(J9:J11)</f>
        <v>10</v>
      </c>
      <c r="K12" s="61">
        <f>SUM(K9:K11)</f>
        <v>69000</v>
      </c>
      <c r="L12" s="61">
        <f>SUM(L9:L11)</f>
        <v>1872000</v>
      </c>
      <c r="M12" s="61">
        <f>SUM(M9:M11)</f>
        <v>13104000</v>
      </c>
      <c r="N12" s="62">
        <f>(N4*5)+N5*2</f>
        <v>132967912</v>
      </c>
      <c r="O12" s="57">
        <f>M12/N12</f>
        <v>9.8550092295951824E-2</v>
      </c>
    </row>
    <row r="13" spans="1:15" x14ac:dyDescent="0.25">
      <c r="A13" s="99" t="s">
        <v>325</v>
      </c>
      <c r="B13" s="102" t="s">
        <v>402</v>
      </c>
      <c r="C13" s="102"/>
      <c r="D13" s="102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spans="1:15" x14ac:dyDescent="0.25">
      <c r="A14" s="107" t="s">
        <v>339</v>
      </c>
      <c r="B14" s="103" t="s">
        <v>328</v>
      </c>
      <c r="C14" s="103"/>
      <c r="D14" s="107" t="s">
        <v>329</v>
      </c>
      <c r="E14" s="104" t="s">
        <v>333</v>
      </c>
      <c r="F14" s="104"/>
      <c r="G14" s="104"/>
      <c r="I14" s="107" t="s">
        <v>195</v>
      </c>
      <c r="J14" s="103" t="s">
        <v>343</v>
      </c>
      <c r="K14" s="103"/>
      <c r="L14" s="104" t="s">
        <v>357</v>
      </c>
      <c r="M14" s="104"/>
      <c r="N14" s="104"/>
      <c r="O14" s="85" t="s">
        <v>361</v>
      </c>
    </row>
    <row r="15" spans="1:15" x14ac:dyDescent="0.25">
      <c r="A15" s="108"/>
      <c r="B15" s="84" t="s">
        <v>334</v>
      </c>
      <c r="C15" s="84" t="s">
        <v>335</v>
      </c>
      <c r="D15" s="108"/>
      <c r="E15" s="3" t="s">
        <v>330</v>
      </c>
      <c r="F15" s="3" t="s">
        <v>331</v>
      </c>
      <c r="G15" s="3" t="s">
        <v>332</v>
      </c>
      <c r="I15" s="108"/>
      <c r="J15" s="84" t="s">
        <v>344</v>
      </c>
      <c r="K15" s="84" t="s">
        <v>239</v>
      </c>
      <c r="L15" s="84" t="s">
        <v>344</v>
      </c>
      <c r="M15" s="84" t="s">
        <v>239</v>
      </c>
      <c r="N15" s="85" t="s">
        <v>66</v>
      </c>
      <c r="O15" s="85" t="s">
        <v>362</v>
      </c>
    </row>
    <row r="16" spans="1:15" x14ac:dyDescent="0.25">
      <c r="A16" s="3" t="s">
        <v>326</v>
      </c>
      <c r="B16" s="11">
        <v>239</v>
      </c>
      <c r="C16" s="11">
        <f>ROUND(B16/8,0)</f>
        <v>30</v>
      </c>
      <c r="D16" s="56">
        <v>18094246</v>
      </c>
      <c r="E16" s="11" t="s">
        <v>53</v>
      </c>
      <c r="F16" s="2">
        <f>22.5-7</f>
        <v>15.5</v>
      </c>
      <c r="G16" s="2">
        <f>F16*7</f>
        <v>108.5</v>
      </c>
      <c r="I16" s="3" t="s">
        <v>326</v>
      </c>
      <c r="J16" s="11">
        <v>318</v>
      </c>
      <c r="K16" s="11">
        <v>143</v>
      </c>
      <c r="L16" s="60">
        <f>D16</f>
        <v>18094246</v>
      </c>
      <c r="M16" s="42">
        <f>K16*20000</f>
        <v>2860000</v>
      </c>
      <c r="N16" s="60">
        <f>L16+M16</f>
        <v>20954246</v>
      </c>
      <c r="O16" s="57">
        <f>L24/N16</f>
        <v>0.10995384897170721</v>
      </c>
    </row>
    <row r="17" spans="1:15" x14ac:dyDescent="0.25">
      <c r="A17" s="3" t="s">
        <v>327</v>
      </c>
      <c r="B17" s="11">
        <v>287</v>
      </c>
      <c r="C17" s="11">
        <f>ROUND(B17/8,0)</f>
        <v>36</v>
      </c>
      <c r="D17" s="56">
        <v>24240421</v>
      </c>
      <c r="E17" s="11" t="s">
        <v>53</v>
      </c>
      <c r="F17" s="2">
        <f>22.5-7</f>
        <v>15.5</v>
      </c>
      <c r="G17" s="2">
        <f>F17*7</f>
        <v>108.5</v>
      </c>
      <c r="I17" s="3" t="s">
        <v>327</v>
      </c>
      <c r="J17" s="11">
        <v>262</v>
      </c>
      <c r="K17" s="11">
        <v>306</v>
      </c>
      <c r="L17" s="60">
        <f>D17</f>
        <v>24240421</v>
      </c>
      <c r="M17" s="42">
        <f>K17*20000</f>
        <v>6120000</v>
      </c>
      <c r="N17" s="60">
        <f>L17+M17</f>
        <v>30360421</v>
      </c>
      <c r="O17" s="57">
        <f>L24/N17</f>
        <v>7.5888275725820797E-2</v>
      </c>
    </row>
    <row r="19" spans="1:15" x14ac:dyDescent="0.25">
      <c r="A19" s="107" t="s">
        <v>339</v>
      </c>
      <c r="B19" s="107" t="s">
        <v>336</v>
      </c>
      <c r="C19" s="105" t="s">
        <v>337</v>
      </c>
      <c r="D19" s="106"/>
      <c r="E19" s="85" t="s">
        <v>341</v>
      </c>
      <c r="F19" s="85" t="s">
        <v>349</v>
      </c>
      <c r="G19" s="3" t="s">
        <v>351</v>
      </c>
      <c r="I19" s="103" t="s">
        <v>353</v>
      </c>
      <c r="J19" s="103" t="s">
        <v>336</v>
      </c>
      <c r="K19" s="104" t="s">
        <v>349</v>
      </c>
      <c r="L19" s="104"/>
      <c r="M19" s="104"/>
      <c r="N19" s="105" t="s">
        <v>358</v>
      </c>
      <c r="O19" s="106"/>
    </row>
    <row r="20" spans="1:15" x14ac:dyDescent="0.25">
      <c r="A20" s="108"/>
      <c r="B20" s="108"/>
      <c r="C20" s="3" t="s">
        <v>331</v>
      </c>
      <c r="D20" s="3" t="s">
        <v>338</v>
      </c>
      <c r="E20" s="85" t="s">
        <v>342</v>
      </c>
      <c r="F20" s="85" t="s">
        <v>350</v>
      </c>
      <c r="G20" s="3" t="s">
        <v>352</v>
      </c>
      <c r="I20" s="103"/>
      <c r="J20" s="103"/>
      <c r="K20" s="85" t="s">
        <v>356</v>
      </c>
      <c r="L20" s="85" t="s">
        <v>334</v>
      </c>
      <c r="M20" s="85" t="s">
        <v>340</v>
      </c>
      <c r="N20" s="85" t="s">
        <v>359</v>
      </c>
      <c r="O20" s="85" t="s">
        <v>360</v>
      </c>
    </row>
    <row r="21" spans="1:15" x14ac:dyDescent="0.25">
      <c r="A21" s="3" t="s">
        <v>326</v>
      </c>
      <c r="B21" s="2">
        <v>3</v>
      </c>
      <c r="C21" s="2">
        <f>B21*8</f>
        <v>24</v>
      </c>
      <c r="D21" s="2">
        <f>B21*8*7</f>
        <v>168</v>
      </c>
      <c r="E21" s="69">
        <f>D21/G16</f>
        <v>1.5483870967741935</v>
      </c>
      <c r="F21" s="42">
        <v>21000</v>
      </c>
      <c r="G21" s="57">
        <f>(C21*F21)/D16</f>
        <v>2.7854158719849392E-2</v>
      </c>
      <c r="I21" s="58" t="s">
        <v>195</v>
      </c>
      <c r="J21" s="2">
        <v>6</v>
      </c>
      <c r="K21" s="42">
        <v>27000</v>
      </c>
      <c r="L21" s="60">
        <f>J21*K21*8</f>
        <v>1296000</v>
      </c>
      <c r="M21" s="60">
        <f>L21*7</f>
        <v>9072000</v>
      </c>
      <c r="N21" s="2"/>
      <c r="O21" s="2"/>
    </row>
    <row r="22" spans="1:15" x14ac:dyDescent="0.25">
      <c r="A22" s="3" t="s">
        <v>327</v>
      </c>
      <c r="B22" s="2">
        <v>4</v>
      </c>
      <c r="C22" s="2">
        <f>B22*8</f>
        <v>32</v>
      </c>
      <c r="D22" s="2">
        <f>B22*8*7</f>
        <v>224</v>
      </c>
      <c r="E22" s="69">
        <f>D22/G17</f>
        <v>2.064516129032258</v>
      </c>
      <c r="F22" s="42">
        <v>21000</v>
      </c>
      <c r="G22" s="57">
        <f>(C22*F22)/D17</f>
        <v>2.7722290796847134E-2</v>
      </c>
      <c r="I22" s="58" t="s">
        <v>192</v>
      </c>
      <c r="J22" s="2">
        <v>5</v>
      </c>
      <c r="K22" s="42">
        <v>21000</v>
      </c>
      <c r="L22" s="60">
        <f t="shared" ref="L22:L23" si="2">J22*K22*8</f>
        <v>840000</v>
      </c>
      <c r="M22" s="60">
        <f t="shared" ref="M22:M23" si="3">L22*7</f>
        <v>5880000</v>
      </c>
      <c r="N22" s="2"/>
      <c r="O22" s="2"/>
    </row>
    <row r="23" spans="1:15" x14ac:dyDescent="0.25">
      <c r="I23" s="59" t="s">
        <v>354</v>
      </c>
      <c r="J23" s="2">
        <v>1</v>
      </c>
      <c r="K23" s="42">
        <v>21000</v>
      </c>
      <c r="L23" s="60">
        <f t="shared" si="2"/>
        <v>168000</v>
      </c>
      <c r="M23" s="60">
        <f t="shared" si="3"/>
        <v>1176000</v>
      </c>
      <c r="N23" s="2"/>
      <c r="O23" s="2"/>
    </row>
    <row r="24" spans="1:15" x14ac:dyDescent="0.25">
      <c r="I24" s="3" t="s">
        <v>355</v>
      </c>
      <c r="J24" s="3">
        <f>SUM(J21:J23)</f>
        <v>12</v>
      </c>
      <c r="K24" s="61">
        <f>SUM(K21:K23)</f>
        <v>69000</v>
      </c>
      <c r="L24" s="61">
        <f>SUM(L21:L23)</f>
        <v>2304000</v>
      </c>
      <c r="M24" s="61">
        <f>SUM(M21:M23)</f>
        <v>16128000</v>
      </c>
      <c r="N24" s="62">
        <f>(N16*5)+N17*2</f>
        <v>165492072</v>
      </c>
      <c r="O24" s="57">
        <f>M24/N24</f>
        <v>9.745481946712227E-2</v>
      </c>
    </row>
    <row r="25" spans="1:15" x14ac:dyDescent="0.25">
      <c r="A25" s="99" t="s">
        <v>325</v>
      </c>
      <c r="B25" s="102" t="s">
        <v>403</v>
      </c>
      <c r="C25" s="102"/>
      <c r="D25" s="102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1:15" x14ac:dyDescent="0.25">
      <c r="A26" s="107" t="s">
        <v>339</v>
      </c>
      <c r="B26" s="103" t="s">
        <v>328</v>
      </c>
      <c r="C26" s="103"/>
      <c r="D26" s="107" t="s">
        <v>329</v>
      </c>
      <c r="E26" s="104" t="s">
        <v>333</v>
      </c>
      <c r="F26" s="104"/>
      <c r="G26" s="104"/>
      <c r="I26" s="107" t="s">
        <v>195</v>
      </c>
      <c r="J26" s="103" t="s">
        <v>343</v>
      </c>
      <c r="K26" s="103"/>
      <c r="L26" s="104" t="s">
        <v>357</v>
      </c>
      <c r="M26" s="104"/>
      <c r="N26" s="104"/>
      <c r="O26" s="85" t="s">
        <v>361</v>
      </c>
    </row>
    <row r="27" spans="1:15" x14ac:dyDescent="0.25">
      <c r="A27" s="108"/>
      <c r="B27" s="84" t="s">
        <v>334</v>
      </c>
      <c r="C27" s="84" t="s">
        <v>335</v>
      </c>
      <c r="D27" s="108"/>
      <c r="E27" s="3" t="s">
        <v>330</v>
      </c>
      <c r="F27" s="3" t="s">
        <v>331</v>
      </c>
      <c r="G27" s="3" t="s">
        <v>332</v>
      </c>
      <c r="I27" s="108"/>
      <c r="J27" s="84" t="s">
        <v>344</v>
      </c>
      <c r="K27" s="84" t="s">
        <v>345</v>
      </c>
      <c r="L27" s="84" t="s">
        <v>344</v>
      </c>
      <c r="M27" s="84" t="s">
        <v>345</v>
      </c>
      <c r="N27" s="85" t="s">
        <v>66</v>
      </c>
      <c r="O27" s="85" t="s">
        <v>362</v>
      </c>
    </row>
    <row r="28" spans="1:15" x14ac:dyDescent="0.25">
      <c r="A28" s="3" t="s">
        <v>326</v>
      </c>
      <c r="B28" s="11">
        <v>95</v>
      </c>
      <c r="C28" s="11">
        <f>ROUND(B28/8,0)</f>
        <v>12</v>
      </c>
      <c r="D28" s="56">
        <v>6514516</v>
      </c>
      <c r="E28" s="11" t="s">
        <v>98</v>
      </c>
      <c r="F28" s="2">
        <f>22-7.5</f>
        <v>14.5</v>
      </c>
      <c r="G28" s="2">
        <f>F28*7</f>
        <v>101.5</v>
      </c>
      <c r="I28" s="3" t="s">
        <v>326</v>
      </c>
      <c r="J28" s="11">
        <v>197</v>
      </c>
      <c r="K28" s="11">
        <v>210</v>
      </c>
      <c r="L28" s="60">
        <f>D28</f>
        <v>6514516</v>
      </c>
      <c r="M28" s="42">
        <f>K28*14000</f>
        <v>2940000</v>
      </c>
      <c r="N28" s="60">
        <f>L28+M28</f>
        <v>9454516</v>
      </c>
      <c r="O28" s="57">
        <f>L36/N28</f>
        <v>0.18023133072068417</v>
      </c>
    </row>
    <row r="29" spans="1:15" x14ac:dyDescent="0.25">
      <c r="A29" s="3" t="s">
        <v>327</v>
      </c>
      <c r="B29" s="11">
        <v>212</v>
      </c>
      <c r="C29" s="11">
        <f>ROUND(B29/8,0)</f>
        <v>27</v>
      </c>
      <c r="D29" s="56">
        <v>14633046</v>
      </c>
      <c r="E29" s="11" t="s">
        <v>97</v>
      </c>
      <c r="F29" s="2">
        <f>22-7</f>
        <v>15</v>
      </c>
      <c r="G29" s="2">
        <f>F29*7</f>
        <v>105</v>
      </c>
      <c r="I29" s="3" t="s">
        <v>327</v>
      </c>
      <c r="J29" s="11">
        <v>332</v>
      </c>
      <c r="K29" s="11">
        <v>375</v>
      </c>
      <c r="L29" s="60">
        <f>D29</f>
        <v>14633046</v>
      </c>
      <c r="M29" s="42">
        <f>K29*14000</f>
        <v>5250000</v>
      </c>
      <c r="N29" s="60">
        <f>L29+M29</f>
        <v>19883046</v>
      </c>
      <c r="O29" s="57">
        <f>L36/N29</f>
        <v>8.5701154642000024E-2</v>
      </c>
    </row>
    <row r="31" spans="1:15" x14ac:dyDescent="0.25">
      <c r="A31" s="107" t="s">
        <v>339</v>
      </c>
      <c r="B31" s="107" t="s">
        <v>336</v>
      </c>
      <c r="C31" s="105" t="s">
        <v>337</v>
      </c>
      <c r="D31" s="106"/>
      <c r="E31" s="85" t="s">
        <v>341</v>
      </c>
      <c r="F31" s="85" t="s">
        <v>349</v>
      </c>
      <c r="G31" s="3" t="s">
        <v>351</v>
      </c>
      <c r="I31" s="103" t="s">
        <v>353</v>
      </c>
      <c r="J31" s="103" t="s">
        <v>336</v>
      </c>
      <c r="K31" s="104" t="s">
        <v>349</v>
      </c>
      <c r="L31" s="104"/>
      <c r="M31" s="104"/>
      <c r="N31" s="105" t="s">
        <v>358</v>
      </c>
      <c r="O31" s="106"/>
    </row>
    <row r="32" spans="1:15" x14ac:dyDescent="0.25">
      <c r="A32" s="108"/>
      <c r="B32" s="108"/>
      <c r="C32" s="3" t="s">
        <v>331</v>
      </c>
      <c r="D32" s="3" t="s">
        <v>338</v>
      </c>
      <c r="E32" s="85" t="s">
        <v>342</v>
      </c>
      <c r="F32" s="85" t="s">
        <v>350</v>
      </c>
      <c r="G32" s="3" t="s">
        <v>352</v>
      </c>
      <c r="I32" s="103"/>
      <c r="J32" s="103"/>
      <c r="K32" s="85" t="s">
        <v>356</v>
      </c>
      <c r="L32" s="85" t="s">
        <v>334</v>
      </c>
      <c r="M32" s="85" t="s">
        <v>340</v>
      </c>
      <c r="N32" s="85" t="s">
        <v>359</v>
      </c>
      <c r="O32" s="85" t="s">
        <v>360</v>
      </c>
    </row>
    <row r="33" spans="1:15" x14ac:dyDescent="0.25">
      <c r="A33" s="3" t="s">
        <v>326</v>
      </c>
      <c r="B33" s="2">
        <v>3</v>
      </c>
      <c r="C33" s="2">
        <f>B33*8</f>
        <v>24</v>
      </c>
      <c r="D33" s="2">
        <f>B33*8*7</f>
        <v>168</v>
      </c>
      <c r="E33" s="69">
        <f>D33/G28</f>
        <v>1.6551724137931034</v>
      </c>
      <c r="F33" s="42">
        <v>21000</v>
      </c>
      <c r="G33" s="57">
        <f>(C33*F33)/D28</f>
        <v>7.7365686107763038E-2</v>
      </c>
      <c r="I33" s="58" t="s">
        <v>195</v>
      </c>
      <c r="J33" s="2">
        <v>4</v>
      </c>
      <c r="K33" s="42">
        <v>27000</v>
      </c>
      <c r="L33" s="60">
        <f>J33*K33*8</f>
        <v>864000</v>
      </c>
      <c r="M33" s="60">
        <f>L33*7</f>
        <v>6048000</v>
      </c>
      <c r="N33" s="2"/>
      <c r="O33" s="2"/>
    </row>
    <row r="34" spans="1:15" x14ac:dyDescent="0.25">
      <c r="A34" s="3" t="s">
        <v>327</v>
      </c>
      <c r="B34" s="2">
        <v>3</v>
      </c>
      <c r="C34" s="2">
        <f>B34*8</f>
        <v>24</v>
      </c>
      <c r="D34" s="2">
        <f>B34*8*7</f>
        <v>168</v>
      </c>
      <c r="E34" s="2">
        <f>D34/G29</f>
        <v>1.6</v>
      </c>
      <c r="F34" s="42">
        <v>21000</v>
      </c>
      <c r="G34" s="57">
        <f>(C34*F34)/D29</f>
        <v>3.4442589738322427E-2</v>
      </c>
      <c r="I34" s="58" t="s">
        <v>192</v>
      </c>
      <c r="J34" s="2">
        <v>4</v>
      </c>
      <c r="K34" s="42">
        <v>21000</v>
      </c>
      <c r="L34" s="60">
        <f t="shared" ref="L34:L35" si="4">J34*K34*8</f>
        <v>672000</v>
      </c>
      <c r="M34" s="60">
        <f t="shared" ref="M34:M35" si="5">L34*7</f>
        <v>4704000</v>
      </c>
      <c r="N34" s="2"/>
      <c r="O34" s="2"/>
    </row>
    <row r="35" spans="1:15" x14ac:dyDescent="0.25">
      <c r="I35" s="59" t="s">
        <v>354</v>
      </c>
      <c r="J35" s="2">
        <v>1</v>
      </c>
      <c r="K35" s="42">
        <v>21000</v>
      </c>
      <c r="L35" s="60">
        <f t="shared" si="4"/>
        <v>168000</v>
      </c>
      <c r="M35" s="60">
        <f t="shared" si="5"/>
        <v>1176000</v>
      </c>
      <c r="N35" s="2"/>
      <c r="O35" s="2"/>
    </row>
    <row r="36" spans="1:15" x14ac:dyDescent="0.25">
      <c r="I36" s="3" t="s">
        <v>355</v>
      </c>
      <c r="J36" s="3">
        <f>SUM(J33:J35)</f>
        <v>9</v>
      </c>
      <c r="K36" s="61">
        <f>SUM(K33:K35)</f>
        <v>69000</v>
      </c>
      <c r="L36" s="61">
        <f>SUM(L33:L35)</f>
        <v>1704000</v>
      </c>
      <c r="M36" s="61">
        <f>SUM(M33:M35)</f>
        <v>11928000</v>
      </c>
      <c r="N36" s="62">
        <f>(N28*5)+N29*2</f>
        <v>87038672</v>
      </c>
      <c r="O36" s="57">
        <f>M36/N36</f>
        <v>0.13704253208275052</v>
      </c>
    </row>
    <row r="37" spans="1:15" x14ac:dyDescent="0.25">
      <c r="A37" s="99" t="s">
        <v>325</v>
      </c>
      <c r="B37" s="111" t="s">
        <v>404</v>
      </c>
      <c r="C37" s="112"/>
      <c r="D37" s="112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1:15" x14ac:dyDescent="0.25">
      <c r="A38" s="107" t="s">
        <v>339</v>
      </c>
      <c r="B38" s="103" t="s">
        <v>328</v>
      </c>
      <c r="C38" s="103"/>
      <c r="D38" s="107" t="s">
        <v>329</v>
      </c>
      <c r="E38" s="104" t="s">
        <v>333</v>
      </c>
      <c r="F38" s="104"/>
      <c r="G38" s="104"/>
      <c r="I38" s="107" t="s">
        <v>195</v>
      </c>
      <c r="J38" s="103" t="s">
        <v>343</v>
      </c>
      <c r="K38" s="103"/>
      <c r="L38" s="104" t="s">
        <v>357</v>
      </c>
      <c r="M38" s="104"/>
      <c r="N38" s="104"/>
      <c r="O38" s="85" t="s">
        <v>361</v>
      </c>
    </row>
    <row r="39" spans="1:15" x14ac:dyDescent="0.25">
      <c r="A39" s="108"/>
      <c r="B39" s="84" t="s">
        <v>334</v>
      </c>
      <c r="C39" s="84" t="s">
        <v>335</v>
      </c>
      <c r="D39" s="108"/>
      <c r="E39" s="3" t="s">
        <v>330</v>
      </c>
      <c r="F39" s="3" t="s">
        <v>331</v>
      </c>
      <c r="G39" s="3" t="s">
        <v>332</v>
      </c>
      <c r="I39" s="108"/>
      <c r="J39" s="84" t="s">
        <v>344</v>
      </c>
      <c r="K39" s="84"/>
      <c r="L39" s="84" t="s">
        <v>344</v>
      </c>
      <c r="M39" s="84"/>
      <c r="N39" s="85" t="s">
        <v>66</v>
      </c>
      <c r="O39" s="85" t="s">
        <v>362</v>
      </c>
    </row>
    <row r="40" spans="1:15" x14ac:dyDescent="0.25">
      <c r="A40" s="3" t="s">
        <v>326</v>
      </c>
      <c r="B40" s="11">
        <v>179</v>
      </c>
      <c r="C40" s="11">
        <f>ROUND(B40/8,0)</f>
        <v>22</v>
      </c>
      <c r="D40" s="56">
        <v>9828568</v>
      </c>
      <c r="E40" s="11" t="s">
        <v>23</v>
      </c>
      <c r="F40" s="2">
        <f>22-10</f>
        <v>12</v>
      </c>
      <c r="G40" s="2">
        <f>F40*7</f>
        <v>84</v>
      </c>
      <c r="I40" s="3" t="s">
        <v>326</v>
      </c>
      <c r="J40" s="11">
        <v>290</v>
      </c>
      <c r="K40" s="11"/>
      <c r="L40" s="60">
        <f>D40</f>
        <v>9828568</v>
      </c>
      <c r="M40" s="42"/>
      <c r="N40" s="60">
        <f>L40+M40</f>
        <v>9828568</v>
      </c>
      <c r="O40" s="57">
        <f>L48/N40</f>
        <v>0.15139540164955873</v>
      </c>
    </row>
    <row r="41" spans="1:15" x14ac:dyDescent="0.25">
      <c r="A41" s="3" t="s">
        <v>327</v>
      </c>
      <c r="B41" s="11">
        <v>214</v>
      </c>
      <c r="C41" s="11">
        <f>ROUND(B41/8,0)</f>
        <v>27</v>
      </c>
      <c r="D41" s="56">
        <v>12742014</v>
      </c>
      <c r="E41" s="11" t="s">
        <v>25</v>
      </c>
      <c r="F41" s="2">
        <f>22-9</f>
        <v>13</v>
      </c>
      <c r="G41" s="2">
        <f>F41*7</f>
        <v>91</v>
      </c>
      <c r="I41" s="3" t="s">
        <v>327</v>
      </c>
      <c r="J41" s="11">
        <v>375</v>
      </c>
      <c r="K41" s="11"/>
      <c r="L41" s="60">
        <f>D41</f>
        <v>12742014</v>
      </c>
      <c r="M41" s="42"/>
      <c r="N41" s="60">
        <f>L41+M41</f>
        <v>12742014</v>
      </c>
      <c r="O41" s="57">
        <f>L48/N41</f>
        <v>0.11677902724012075</v>
      </c>
    </row>
    <row r="43" spans="1:15" x14ac:dyDescent="0.25">
      <c r="A43" s="107" t="s">
        <v>339</v>
      </c>
      <c r="B43" s="107" t="s">
        <v>336</v>
      </c>
      <c r="C43" s="105" t="s">
        <v>337</v>
      </c>
      <c r="D43" s="106"/>
      <c r="E43" s="85" t="s">
        <v>341</v>
      </c>
      <c r="F43" s="85" t="s">
        <v>349</v>
      </c>
      <c r="G43" s="3" t="s">
        <v>351</v>
      </c>
      <c r="I43" s="103" t="s">
        <v>353</v>
      </c>
      <c r="J43" s="103" t="s">
        <v>336</v>
      </c>
      <c r="K43" s="104" t="s">
        <v>349</v>
      </c>
      <c r="L43" s="104"/>
      <c r="M43" s="104"/>
      <c r="N43" s="105" t="s">
        <v>358</v>
      </c>
      <c r="O43" s="106"/>
    </row>
    <row r="44" spans="1:15" x14ac:dyDescent="0.25">
      <c r="A44" s="108"/>
      <c r="B44" s="108"/>
      <c r="C44" s="3" t="s">
        <v>331</v>
      </c>
      <c r="D44" s="3" t="s">
        <v>338</v>
      </c>
      <c r="E44" s="85" t="s">
        <v>342</v>
      </c>
      <c r="F44" s="85" t="s">
        <v>350</v>
      </c>
      <c r="G44" s="3" t="s">
        <v>352</v>
      </c>
      <c r="I44" s="103"/>
      <c r="J44" s="103"/>
      <c r="K44" s="85" t="s">
        <v>356</v>
      </c>
      <c r="L44" s="85" t="s">
        <v>334</v>
      </c>
      <c r="M44" s="85" t="s">
        <v>340</v>
      </c>
      <c r="N44" s="85" t="s">
        <v>359</v>
      </c>
      <c r="O44" s="85" t="s">
        <v>360</v>
      </c>
    </row>
    <row r="45" spans="1:15" x14ac:dyDescent="0.25">
      <c r="A45" s="3" t="s">
        <v>326</v>
      </c>
      <c r="B45" s="2">
        <v>3</v>
      </c>
      <c r="C45" s="2">
        <f>B45*8</f>
        <v>24</v>
      </c>
      <c r="D45" s="2">
        <f>B45*8*7</f>
        <v>168</v>
      </c>
      <c r="E45" s="69">
        <f>D45/G40</f>
        <v>2</v>
      </c>
      <c r="F45" s="42">
        <v>21000</v>
      </c>
      <c r="G45" s="57">
        <f>(C45*F45)/D40</f>
        <v>5.1279087655495693E-2</v>
      </c>
      <c r="I45" s="58" t="s">
        <v>195</v>
      </c>
      <c r="J45" s="2">
        <v>3</v>
      </c>
      <c r="K45" s="42">
        <v>27000</v>
      </c>
      <c r="L45" s="60">
        <f>J45*K45*8</f>
        <v>648000</v>
      </c>
      <c r="M45" s="60">
        <f>L45*7</f>
        <v>4536000</v>
      </c>
      <c r="N45" s="2"/>
      <c r="O45" s="2"/>
    </row>
    <row r="46" spans="1:15" x14ac:dyDescent="0.25">
      <c r="A46" s="3" t="s">
        <v>327</v>
      </c>
      <c r="B46" s="2">
        <v>3</v>
      </c>
      <c r="C46" s="2">
        <f>B46*8</f>
        <v>24</v>
      </c>
      <c r="D46" s="2">
        <f>B46*8*7</f>
        <v>168</v>
      </c>
      <c r="E46" s="69">
        <f>D46/G41</f>
        <v>1.8461538461538463</v>
      </c>
      <c r="F46" s="42">
        <v>21000</v>
      </c>
      <c r="G46" s="57">
        <f>(C46*F46)/D41</f>
        <v>3.9554186645847353E-2</v>
      </c>
      <c r="I46" s="58" t="s">
        <v>192</v>
      </c>
      <c r="J46" s="2">
        <v>5</v>
      </c>
      <c r="K46" s="42">
        <v>21000</v>
      </c>
      <c r="L46" s="60">
        <f t="shared" ref="L46:L47" si="6">J46*K46*8</f>
        <v>840000</v>
      </c>
      <c r="M46" s="60">
        <f t="shared" ref="M46:M47" si="7">L46*7</f>
        <v>5880000</v>
      </c>
      <c r="N46" s="2"/>
      <c r="O46" s="2"/>
    </row>
    <row r="47" spans="1:15" x14ac:dyDescent="0.25">
      <c r="I47" s="59" t="s">
        <v>354</v>
      </c>
      <c r="J47" s="2">
        <v>0</v>
      </c>
      <c r="K47" s="42">
        <v>21000</v>
      </c>
      <c r="L47" s="60">
        <f t="shared" si="6"/>
        <v>0</v>
      </c>
      <c r="M47" s="60">
        <f t="shared" si="7"/>
        <v>0</v>
      </c>
      <c r="N47" s="2"/>
      <c r="O47" s="2"/>
    </row>
    <row r="48" spans="1:15" x14ac:dyDescent="0.25">
      <c r="I48" s="3" t="s">
        <v>355</v>
      </c>
      <c r="J48" s="3">
        <f>SUM(J45:J47)</f>
        <v>8</v>
      </c>
      <c r="K48" s="61">
        <f>SUM(K45:K47)</f>
        <v>69000</v>
      </c>
      <c r="L48" s="61">
        <f>SUM(L45:L47)</f>
        <v>1488000</v>
      </c>
      <c r="M48" s="61">
        <f>SUM(M45:M47)</f>
        <v>10416000</v>
      </c>
      <c r="N48" s="62">
        <f>(N40*5)+N41*2</f>
        <v>74626868</v>
      </c>
      <c r="O48" s="57">
        <f>M48/N48</f>
        <v>0.13957439564527885</v>
      </c>
    </row>
    <row r="49" spans="1:15" x14ac:dyDescent="0.25">
      <c r="I49" s="35"/>
      <c r="J49" s="35"/>
      <c r="K49" s="95"/>
      <c r="L49" s="95"/>
      <c r="M49" s="95"/>
      <c r="N49" s="96"/>
      <c r="O49" s="94"/>
    </row>
    <row r="50" spans="1:15" x14ac:dyDescent="0.25">
      <c r="I50" s="35"/>
      <c r="J50" s="35"/>
      <c r="K50" s="95"/>
      <c r="L50" s="95"/>
      <c r="M50" s="95"/>
      <c r="N50" s="96"/>
      <c r="O50" s="94"/>
    </row>
    <row r="51" spans="1:15" x14ac:dyDescent="0.25">
      <c r="I51" s="35"/>
      <c r="J51" s="35"/>
      <c r="K51" s="95"/>
      <c r="L51" s="95"/>
      <c r="M51" s="95"/>
      <c r="N51" s="96"/>
      <c r="O51" s="94"/>
    </row>
    <row r="52" spans="1:15" x14ac:dyDescent="0.25">
      <c r="I52" s="35"/>
      <c r="J52" s="35"/>
      <c r="K52" s="95"/>
      <c r="L52" s="95"/>
      <c r="M52" s="95"/>
      <c r="N52" s="96"/>
      <c r="O52" s="94"/>
    </row>
    <row r="53" spans="1:15" x14ac:dyDescent="0.25">
      <c r="I53" s="35"/>
      <c r="J53" s="35"/>
      <c r="K53" s="95"/>
      <c r="L53" s="95"/>
      <c r="M53" s="95"/>
      <c r="N53" s="96"/>
      <c r="O53" s="94"/>
    </row>
    <row r="54" spans="1:15" x14ac:dyDescent="0.25">
      <c r="I54" s="35"/>
      <c r="J54" s="35"/>
      <c r="K54" s="95"/>
      <c r="L54" s="95"/>
      <c r="M54" s="95"/>
      <c r="N54" s="96"/>
      <c r="O54" s="94"/>
    </row>
    <row r="55" spans="1:15" x14ac:dyDescent="0.25">
      <c r="I55" s="35"/>
      <c r="J55" s="35"/>
      <c r="K55" s="95"/>
      <c r="L55" s="95"/>
      <c r="M55" s="95"/>
      <c r="N55" s="96"/>
      <c r="O55" s="94"/>
    </row>
    <row r="56" spans="1:15" x14ac:dyDescent="0.25">
      <c r="I56" s="35"/>
      <c r="J56" s="35"/>
      <c r="K56" s="95"/>
      <c r="L56" s="95"/>
      <c r="M56" s="95"/>
      <c r="N56" s="96"/>
      <c r="O56" s="94"/>
    </row>
    <row r="57" spans="1:15" x14ac:dyDescent="0.25">
      <c r="A57" s="99" t="s">
        <v>325</v>
      </c>
      <c r="B57" s="111" t="s">
        <v>405</v>
      </c>
      <c r="C57" s="112"/>
      <c r="D57" s="112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1:15" x14ac:dyDescent="0.25">
      <c r="A58" s="107" t="s">
        <v>339</v>
      </c>
      <c r="B58" s="103" t="s">
        <v>328</v>
      </c>
      <c r="C58" s="103"/>
      <c r="D58" s="107" t="s">
        <v>329</v>
      </c>
      <c r="E58" s="104" t="s">
        <v>333</v>
      </c>
      <c r="F58" s="104"/>
      <c r="G58" s="104"/>
      <c r="I58" s="107" t="s">
        <v>195</v>
      </c>
      <c r="J58" s="103" t="s">
        <v>343</v>
      </c>
      <c r="K58" s="103"/>
      <c r="L58" s="104" t="s">
        <v>357</v>
      </c>
      <c r="M58" s="104"/>
      <c r="N58" s="104"/>
      <c r="O58" s="85" t="s">
        <v>361</v>
      </c>
    </row>
    <row r="59" spans="1:15" x14ac:dyDescent="0.25">
      <c r="A59" s="108"/>
      <c r="B59" s="84" t="s">
        <v>334</v>
      </c>
      <c r="C59" s="84" t="s">
        <v>335</v>
      </c>
      <c r="D59" s="108"/>
      <c r="E59" s="3" t="s">
        <v>330</v>
      </c>
      <c r="F59" s="3" t="s">
        <v>331</v>
      </c>
      <c r="G59" s="3" t="s">
        <v>332</v>
      </c>
      <c r="I59" s="108"/>
      <c r="J59" s="84" t="s">
        <v>344</v>
      </c>
      <c r="K59" s="84"/>
      <c r="L59" s="84" t="s">
        <v>344</v>
      </c>
      <c r="M59" s="84"/>
      <c r="N59" s="85" t="s">
        <v>66</v>
      </c>
      <c r="O59" s="85" t="s">
        <v>362</v>
      </c>
    </row>
    <row r="60" spans="1:15" x14ac:dyDescent="0.25">
      <c r="A60" s="3" t="s">
        <v>326</v>
      </c>
      <c r="B60" s="11">
        <v>376</v>
      </c>
      <c r="C60" s="11">
        <f>ROUND(B60/8,0)</f>
        <v>47</v>
      </c>
      <c r="D60" s="56">
        <v>24294735</v>
      </c>
      <c r="E60" s="11" t="s">
        <v>56</v>
      </c>
      <c r="F60" s="2">
        <f>22-8</f>
        <v>14</v>
      </c>
      <c r="G60" s="2">
        <f>F60*7</f>
        <v>98</v>
      </c>
      <c r="I60" s="3" t="s">
        <v>326</v>
      </c>
      <c r="J60" s="11">
        <v>750</v>
      </c>
      <c r="K60" s="11"/>
      <c r="L60" s="60">
        <f>D60</f>
        <v>24294735</v>
      </c>
      <c r="M60" s="42"/>
      <c r="N60" s="60">
        <f>L60+M60</f>
        <v>24294735</v>
      </c>
      <c r="O60" s="57">
        <f>L68/N60</f>
        <v>9.2859625758420494E-2</v>
      </c>
    </row>
    <row r="61" spans="1:15" x14ac:dyDescent="0.25">
      <c r="A61" s="3" t="s">
        <v>327</v>
      </c>
      <c r="B61" s="11">
        <v>438</v>
      </c>
      <c r="C61" s="11">
        <f>ROUND(B61/8,0)</f>
        <v>55</v>
      </c>
      <c r="D61" s="56">
        <v>31238053</v>
      </c>
      <c r="E61" s="11" t="s">
        <v>56</v>
      </c>
      <c r="F61" s="2">
        <f>22-8</f>
        <v>14</v>
      </c>
      <c r="G61" s="2">
        <f>F61*7</f>
        <v>98</v>
      </c>
      <c r="I61" s="3" t="s">
        <v>327</v>
      </c>
      <c r="J61" s="11">
        <v>1198</v>
      </c>
      <c r="K61" s="11"/>
      <c r="L61" s="60">
        <f>D61</f>
        <v>31238053</v>
      </c>
      <c r="M61" s="42"/>
      <c r="N61" s="60">
        <f>L61+M61</f>
        <v>31238053</v>
      </c>
      <c r="O61" s="57">
        <f>L68/N61</f>
        <v>7.2219609845722454E-2</v>
      </c>
    </row>
    <row r="63" spans="1:15" x14ac:dyDescent="0.25">
      <c r="A63" s="107" t="s">
        <v>339</v>
      </c>
      <c r="B63" s="107" t="s">
        <v>336</v>
      </c>
      <c r="C63" s="105" t="s">
        <v>337</v>
      </c>
      <c r="D63" s="106"/>
      <c r="E63" s="85" t="s">
        <v>341</v>
      </c>
      <c r="F63" s="85" t="s">
        <v>349</v>
      </c>
      <c r="G63" s="3" t="s">
        <v>351</v>
      </c>
      <c r="I63" s="103" t="s">
        <v>353</v>
      </c>
      <c r="J63" s="103" t="s">
        <v>336</v>
      </c>
      <c r="K63" s="104" t="s">
        <v>349</v>
      </c>
      <c r="L63" s="104"/>
      <c r="M63" s="104"/>
      <c r="N63" s="105" t="s">
        <v>358</v>
      </c>
      <c r="O63" s="106"/>
    </row>
    <row r="64" spans="1:15" x14ac:dyDescent="0.25">
      <c r="A64" s="108"/>
      <c r="B64" s="108"/>
      <c r="C64" s="3" t="s">
        <v>331</v>
      </c>
      <c r="D64" s="3" t="s">
        <v>338</v>
      </c>
      <c r="E64" s="85" t="s">
        <v>342</v>
      </c>
      <c r="F64" s="85" t="s">
        <v>350</v>
      </c>
      <c r="G64" s="3" t="s">
        <v>352</v>
      </c>
      <c r="I64" s="103"/>
      <c r="J64" s="103"/>
      <c r="K64" s="85" t="s">
        <v>356</v>
      </c>
      <c r="L64" s="85" t="s">
        <v>334</v>
      </c>
      <c r="M64" s="85" t="s">
        <v>340</v>
      </c>
      <c r="N64" s="85" t="s">
        <v>359</v>
      </c>
      <c r="O64" s="85" t="s">
        <v>360</v>
      </c>
    </row>
    <row r="65" spans="1:15" x14ac:dyDescent="0.25">
      <c r="A65" s="3" t="s">
        <v>326</v>
      </c>
      <c r="B65" s="2">
        <v>4</v>
      </c>
      <c r="C65" s="2">
        <f>B65*8</f>
        <v>32</v>
      </c>
      <c r="D65" s="2">
        <f>B65*8*7</f>
        <v>224</v>
      </c>
      <c r="E65" s="69">
        <f>D65/G60</f>
        <v>2.2857142857142856</v>
      </c>
      <c r="F65" s="42">
        <v>21000</v>
      </c>
      <c r="G65" s="57">
        <f>(C65*F65)/D60</f>
        <v>2.7660314055699721E-2</v>
      </c>
      <c r="I65" s="58" t="s">
        <v>195</v>
      </c>
      <c r="J65" s="2">
        <v>5</v>
      </c>
      <c r="K65" s="42">
        <v>27000</v>
      </c>
      <c r="L65" s="60">
        <f>J65*K65*8</f>
        <v>1080000</v>
      </c>
      <c r="M65" s="60">
        <f>L65*7</f>
        <v>7560000</v>
      </c>
      <c r="N65" s="2"/>
      <c r="O65" s="2"/>
    </row>
    <row r="66" spans="1:15" x14ac:dyDescent="0.25">
      <c r="A66" s="3" t="s">
        <v>327</v>
      </c>
      <c r="B66" s="2">
        <v>4</v>
      </c>
      <c r="C66" s="2">
        <f>B66*8</f>
        <v>32</v>
      </c>
      <c r="D66" s="2">
        <f>B66*8*7</f>
        <v>224</v>
      </c>
      <c r="E66" s="69">
        <f>D66/G61</f>
        <v>2.2857142857142856</v>
      </c>
      <c r="F66" s="42">
        <v>21000</v>
      </c>
      <c r="G66" s="57">
        <f>(C66*F66)/D61</f>
        <v>2.1512224209364137E-2</v>
      </c>
      <c r="I66" s="58" t="s">
        <v>192</v>
      </c>
      <c r="J66" s="2">
        <v>7</v>
      </c>
      <c r="K66" s="42">
        <v>21000</v>
      </c>
      <c r="L66" s="60">
        <f t="shared" ref="L66:L67" si="8">J66*K66*8</f>
        <v>1176000</v>
      </c>
      <c r="M66" s="60">
        <f t="shared" ref="M66:M67" si="9">L66*7</f>
        <v>8232000</v>
      </c>
      <c r="N66" s="2"/>
      <c r="O66" s="2"/>
    </row>
    <row r="67" spans="1:15" x14ac:dyDescent="0.25">
      <c r="I67" s="59" t="s">
        <v>354</v>
      </c>
      <c r="J67" s="2">
        <v>0</v>
      </c>
      <c r="K67" s="42">
        <v>21000</v>
      </c>
      <c r="L67" s="60">
        <f t="shared" si="8"/>
        <v>0</v>
      </c>
      <c r="M67" s="60">
        <f t="shared" si="9"/>
        <v>0</v>
      </c>
      <c r="N67" s="2"/>
      <c r="O67" s="2"/>
    </row>
    <row r="68" spans="1:15" x14ac:dyDescent="0.25">
      <c r="I68" s="3" t="s">
        <v>355</v>
      </c>
      <c r="J68" s="3">
        <f>SUM(J65:J67)</f>
        <v>12</v>
      </c>
      <c r="K68" s="61">
        <f>SUM(K65:K67)</f>
        <v>69000</v>
      </c>
      <c r="L68" s="61">
        <f>SUM(L65:L67)</f>
        <v>2256000</v>
      </c>
      <c r="M68" s="61">
        <f>SUM(M65:M67)</f>
        <v>15792000</v>
      </c>
      <c r="N68" s="62">
        <f>(N60*5)+N61*2</f>
        <v>183949781</v>
      </c>
      <c r="O68" s="57">
        <f>M68/N68</f>
        <v>8.5849517809428649E-2</v>
      </c>
    </row>
    <row r="69" spans="1:15" x14ac:dyDescent="0.25">
      <c r="A69" s="99" t="s">
        <v>325</v>
      </c>
      <c r="B69" s="111" t="s">
        <v>406</v>
      </c>
      <c r="C69" s="112"/>
      <c r="D69" s="112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1:15" x14ac:dyDescent="0.25">
      <c r="A70" s="107" t="s">
        <v>339</v>
      </c>
      <c r="B70" s="103" t="s">
        <v>328</v>
      </c>
      <c r="C70" s="103"/>
      <c r="D70" s="107" t="s">
        <v>329</v>
      </c>
      <c r="E70" s="104" t="s">
        <v>333</v>
      </c>
      <c r="F70" s="104"/>
      <c r="G70" s="104"/>
      <c r="I70" s="107" t="s">
        <v>195</v>
      </c>
      <c r="J70" s="103" t="s">
        <v>343</v>
      </c>
      <c r="K70" s="103"/>
      <c r="L70" s="104" t="s">
        <v>357</v>
      </c>
      <c r="M70" s="104"/>
      <c r="N70" s="104"/>
      <c r="O70" s="85" t="s">
        <v>361</v>
      </c>
    </row>
    <row r="71" spans="1:15" x14ac:dyDescent="0.25">
      <c r="A71" s="108"/>
      <c r="B71" s="84" t="s">
        <v>334</v>
      </c>
      <c r="C71" s="84" t="s">
        <v>335</v>
      </c>
      <c r="D71" s="108"/>
      <c r="E71" s="3" t="s">
        <v>330</v>
      </c>
      <c r="F71" s="3" t="s">
        <v>331</v>
      </c>
      <c r="G71" s="3" t="s">
        <v>332</v>
      </c>
      <c r="I71" s="108"/>
      <c r="J71" s="84" t="s">
        <v>344</v>
      </c>
      <c r="K71" s="84" t="s">
        <v>367</v>
      </c>
      <c r="L71" s="84" t="s">
        <v>344</v>
      </c>
      <c r="M71" s="84" t="s">
        <v>367</v>
      </c>
      <c r="N71" s="85" t="s">
        <v>66</v>
      </c>
      <c r="O71" s="85" t="s">
        <v>362</v>
      </c>
    </row>
    <row r="72" spans="1:15" x14ac:dyDescent="0.25">
      <c r="A72" s="3" t="s">
        <v>326</v>
      </c>
      <c r="B72" s="11">
        <v>398</v>
      </c>
      <c r="C72" s="11">
        <f>ROUND(B72/8,0)</f>
        <v>50</v>
      </c>
      <c r="D72" s="56">
        <v>24097018</v>
      </c>
      <c r="E72" s="11" t="s">
        <v>23</v>
      </c>
      <c r="F72" s="2">
        <f>22-10</f>
        <v>12</v>
      </c>
      <c r="G72" s="2">
        <f>F72*7</f>
        <v>84</v>
      </c>
      <c r="I72" s="3" t="s">
        <v>326</v>
      </c>
      <c r="J72" s="11">
        <v>992</v>
      </c>
      <c r="K72" s="11">
        <v>95</v>
      </c>
      <c r="L72" s="60">
        <f>D72</f>
        <v>24097018</v>
      </c>
      <c r="M72" s="42">
        <f>32000*K72</f>
        <v>3040000</v>
      </c>
      <c r="N72" s="60">
        <f>L72+M72</f>
        <v>27137018</v>
      </c>
      <c r="O72" s="57">
        <f>L80/N72</f>
        <v>8.3133673714628487E-2</v>
      </c>
    </row>
    <row r="73" spans="1:15" x14ac:dyDescent="0.25">
      <c r="A73" s="3" t="s">
        <v>327</v>
      </c>
      <c r="B73" s="11">
        <v>940</v>
      </c>
      <c r="C73" s="11">
        <f>ROUND(B73/8,0)</f>
        <v>118</v>
      </c>
      <c r="D73" s="56">
        <v>61695305</v>
      </c>
      <c r="E73" s="11" t="s">
        <v>23</v>
      </c>
      <c r="F73" s="2">
        <f>22-10</f>
        <v>12</v>
      </c>
      <c r="G73" s="2">
        <f>F73*7</f>
        <v>84</v>
      </c>
      <c r="I73" s="3" t="s">
        <v>327</v>
      </c>
      <c r="J73" s="11">
        <v>2425</v>
      </c>
      <c r="K73" s="11">
        <v>187</v>
      </c>
      <c r="L73" s="60">
        <f>D73</f>
        <v>61695305</v>
      </c>
      <c r="M73" s="42">
        <f>32000*K73</f>
        <v>5984000</v>
      </c>
      <c r="N73" s="60">
        <f>L73+M73</f>
        <v>67679305</v>
      </c>
      <c r="O73" s="57">
        <f>L80/N73</f>
        <v>3.3333675633932705E-2</v>
      </c>
    </row>
    <row r="75" spans="1:15" x14ac:dyDescent="0.25">
      <c r="A75" s="107" t="s">
        <v>339</v>
      </c>
      <c r="B75" s="107" t="s">
        <v>336</v>
      </c>
      <c r="C75" s="105" t="s">
        <v>337</v>
      </c>
      <c r="D75" s="106"/>
      <c r="E75" s="85" t="s">
        <v>341</v>
      </c>
      <c r="F75" s="85" t="s">
        <v>349</v>
      </c>
      <c r="G75" s="3" t="s">
        <v>351</v>
      </c>
      <c r="I75" s="103" t="s">
        <v>353</v>
      </c>
      <c r="J75" s="103" t="s">
        <v>336</v>
      </c>
      <c r="K75" s="104" t="s">
        <v>349</v>
      </c>
      <c r="L75" s="104"/>
      <c r="M75" s="104"/>
      <c r="N75" s="105" t="s">
        <v>358</v>
      </c>
      <c r="O75" s="106"/>
    </row>
    <row r="76" spans="1:15" x14ac:dyDescent="0.25">
      <c r="A76" s="108"/>
      <c r="B76" s="108"/>
      <c r="C76" s="3" t="s">
        <v>331</v>
      </c>
      <c r="D76" s="3" t="s">
        <v>338</v>
      </c>
      <c r="E76" s="85" t="s">
        <v>342</v>
      </c>
      <c r="F76" s="85" t="s">
        <v>350</v>
      </c>
      <c r="G76" s="3" t="s">
        <v>352</v>
      </c>
      <c r="I76" s="103"/>
      <c r="J76" s="103"/>
      <c r="K76" s="85" t="s">
        <v>356</v>
      </c>
      <c r="L76" s="85" t="s">
        <v>334</v>
      </c>
      <c r="M76" s="85" t="s">
        <v>340</v>
      </c>
      <c r="N76" s="85" t="s">
        <v>359</v>
      </c>
      <c r="O76" s="85" t="s">
        <v>360</v>
      </c>
    </row>
    <row r="77" spans="1:15" x14ac:dyDescent="0.25">
      <c r="A77" s="3" t="s">
        <v>326</v>
      </c>
      <c r="B77" s="2">
        <v>4</v>
      </c>
      <c r="C77" s="2">
        <f>B77*8</f>
        <v>32</v>
      </c>
      <c r="D77" s="2">
        <f>B77*8*7</f>
        <v>224</v>
      </c>
      <c r="E77" s="69">
        <f>D77/G72</f>
        <v>2.6666666666666665</v>
      </c>
      <c r="F77" s="42">
        <v>21000</v>
      </c>
      <c r="G77" s="57">
        <f>(C77*F77)/D72</f>
        <v>2.7887268042875678E-2</v>
      </c>
      <c r="I77" s="58" t="s">
        <v>195</v>
      </c>
      <c r="J77" s="2">
        <v>5</v>
      </c>
      <c r="K77" s="42">
        <v>27000</v>
      </c>
      <c r="L77" s="60">
        <f>J77*K77*8</f>
        <v>1080000</v>
      </c>
      <c r="M77" s="60">
        <f>L77*7</f>
        <v>7560000</v>
      </c>
      <c r="N77" s="2"/>
      <c r="O77" s="2"/>
    </row>
    <row r="78" spans="1:15" x14ac:dyDescent="0.25">
      <c r="A78" s="3" t="s">
        <v>327</v>
      </c>
      <c r="B78" s="2">
        <v>6</v>
      </c>
      <c r="C78" s="2">
        <f>B78*8</f>
        <v>48</v>
      </c>
      <c r="D78" s="2">
        <f>B78*8*7</f>
        <v>336</v>
      </c>
      <c r="E78" s="69">
        <f>D78/G73</f>
        <v>4</v>
      </c>
      <c r="F78" s="42">
        <v>21000</v>
      </c>
      <c r="G78" s="57">
        <f>(C78*F78)/D73</f>
        <v>1.6338358324024818E-2</v>
      </c>
      <c r="I78" s="58" t="s">
        <v>192</v>
      </c>
      <c r="J78" s="2">
        <v>7</v>
      </c>
      <c r="K78" s="42">
        <v>21000</v>
      </c>
      <c r="L78" s="60">
        <f t="shared" ref="L78:L79" si="10">J78*K78*8</f>
        <v>1176000</v>
      </c>
      <c r="M78" s="60">
        <f t="shared" ref="M78:M79" si="11">L78*7</f>
        <v>8232000</v>
      </c>
      <c r="N78" s="2"/>
      <c r="O78" s="2"/>
    </row>
    <row r="79" spans="1:15" x14ac:dyDescent="0.25">
      <c r="I79" s="59" t="s">
        <v>354</v>
      </c>
      <c r="J79" s="2">
        <v>0</v>
      </c>
      <c r="K79" s="42">
        <v>21000</v>
      </c>
      <c r="L79" s="60">
        <f t="shared" si="10"/>
        <v>0</v>
      </c>
      <c r="M79" s="60">
        <f t="shared" si="11"/>
        <v>0</v>
      </c>
      <c r="N79" s="2"/>
      <c r="O79" s="2"/>
    </row>
    <row r="80" spans="1:15" x14ac:dyDescent="0.25">
      <c r="I80" s="3" t="s">
        <v>355</v>
      </c>
      <c r="J80" s="3">
        <f>SUM(J77:J79)</f>
        <v>12</v>
      </c>
      <c r="K80" s="61">
        <f>SUM(K77:K79)</f>
        <v>69000</v>
      </c>
      <c r="L80" s="61">
        <f>SUM(L77:L79)</f>
        <v>2256000</v>
      </c>
      <c r="M80" s="61">
        <f>SUM(M77:M79)</f>
        <v>15792000</v>
      </c>
      <c r="N80" s="62">
        <f>(N72*5)+N73*2</f>
        <v>271043700</v>
      </c>
      <c r="O80" s="57">
        <f>M80/N80</f>
        <v>5.8263667445507865E-2</v>
      </c>
    </row>
    <row r="81" spans="1:15" x14ac:dyDescent="0.25">
      <c r="A81" s="99" t="s">
        <v>325</v>
      </c>
      <c r="B81" s="102" t="s">
        <v>410</v>
      </c>
      <c r="C81" s="102"/>
      <c r="D81" s="102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1:15" x14ac:dyDescent="0.25">
      <c r="A82" s="107" t="s">
        <v>339</v>
      </c>
      <c r="B82" s="103" t="s">
        <v>328</v>
      </c>
      <c r="C82" s="103"/>
      <c r="D82" s="107" t="s">
        <v>329</v>
      </c>
      <c r="E82" s="104" t="s">
        <v>333</v>
      </c>
      <c r="F82" s="104"/>
      <c r="G82" s="104"/>
      <c r="I82" s="107" t="s">
        <v>195</v>
      </c>
      <c r="J82" s="103" t="s">
        <v>343</v>
      </c>
      <c r="K82" s="103"/>
      <c r="L82" s="104" t="s">
        <v>357</v>
      </c>
      <c r="M82" s="104"/>
      <c r="N82" s="104"/>
      <c r="O82" s="85" t="s">
        <v>361</v>
      </c>
    </row>
    <row r="83" spans="1:15" x14ac:dyDescent="0.25">
      <c r="A83" s="108"/>
      <c r="B83" s="84" t="s">
        <v>334</v>
      </c>
      <c r="C83" s="84" t="s">
        <v>335</v>
      </c>
      <c r="D83" s="108"/>
      <c r="E83" s="3" t="s">
        <v>330</v>
      </c>
      <c r="F83" s="3" t="s">
        <v>331</v>
      </c>
      <c r="G83" s="3" t="s">
        <v>332</v>
      </c>
      <c r="I83" s="108"/>
      <c r="J83" s="84" t="s">
        <v>344</v>
      </c>
      <c r="K83" s="84" t="s">
        <v>345</v>
      </c>
      <c r="L83" s="84" t="s">
        <v>344</v>
      </c>
      <c r="M83" s="84" t="s">
        <v>345</v>
      </c>
      <c r="N83" s="85" t="s">
        <v>66</v>
      </c>
      <c r="O83" s="85" t="s">
        <v>362</v>
      </c>
    </row>
    <row r="84" spans="1:15" x14ac:dyDescent="0.25">
      <c r="A84" s="3" t="s">
        <v>326</v>
      </c>
      <c r="B84" s="11">
        <v>233</v>
      </c>
      <c r="C84" s="11">
        <f>ROUND(B84/8,0)</f>
        <v>29</v>
      </c>
      <c r="D84" s="56">
        <v>15713916</v>
      </c>
      <c r="E84" s="11" t="s">
        <v>23</v>
      </c>
      <c r="F84" s="2">
        <f>22-10</f>
        <v>12</v>
      </c>
      <c r="G84" s="2">
        <f>F84*7</f>
        <v>84</v>
      </c>
      <c r="I84" s="3" t="s">
        <v>326</v>
      </c>
      <c r="J84" s="11">
        <v>479</v>
      </c>
      <c r="K84" s="11">
        <v>255</v>
      </c>
      <c r="L84" s="60">
        <f>D84</f>
        <v>15713916</v>
      </c>
      <c r="M84" s="42">
        <f>K84*12000</f>
        <v>3060000</v>
      </c>
      <c r="N84" s="60">
        <f>L84+M84</f>
        <v>18773916</v>
      </c>
      <c r="O84" s="57">
        <f>L92/N84</f>
        <v>0.13167204966720847</v>
      </c>
    </row>
    <row r="85" spans="1:15" x14ac:dyDescent="0.25">
      <c r="A85" s="3" t="s">
        <v>327</v>
      </c>
      <c r="B85" s="11">
        <v>498</v>
      </c>
      <c r="C85" s="11">
        <f>ROUND(B85/8,0)</f>
        <v>62</v>
      </c>
      <c r="D85" s="56">
        <v>32833990</v>
      </c>
      <c r="E85" s="11" t="s">
        <v>23</v>
      </c>
      <c r="F85" s="2">
        <f>22-10</f>
        <v>12</v>
      </c>
      <c r="G85" s="2">
        <f>F85*7</f>
        <v>84</v>
      </c>
      <c r="I85" s="3" t="s">
        <v>327</v>
      </c>
      <c r="J85" s="11">
        <v>1289</v>
      </c>
      <c r="K85" s="11">
        <v>571</v>
      </c>
      <c r="L85" s="60">
        <f>D85</f>
        <v>32833990</v>
      </c>
      <c r="M85" s="42">
        <f>K85*12000</f>
        <v>6852000</v>
      </c>
      <c r="N85" s="60">
        <f>L85+M85</f>
        <v>39685990</v>
      </c>
      <c r="O85" s="57">
        <f>L92/N85</f>
        <v>6.2288984097410696E-2</v>
      </c>
    </row>
    <row r="87" spans="1:15" x14ac:dyDescent="0.25">
      <c r="A87" s="107" t="s">
        <v>339</v>
      </c>
      <c r="B87" s="107" t="s">
        <v>336</v>
      </c>
      <c r="C87" s="105" t="s">
        <v>337</v>
      </c>
      <c r="D87" s="106"/>
      <c r="E87" s="85" t="s">
        <v>341</v>
      </c>
      <c r="F87" s="85" t="s">
        <v>349</v>
      </c>
      <c r="G87" s="3" t="s">
        <v>351</v>
      </c>
      <c r="I87" s="103" t="s">
        <v>353</v>
      </c>
      <c r="J87" s="103" t="s">
        <v>336</v>
      </c>
      <c r="K87" s="104" t="s">
        <v>349</v>
      </c>
      <c r="L87" s="104"/>
      <c r="M87" s="104"/>
      <c r="N87" s="105" t="s">
        <v>358</v>
      </c>
      <c r="O87" s="106"/>
    </row>
    <row r="88" spans="1:15" x14ac:dyDescent="0.25">
      <c r="A88" s="108"/>
      <c r="B88" s="108"/>
      <c r="C88" s="3" t="s">
        <v>331</v>
      </c>
      <c r="D88" s="3" t="s">
        <v>338</v>
      </c>
      <c r="E88" s="85" t="s">
        <v>342</v>
      </c>
      <c r="F88" s="85" t="s">
        <v>350</v>
      </c>
      <c r="G88" s="3" t="s">
        <v>352</v>
      </c>
      <c r="I88" s="103"/>
      <c r="J88" s="103"/>
      <c r="K88" s="85" t="s">
        <v>356</v>
      </c>
      <c r="L88" s="85" t="s">
        <v>334</v>
      </c>
      <c r="M88" s="85" t="s">
        <v>340</v>
      </c>
      <c r="N88" s="85" t="s">
        <v>359</v>
      </c>
      <c r="O88" s="85" t="s">
        <v>360</v>
      </c>
    </row>
    <row r="89" spans="1:15" x14ac:dyDescent="0.25">
      <c r="A89" s="3" t="s">
        <v>326</v>
      </c>
      <c r="B89" s="2">
        <v>3</v>
      </c>
      <c r="C89" s="2">
        <f>B89*8</f>
        <v>24</v>
      </c>
      <c r="D89" s="2">
        <f>B89*8*7</f>
        <v>168</v>
      </c>
      <c r="E89" s="2">
        <f>D89/G84</f>
        <v>2</v>
      </c>
      <c r="F89" s="42">
        <v>21000</v>
      </c>
      <c r="G89" s="57">
        <f>(C89*F89)/D84</f>
        <v>3.207348187428264E-2</v>
      </c>
      <c r="I89" s="58" t="s">
        <v>195</v>
      </c>
      <c r="J89" s="2">
        <v>6</v>
      </c>
      <c r="K89" s="42">
        <v>27000</v>
      </c>
      <c r="L89" s="60">
        <f>J89*K89*8</f>
        <v>1296000</v>
      </c>
      <c r="M89" s="60">
        <f>L89*7</f>
        <v>9072000</v>
      </c>
      <c r="N89" s="2"/>
      <c r="O89" s="2"/>
    </row>
    <row r="90" spans="1:15" x14ac:dyDescent="0.25">
      <c r="A90" s="3" t="s">
        <v>327</v>
      </c>
      <c r="B90" s="2">
        <v>4</v>
      </c>
      <c r="C90" s="2">
        <f>B90*8</f>
        <v>32</v>
      </c>
      <c r="D90" s="2">
        <f>B90*8*7</f>
        <v>224</v>
      </c>
      <c r="E90" s="69">
        <f>D90/G85</f>
        <v>2.6666666666666665</v>
      </c>
      <c r="F90" s="42">
        <v>21000</v>
      </c>
      <c r="G90" s="57">
        <f>(C90*F90)/D85</f>
        <v>2.0466595744227246E-2</v>
      </c>
      <c r="I90" s="58" t="s">
        <v>192</v>
      </c>
      <c r="J90" s="2">
        <v>7</v>
      </c>
      <c r="K90" s="42">
        <v>21000</v>
      </c>
      <c r="L90" s="60">
        <f t="shared" ref="L90:L91" si="12">J90*K90*8</f>
        <v>1176000</v>
      </c>
      <c r="M90" s="60">
        <f t="shared" ref="M90:M91" si="13">L90*7</f>
        <v>8232000</v>
      </c>
      <c r="N90" s="2"/>
      <c r="O90" s="2"/>
    </row>
    <row r="91" spans="1:15" x14ac:dyDescent="0.25">
      <c r="I91" s="59" t="s">
        <v>354</v>
      </c>
      <c r="J91" s="2">
        <v>0</v>
      </c>
      <c r="K91" s="42">
        <v>21000</v>
      </c>
      <c r="L91" s="60">
        <f t="shared" si="12"/>
        <v>0</v>
      </c>
      <c r="M91" s="60">
        <f t="shared" si="13"/>
        <v>0</v>
      </c>
      <c r="N91" s="2"/>
      <c r="O91" s="2"/>
    </row>
    <row r="92" spans="1:15" x14ac:dyDescent="0.25">
      <c r="I92" s="3" t="s">
        <v>355</v>
      </c>
      <c r="J92" s="3">
        <f>SUM(J89:J91)</f>
        <v>13</v>
      </c>
      <c r="K92" s="61">
        <f>SUM(K89:K91)</f>
        <v>69000</v>
      </c>
      <c r="L92" s="61">
        <f>SUM(L89:L91)</f>
        <v>2472000</v>
      </c>
      <c r="M92" s="61">
        <f>SUM(M89:M91)</f>
        <v>17304000</v>
      </c>
      <c r="N92" s="62">
        <f>(N84*5)+N85*2</f>
        <v>173241560</v>
      </c>
      <c r="O92" s="57">
        <f>M92/N92</f>
        <v>9.9883653783768747E-2</v>
      </c>
    </row>
    <row r="93" spans="1:15" x14ac:dyDescent="0.25">
      <c r="A93" s="99" t="s">
        <v>325</v>
      </c>
      <c r="B93" s="102" t="s">
        <v>407</v>
      </c>
      <c r="C93" s="102"/>
      <c r="D93" s="102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1:15" x14ac:dyDescent="0.25">
      <c r="A94" s="107" t="s">
        <v>339</v>
      </c>
      <c r="B94" s="103" t="s">
        <v>328</v>
      </c>
      <c r="C94" s="103"/>
      <c r="D94" s="107" t="s">
        <v>329</v>
      </c>
      <c r="E94" s="104" t="s">
        <v>333</v>
      </c>
      <c r="F94" s="104"/>
      <c r="G94" s="104"/>
      <c r="I94" s="107" t="s">
        <v>195</v>
      </c>
      <c r="J94" s="103" t="s">
        <v>343</v>
      </c>
      <c r="K94" s="103"/>
      <c r="L94" s="104" t="s">
        <v>357</v>
      </c>
      <c r="M94" s="104"/>
      <c r="N94" s="104"/>
      <c r="O94" s="85" t="s">
        <v>361</v>
      </c>
    </row>
    <row r="95" spans="1:15" x14ac:dyDescent="0.25">
      <c r="A95" s="108"/>
      <c r="B95" s="84" t="s">
        <v>334</v>
      </c>
      <c r="C95" s="84" t="s">
        <v>335</v>
      </c>
      <c r="D95" s="108"/>
      <c r="E95" s="3" t="s">
        <v>330</v>
      </c>
      <c r="F95" s="3" t="s">
        <v>331</v>
      </c>
      <c r="G95" s="3" t="s">
        <v>332</v>
      </c>
      <c r="I95" s="108"/>
      <c r="J95" s="84" t="s">
        <v>344</v>
      </c>
      <c r="K95" s="84" t="s">
        <v>345</v>
      </c>
      <c r="L95" s="84" t="s">
        <v>344</v>
      </c>
      <c r="M95" s="84" t="s">
        <v>345</v>
      </c>
      <c r="N95" s="85" t="s">
        <v>66</v>
      </c>
      <c r="O95" s="85" t="s">
        <v>362</v>
      </c>
    </row>
    <row r="96" spans="1:15" x14ac:dyDescent="0.25">
      <c r="A96" s="3" t="s">
        <v>326</v>
      </c>
      <c r="B96" s="11">
        <v>102</v>
      </c>
      <c r="C96" s="11">
        <f>ROUND(B96/8,0)</f>
        <v>13</v>
      </c>
      <c r="D96" s="56">
        <v>10269624</v>
      </c>
      <c r="E96" s="11" t="s">
        <v>47</v>
      </c>
      <c r="F96" s="2">
        <f>22-6</f>
        <v>16</v>
      </c>
      <c r="G96" s="2">
        <f>F96*7</f>
        <v>112</v>
      </c>
      <c r="I96" s="3" t="s">
        <v>326</v>
      </c>
      <c r="J96" s="11">
        <v>318</v>
      </c>
      <c r="K96" s="11">
        <v>423</v>
      </c>
      <c r="L96" s="60">
        <f>D96</f>
        <v>10269624</v>
      </c>
      <c r="M96" s="42">
        <f>K96*14000</f>
        <v>5922000</v>
      </c>
      <c r="N96" s="60">
        <f>L96+M96</f>
        <v>16191624</v>
      </c>
      <c r="O96" s="57">
        <f>L104/N96</f>
        <v>0.14229579441815102</v>
      </c>
    </row>
    <row r="97" spans="1:15" x14ac:dyDescent="0.25">
      <c r="A97" s="3" t="s">
        <v>327</v>
      </c>
      <c r="B97" s="11">
        <v>173</v>
      </c>
      <c r="C97" s="11">
        <f>ROUND(B97/8,0)</f>
        <v>22</v>
      </c>
      <c r="D97" s="56">
        <v>20476787</v>
      </c>
      <c r="E97" s="11" t="s">
        <v>47</v>
      </c>
      <c r="F97" s="2">
        <f>22-6</f>
        <v>16</v>
      </c>
      <c r="G97" s="2">
        <f>F97*7</f>
        <v>112</v>
      </c>
      <c r="I97" s="3" t="s">
        <v>327</v>
      </c>
      <c r="J97" s="11">
        <v>262</v>
      </c>
      <c r="K97" s="11">
        <v>535</v>
      </c>
      <c r="L97" s="60">
        <f>D97</f>
        <v>20476787</v>
      </c>
      <c r="M97" s="42">
        <f>K97*14000</f>
        <v>7490000</v>
      </c>
      <c r="N97" s="60">
        <f>L97+M97</f>
        <v>27966787</v>
      </c>
      <c r="O97" s="57">
        <f>L104/N97</f>
        <v>8.2383435751843787E-2</v>
      </c>
    </row>
    <row r="99" spans="1:15" x14ac:dyDescent="0.25">
      <c r="A99" s="107" t="s">
        <v>339</v>
      </c>
      <c r="B99" s="107" t="s">
        <v>336</v>
      </c>
      <c r="C99" s="105" t="s">
        <v>337</v>
      </c>
      <c r="D99" s="106"/>
      <c r="E99" s="85" t="s">
        <v>341</v>
      </c>
      <c r="F99" s="85" t="s">
        <v>349</v>
      </c>
      <c r="G99" s="3" t="s">
        <v>351</v>
      </c>
      <c r="I99" s="103" t="s">
        <v>353</v>
      </c>
      <c r="J99" s="103" t="s">
        <v>336</v>
      </c>
      <c r="K99" s="104" t="s">
        <v>349</v>
      </c>
      <c r="L99" s="104"/>
      <c r="M99" s="104"/>
      <c r="N99" s="105" t="s">
        <v>358</v>
      </c>
      <c r="O99" s="106"/>
    </row>
    <row r="100" spans="1:15" x14ac:dyDescent="0.25">
      <c r="A100" s="108"/>
      <c r="B100" s="108"/>
      <c r="C100" s="3" t="s">
        <v>331</v>
      </c>
      <c r="D100" s="3" t="s">
        <v>338</v>
      </c>
      <c r="E100" s="85" t="s">
        <v>342</v>
      </c>
      <c r="F100" s="85" t="s">
        <v>350</v>
      </c>
      <c r="G100" s="3" t="s">
        <v>352</v>
      </c>
      <c r="I100" s="103"/>
      <c r="J100" s="103"/>
      <c r="K100" s="85" t="s">
        <v>356</v>
      </c>
      <c r="L100" s="85" t="s">
        <v>334</v>
      </c>
      <c r="M100" s="85" t="s">
        <v>340</v>
      </c>
      <c r="N100" s="85" t="s">
        <v>359</v>
      </c>
      <c r="O100" s="85" t="s">
        <v>360</v>
      </c>
    </row>
    <row r="101" spans="1:15" x14ac:dyDescent="0.25">
      <c r="A101" s="3" t="s">
        <v>326</v>
      </c>
      <c r="B101" s="2">
        <v>3</v>
      </c>
      <c r="C101" s="2">
        <f>B101*8</f>
        <v>24</v>
      </c>
      <c r="D101" s="2">
        <f>B101*8*7</f>
        <v>168</v>
      </c>
      <c r="E101" s="2">
        <f>D101/G96</f>
        <v>1.5</v>
      </c>
      <c r="F101" s="42">
        <v>21000</v>
      </c>
      <c r="G101" s="57">
        <f>(C101*F101)/D96</f>
        <v>4.9076772431006235E-2</v>
      </c>
      <c r="I101" s="58" t="s">
        <v>195</v>
      </c>
      <c r="J101" s="2">
        <v>6</v>
      </c>
      <c r="K101" s="42">
        <v>27000</v>
      </c>
      <c r="L101" s="60">
        <f>J101*K101*8</f>
        <v>1296000</v>
      </c>
      <c r="M101" s="60">
        <f>L101*7</f>
        <v>9072000</v>
      </c>
      <c r="N101" s="2"/>
      <c r="O101" s="2"/>
    </row>
    <row r="102" spans="1:15" x14ac:dyDescent="0.25">
      <c r="A102" s="3" t="s">
        <v>327</v>
      </c>
      <c r="B102" s="2">
        <v>4</v>
      </c>
      <c r="C102" s="2">
        <f>B102*8</f>
        <v>32</v>
      </c>
      <c r="D102" s="2">
        <f>B102*8*7</f>
        <v>224</v>
      </c>
      <c r="E102" s="2">
        <f>D102/G97</f>
        <v>2</v>
      </c>
      <c r="F102" s="42">
        <v>21000</v>
      </c>
      <c r="G102" s="57">
        <f>(C102*F102)/D97</f>
        <v>3.2817648589107268E-2</v>
      </c>
      <c r="I102" s="58" t="s">
        <v>192</v>
      </c>
      <c r="J102" s="2">
        <v>5</v>
      </c>
      <c r="K102" s="42">
        <v>21000</v>
      </c>
      <c r="L102" s="60">
        <f t="shared" ref="L102:L103" si="14">J102*K102*8</f>
        <v>840000</v>
      </c>
      <c r="M102" s="60">
        <f t="shared" ref="M102:M103" si="15">L102*7</f>
        <v>5880000</v>
      </c>
      <c r="N102" s="2"/>
      <c r="O102" s="2"/>
    </row>
    <row r="103" spans="1:15" x14ac:dyDescent="0.25">
      <c r="I103" s="59" t="s">
        <v>354</v>
      </c>
      <c r="J103" s="2">
        <v>1</v>
      </c>
      <c r="K103" s="42">
        <v>21000</v>
      </c>
      <c r="L103" s="60">
        <f t="shared" si="14"/>
        <v>168000</v>
      </c>
      <c r="M103" s="60">
        <f t="shared" si="15"/>
        <v>1176000</v>
      </c>
      <c r="N103" s="2"/>
      <c r="O103" s="2"/>
    </row>
    <row r="104" spans="1:15" x14ac:dyDescent="0.25">
      <c r="I104" s="3" t="s">
        <v>355</v>
      </c>
      <c r="J104" s="3">
        <f>SUM(J101:J103)</f>
        <v>12</v>
      </c>
      <c r="K104" s="61">
        <f>SUM(K101:K103)</f>
        <v>69000</v>
      </c>
      <c r="L104" s="61">
        <f>SUM(L101:L103)</f>
        <v>2304000</v>
      </c>
      <c r="M104" s="61">
        <f>SUM(M101:M103)</f>
        <v>16128000</v>
      </c>
      <c r="N104" s="62">
        <f>(N96*5)+N97*2</f>
        <v>136891694</v>
      </c>
      <c r="O104" s="57">
        <f>M104/N104</f>
        <v>0.11781576755124383</v>
      </c>
    </row>
    <row r="105" spans="1:15" x14ac:dyDescent="0.25">
      <c r="I105" s="35"/>
      <c r="J105" s="35"/>
      <c r="K105" s="95"/>
      <c r="L105" s="95"/>
      <c r="M105" s="95"/>
      <c r="N105" s="96"/>
      <c r="O105" s="94"/>
    </row>
    <row r="106" spans="1:15" x14ac:dyDescent="0.25">
      <c r="I106" s="35"/>
      <c r="J106" s="35"/>
      <c r="K106" s="95"/>
      <c r="L106" s="95"/>
      <c r="M106" s="95"/>
      <c r="N106" s="96"/>
      <c r="O106" s="94"/>
    </row>
    <row r="107" spans="1:15" x14ac:dyDescent="0.25">
      <c r="I107" s="35"/>
      <c r="J107" s="35"/>
      <c r="K107" s="95"/>
      <c r="L107" s="95"/>
      <c r="M107" s="95"/>
      <c r="N107" s="96"/>
      <c r="O107" s="94"/>
    </row>
    <row r="108" spans="1:15" x14ac:dyDescent="0.25">
      <c r="I108" s="35"/>
      <c r="J108" s="35"/>
      <c r="K108" s="95"/>
      <c r="L108" s="95"/>
      <c r="M108" s="95"/>
      <c r="N108" s="96"/>
      <c r="O108" s="94"/>
    </row>
    <row r="109" spans="1:15" x14ac:dyDescent="0.25">
      <c r="I109" s="35"/>
      <c r="J109" s="35"/>
      <c r="K109" s="95"/>
      <c r="L109" s="95"/>
      <c r="M109" s="95"/>
      <c r="N109" s="96"/>
      <c r="O109" s="94"/>
    </row>
    <row r="110" spans="1:15" x14ac:dyDescent="0.25">
      <c r="I110" s="35"/>
      <c r="J110" s="35"/>
      <c r="K110" s="95"/>
      <c r="L110" s="95"/>
      <c r="M110" s="95"/>
      <c r="N110" s="96"/>
      <c r="O110" s="94"/>
    </row>
    <row r="111" spans="1:15" x14ac:dyDescent="0.25">
      <c r="I111" s="35"/>
      <c r="J111" s="35"/>
      <c r="K111" s="95"/>
      <c r="L111" s="95"/>
      <c r="M111" s="95"/>
      <c r="N111" s="96"/>
      <c r="O111" s="94"/>
    </row>
    <row r="112" spans="1:15" x14ac:dyDescent="0.25">
      <c r="I112" s="35"/>
      <c r="J112" s="35"/>
      <c r="K112" s="95"/>
      <c r="L112" s="95"/>
      <c r="M112" s="95"/>
      <c r="N112" s="96"/>
      <c r="O112" s="94"/>
    </row>
    <row r="113" spans="1:15" x14ac:dyDescent="0.25">
      <c r="A113" s="99" t="s">
        <v>325</v>
      </c>
      <c r="B113" s="102" t="s">
        <v>408</v>
      </c>
      <c r="C113" s="102"/>
      <c r="D113" s="102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1:15" x14ac:dyDescent="0.25">
      <c r="A114" s="107" t="s">
        <v>339</v>
      </c>
      <c r="B114" s="103" t="s">
        <v>328</v>
      </c>
      <c r="C114" s="103"/>
      <c r="D114" s="107" t="s">
        <v>329</v>
      </c>
      <c r="E114" s="104" t="s">
        <v>333</v>
      </c>
      <c r="F114" s="104"/>
      <c r="G114" s="104"/>
      <c r="I114" s="107"/>
      <c r="J114" s="103"/>
      <c r="K114" s="103"/>
      <c r="L114" s="104" t="s">
        <v>357</v>
      </c>
      <c r="M114" s="104"/>
      <c r="N114" s="104"/>
      <c r="O114" s="85" t="s">
        <v>361</v>
      </c>
    </row>
    <row r="115" spans="1:15" x14ac:dyDescent="0.25">
      <c r="A115" s="108"/>
      <c r="B115" s="84" t="s">
        <v>334</v>
      </c>
      <c r="C115" s="84" t="s">
        <v>335</v>
      </c>
      <c r="D115" s="108"/>
      <c r="E115" s="3" t="s">
        <v>330</v>
      </c>
      <c r="F115" s="3" t="s">
        <v>331</v>
      </c>
      <c r="G115" s="3" t="s">
        <v>332</v>
      </c>
      <c r="I115" s="108"/>
      <c r="J115" s="84"/>
      <c r="K115" s="84"/>
      <c r="L115" s="84"/>
      <c r="M115" s="84"/>
      <c r="N115" s="85" t="s">
        <v>66</v>
      </c>
      <c r="O115" s="85" t="s">
        <v>362</v>
      </c>
    </row>
    <row r="116" spans="1:15" x14ac:dyDescent="0.25">
      <c r="A116" s="3" t="s">
        <v>326</v>
      </c>
      <c r="B116" s="11">
        <v>54</v>
      </c>
      <c r="C116" s="11">
        <f>ROUND(B116/8,0)</f>
        <v>7</v>
      </c>
      <c r="D116" s="56">
        <v>4089696</v>
      </c>
      <c r="E116" s="11" t="s">
        <v>49</v>
      </c>
      <c r="F116" s="2">
        <f>22-6</f>
        <v>16</v>
      </c>
      <c r="G116" s="2">
        <f>F116*7</f>
        <v>112</v>
      </c>
      <c r="I116" s="3"/>
      <c r="J116" s="11"/>
      <c r="K116" s="11"/>
      <c r="L116" s="60"/>
      <c r="M116" s="42"/>
      <c r="N116" s="60">
        <f>D116</f>
        <v>4089696</v>
      </c>
      <c r="O116" s="57">
        <f>L125/N116</f>
        <v>0.12323654374310462</v>
      </c>
    </row>
    <row r="117" spans="1:15" x14ac:dyDescent="0.25">
      <c r="A117" s="3" t="s">
        <v>327</v>
      </c>
      <c r="B117" s="11">
        <v>58</v>
      </c>
      <c r="C117" s="11">
        <f>ROUND(B117/8,0)</f>
        <v>7</v>
      </c>
      <c r="D117" s="56">
        <v>4646184</v>
      </c>
      <c r="E117" s="11" t="s">
        <v>49</v>
      </c>
      <c r="F117" s="2">
        <f>22-6</f>
        <v>16</v>
      </c>
      <c r="G117" s="2">
        <f>F117*7</f>
        <v>112</v>
      </c>
      <c r="I117" s="3"/>
      <c r="J117" s="11"/>
      <c r="K117" s="11"/>
      <c r="L117" s="60"/>
      <c r="M117" s="42"/>
      <c r="N117" s="60">
        <f>D117</f>
        <v>4646184</v>
      </c>
      <c r="O117" s="57">
        <f>L125/N117</f>
        <v>0.10847611717486867</v>
      </c>
    </row>
    <row r="118" spans="1:15" x14ac:dyDescent="0.25">
      <c r="N118" s="60"/>
    </row>
    <row r="120" spans="1:15" x14ac:dyDescent="0.25">
      <c r="A120" s="107" t="s">
        <v>339</v>
      </c>
      <c r="B120" s="107" t="s">
        <v>336</v>
      </c>
      <c r="C120" s="105" t="s">
        <v>337</v>
      </c>
      <c r="D120" s="106"/>
      <c r="E120" s="85" t="s">
        <v>341</v>
      </c>
      <c r="F120" s="85" t="s">
        <v>349</v>
      </c>
      <c r="G120" s="3" t="s">
        <v>351</v>
      </c>
      <c r="I120" s="103" t="s">
        <v>353</v>
      </c>
      <c r="J120" s="103" t="s">
        <v>336</v>
      </c>
      <c r="K120" s="104" t="s">
        <v>349</v>
      </c>
      <c r="L120" s="104"/>
      <c r="M120" s="104"/>
      <c r="N120" s="105" t="s">
        <v>358</v>
      </c>
      <c r="O120" s="106"/>
    </row>
    <row r="121" spans="1:15" x14ac:dyDescent="0.25">
      <c r="A121" s="108"/>
      <c r="B121" s="108"/>
      <c r="C121" s="3" t="s">
        <v>331</v>
      </c>
      <c r="D121" s="3" t="s">
        <v>338</v>
      </c>
      <c r="E121" s="85" t="s">
        <v>342</v>
      </c>
      <c r="F121" s="85" t="s">
        <v>350</v>
      </c>
      <c r="G121" s="3" t="s">
        <v>352</v>
      </c>
      <c r="I121" s="103"/>
      <c r="J121" s="103"/>
      <c r="K121" s="85" t="s">
        <v>356</v>
      </c>
      <c r="L121" s="85" t="s">
        <v>334</v>
      </c>
      <c r="M121" s="85" t="s">
        <v>340</v>
      </c>
      <c r="N121" s="85" t="s">
        <v>359</v>
      </c>
      <c r="O121" s="85" t="s">
        <v>360</v>
      </c>
    </row>
    <row r="122" spans="1:15" x14ac:dyDescent="0.25">
      <c r="A122" s="3" t="s">
        <v>326</v>
      </c>
      <c r="B122" s="2">
        <v>3</v>
      </c>
      <c r="C122" s="2">
        <f>B122*8</f>
        <v>24</v>
      </c>
      <c r="D122" s="2">
        <f>B122*8*7</f>
        <v>168</v>
      </c>
      <c r="E122" s="2">
        <f>D122/G116</f>
        <v>1.5</v>
      </c>
      <c r="F122" s="42">
        <v>21000</v>
      </c>
      <c r="G122" s="57">
        <f>(C122*F122)/D116</f>
        <v>0.12323654374310462</v>
      </c>
      <c r="I122" s="58" t="s">
        <v>195</v>
      </c>
      <c r="J122" s="2">
        <v>0</v>
      </c>
      <c r="K122" s="42">
        <v>27000</v>
      </c>
      <c r="L122" s="60">
        <f>J122*K122*8</f>
        <v>0</v>
      </c>
      <c r="M122" s="60">
        <f>L122*7</f>
        <v>0</v>
      </c>
      <c r="N122" s="2"/>
      <c r="O122" s="2"/>
    </row>
    <row r="123" spans="1:15" x14ac:dyDescent="0.25">
      <c r="A123" s="3" t="s">
        <v>327</v>
      </c>
      <c r="B123" s="2">
        <v>3</v>
      </c>
      <c r="C123" s="2">
        <f>B123*8</f>
        <v>24</v>
      </c>
      <c r="D123" s="2">
        <f>B123*8*7</f>
        <v>168</v>
      </c>
      <c r="E123" s="2">
        <f>D123/G117</f>
        <v>1.5</v>
      </c>
      <c r="F123" s="42">
        <v>21000</v>
      </c>
      <c r="G123" s="57">
        <f>(C123*F123)/D117</f>
        <v>0.10847611717486867</v>
      </c>
      <c r="I123" s="58" t="s">
        <v>192</v>
      </c>
      <c r="J123" s="2">
        <v>3</v>
      </c>
      <c r="K123" s="42">
        <v>21000</v>
      </c>
      <c r="L123" s="60">
        <f t="shared" ref="L123:L124" si="16">J123*K123*8</f>
        <v>504000</v>
      </c>
      <c r="M123" s="60">
        <f t="shared" ref="M123:M124" si="17">L123*7</f>
        <v>3528000</v>
      </c>
      <c r="N123" s="2"/>
      <c r="O123" s="2"/>
    </row>
    <row r="124" spans="1:15" x14ac:dyDescent="0.25">
      <c r="I124" s="59" t="s">
        <v>354</v>
      </c>
      <c r="J124" s="2"/>
      <c r="K124" s="42">
        <v>21000</v>
      </c>
      <c r="L124" s="60">
        <f t="shared" si="16"/>
        <v>0</v>
      </c>
      <c r="M124" s="60">
        <f t="shared" si="17"/>
        <v>0</v>
      </c>
      <c r="N124" s="2"/>
      <c r="O124" s="2"/>
    </row>
    <row r="125" spans="1:15" x14ac:dyDescent="0.25">
      <c r="I125" s="3" t="s">
        <v>355</v>
      </c>
      <c r="J125" s="3">
        <f>SUM(J122:J124)</f>
        <v>3</v>
      </c>
      <c r="K125" s="61">
        <f>SUM(K122:K124)</f>
        <v>69000</v>
      </c>
      <c r="L125" s="61">
        <f>SUM(L122:L124)</f>
        <v>504000</v>
      </c>
      <c r="M125" s="61">
        <f>SUM(M122:M124)</f>
        <v>3528000</v>
      </c>
      <c r="N125" s="62">
        <f>(N116*5)+N117*2</f>
        <v>29740848</v>
      </c>
      <c r="O125" s="57">
        <f>M125/N125</f>
        <v>0.11862472784905125</v>
      </c>
    </row>
    <row r="126" spans="1:15" x14ac:dyDescent="0.25">
      <c r="A126" s="99" t="s">
        <v>325</v>
      </c>
      <c r="B126" s="102" t="s">
        <v>409</v>
      </c>
      <c r="C126" s="102"/>
      <c r="D126" s="102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1:15" x14ac:dyDescent="0.25">
      <c r="A127" s="107" t="s">
        <v>339</v>
      </c>
      <c r="B127" s="103" t="s">
        <v>328</v>
      </c>
      <c r="C127" s="103"/>
      <c r="D127" s="107" t="s">
        <v>329</v>
      </c>
      <c r="E127" s="104" t="s">
        <v>333</v>
      </c>
      <c r="F127" s="104"/>
      <c r="G127" s="104"/>
      <c r="I127" s="107" t="s">
        <v>195</v>
      </c>
      <c r="J127" s="103" t="s">
        <v>343</v>
      </c>
      <c r="K127" s="103"/>
      <c r="L127" s="105" t="s">
        <v>357</v>
      </c>
      <c r="M127" s="115"/>
      <c r="N127" s="106"/>
      <c r="O127" s="85" t="s">
        <v>361</v>
      </c>
    </row>
    <row r="128" spans="1:15" x14ac:dyDescent="0.25">
      <c r="A128" s="108"/>
      <c r="B128" s="84" t="s">
        <v>334</v>
      </c>
      <c r="C128" s="84" t="s">
        <v>335</v>
      </c>
      <c r="D128" s="108"/>
      <c r="E128" s="3" t="s">
        <v>330</v>
      </c>
      <c r="F128" s="3" t="s">
        <v>331</v>
      </c>
      <c r="G128" s="3" t="s">
        <v>332</v>
      </c>
      <c r="I128" s="108"/>
      <c r="J128" s="84" t="s">
        <v>344</v>
      </c>
      <c r="K128" s="84" t="s">
        <v>367</v>
      </c>
      <c r="L128" s="84" t="s">
        <v>344</v>
      </c>
      <c r="M128" s="84" t="s">
        <v>367</v>
      </c>
      <c r="N128" s="85" t="s">
        <v>66</v>
      </c>
      <c r="O128" s="85" t="s">
        <v>362</v>
      </c>
    </row>
    <row r="129" spans="1:15" x14ac:dyDescent="0.25">
      <c r="A129" s="3" t="s">
        <v>326</v>
      </c>
      <c r="B129" s="11">
        <v>126</v>
      </c>
      <c r="C129" s="11">
        <f>ROUND(B129/8,0)</f>
        <v>16</v>
      </c>
      <c r="D129" s="56">
        <v>10987052</v>
      </c>
      <c r="E129" s="11" t="s">
        <v>47</v>
      </c>
      <c r="F129" s="2">
        <f>22-6</f>
        <v>16</v>
      </c>
      <c r="G129" s="2">
        <f>F129*7</f>
        <v>112</v>
      </c>
      <c r="I129" s="3" t="s">
        <v>326</v>
      </c>
      <c r="J129" s="11">
        <v>318</v>
      </c>
      <c r="K129" s="11">
        <v>317</v>
      </c>
      <c r="L129" s="60">
        <f>D129</f>
        <v>10987052</v>
      </c>
      <c r="M129" s="42">
        <f>K129*32000</f>
        <v>10144000</v>
      </c>
      <c r="N129" s="60">
        <f>L129+M129</f>
        <v>21131052</v>
      </c>
      <c r="O129" s="57">
        <f>L137/N129</f>
        <v>0.10903385217167608</v>
      </c>
    </row>
    <row r="130" spans="1:15" x14ac:dyDescent="0.25">
      <c r="A130" s="3" t="s">
        <v>327</v>
      </c>
      <c r="B130" s="11">
        <v>138</v>
      </c>
      <c r="C130" s="11">
        <f>ROUND(B130/8,0)</f>
        <v>17</v>
      </c>
      <c r="D130" s="56">
        <v>11171685</v>
      </c>
      <c r="E130" s="11" t="s">
        <v>51</v>
      </c>
      <c r="F130" s="2">
        <v>17</v>
      </c>
      <c r="G130" s="2">
        <f>F130*7</f>
        <v>119</v>
      </c>
      <c r="I130" s="3" t="s">
        <v>327</v>
      </c>
      <c r="J130" s="11">
        <v>262</v>
      </c>
      <c r="K130" s="11">
        <v>392</v>
      </c>
      <c r="L130" s="60">
        <f>D130</f>
        <v>11171685</v>
      </c>
      <c r="M130" s="42">
        <f>K130*32000</f>
        <v>12544000</v>
      </c>
      <c r="N130" s="60">
        <f>L130+M130</f>
        <v>23715685</v>
      </c>
      <c r="O130" s="57">
        <f>L137/N130</f>
        <v>9.715089401803069E-2</v>
      </c>
    </row>
    <row r="132" spans="1:15" x14ac:dyDescent="0.25">
      <c r="A132" s="107" t="s">
        <v>339</v>
      </c>
      <c r="B132" s="107" t="s">
        <v>336</v>
      </c>
      <c r="C132" s="105" t="s">
        <v>337</v>
      </c>
      <c r="D132" s="106"/>
      <c r="E132" s="85" t="s">
        <v>341</v>
      </c>
      <c r="F132" s="85" t="s">
        <v>349</v>
      </c>
      <c r="G132" s="3" t="s">
        <v>351</v>
      </c>
      <c r="I132" s="103" t="s">
        <v>353</v>
      </c>
      <c r="J132" s="103" t="s">
        <v>336</v>
      </c>
      <c r="K132" s="104" t="s">
        <v>349</v>
      </c>
      <c r="L132" s="104"/>
      <c r="M132" s="104"/>
      <c r="N132" s="105" t="s">
        <v>358</v>
      </c>
      <c r="O132" s="106"/>
    </row>
    <row r="133" spans="1:15" x14ac:dyDescent="0.25">
      <c r="A133" s="108"/>
      <c r="B133" s="108"/>
      <c r="C133" s="3" t="s">
        <v>331</v>
      </c>
      <c r="D133" s="3" t="s">
        <v>338</v>
      </c>
      <c r="E133" s="85" t="s">
        <v>342</v>
      </c>
      <c r="F133" s="85" t="s">
        <v>350</v>
      </c>
      <c r="G133" s="3" t="s">
        <v>352</v>
      </c>
      <c r="I133" s="103"/>
      <c r="J133" s="103"/>
      <c r="K133" s="85" t="s">
        <v>356</v>
      </c>
      <c r="L133" s="85" t="s">
        <v>334</v>
      </c>
      <c r="M133" s="85" t="s">
        <v>340</v>
      </c>
      <c r="N133" s="85" t="s">
        <v>359</v>
      </c>
      <c r="O133" s="85" t="s">
        <v>360</v>
      </c>
    </row>
    <row r="134" spans="1:15" x14ac:dyDescent="0.25">
      <c r="A134" s="3" t="s">
        <v>326</v>
      </c>
      <c r="B134" s="2">
        <v>3</v>
      </c>
      <c r="C134" s="2">
        <f>B134*8</f>
        <v>24</v>
      </c>
      <c r="D134" s="2">
        <f>B134*8*7</f>
        <v>168</v>
      </c>
      <c r="E134" s="2">
        <f>D134/G129</f>
        <v>1.5</v>
      </c>
      <c r="F134" s="42">
        <v>21000</v>
      </c>
      <c r="G134" s="57">
        <f>(C134*F134)/D129</f>
        <v>4.587217754134594E-2</v>
      </c>
      <c r="I134" s="58" t="s">
        <v>195</v>
      </c>
      <c r="J134" s="2">
        <v>6</v>
      </c>
      <c r="K134" s="42">
        <v>27000</v>
      </c>
      <c r="L134" s="60">
        <f>J134*K134*8</f>
        <v>1296000</v>
      </c>
      <c r="M134" s="60">
        <f>L134*7</f>
        <v>9072000</v>
      </c>
      <c r="N134" s="2"/>
      <c r="O134" s="2"/>
    </row>
    <row r="135" spans="1:15" x14ac:dyDescent="0.25">
      <c r="A135" s="3" t="s">
        <v>327</v>
      </c>
      <c r="B135" s="2">
        <v>3</v>
      </c>
      <c r="C135" s="2">
        <f>B135*8</f>
        <v>24</v>
      </c>
      <c r="D135" s="2">
        <f>B135*8*7</f>
        <v>168</v>
      </c>
      <c r="E135" s="69">
        <f>D135/G130</f>
        <v>1.411764705882353</v>
      </c>
      <c r="F135" s="42">
        <v>21000</v>
      </c>
      <c r="G135" s="57">
        <f>(C135*F135)/D130</f>
        <v>4.5114053967687057E-2</v>
      </c>
      <c r="I135" s="58" t="s">
        <v>192</v>
      </c>
      <c r="J135" s="2">
        <v>5</v>
      </c>
      <c r="K135" s="42">
        <v>21000</v>
      </c>
      <c r="L135" s="60">
        <f t="shared" ref="L135:L136" si="18">J135*K135*8</f>
        <v>840000</v>
      </c>
      <c r="M135" s="60">
        <f t="shared" ref="M135:M136" si="19">L135*7</f>
        <v>5880000</v>
      </c>
      <c r="N135" s="2"/>
      <c r="O135" s="2"/>
    </row>
    <row r="136" spans="1:15" x14ac:dyDescent="0.25">
      <c r="I136" s="59" t="s">
        <v>354</v>
      </c>
      <c r="J136" s="2">
        <v>1</v>
      </c>
      <c r="K136" s="42">
        <v>21000</v>
      </c>
      <c r="L136" s="60">
        <f t="shared" si="18"/>
        <v>168000</v>
      </c>
      <c r="M136" s="60">
        <f t="shared" si="19"/>
        <v>1176000</v>
      </c>
      <c r="N136" s="2"/>
      <c r="O136" s="2"/>
    </row>
    <row r="137" spans="1:15" x14ac:dyDescent="0.25">
      <c r="I137" s="3" t="s">
        <v>355</v>
      </c>
      <c r="J137" s="3">
        <f>SUM(J134:J136)</f>
        <v>12</v>
      </c>
      <c r="K137" s="61">
        <f>SUM(K134:K136)</f>
        <v>69000</v>
      </c>
      <c r="L137" s="61">
        <f>SUM(L134:L136)</f>
        <v>2304000</v>
      </c>
      <c r="M137" s="61">
        <f>SUM(M134:M136)</f>
        <v>16128000</v>
      </c>
      <c r="N137" s="62">
        <f>(N129*5)+N130*2</f>
        <v>153086630</v>
      </c>
      <c r="O137" s="57">
        <f>M137/N137</f>
        <v>0.105352113375283</v>
      </c>
    </row>
    <row r="138" spans="1:15" x14ac:dyDescent="0.25">
      <c r="A138" s="99" t="s">
        <v>325</v>
      </c>
      <c r="B138" s="111" t="s">
        <v>426</v>
      </c>
      <c r="C138" s="112"/>
      <c r="D138" s="112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</row>
    <row r="139" spans="1:15" x14ac:dyDescent="0.25">
      <c r="A139" s="3" t="s">
        <v>413</v>
      </c>
      <c r="B139" s="83"/>
      <c r="C139" s="83"/>
      <c r="D139" s="81"/>
      <c r="E139" s="82"/>
      <c r="I139" s="103" t="s">
        <v>353</v>
      </c>
      <c r="J139" s="103" t="s">
        <v>336</v>
      </c>
      <c r="K139" s="104" t="s">
        <v>349</v>
      </c>
      <c r="L139" s="104"/>
      <c r="M139" s="104"/>
      <c r="N139" s="105" t="s">
        <v>358</v>
      </c>
      <c r="O139" s="106"/>
    </row>
    <row r="140" spans="1:15" x14ac:dyDescent="0.25">
      <c r="A140" s="2"/>
      <c r="B140" s="2"/>
      <c r="C140" s="2"/>
      <c r="D140" s="2"/>
      <c r="E140" s="2"/>
      <c r="I140" s="103"/>
      <c r="J140" s="103"/>
      <c r="K140" s="85" t="s">
        <v>356</v>
      </c>
      <c r="L140" s="85" t="s">
        <v>334</v>
      </c>
      <c r="M140" s="85" t="s">
        <v>340</v>
      </c>
      <c r="N140" s="85" t="s">
        <v>359</v>
      </c>
      <c r="O140" s="85" t="s">
        <v>360</v>
      </c>
    </row>
    <row r="141" spans="1:15" x14ac:dyDescent="0.25">
      <c r="A141" s="98"/>
      <c r="B141" s="98"/>
      <c r="C141" s="98"/>
      <c r="D141" s="98"/>
      <c r="E141" s="98"/>
      <c r="I141" s="58" t="s">
        <v>195</v>
      </c>
      <c r="J141" s="2">
        <v>4</v>
      </c>
      <c r="K141" s="42">
        <v>27000</v>
      </c>
      <c r="L141" s="60">
        <f>J141*K141*8</f>
        <v>864000</v>
      </c>
      <c r="M141" s="60">
        <f>L141*7</f>
        <v>6048000</v>
      </c>
      <c r="N141" s="2"/>
      <c r="O141" s="2"/>
    </row>
    <row r="142" spans="1:15" x14ac:dyDescent="0.25">
      <c r="A142" s="3" t="s">
        <v>329</v>
      </c>
      <c r="B142" s="97" t="s">
        <v>445</v>
      </c>
      <c r="C142" s="97" t="s">
        <v>446</v>
      </c>
      <c r="D142" s="97" t="s">
        <v>448</v>
      </c>
      <c r="E142" s="97" t="s">
        <v>449</v>
      </c>
      <c r="F142" s="3" t="s">
        <v>450</v>
      </c>
      <c r="G142" s="85" t="s">
        <v>66</v>
      </c>
      <c r="I142" s="58" t="s">
        <v>192</v>
      </c>
      <c r="J142" s="2">
        <v>0</v>
      </c>
      <c r="K142" s="42">
        <v>21000</v>
      </c>
      <c r="L142" s="60">
        <f t="shared" ref="L142:L143" si="20">J142*K142*8</f>
        <v>0</v>
      </c>
      <c r="M142" s="60">
        <f t="shared" ref="M142:M143" si="21">L142*7</f>
        <v>0</v>
      </c>
      <c r="N142" s="2"/>
      <c r="O142" s="2"/>
    </row>
    <row r="143" spans="1:15" x14ac:dyDescent="0.25">
      <c r="A143" s="3" t="s">
        <v>447</v>
      </c>
      <c r="B143" s="42">
        <f>ROUND(83594000/3,0)</f>
        <v>27864667</v>
      </c>
      <c r="C143" s="42">
        <f>ROUND(679881606/3,0)</f>
        <v>226627202</v>
      </c>
      <c r="D143" s="42">
        <f>ROUND((84540600+78067700)/3,0)</f>
        <v>54202767</v>
      </c>
      <c r="E143" s="42">
        <f>ROUND(357010500/3,0)</f>
        <v>119003500</v>
      </c>
      <c r="F143" s="42">
        <f>ROUND(39280221/3,0)</f>
        <v>13093407</v>
      </c>
      <c r="G143" s="62">
        <f>SUM(B143:F143)</f>
        <v>440791543</v>
      </c>
      <c r="I143" s="59" t="s">
        <v>354</v>
      </c>
      <c r="J143" s="2">
        <v>1</v>
      </c>
      <c r="K143" s="42">
        <v>21000</v>
      </c>
      <c r="L143" s="60">
        <f t="shared" si="20"/>
        <v>168000</v>
      </c>
      <c r="M143" s="60">
        <f t="shared" si="21"/>
        <v>1176000</v>
      </c>
      <c r="N143" s="2"/>
      <c r="O143" s="2"/>
    </row>
    <row r="144" spans="1:15" x14ac:dyDescent="0.25">
      <c r="I144" s="3" t="s">
        <v>355</v>
      </c>
      <c r="J144" s="3">
        <f>SUM(J141:J143)</f>
        <v>5</v>
      </c>
      <c r="K144" s="61">
        <f>SUM(K141:K143)</f>
        <v>69000</v>
      </c>
      <c r="L144" s="61">
        <f>SUM(L141:L143)</f>
        <v>1032000</v>
      </c>
      <c r="M144" s="61">
        <f>SUM(M141:M143)</f>
        <v>7224000</v>
      </c>
      <c r="N144" s="62">
        <f>ROUND(G143/4,0)</f>
        <v>110197886</v>
      </c>
      <c r="O144" s="57">
        <f>M144/N144</f>
        <v>6.5554796577495147E-2</v>
      </c>
    </row>
    <row r="145" spans="1:15" x14ac:dyDescent="0.25">
      <c r="A145" s="99" t="s">
        <v>325</v>
      </c>
      <c r="B145" s="111" t="s">
        <v>411</v>
      </c>
      <c r="C145" s="112"/>
      <c r="D145" s="112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</row>
    <row r="146" spans="1:15" x14ac:dyDescent="0.25">
      <c r="A146" s="2"/>
      <c r="B146" s="109" t="s">
        <v>261</v>
      </c>
      <c r="C146" s="109" t="s">
        <v>224</v>
      </c>
      <c r="D146" s="104" t="s">
        <v>253</v>
      </c>
      <c r="E146" s="104"/>
    </row>
    <row r="147" spans="1:15" x14ac:dyDescent="0.25">
      <c r="A147" s="3" t="s">
        <v>413</v>
      </c>
      <c r="B147" s="110"/>
      <c r="C147" s="110"/>
      <c r="D147" s="85" t="s">
        <v>414</v>
      </c>
      <c r="E147" s="85" t="s">
        <v>415</v>
      </c>
    </row>
    <row r="148" spans="1:15" x14ac:dyDescent="0.25">
      <c r="A148" s="2" t="s">
        <v>416</v>
      </c>
      <c r="B148" s="2"/>
      <c r="C148" s="2"/>
      <c r="D148" s="2">
        <v>75</v>
      </c>
      <c r="E148" s="2">
        <v>101</v>
      </c>
    </row>
    <row r="149" spans="1:15" x14ac:dyDescent="0.25">
      <c r="A149" s="2" t="s">
        <v>327</v>
      </c>
      <c r="B149" s="2"/>
      <c r="C149" s="2"/>
      <c r="D149" s="2">
        <v>168</v>
      </c>
      <c r="E149" s="2">
        <v>298</v>
      </c>
    </row>
    <row r="151" spans="1:15" x14ac:dyDescent="0.25">
      <c r="A151" s="99" t="s">
        <v>325</v>
      </c>
      <c r="B151" s="111" t="s">
        <v>427</v>
      </c>
      <c r="C151" s="112"/>
      <c r="D151" s="112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</row>
    <row r="152" spans="1:15" x14ac:dyDescent="0.25">
      <c r="A152" s="107" t="s">
        <v>339</v>
      </c>
      <c r="B152" s="103" t="s">
        <v>328</v>
      </c>
      <c r="C152" s="103"/>
      <c r="D152" s="107" t="s">
        <v>329</v>
      </c>
      <c r="E152" s="104" t="s">
        <v>333</v>
      </c>
      <c r="F152" s="104"/>
      <c r="G152" s="104"/>
      <c r="I152" s="107" t="s">
        <v>195</v>
      </c>
      <c r="J152" s="103" t="s">
        <v>343</v>
      </c>
      <c r="K152" s="103"/>
      <c r="L152" s="104" t="s">
        <v>357</v>
      </c>
      <c r="M152" s="104"/>
      <c r="N152" s="104"/>
      <c r="O152" s="85" t="s">
        <v>361</v>
      </c>
    </row>
    <row r="153" spans="1:15" x14ac:dyDescent="0.25">
      <c r="A153" s="108"/>
      <c r="B153" s="84" t="s">
        <v>334</v>
      </c>
      <c r="C153" s="84" t="s">
        <v>335</v>
      </c>
      <c r="D153" s="108"/>
      <c r="E153" s="3" t="s">
        <v>330</v>
      </c>
      <c r="F153" s="3" t="s">
        <v>331</v>
      </c>
      <c r="G153" s="3" t="s">
        <v>332</v>
      </c>
      <c r="I153" s="108"/>
      <c r="J153" s="84" t="s">
        <v>344</v>
      </c>
      <c r="K153" s="84" t="s">
        <v>253</v>
      </c>
      <c r="L153" s="84" t="s">
        <v>399</v>
      </c>
      <c r="M153" s="84"/>
      <c r="N153" s="85" t="s">
        <v>66</v>
      </c>
      <c r="O153" s="85" t="s">
        <v>362</v>
      </c>
    </row>
    <row r="154" spans="1:15" x14ac:dyDescent="0.25">
      <c r="A154" s="3" t="s">
        <v>326</v>
      </c>
      <c r="B154" s="11">
        <v>196</v>
      </c>
      <c r="C154" s="11">
        <f>ROUND(B154/8,0)</f>
        <v>25</v>
      </c>
      <c r="D154" s="56">
        <v>11980874</v>
      </c>
      <c r="E154" s="11" t="s">
        <v>42</v>
      </c>
      <c r="F154" s="2">
        <f>22-8</f>
        <v>14</v>
      </c>
      <c r="G154" s="2">
        <f>F154*7</f>
        <v>98</v>
      </c>
      <c r="I154" s="3" t="s">
        <v>326</v>
      </c>
      <c r="J154" s="11">
        <v>391</v>
      </c>
      <c r="K154" s="11">
        <v>134</v>
      </c>
      <c r="L154" s="60">
        <f>D154</f>
        <v>11980874</v>
      </c>
      <c r="M154" s="42"/>
      <c r="N154" s="60">
        <f>L154+M154</f>
        <v>11980874</v>
      </c>
      <c r="O154" s="57">
        <f>L162/N154</f>
        <v>0.1923065045171162</v>
      </c>
    </row>
    <row r="155" spans="1:15" x14ac:dyDescent="0.25">
      <c r="A155" s="3" t="s">
        <v>327</v>
      </c>
      <c r="B155" s="11">
        <v>457</v>
      </c>
      <c r="C155" s="11">
        <f>ROUND(B155/8,0)</f>
        <v>57</v>
      </c>
      <c r="D155" s="56">
        <v>29364028</v>
      </c>
      <c r="E155" s="11" t="s">
        <v>42</v>
      </c>
      <c r="F155" s="2">
        <f>22-8</f>
        <v>14</v>
      </c>
      <c r="G155" s="2">
        <f>F155*7</f>
        <v>98</v>
      </c>
      <c r="I155" s="3" t="s">
        <v>327</v>
      </c>
      <c r="J155" s="11">
        <v>897</v>
      </c>
      <c r="K155" s="11">
        <v>335</v>
      </c>
      <c r="L155" s="60">
        <f>D155</f>
        <v>29364028</v>
      </c>
      <c r="M155" s="42"/>
      <c r="N155" s="60">
        <f>L155+M155</f>
        <v>29364028</v>
      </c>
      <c r="O155" s="57">
        <f>L162/N155</f>
        <v>7.8463349782938493E-2</v>
      </c>
    </row>
    <row r="157" spans="1:15" x14ac:dyDescent="0.25">
      <c r="A157" s="107" t="s">
        <v>339</v>
      </c>
      <c r="B157" s="107" t="s">
        <v>336</v>
      </c>
      <c r="C157" s="105" t="s">
        <v>337</v>
      </c>
      <c r="D157" s="106"/>
      <c r="E157" s="85" t="s">
        <v>341</v>
      </c>
      <c r="F157" s="85" t="s">
        <v>349</v>
      </c>
      <c r="G157" s="3" t="s">
        <v>351</v>
      </c>
      <c r="I157" s="103" t="s">
        <v>353</v>
      </c>
      <c r="J157" s="103" t="s">
        <v>336</v>
      </c>
      <c r="K157" s="104" t="s">
        <v>349</v>
      </c>
      <c r="L157" s="104"/>
      <c r="M157" s="104"/>
      <c r="N157" s="105" t="s">
        <v>358</v>
      </c>
      <c r="O157" s="106"/>
    </row>
    <row r="158" spans="1:15" x14ac:dyDescent="0.25">
      <c r="A158" s="108"/>
      <c r="B158" s="108"/>
      <c r="C158" s="3" t="s">
        <v>331</v>
      </c>
      <c r="D158" s="3" t="s">
        <v>338</v>
      </c>
      <c r="E158" s="85" t="s">
        <v>342</v>
      </c>
      <c r="F158" s="85" t="s">
        <v>350</v>
      </c>
      <c r="G158" s="3" t="s">
        <v>352</v>
      </c>
      <c r="I158" s="103"/>
      <c r="J158" s="103"/>
      <c r="K158" s="85" t="s">
        <v>356</v>
      </c>
      <c r="L158" s="85" t="s">
        <v>334</v>
      </c>
      <c r="M158" s="85" t="s">
        <v>340</v>
      </c>
      <c r="N158" s="85" t="s">
        <v>359</v>
      </c>
      <c r="O158" s="85" t="s">
        <v>360</v>
      </c>
    </row>
    <row r="159" spans="1:15" x14ac:dyDescent="0.25">
      <c r="A159" s="3" t="s">
        <v>326</v>
      </c>
      <c r="B159" s="2">
        <v>3</v>
      </c>
      <c r="C159" s="2">
        <f>B159*8</f>
        <v>24</v>
      </c>
      <c r="D159" s="2">
        <f>B159*8*7</f>
        <v>168</v>
      </c>
      <c r="E159" s="69">
        <f>D159/G154</f>
        <v>1.7142857142857142</v>
      </c>
      <c r="F159" s="42">
        <v>21000</v>
      </c>
      <c r="G159" s="57">
        <f>(C159*F159)/D154</f>
        <v>4.206704786311917E-2</v>
      </c>
      <c r="I159" s="58" t="s">
        <v>195</v>
      </c>
      <c r="J159" s="2">
        <v>6</v>
      </c>
      <c r="K159" s="42">
        <v>27000</v>
      </c>
      <c r="L159" s="60">
        <f>J159*K159*8</f>
        <v>1296000</v>
      </c>
      <c r="M159" s="60">
        <f>L159*7</f>
        <v>9072000</v>
      </c>
      <c r="N159" s="2"/>
      <c r="O159" s="2"/>
    </row>
    <row r="160" spans="1:15" x14ac:dyDescent="0.25">
      <c r="A160" s="3" t="s">
        <v>327</v>
      </c>
      <c r="B160" s="2">
        <v>4</v>
      </c>
      <c r="C160" s="2">
        <f>B160*8</f>
        <v>32</v>
      </c>
      <c r="D160" s="2">
        <f>B160*8*7</f>
        <v>224</v>
      </c>
      <c r="E160" s="69">
        <f>D160/G155</f>
        <v>2.2857142857142856</v>
      </c>
      <c r="F160" s="42">
        <v>21000</v>
      </c>
      <c r="G160" s="57">
        <f>(C160*F160)/D155</f>
        <v>2.2885143686690396E-2</v>
      </c>
      <c r="I160" s="58" t="s">
        <v>192</v>
      </c>
      <c r="J160" s="2">
        <v>6</v>
      </c>
      <c r="K160" s="42">
        <v>21000</v>
      </c>
      <c r="L160" s="60">
        <f t="shared" ref="L160:L161" si="22">J160*K160*8</f>
        <v>1008000</v>
      </c>
      <c r="M160" s="60">
        <f t="shared" ref="M160:M161" si="23">L160*7</f>
        <v>7056000</v>
      </c>
      <c r="N160" s="2"/>
      <c r="O160" s="2"/>
    </row>
    <row r="161" spans="1:15" x14ac:dyDescent="0.25">
      <c r="I161" s="59" t="s">
        <v>354</v>
      </c>
      <c r="J161" s="2">
        <v>0</v>
      </c>
      <c r="K161" s="42">
        <v>21000</v>
      </c>
      <c r="L161" s="60">
        <f t="shared" si="22"/>
        <v>0</v>
      </c>
      <c r="M161" s="60">
        <f t="shared" si="23"/>
        <v>0</v>
      </c>
      <c r="N161" s="2"/>
      <c r="O161" s="2"/>
    </row>
    <row r="162" spans="1:15" x14ac:dyDescent="0.25">
      <c r="I162" s="3" t="s">
        <v>355</v>
      </c>
      <c r="J162" s="3">
        <f>SUM(J159:J161)</f>
        <v>12</v>
      </c>
      <c r="K162" s="61">
        <f>SUM(K159:K161)</f>
        <v>69000</v>
      </c>
      <c r="L162" s="61">
        <f>SUM(L159:L161)</f>
        <v>2304000</v>
      </c>
      <c r="M162" s="61">
        <f>SUM(M159:M161)</f>
        <v>16128000</v>
      </c>
      <c r="N162" s="62">
        <f>(N154*5)+N155*2</f>
        <v>118632426</v>
      </c>
      <c r="O162" s="57">
        <f>M162/N162</f>
        <v>0.13594933985418117</v>
      </c>
    </row>
    <row r="169" spans="1:15" x14ac:dyDescent="0.25">
      <c r="A169" s="99" t="s">
        <v>325</v>
      </c>
      <c r="B169" s="111" t="s">
        <v>428</v>
      </c>
      <c r="C169" s="112"/>
      <c r="D169" s="112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</row>
    <row r="170" spans="1:15" x14ac:dyDescent="0.25">
      <c r="A170" s="107" t="s">
        <v>339</v>
      </c>
      <c r="B170" s="103" t="s">
        <v>328</v>
      </c>
      <c r="C170" s="103"/>
      <c r="D170" s="107" t="s">
        <v>329</v>
      </c>
      <c r="E170" s="104" t="s">
        <v>333</v>
      </c>
      <c r="F170" s="104"/>
      <c r="G170" s="104"/>
      <c r="I170" s="107" t="s">
        <v>195</v>
      </c>
      <c r="J170" s="103" t="s">
        <v>343</v>
      </c>
      <c r="K170" s="103"/>
      <c r="L170" s="104" t="s">
        <v>357</v>
      </c>
      <c r="M170" s="104"/>
      <c r="N170" s="104"/>
      <c r="O170" s="85" t="s">
        <v>361</v>
      </c>
    </row>
    <row r="171" spans="1:15" x14ac:dyDescent="0.25">
      <c r="A171" s="108"/>
      <c r="B171" s="84" t="s">
        <v>334</v>
      </c>
      <c r="C171" s="84" t="s">
        <v>335</v>
      </c>
      <c r="D171" s="108"/>
      <c r="E171" s="3" t="s">
        <v>330</v>
      </c>
      <c r="F171" s="3" t="s">
        <v>331</v>
      </c>
      <c r="G171" s="3" t="s">
        <v>332</v>
      </c>
      <c r="I171" s="108"/>
      <c r="J171" s="84" t="s">
        <v>344</v>
      </c>
      <c r="K171" s="84" t="s">
        <v>253</v>
      </c>
      <c r="L171" s="84" t="s">
        <v>399</v>
      </c>
      <c r="M171" s="84"/>
      <c r="N171" s="85" t="s">
        <v>66</v>
      </c>
      <c r="O171" s="85" t="s">
        <v>362</v>
      </c>
    </row>
    <row r="172" spans="1:15" x14ac:dyDescent="0.25">
      <c r="A172" s="3" t="s">
        <v>326</v>
      </c>
      <c r="B172" s="11">
        <v>212</v>
      </c>
      <c r="C172" s="11">
        <f>ROUND(B172/8,0)</f>
        <v>27</v>
      </c>
      <c r="D172" s="56">
        <v>13819417</v>
      </c>
      <c r="E172" s="11" t="s">
        <v>42</v>
      </c>
      <c r="F172" s="2">
        <f>22-8</f>
        <v>14</v>
      </c>
      <c r="G172" s="2">
        <f>F172*7</f>
        <v>98</v>
      </c>
      <c r="I172" s="3" t="s">
        <v>326</v>
      </c>
      <c r="J172" s="11">
        <v>362</v>
      </c>
      <c r="K172" s="11">
        <v>157</v>
      </c>
      <c r="L172" s="60">
        <f>D172</f>
        <v>13819417</v>
      </c>
      <c r="M172" s="42"/>
      <c r="N172" s="60">
        <f>L172+M172</f>
        <v>13819417</v>
      </c>
      <c r="O172" s="57">
        <f>L180/N172</f>
        <v>0.15109175734403268</v>
      </c>
    </row>
    <row r="173" spans="1:15" x14ac:dyDescent="0.25">
      <c r="A173" s="3" t="s">
        <v>327</v>
      </c>
      <c r="B173" s="11">
        <v>311</v>
      </c>
      <c r="C173" s="11">
        <f>ROUND(B173/8,0)</f>
        <v>39</v>
      </c>
      <c r="D173" s="56">
        <v>20990835</v>
      </c>
      <c r="E173" s="11" t="s">
        <v>42</v>
      </c>
      <c r="F173" s="2">
        <f>22-8</f>
        <v>14</v>
      </c>
      <c r="G173" s="2">
        <f>F173*7</f>
        <v>98</v>
      </c>
      <c r="I173" s="3" t="s">
        <v>327</v>
      </c>
      <c r="J173" s="11">
        <v>679</v>
      </c>
      <c r="K173" s="11">
        <v>316</v>
      </c>
      <c r="L173" s="60">
        <f>D173</f>
        <v>20990835</v>
      </c>
      <c r="M173" s="42"/>
      <c r="N173" s="60">
        <f>L173+M173</f>
        <v>20990835</v>
      </c>
      <c r="O173" s="57">
        <f>L180/N173</f>
        <v>9.947198384437779E-2</v>
      </c>
    </row>
    <row r="175" spans="1:15" x14ac:dyDescent="0.25">
      <c r="A175" s="107" t="s">
        <v>339</v>
      </c>
      <c r="B175" s="107" t="s">
        <v>336</v>
      </c>
      <c r="C175" s="105" t="s">
        <v>337</v>
      </c>
      <c r="D175" s="106"/>
      <c r="E175" s="85" t="s">
        <v>341</v>
      </c>
      <c r="F175" s="85" t="s">
        <v>349</v>
      </c>
      <c r="G175" s="3" t="s">
        <v>351</v>
      </c>
      <c r="I175" s="103" t="s">
        <v>353</v>
      </c>
      <c r="J175" s="103" t="s">
        <v>336</v>
      </c>
      <c r="K175" s="104" t="s">
        <v>349</v>
      </c>
      <c r="L175" s="104"/>
      <c r="M175" s="104"/>
      <c r="N175" s="105" t="s">
        <v>358</v>
      </c>
      <c r="O175" s="106"/>
    </row>
    <row r="176" spans="1:15" x14ac:dyDescent="0.25">
      <c r="A176" s="108"/>
      <c r="B176" s="108"/>
      <c r="C176" s="3" t="s">
        <v>331</v>
      </c>
      <c r="D176" s="3" t="s">
        <v>338</v>
      </c>
      <c r="E176" s="85" t="s">
        <v>342</v>
      </c>
      <c r="F176" s="85" t="s">
        <v>350</v>
      </c>
      <c r="G176" s="3" t="s">
        <v>352</v>
      </c>
      <c r="I176" s="103"/>
      <c r="J176" s="103"/>
      <c r="K176" s="85" t="s">
        <v>356</v>
      </c>
      <c r="L176" s="85" t="s">
        <v>334</v>
      </c>
      <c r="M176" s="85" t="s">
        <v>340</v>
      </c>
      <c r="N176" s="85" t="s">
        <v>359</v>
      </c>
      <c r="O176" s="85" t="s">
        <v>360</v>
      </c>
    </row>
    <row r="177" spans="1:15" x14ac:dyDescent="0.25">
      <c r="A177" s="3" t="s">
        <v>326</v>
      </c>
      <c r="B177" s="2">
        <v>3</v>
      </c>
      <c r="C177" s="2">
        <f>B177*8</f>
        <v>24</v>
      </c>
      <c r="D177" s="2">
        <f>B177*8*7</f>
        <v>168</v>
      </c>
      <c r="E177" s="69">
        <f>D177/G172</f>
        <v>1.7142857142857142</v>
      </c>
      <c r="F177" s="42">
        <v>21000</v>
      </c>
      <c r="G177" s="57">
        <f>(C177*F177)/D172</f>
        <v>3.6470424186490644E-2</v>
      </c>
      <c r="I177" s="58" t="s">
        <v>195</v>
      </c>
      <c r="J177" s="2">
        <v>5</v>
      </c>
      <c r="K177" s="42">
        <v>27000</v>
      </c>
      <c r="L177" s="60">
        <f>J177*K177*8</f>
        <v>1080000</v>
      </c>
      <c r="M177" s="60">
        <f>L177*7</f>
        <v>7560000</v>
      </c>
      <c r="N177" s="2"/>
      <c r="O177" s="2"/>
    </row>
    <row r="178" spans="1:15" x14ac:dyDescent="0.25">
      <c r="A178" s="3" t="s">
        <v>327</v>
      </c>
      <c r="B178" s="2">
        <v>4</v>
      </c>
      <c r="C178" s="2">
        <f>B178*8</f>
        <v>32</v>
      </c>
      <c r="D178" s="2">
        <f>B178*8*7</f>
        <v>224</v>
      </c>
      <c r="E178" s="69">
        <f>D178/G173</f>
        <v>2.2857142857142856</v>
      </c>
      <c r="F178" s="42">
        <v>21000</v>
      </c>
      <c r="G178" s="57">
        <f>(C178*F178)/D173</f>
        <v>3.2013971811983656E-2</v>
      </c>
      <c r="I178" s="58" t="s">
        <v>192</v>
      </c>
      <c r="J178" s="2">
        <v>6</v>
      </c>
      <c r="K178" s="42">
        <v>21000</v>
      </c>
      <c r="L178" s="60">
        <f t="shared" ref="L178:L179" si="24">J178*K178*8</f>
        <v>1008000</v>
      </c>
      <c r="M178" s="60">
        <f t="shared" ref="M178:M179" si="25">L178*7</f>
        <v>7056000</v>
      </c>
      <c r="N178" s="2"/>
      <c r="O178" s="2"/>
    </row>
    <row r="179" spans="1:15" x14ac:dyDescent="0.25">
      <c r="I179" s="59" t="s">
        <v>354</v>
      </c>
      <c r="J179" s="2">
        <v>0</v>
      </c>
      <c r="K179" s="42">
        <v>21000</v>
      </c>
      <c r="L179" s="60">
        <f t="shared" si="24"/>
        <v>0</v>
      </c>
      <c r="M179" s="60">
        <f t="shared" si="25"/>
        <v>0</v>
      </c>
      <c r="N179" s="2"/>
      <c r="O179" s="2"/>
    </row>
    <row r="180" spans="1:15" x14ac:dyDescent="0.25">
      <c r="I180" s="3" t="s">
        <v>355</v>
      </c>
      <c r="J180" s="3">
        <f>SUM(J177:J179)</f>
        <v>11</v>
      </c>
      <c r="K180" s="61">
        <f>SUM(K177:K179)</f>
        <v>69000</v>
      </c>
      <c r="L180" s="61">
        <f>SUM(L177:L179)</f>
        <v>2088000</v>
      </c>
      <c r="M180" s="61">
        <f>SUM(M177:M179)</f>
        <v>14616000</v>
      </c>
      <c r="N180" s="62">
        <f>(N172*5)+N173*2</f>
        <v>111078755</v>
      </c>
      <c r="O180" s="57">
        <f>M180/N180</f>
        <v>0.13158231742874685</v>
      </c>
    </row>
    <row r="181" spans="1:15" x14ac:dyDescent="0.25">
      <c r="A181" s="99" t="s">
        <v>325</v>
      </c>
      <c r="B181" s="111" t="s">
        <v>429</v>
      </c>
      <c r="C181" s="112"/>
      <c r="D181" s="112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</row>
    <row r="182" spans="1:15" x14ac:dyDescent="0.25">
      <c r="A182" s="107" t="s">
        <v>339</v>
      </c>
      <c r="B182" s="103" t="s">
        <v>328</v>
      </c>
      <c r="C182" s="103"/>
      <c r="D182" s="107" t="s">
        <v>329</v>
      </c>
      <c r="E182" s="104" t="s">
        <v>333</v>
      </c>
      <c r="F182" s="104"/>
      <c r="G182" s="104"/>
      <c r="I182" s="107" t="s">
        <v>195</v>
      </c>
      <c r="J182" s="103" t="s">
        <v>343</v>
      </c>
      <c r="K182" s="103"/>
      <c r="L182" s="104" t="s">
        <v>357</v>
      </c>
      <c r="M182" s="104"/>
      <c r="N182" s="104"/>
      <c r="O182" s="85" t="s">
        <v>361</v>
      </c>
    </row>
    <row r="183" spans="1:15" x14ac:dyDescent="0.25">
      <c r="A183" s="108"/>
      <c r="B183" s="84" t="s">
        <v>334</v>
      </c>
      <c r="C183" s="84" t="s">
        <v>335</v>
      </c>
      <c r="D183" s="108"/>
      <c r="E183" s="3" t="s">
        <v>330</v>
      </c>
      <c r="F183" s="3" t="s">
        <v>331</v>
      </c>
      <c r="G183" s="3" t="s">
        <v>332</v>
      </c>
      <c r="I183" s="108"/>
      <c r="J183" s="84" t="s">
        <v>344</v>
      </c>
      <c r="K183" s="84" t="s">
        <v>253</v>
      </c>
      <c r="L183" s="84" t="s">
        <v>399</v>
      </c>
      <c r="M183" s="84"/>
      <c r="N183" s="85" t="s">
        <v>66</v>
      </c>
      <c r="O183" s="85" t="s">
        <v>362</v>
      </c>
    </row>
    <row r="184" spans="1:15" x14ac:dyDescent="0.25">
      <c r="A184" s="3" t="s">
        <v>326</v>
      </c>
      <c r="B184" s="11">
        <v>128</v>
      </c>
      <c r="C184" s="11">
        <f>ROUND(B184/8,0)</f>
        <v>16</v>
      </c>
      <c r="D184" s="56">
        <v>11860771</v>
      </c>
      <c r="E184" s="11" t="s">
        <v>167</v>
      </c>
      <c r="F184" s="2">
        <f>22-8</f>
        <v>14</v>
      </c>
      <c r="G184" s="2">
        <f>F184*7</f>
        <v>98</v>
      </c>
      <c r="I184" s="3" t="s">
        <v>326</v>
      </c>
      <c r="J184" s="11">
        <v>457</v>
      </c>
      <c r="K184" s="11">
        <v>295</v>
      </c>
      <c r="L184" s="60">
        <f>D184</f>
        <v>11860771</v>
      </c>
      <c r="M184" s="42"/>
      <c r="N184" s="60">
        <f>L184+M184</f>
        <v>11860771</v>
      </c>
      <c r="O184" s="57">
        <f>L193/N184</f>
        <v>0.25495813046217652</v>
      </c>
    </row>
    <row r="185" spans="1:15" x14ac:dyDescent="0.25">
      <c r="A185" s="3" t="s">
        <v>327</v>
      </c>
      <c r="B185" s="11">
        <v>431</v>
      </c>
      <c r="C185" s="11">
        <f>ROUND(B185/8,0)</f>
        <v>54</v>
      </c>
      <c r="D185" s="56">
        <v>45017253</v>
      </c>
      <c r="E185" s="11" t="s">
        <v>167</v>
      </c>
      <c r="F185" s="2">
        <f>22-8</f>
        <v>14</v>
      </c>
      <c r="G185" s="2">
        <f>F185*7</f>
        <v>98</v>
      </c>
      <c r="I185" s="3" t="s">
        <v>327</v>
      </c>
      <c r="J185" s="11">
        <v>1281</v>
      </c>
      <c r="K185" s="11">
        <v>742</v>
      </c>
      <c r="L185" s="60">
        <f>D185</f>
        <v>45017253</v>
      </c>
      <c r="M185" s="42"/>
      <c r="N185" s="60">
        <f>L185+M185</f>
        <v>45017253</v>
      </c>
      <c r="O185" s="57">
        <f>L193/N185</f>
        <v>6.7174245394315824E-2</v>
      </c>
    </row>
    <row r="188" spans="1:15" x14ac:dyDescent="0.25">
      <c r="A188" s="88" t="s">
        <v>339</v>
      </c>
      <c r="B188" s="88" t="s">
        <v>336</v>
      </c>
      <c r="C188" s="86" t="s">
        <v>337</v>
      </c>
      <c r="D188" s="87"/>
      <c r="E188" s="85" t="s">
        <v>341</v>
      </c>
      <c r="F188" s="85" t="s">
        <v>349</v>
      </c>
      <c r="G188" s="3" t="s">
        <v>351</v>
      </c>
      <c r="I188" s="84" t="s">
        <v>353</v>
      </c>
      <c r="J188" s="84" t="s">
        <v>336</v>
      </c>
      <c r="K188" s="85" t="s">
        <v>349</v>
      </c>
      <c r="L188" s="85"/>
      <c r="M188" s="85"/>
      <c r="N188" s="86" t="s">
        <v>358</v>
      </c>
      <c r="O188" s="87"/>
    </row>
    <row r="189" spans="1:15" x14ac:dyDescent="0.25">
      <c r="A189" s="89"/>
      <c r="B189" s="89"/>
      <c r="C189" s="3" t="s">
        <v>331</v>
      </c>
      <c r="D189" s="3" t="s">
        <v>338</v>
      </c>
      <c r="E189" s="85" t="s">
        <v>342</v>
      </c>
      <c r="F189" s="85" t="s">
        <v>350</v>
      </c>
      <c r="G189" s="3" t="s">
        <v>352</v>
      </c>
      <c r="I189" s="84"/>
      <c r="J189" s="84"/>
      <c r="K189" s="85" t="s">
        <v>356</v>
      </c>
      <c r="L189" s="85" t="s">
        <v>334</v>
      </c>
      <c r="M189" s="85" t="s">
        <v>340</v>
      </c>
      <c r="N189" s="85" t="s">
        <v>359</v>
      </c>
      <c r="O189" s="85" t="s">
        <v>360</v>
      </c>
    </row>
    <row r="190" spans="1:15" x14ac:dyDescent="0.25">
      <c r="A190" s="3" t="s">
        <v>326</v>
      </c>
      <c r="B190" s="2">
        <v>3</v>
      </c>
      <c r="C190" s="2">
        <f>B190*8</f>
        <v>24</v>
      </c>
      <c r="D190" s="2">
        <f>B190*8*7</f>
        <v>168</v>
      </c>
      <c r="E190" s="69">
        <f>D190/G184</f>
        <v>1.7142857142857142</v>
      </c>
      <c r="F190" s="42">
        <v>21000</v>
      </c>
      <c r="G190" s="57">
        <f>(C190*F190)/D184</f>
        <v>4.249302174369609E-2</v>
      </c>
      <c r="I190" s="58" t="s">
        <v>195</v>
      </c>
      <c r="J190" s="2">
        <v>7</v>
      </c>
      <c r="K190" s="42">
        <v>27000</v>
      </c>
      <c r="L190" s="60">
        <f>J190*K190*8</f>
        <v>1512000</v>
      </c>
      <c r="M190" s="60">
        <f>L190*7</f>
        <v>10584000</v>
      </c>
      <c r="N190" s="2"/>
      <c r="O190" s="2"/>
    </row>
    <row r="191" spans="1:15" x14ac:dyDescent="0.25">
      <c r="A191" s="3" t="s">
        <v>327</v>
      </c>
      <c r="B191" s="2">
        <v>5</v>
      </c>
      <c r="C191" s="2">
        <f>B191*8</f>
        <v>40</v>
      </c>
      <c r="D191" s="2">
        <f>B191*8*7</f>
        <v>280</v>
      </c>
      <c r="E191" s="69">
        <f>D191/G185</f>
        <v>2.8571428571428572</v>
      </c>
      <c r="F191" s="42">
        <v>21000</v>
      </c>
      <c r="G191" s="57">
        <f>(C191*F191)/D185</f>
        <v>1.8659512609532171E-2</v>
      </c>
      <c r="I191" s="58" t="s">
        <v>192</v>
      </c>
      <c r="J191" s="2">
        <v>9</v>
      </c>
      <c r="K191" s="42">
        <v>21000</v>
      </c>
      <c r="L191" s="60">
        <f t="shared" ref="L191:L192" si="26">J191*K191*8</f>
        <v>1512000</v>
      </c>
      <c r="M191" s="60">
        <f t="shared" ref="M191:M192" si="27">L191*7</f>
        <v>10584000</v>
      </c>
      <c r="N191" s="2"/>
      <c r="O191" s="2"/>
    </row>
    <row r="192" spans="1:15" x14ac:dyDescent="0.25">
      <c r="I192" s="59" t="s">
        <v>354</v>
      </c>
      <c r="J192" s="2">
        <v>0</v>
      </c>
      <c r="K192" s="42">
        <v>21000</v>
      </c>
      <c r="L192" s="60">
        <f t="shared" si="26"/>
        <v>0</v>
      </c>
      <c r="M192" s="60">
        <f t="shared" si="27"/>
        <v>0</v>
      </c>
      <c r="N192" s="2"/>
      <c r="O192" s="2"/>
    </row>
    <row r="193" spans="9:15" x14ac:dyDescent="0.25">
      <c r="I193" s="3" t="s">
        <v>355</v>
      </c>
      <c r="J193" s="3">
        <f>SUM(J190:J192)</f>
        <v>16</v>
      </c>
      <c r="K193" s="61">
        <f>SUM(K190:K192)</f>
        <v>69000</v>
      </c>
      <c r="L193" s="61">
        <f>SUM(L190:L192)</f>
        <v>3024000</v>
      </c>
      <c r="M193" s="61">
        <f>SUM(M190:M192)</f>
        <v>21168000</v>
      </c>
      <c r="N193" s="62">
        <f>(N184*5)+N185*2</f>
        <v>149338361</v>
      </c>
      <c r="O193" s="57">
        <f>M193/N193</f>
        <v>0.14174522780519869</v>
      </c>
    </row>
    <row r="230" s="13" customFormat="1" x14ac:dyDescent="0.25"/>
  </sheetData>
  <mergeCells count="197">
    <mergeCell ref="B181:D181"/>
    <mergeCell ref="A182:A183"/>
    <mergeCell ref="B182:C182"/>
    <mergeCell ref="D182:D183"/>
    <mergeCell ref="E170:G170"/>
    <mergeCell ref="I170:I171"/>
    <mergeCell ref="J170:K170"/>
    <mergeCell ref="L170:N170"/>
    <mergeCell ref="A175:A176"/>
    <mergeCell ref="B175:B176"/>
    <mergeCell ref="C175:D175"/>
    <mergeCell ref="I175:I176"/>
    <mergeCell ref="J175:J176"/>
    <mergeCell ref="K175:M175"/>
    <mergeCell ref="E182:G182"/>
    <mergeCell ref="I182:I183"/>
    <mergeCell ref="J182:K182"/>
    <mergeCell ref="L182:N182"/>
    <mergeCell ref="N175:O175"/>
    <mergeCell ref="N132:O132"/>
    <mergeCell ref="B138:D138"/>
    <mergeCell ref="B169:D169"/>
    <mergeCell ref="A170:A171"/>
    <mergeCell ref="B170:C170"/>
    <mergeCell ref="D170:D171"/>
    <mergeCell ref="E152:G152"/>
    <mergeCell ref="I152:I153"/>
    <mergeCell ref="J152:K152"/>
    <mergeCell ref="L152:N152"/>
    <mergeCell ref="A157:A158"/>
    <mergeCell ref="B157:B158"/>
    <mergeCell ref="C157:D157"/>
    <mergeCell ref="I157:I158"/>
    <mergeCell ref="J157:J158"/>
    <mergeCell ref="K157:M157"/>
    <mergeCell ref="I139:I140"/>
    <mergeCell ref="J139:J140"/>
    <mergeCell ref="K139:M139"/>
    <mergeCell ref="N139:O139"/>
    <mergeCell ref="N157:O157"/>
    <mergeCell ref="A132:A133"/>
    <mergeCell ref="B132:B133"/>
    <mergeCell ref="C132:D132"/>
    <mergeCell ref="I132:I133"/>
    <mergeCell ref="J132:J133"/>
    <mergeCell ref="K132:M132"/>
    <mergeCell ref="B151:D151"/>
    <mergeCell ref="A152:A153"/>
    <mergeCell ref="B152:C152"/>
    <mergeCell ref="D152:D153"/>
    <mergeCell ref="B145:D145"/>
    <mergeCell ref="B146:B147"/>
    <mergeCell ref="C146:C147"/>
    <mergeCell ref="D146:E146"/>
    <mergeCell ref="K120:M120"/>
    <mergeCell ref="N120:O120"/>
    <mergeCell ref="B126:D126"/>
    <mergeCell ref="A127:A128"/>
    <mergeCell ref="B127:C127"/>
    <mergeCell ref="D127:D128"/>
    <mergeCell ref="E114:G114"/>
    <mergeCell ref="I114:I115"/>
    <mergeCell ref="J114:K114"/>
    <mergeCell ref="L114:N114"/>
    <mergeCell ref="A120:A121"/>
    <mergeCell ref="B120:B121"/>
    <mergeCell ref="C120:D120"/>
    <mergeCell ref="I120:I121"/>
    <mergeCell ref="J120:J121"/>
    <mergeCell ref="E127:G127"/>
    <mergeCell ref="I127:I128"/>
    <mergeCell ref="J127:K127"/>
    <mergeCell ref="L127:N127"/>
    <mergeCell ref="N99:O99"/>
    <mergeCell ref="B113:D113"/>
    <mergeCell ref="A114:A115"/>
    <mergeCell ref="B114:C114"/>
    <mergeCell ref="D114:D115"/>
    <mergeCell ref="E94:G94"/>
    <mergeCell ref="I94:I95"/>
    <mergeCell ref="J94:K94"/>
    <mergeCell ref="L94:N94"/>
    <mergeCell ref="A99:A100"/>
    <mergeCell ref="B99:B100"/>
    <mergeCell ref="C99:D99"/>
    <mergeCell ref="I99:I100"/>
    <mergeCell ref="J99:J100"/>
    <mergeCell ref="K99:M99"/>
    <mergeCell ref="N87:O87"/>
    <mergeCell ref="B93:D93"/>
    <mergeCell ref="A94:A95"/>
    <mergeCell ref="B94:C94"/>
    <mergeCell ref="D94:D95"/>
    <mergeCell ref="E82:G82"/>
    <mergeCell ref="I82:I83"/>
    <mergeCell ref="J82:K82"/>
    <mergeCell ref="L82:N82"/>
    <mergeCell ref="A87:A88"/>
    <mergeCell ref="B87:B88"/>
    <mergeCell ref="C87:D87"/>
    <mergeCell ref="I87:I88"/>
    <mergeCell ref="J87:J88"/>
    <mergeCell ref="K87:M87"/>
    <mergeCell ref="N75:O75"/>
    <mergeCell ref="B81:D81"/>
    <mergeCell ref="A82:A83"/>
    <mergeCell ref="B82:C82"/>
    <mergeCell ref="D82:D83"/>
    <mergeCell ref="E70:G70"/>
    <mergeCell ref="I70:I71"/>
    <mergeCell ref="J70:K70"/>
    <mergeCell ref="L70:N70"/>
    <mergeCell ref="A75:A76"/>
    <mergeCell ref="B75:B76"/>
    <mergeCell ref="C75:D75"/>
    <mergeCell ref="I75:I76"/>
    <mergeCell ref="J75:J76"/>
    <mergeCell ref="K75:M75"/>
    <mergeCell ref="N63:O63"/>
    <mergeCell ref="B69:D69"/>
    <mergeCell ref="A70:A71"/>
    <mergeCell ref="B70:C70"/>
    <mergeCell ref="D70:D71"/>
    <mergeCell ref="E58:G58"/>
    <mergeCell ref="I58:I59"/>
    <mergeCell ref="J58:K58"/>
    <mergeCell ref="L58:N58"/>
    <mergeCell ref="A63:A64"/>
    <mergeCell ref="B63:B64"/>
    <mergeCell ref="C63:D63"/>
    <mergeCell ref="I63:I64"/>
    <mergeCell ref="J63:J64"/>
    <mergeCell ref="K63:M63"/>
    <mergeCell ref="N43:O43"/>
    <mergeCell ref="B57:D57"/>
    <mergeCell ref="A58:A59"/>
    <mergeCell ref="B58:C58"/>
    <mergeCell ref="D58:D59"/>
    <mergeCell ref="E38:G38"/>
    <mergeCell ref="I38:I39"/>
    <mergeCell ref="J38:K38"/>
    <mergeCell ref="L38:N38"/>
    <mergeCell ref="A43:A44"/>
    <mergeCell ref="B43:B44"/>
    <mergeCell ref="C43:D43"/>
    <mergeCell ref="I43:I44"/>
    <mergeCell ref="J43:J44"/>
    <mergeCell ref="K43:M43"/>
    <mergeCell ref="N31:O31"/>
    <mergeCell ref="B37:D37"/>
    <mergeCell ref="A38:A39"/>
    <mergeCell ref="B38:C38"/>
    <mergeCell ref="D38:D39"/>
    <mergeCell ref="E26:G26"/>
    <mergeCell ref="I26:I27"/>
    <mergeCell ref="J26:K26"/>
    <mergeCell ref="L26:N26"/>
    <mergeCell ref="A31:A32"/>
    <mergeCell ref="B31:B32"/>
    <mergeCell ref="C31:D31"/>
    <mergeCell ref="I31:I32"/>
    <mergeCell ref="J31:J32"/>
    <mergeCell ref="K31:M31"/>
    <mergeCell ref="N19:O19"/>
    <mergeCell ref="B25:D25"/>
    <mergeCell ref="A26:A27"/>
    <mergeCell ref="B26:C26"/>
    <mergeCell ref="D26:D27"/>
    <mergeCell ref="E14:G14"/>
    <mergeCell ref="I14:I15"/>
    <mergeCell ref="J14:K14"/>
    <mergeCell ref="L14:N14"/>
    <mergeCell ref="A19:A20"/>
    <mergeCell ref="B19:B20"/>
    <mergeCell ref="C19:D19"/>
    <mergeCell ref="I19:I20"/>
    <mergeCell ref="J19:J20"/>
    <mergeCell ref="K19:M19"/>
    <mergeCell ref="B1:D1"/>
    <mergeCell ref="A2:A3"/>
    <mergeCell ref="B2:C2"/>
    <mergeCell ref="D2:D3"/>
    <mergeCell ref="N7:O7"/>
    <mergeCell ref="B13:D13"/>
    <mergeCell ref="A14:A15"/>
    <mergeCell ref="B14:C14"/>
    <mergeCell ref="D14:D15"/>
    <mergeCell ref="E2:G2"/>
    <mergeCell ref="I2:I3"/>
    <mergeCell ref="J2:K2"/>
    <mergeCell ref="L2:N2"/>
    <mergeCell ref="A7:A8"/>
    <mergeCell ref="B7:B8"/>
    <mergeCell ref="C7:D7"/>
    <mergeCell ref="I7:I8"/>
    <mergeCell ref="J7:J8"/>
    <mergeCell ref="K7:M7"/>
  </mergeCells>
  <pageMargins left="0" right="0" top="0" bottom="0" header="0" footer="0"/>
  <pageSetup paperSize="9" scale="65" orientation="landscape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8"/>
  <sheetViews>
    <sheetView topLeftCell="A22" workbookViewId="0">
      <selection activeCell="F13" sqref="F13"/>
    </sheetView>
  </sheetViews>
  <sheetFormatPr defaultRowHeight="15.75" x14ac:dyDescent="0.25"/>
  <cols>
    <col min="1" max="1" width="9.140625" style="26"/>
    <col min="2" max="2" width="26.7109375" style="1" customWidth="1"/>
    <col min="3" max="3" width="12.7109375" style="1" bestFit="1" customWidth="1"/>
    <col min="4" max="4" width="13.140625" style="1" bestFit="1" customWidth="1"/>
    <col min="5" max="5" width="8.28515625" style="1" bestFit="1" customWidth="1"/>
    <col min="6" max="6" width="7.7109375" style="1" customWidth="1"/>
    <col min="7" max="7" width="8.7109375" style="1" bestFit="1" customWidth="1"/>
    <col min="8" max="8" width="44.28515625" style="1" bestFit="1" customWidth="1"/>
    <col min="9" max="16384" width="9.140625" style="1"/>
  </cols>
  <sheetData>
    <row r="2" spans="1:8" x14ac:dyDescent="0.25">
      <c r="A2" s="104" t="s">
        <v>214</v>
      </c>
      <c r="B2" s="104"/>
      <c r="C2" s="104"/>
      <c r="D2" s="104"/>
      <c r="E2" s="104"/>
      <c r="F2" s="104"/>
      <c r="G2" s="104"/>
      <c r="H2" s="104"/>
    </row>
    <row r="3" spans="1:8" x14ac:dyDescent="0.25">
      <c r="A3" s="103" t="s">
        <v>185</v>
      </c>
      <c r="B3" s="103" t="s">
        <v>186</v>
      </c>
      <c r="C3" s="103" t="s">
        <v>187</v>
      </c>
      <c r="D3" s="103" t="s">
        <v>188</v>
      </c>
      <c r="E3" s="103" t="s">
        <v>202</v>
      </c>
      <c r="F3" s="104" t="s">
        <v>203</v>
      </c>
      <c r="G3" s="104"/>
      <c r="H3" s="104" t="s">
        <v>210</v>
      </c>
    </row>
    <row r="4" spans="1:8" x14ac:dyDescent="0.25">
      <c r="A4" s="103"/>
      <c r="B4" s="103"/>
      <c r="C4" s="103"/>
      <c r="D4" s="103"/>
      <c r="E4" s="103"/>
      <c r="F4" s="23" t="s">
        <v>204</v>
      </c>
      <c r="G4" s="23" t="s">
        <v>205</v>
      </c>
      <c r="H4" s="104"/>
    </row>
    <row r="5" spans="1:8" x14ac:dyDescent="0.25">
      <c r="A5" s="24">
        <v>1</v>
      </c>
      <c r="B5" s="4" t="s">
        <v>189</v>
      </c>
      <c r="C5" s="12" t="s">
        <v>190</v>
      </c>
      <c r="D5" s="29">
        <v>1</v>
      </c>
      <c r="E5" s="3">
        <v>1</v>
      </c>
      <c r="F5" s="2"/>
      <c r="G5" s="2"/>
      <c r="H5" s="2"/>
    </row>
    <row r="6" spans="1:8" x14ac:dyDescent="0.25">
      <c r="A6" s="24">
        <v>2</v>
      </c>
      <c r="B6" s="4" t="s">
        <v>191</v>
      </c>
      <c r="C6" s="12" t="s">
        <v>192</v>
      </c>
      <c r="D6" s="29">
        <v>1</v>
      </c>
      <c r="E6" s="3">
        <v>1</v>
      </c>
      <c r="F6" s="2"/>
      <c r="G6" s="2"/>
      <c r="H6" s="2"/>
    </row>
    <row r="7" spans="1:8" x14ac:dyDescent="0.25">
      <c r="A7" s="24">
        <v>3</v>
      </c>
      <c r="B7" s="4" t="s">
        <v>193</v>
      </c>
      <c r="C7" s="12" t="s">
        <v>192</v>
      </c>
      <c r="D7" s="29">
        <f>SUM(D8:D9)</f>
        <v>4</v>
      </c>
      <c r="E7" s="29">
        <f>SUM(E8:E9)</f>
        <v>2</v>
      </c>
      <c r="F7" s="2"/>
      <c r="G7" s="2"/>
      <c r="H7" s="2"/>
    </row>
    <row r="8" spans="1:8" x14ac:dyDescent="0.25">
      <c r="A8" s="11"/>
      <c r="B8" s="28" t="s">
        <v>211</v>
      </c>
      <c r="C8" s="12"/>
      <c r="D8" s="12">
        <v>2</v>
      </c>
      <c r="E8" s="2">
        <v>2</v>
      </c>
      <c r="F8" s="2"/>
      <c r="G8" s="2"/>
      <c r="H8" s="2"/>
    </row>
    <row r="9" spans="1:8" x14ac:dyDescent="0.25">
      <c r="A9" s="11"/>
      <c r="B9" s="28" t="s">
        <v>208</v>
      </c>
      <c r="C9" s="12"/>
      <c r="D9" s="12">
        <v>2</v>
      </c>
      <c r="E9" s="2">
        <v>0</v>
      </c>
      <c r="F9" s="2"/>
      <c r="G9" s="24">
        <v>1</v>
      </c>
      <c r="H9" s="2" t="s">
        <v>209</v>
      </c>
    </row>
    <row r="10" spans="1:8" x14ac:dyDescent="0.25">
      <c r="A10" s="24">
        <v>4</v>
      </c>
      <c r="B10" s="4" t="s">
        <v>194</v>
      </c>
      <c r="C10" s="12" t="s">
        <v>195</v>
      </c>
      <c r="D10" s="29">
        <v>1</v>
      </c>
      <c r="E10" s="25"/>
      <c r="F10" s="2">
        <v>1</v>
      </c>
      <c r="G10" s="2"/>
      <c r="H10" s="2" t="s">
        <v>212</v>
      </c>
    </row>
    <row r="11" spans="1:8" x14ac:dyDescent="0.25">
      <c r="A11" s="24">
        <v>5</v>
      </c>
      <c r="B11" s="4" t="s">
        <v>196</v>
      </c>
      <c r="C11" s="12" t="s">
        <v>197</v>
      </c>
      <c r="D11" s="29">
        <v>1</v>
      </c>
      <c r="E11" s="3">
        <v>1</v>
      </c>
      <c r="F11" s="2"/>
      <c r="G11" s="2"/>
      <c r="H11" s="2"/>
    </row>
    <row r="12" spans="1:8" x14ac:dyDescent="0.25">
      <c r="A12" s="24">
        <v>6</v>
      </c>
      <c r="B12" s="4" t="s">
        <v>198</v>
      </c>
      <c r="C12" s="12" t="s">
        <v>197</v>
      </c>
      <c r="D12" s="29">
        <v>2</v>
      </c>
      <c r="E12" s="3">
        <v>2</v>
      </c>
      <c r="F12" s="2"/>
      <c r="G12" s="2"/>
      <c r="H12" s="2"/>
    </row>
    <row r="13" spans="1:8" x14ac:dyDescent="0.25">
      <c r="A13" s="24">
        <v>7</v>
      </c>
      <c r="B13" s="4" t="s">
        <v>199</v>
      </c>
      <c r="C13" s="12" t="s">
        <v>200</v>
      </c>
      <c r="D13" s="29">
        <v>2</v>
      </c>
      <c r="E13" s="3">
        <v>1</v>
      </c>
      <c r="F13" s="2">
        <v>1</v>
      </c>
      <c r="G13" s="2"/>
      <c r="H13" s="2" t="s">
        <v>295</v>
      </c>
    </row>
    <row r="14" spans="1:8" x14ac:dyDescent="0.25">
      <c r="A14" s="101" t="s">
        <v>201</v>
      </c>
      <c r="B14" s="101"/>
      <c r="C14" s="101"/>
      <c r="D14" s="29">
        <f>D13+D12+D11+D10+D7+D6+D5</f>
        <v>12</v>
      </c>
      <c r="E14" s="29">
        <f>E13+E12+E11+E10+E7+E6+E5</f>
        <v>8</v>
      </c>
      <c r="F14" s="2"/>
      <c r="G14" s="2"/>
      <c r="H14" s="2"/>
    </row>
    <row r="16" spans="1:8" x14ac:dyDescent="0.25">
      <c r="A16" s="104" t="s">
        <v>215</v>
      </c>
      <c r="B16" s="104"/>
      <c r="C16" s="104"/>
      <c r="D16" s="104"/>
      <c r="E16" s="104"/>
      <c r="F16" s="104"/>
      <c r="G16" s="104"/>
      <c r="H16" s="104"/>
    </row>
    <row r="17" spans="1:8" x14ac:dyDescent="0.25">
      <c r="A17" s="103" t="s">
        <v>185</v>
      </c>
      <c r="B17" s="103" t="s">
        <v>186</v>
      </c>
      <c r="C17" s="103" t="s">
        <v>187</v>
      </c>
      <c r="D17" s="103" t="s">
        <v>188</v>
      </c>
      <c r="E17" s="103" t="s">
        <v>202</v>
      </c>
      <c r="F17" s="104" t="s">
        <v>203</v>
      </c>
      <c r="G17" s="104"/>
      <c r="H17" s="104" t="s">
        <v>210</v>
      </c>
    </row>
    <row r="18" spans="1:8" x14ac:dyDescent="0.25">
      <c r="A18" s="103"/>
      <c r="B18" s="103"/>
      <c r="C18" s="103"/>
      <c r="D18" s="103"/>
      <c r="E18" s="103"/>
      <c r="F18" s="23" t="s">
        <v>204</v>
      </c>
      <c r="G18" s="23" t="s">
        <v>205</v>
      </c>
      <c r="H18" s="104"/>
    </row>
    <row r="19" spans="1:8" x14ac:dyDescent="0.25">
      <c r="A19" s="24">
        <v>1</v>
      </c>
      <c r="B19" s="4" t="s">
        <v>189</v>
      </c>
      <c r="C19" s="12" t="s">
        <v>190</v>
      </c>
      <c r="D19" s="29">
        <v>1</v>
      </c>
      <c r="E19" s="3">
        <v>1</v>
      </c>
      <c r="F19" s="2"/>
      <c r="G19" s="2"/>
      <c r="H19" s="2"/>
    </row>
    <row r="20" spans="1:8" x14ac:dyDescent="0.25">
      <c r="A20" s="24">
        <v>2</v>
      </c>
      <c r="B20" s="4" t="s">
        <v>193</v>
      </c>
      <c r="C20" s="12" t="s">
        <v>192</v>
      </c>
      <c r="D20" s="29">
        <f>SUM(D21:D21)</f>
        <v>3</v>
      </c>
      <c r="E20" s="29">
        <f>SUM(E21:E21)</f>
        <v>3</v>
      </c>
      <c r="F20" s="2"/>
      <c r="G20" s="2"/>
      <c r="H20" s="2"/>
    </row>
    <row r="21" spans="1:8" x14ac:dyDescent="0.25">
      <c r="A21" s="11"/>
      <c r="B21" s="28" t="s">
        <v>211</v>
      </c>
      <c r="C21" s="12"/>
      <c r="D21" s="12">
        <v>3</v>
      </c>
      <c r="E21" s="2">
        <v>3</v>
      </c>
      <c r="F21" s="2"/>
      <c r="G21" s="2"/>
      <c r="H21" s="2" t="s">
        <v>213</v>
      </c>
    </row>
    <row r="22" spans="1:8" x14ac:dyDescent="0.25">
      <c r="A22" s="101" t="s">
        <v>201</v>
      </c>
      <c r="B22" s="101"/>
      <c r="C22" s="101"/>
      <c r="D22" s="29">
        <f>D19+D20</f>
        <v>4</v>
      </c>
      <c r="E22" s="29">
        <f>E19+E20</f>
        <v>4</v>
      </c>
      <c r="F22" s="2"/>
      <c r="G22" s="2"/>
      <c r="H22" s="2"/>
    </row>
    <row r="24" spans="1:8" x14ac:dyDescent="0.25">
      <c r="A24" s="104" t="s">
        <v>216</v>
      </c>
      <c r="B24" s="104"/>
      <c r="C24" s="104"/>
      <c r="D24" s="104"/>
      <c r="E24" s="104"/>
      <c r="F24" s="104"/>
      <c r="G24" s="104"/>
      <c r="H24" s="104"/>
    </row>
    <row r="25" spans="1:8" x14ac:dyDescent="0.25">
      <c r="A25" s="103" t="s">
        <v>185</v>
      </c>
      <c r="B25" s="103" t="s">
        <v>186</v>
      </c>
      <c r="C25" s="103" t="s">
        <v>187</v>
      </c>
      <c r="D25" s="103" t="s">
        <v>188</v>
      </c>
      <c r="E25" s="103" t="s">
        <v>202</v>
      </c>
      <c r="F25" s="104" t="s">
        <v>203</v>
      </c>
      <c r="G25" s="104"/>
      <c r="H25" s="104" t="s">
        <v>210</v>
      </c>
    </row>
    <row r="26" spans="1:8" x14ac:dyDescent="0.25">
      <c r="A26" s="103"/>
      <c r="B26" s="103"/>
      <c r="C26" s="103"/>
      <c r="D26" s="103"/>
      <c r="E26" s="103"/>
      <c r="F26" s="23" t="s">
        <v>204</v>
      </c>
      <c r="G26" s="23" t="s">
        <v>205</v>
      </c>
      <c r="H26" s="104"/>
    </row>
    <row r="27" spans="1:8" x14ac:dyDescent="0.25">
      <c r="A27" s="24">
        <v>1</v>
      </c>
      <c r="B27" s="4" t="s">
        <v>189</v>
      </c>
      <c r="C27" s="12" t="s">
        <v>190</v>
      </c>
      <c r="D27" s="29">
        <v>1</v>
      </c>
      <c r="E27" s="3">
        <v>1</v>
      </c>
      <c r="F27" s="2"/>
      <c r="G27" s="2"/>
      <c r="H27" s="2"/>
    </row>
    <row r="28" spans="1:8" x14ac:dyDescent="0.25">
      <c r="A28" s="24">
        <v>2</v>
      </c>
      <c r="B28" s="4" t="s">
        <v>191</v>
      </c>
      <c r="C28" s="12" t="s">
        <v>192</v>
      </c>
      <c r="D28" s="29">
        <v>1</v>
      </c>
      <c r="E28" s="25"/>
      <c r="F28" s="2">
        <v>1</v>
      </c>
      <c r="G28" s="2"/>
      <c r="H28" s="2"/>
    </row>
    <row r="29" spans="1:8" x14ac:dyDescent="0.25">
      <c r="A29" s="24">
        <v>3</v>
      </c>
      <c r="B29" s="4" t="s">
        <v>193</v>
      </c>
      <c r="C29" s="12" t="s">
        <v>192</v>
      </c>
      <c r="D29" s="29">
        <f>SUM(D30:D32)</f>
        <v>7</v>
      </c>
      <c r="E29" s="29">
        <f>SUM(E30:E32)</f>
        <v>6</v>
      </c>
      <c r="F29" s="2"/>
      <c r="G29" s="2"/>
      <c r="H29" s="2"/>
    </row>
    <row r="30" spans="1:8" x14ac:dyDescent="0.25">
      <c r="A30" s="11"/>
      <c r="B30" s="28" t="s">
        <v>207</v>
      </c>
      <c r="C30" s="12"/>
      <c r="D30" s="12">
        <v>2</v>
      </c>
      <c r="E30" s="2">
        <v>2</v>
      </c>
      <c r="F30" s="2"/>
      <c r="G30" s="2"/>
      <c r="H30" s="2"/>
    </row>
    <row r="31" spans="1:8" x14ac:dyDescent="0.25">
      <c r="A31" s="11"/>
      <c r="B31" s="28" t="s">
        <v>223</v>
      </c>
      <c r="C31" s="12"/>
      <c r="D31" s="12">
        <v>3</v>
      </c>
      <c r="E31" s="2">
        <v>2</v>
      </c>
      <c r="F31" s="2">
        <v>1</v>
      </c>
      <c r="G31" s="2"/>
      <c r="H31" s="2" t="s">
        <v>222</v>
      </c>
    </row>
    <row r="32" spans="1:8" x14ac:dyDescent="0.25">
      <c r="A32" s="11"/>
      <c r="B32" s="28" t="s">
        <v>217</v>
      </c>
      <c r="C32" s="12"/>
      <c r="D32" s="12">
        <v>2</v>
      </c>
      <c r="E32" s="2">
        <v>2</v>
      </c>
      <c r="F32" s="2"/>
      <c r="G32" s="2"/>
      <c r="H32" s="2"/>
    </row>
    <row r="33" spans="1:8" x14ac:dyDescent="0.25">
      <c r="A33" s="24">
        <v>4</v>
      </c>
      <c r="B33" s="4" t="s">
        <v>194</v>
      </c>
      <c r="C33" s="12" t="s">
        <v>195</v>
      </c>
      <c r="D33" s="29">
        <v>1</v>
      </c>
      <c r="E33" s="25"/>
      <c r="F33" s="2">
        <v>1</v>
      </c>
      <c r="G33" s="2"/>
      <c r="H33" s="2"/>
    </row>
    <row r="34" spans="1:8" x14ac:dyDescent="0.25">
      <c r="A34" s="24">
        <v>5</v>
      </c>
      <c r="B34" s="4" t="s">
        <v>199</v>
      </c>
      <c r="C34" s="12" t="s">
        <v>200</v>
      </c>
      <c r="D34" s="29">
        <f>SUM(D35:D38)</f>
        <v>11</v>
      </c>
      <c r="E34" s="29">
        <f>SUM(E35:E38)</f>
        <v>9</v>
      </c>
      <c r="F34" s="2"/>
      <c r="G34" s="2"/>
      <c r="H34" s="2"/>
    </row>
    <row r="35" spans="1:8" x14ac:dyDescent="0.25">
      <c r="A35" s="30"/>
      <c r="B35" s="12" t="s">
        <v>224</v>
      </c>
      <c r="C35" s="12"/>
      <c r="D35" s="12">
        <v>2</v>
      </c>
      <c r="E35" s="2">
        <v>2</v>
      </c>
      <c r="F35" s="2"/>
      <c r="G35" s="2"/>
      <c r="H35" s="2"/>
    </row>
    <row r="36" spans="1:8" x14ac:dyDescent="0.25">
      <c r="A36" s="30"/>
      <c r="B36" s="12" t="s">
        <v>225</v>
      </c>
      <c r="C36" s="12"/>
      <c r="D36" s="12">
        <v>4</v>
      </c>
      <c r="E36" s="2">
        <v>4</v>
      </c>
      <c r="F36" s="2"/>
      <c r="G36" s="2"/>
      <c r="H36" s="2"/>
    </row>
    <row r="37" spans="1:8" x14ac:dyDescent="0.25">
      <c r="A37" s="30"/>
      <c r="B37" s="12" t="s">
        <v>226</v>
      </c>
      <c r="C37" s="12"/>
      <c r="D37" s="12">
        <v>3</v>
      </c>
      <c r="E37" s="2">
        <v>1</v>
      </c>
      <c r="F37" s="2"/>
      <c r="G37" s="2"/>
      <c r="H37" s="2" t="s">
        <v>235</v>
      </c>
    </row>
    <row r="38" spans="1:8" x14ac:dyDescent="0.25">
      <c r="A38" s="30"/>
      <c r="B38" s="12" t="s">
        <v>227</v>
      </c>
      <c r="C38" s="12"/>
      <c r="D38" s="12">
        <v>2</v>
      </c>
      <c r="E38" s="2">
        <v>2</v>
      </c>
      <c r="F38" s="2"/>
      <c r="G38" s="2"/>
      <c r="H38" s="2"/>
    </row>
    <row r="39" spans="1:8" x14ac:dyDescent="0.25">
      <c r="A39" s="30"/>
      <c r="B39" s="12" t="s">
        <v>228</v>
      </c>
      <c r="C39" s="12"/>
      <c r="D39" s="12">
        <v>2</v>
      </c>
      <c r="E39" s="2">
        <v>2</v>
      </c>
      <c r="F39" s="2"/>
      <c r="G39" s="2"/>
      <c r="H39" s="2"/>
    </row>
    <row r="40" spans="1:8" x14ac:dyDescent="0.25">
      <c r="A40" s="101" t="s">
        <v>201</v>
      </c>
      <c r="B40" s="101"/>
      <c r="C40" s="101"/>
      <c r="D40" s="29">
        <f>D34+D33+D29+D28+D27</f>
        <v>21</v>
      </c>
      <c r="E40" s="29">
        <f>E34+E33+E29+E28+E27</f>
        <v>16</v>
      </c>
      <c r="F40" s="2"/>
      <c r="G40" s="2"/>
      <c r="H40" s="2"/>
    </row>
    <row r="42" spans="1:8" x14ac:dyDescent="0.25">
      <c r="A42" s="104" t="s">
        <v>229</v>
      </c>
      <c r="B42" s="104"/>
      <c r="C42" s="104"/>
      <c r="D42" s="104"/>
      <c r="E42" s="104"/>
      <c r="F42" s="104"/>
      <c r="G42" s="104"/>
      <c r="H42" s="104"/>
    </row>
    <row r="43" spans="1:8" x14ac:dyDescent="0.25">
      <c r="A43" s="103" t="s">
        <v>185</v>
      </c>
      <c r="B43" s="103" t="s">
        <v>186</v>
      </c>
      <c r="C43" s="103" t="s">
        <v>187</v>
      </c>
      <c r="D43" s="103" t="s">
        <v>188</v>
      </c>
      <c r="E43" s="103" t="s">
        <v>202</v>
      </c>
      <c r="F43" s="104" t="s">
        <v>203</v>
      </c>
      <c r="G43" s="104"/>
      <c r="H43" s="104" t="s">
        <v>210</v>
      </c>
    </row>
    <row r="44" spans="1:8" x14ac:dyDescent="0.25">
      <c r="A44" s="103"/>
      <c r="B44" s="103"/>
      <c r="C44" s="103"/>
      <c r="D44" s="103"/>
      <c r="E44" s="103"/>
      <c r="F44" s="27" t="s">
        <v>204</v>
      </c>
      <c r="G44" s="27" t="s">
        <v>205</v>
      </c>
      <c r="H44" s="104"/>
    </row>
    <row r="45" spans="1:8" x14ac:dyDescent="0.25">
      <c r="A45" s="24">
        <v>1</v>
      </c>
      <c r="B45" s="4" t="s">
        <v>189</v>
      </c>
      <c r="C45" s="12" t="s">
        <v>190</v>
      </c>
      <c r="D45" s="29">
        <v>1</v>
      </c>
      <c r="E45" s="3">
        <v>1</v>
      </c>
      <c r="F45" s="2"/>
      <c r="G45" s="2"/>
      <c r="H45" s="2"/>
    </row>
    <row r="46" spans="1:8" x14ac:dyDescent="0.25">
      <c r="A46" s="24">
        <v>2</v>
      </c>
      <c r="B46" s="4" t="s">
        <v>191</v>
      </c>
      <c r="C46" s="12" t="s">
        <v>192</v>
      </c>
      <c r="D46" s="29">
        <v>1</v>
      </c>
      <c r="E46" s="25"/>
      <c r="F46" s="2">
        <v>1</v>
      </c>
      <c r="G46" s="2"/>
      <c r="H46" s="2"/>
    </row>
    <row r="47" spans="1:8" x14ac:dyDescent="0.25">
      <c r="A47" s="24">
        <v>3</v>
      </c>
      <c r="B47" s="4" t="s">
        <v>193</v>
      </c>
      <c r="C47" s="12" t="s">
        <v>192</v>
      </c>
      <c r="D47" s="29">
        <f>SUM(D48:D50)</f>
        <v>6</v>
      </c>
      <c r="E47" s="29">
        <f>SUM(E48:E50)</f>
        <v>4</v>
      </c>
      <c r="F47" s="2"/>
      <c r="G47" s="2"/>
      <c r="H47" s="2"/>
    </row>
    <row r="48" spans="1:8" x14ac:dyDescent="0.25">
      <c r="A48" s="11"/>
      <c r="B48" s="28" t="s">
        <v>207</v>
      </c>
      <c r="C48" s="12"/>
      <c r="D48" s="12">
        <v>3</v>
      </c>
      <c r="E48" s="2">
        <v>3</v>
      </c>
      <c r="F48" s="2"/>
      <c r="G48" s="2"/>
      <c r="H48" s="2"/>
    </row>
    <row r="49" spans="1:8" x14ac:dyDescent="0.25">
      <c r="A49" s="11"/>
      <c r="B49" s="28" t="s">
        <v>101</v>
      </c>
      <c r="C49" s="12"/>
      <c r="D49" s="12">
        <v>1</v>
      </c>
      <c r="E49" s="2">
        <v>1</v>
      </c>
      <c r="F49" s="2"/>
      <c r="G49" s="2"/>
      <c r="H49" s="2" t="s">
        <v>230</v>
      </c>
    </row>
    <row r="50" spans="1:8" x14ac:dyDescent="0.25">
      <c r="A50" s="11"/>
      <c r="B50" s="28" t="s">
        <v>217</v>
      </c>
      <c r="C50" s="12"/>
      <c r="D50" s="12">
        <v>2</v>
      </c>
      <c r="E50" s="2">
        <v>0</v>
      </c>
      <c r="F50" s="2"/>
      <c r="G50" s="2">
        <v>2</v>
      </c>
      <c r="H50" s="2" t="s">
        <v>231</v>
      </c>
    </row>
    <row r="51" spans="1:8" x14ac:dyDescent="0.25">
      <c r="A51" s="24">
        <v>4</v>
      </c>
      <c r="B51" s="4" t="s">
        <v>194</v>
      </c>
      <c r="C51" s="12" t="s">
        <v>195</v>
      </c>
      <c r="D51" s="29">
        <v>1</v>
      </c>
      <c r="E51" s="29">
        <v>1</v>
      </c>
      <c r="F51" s="2"/>
      <c r="G51" s="2"/>
      <c r="H51" s="2"/>
    </row>
    <row r="52" spans="1:8" x14ac:dyDescent="0.25">
      <c r="A52" s="24">
        <v>5</v>
      </c>
      <c r="B52" s="4" t="s">
        <v>199</v>
      </c>
      <c r="C52" s="12" t="s">
        <v>200</v>
      </c>
      <c r="D52" s="29">
        <f>SUM(D53:D56)</f>
        <v>4</v>
      </c>
      <c r="E52" s="29">
        <f>SUM(E53:E56)</f>
        <v>3</v>
      </c>
      <c r="F52" s="2"/>
      <c r="G52" s="2"/>
      <c r="H52" s="2"/>
    </row>
    <row r="53" spans="1:8" x14ac:dyDescent="0.25">
      <c r="A53" s="30"/>
      <c r="B53" s="12" t="s">
        <v>224</v>
      </c>
      <c r="C53" s="12"/>
      <c r="D53" s="12">
        <v>1</v>
      </c>
      <c r="E53" s="2">
        <v>1</v>
      </c>
      <c r="F53" s="2">
        <v>1</v>
      </c>
      <c r="G53" s="2"/>
      <c r="H53" s="2" t="s">
        <v>233</v>
      </c>
    </row>
    <row r="54" spans="1:8" x14ac:dyDescent="0.25">
      <c r="A54" s="30"/>
      <c r="B54" s="12" t="s">
        <v>225</v>
      </c>
      <c r="C54" s="12"/>
      <c r="D54" s="12">
        <v>1</v>
      </c>
      <c r="E54" s="2">
        <v>1</v>
      </c>
      <c r="F54" s="2">
        <v>1</v>
      </c>
      <c r="G54" s="2"/>
      <c r="H54" s="2" t="s">
        <v>234</v>
      </c>
    </row>
    <row r="55" spans="1:8" x14ac:dyDescent="0.25">
      <c r="A55" s="30"/>
      <c r="B55" s="12" t="s">
        <v>226</v>
      </c>
      <c r="C55" s="12"/>
      <c r="D55" s="12">
        <v>1</v>
      </c>
      <c r="E55" s="2">
        <v>1</v>
      </c>
      <c r="F55" s="2"/>
      <c r="G55" s="2"/>
      <c r="H55" s="2"/>
    </row>
    <row r="56" spans="1:8" x14ac:dyDescent="0.25">
      <c r="A56" s="30"/>
      <c r="B56" s="12" t="s">
        <v>227</v>
      </c>
      <c r="C56" s="12"/>
      <c r="D56" s="12">
        <v>1</v>
      </c>
      <c r="E56" s="2"/>
      <c r="F56" s="2"/>
      <c r="G56" s="2"/>
      <c r="H56" s="2" t="s">
        <v>232</v>
      </c>
    </row>
    <row r="57" spans="1:8" x14ac:dyDescent="0.25">
      <c r="A57" s="101" t="s">
        <v>201</v>
      </c>
      <c r="B57" s="101"/>
      <c r="C57" s="101"/>
      <c r="D57" s="29">
        <f>D52+D51+D47+D46+D45</f>
        <v>13</v>
      </c>
      <c r="E57" s="29">
        <f>E52+E51+E47+E46+E45</f>
        <v>9</v>
      </c>
      <c r="F57" s="2"/>
      <c r="G57" s="2"/>
      <c r="H57" s="2"/>
    </row>
    <row r="59" spans="1:8" x14ac:dyDescent="0.25">
      <c r="A59" s="104" t="s">
        <v>236</v>
      </c>
      <c r="B59" s="104"/>
      <c r="C59" s="104"/>
      <c r="D59" s="104"/>
      <c r="E59" s="104"/>
      <c r="F59" s="104"/>
      <c r="G59" s="104"/>
      <c r="H59" s="104"/>
    </row>
    <row r="60" spans="1:8" x14ac:dyDescent="0.25">
      <c r="A60" s="103" t="s">
        <v>185</v>
      </c>
      <c r="B60" s="103" t="s">
        <v>186</v>
      </c>
      <c r="C60" s="103" t="s">
        <v>187</v>
      </c>
      <c r="D60" s="103" t="s">
        <v>188</v>
      </c>
      <c r="E60" s="103" t="s">
        <v>202</v>
      </c>
      <c r="F60" s="104" t="s">
        <v>203</v>
      </c>
      <c r="G60" s="104"/>
      <c r="H60" s="104" t="s">
        <v>210</v>
      </c>
    </row>
    <row r="61" spans="1:8" x14ac:dyDescent="0.25">
      <c r="A61" s="103"/>
      <c r="B61" s="103"/>
      <c r="C61" s="103"/>
      <c r="D61" s="103"/>
      <c r="E61" s="103"/>
      <c r="F61" s="27" t="s">
        <v>204</v>
      </c>
      <c r="G61" s="27" t="s">
        <v>205</v>
      </c>
      <c r="H61" s="104"/>
    </row>
    <row r="62" spans="1:8" x14ac:dyDescent="0.25">
      <c r="A62" s="24">
        <v>1</v>
      </c>
      <c r="B62" s="4" t="s">
        <v>189</v>
      </c>
      <c r="C62" s="12" t="s">
        <v>190</v>
      </c>
      <c r="D62" s="29">
        <v>1</v>
      </c>
      <c r="E62" s="3">
        <v>1</v>
      </c>
      <c r="F62" s="2"/>
      <c r="G62" s="2"/>
      <c r="H62" s="2"/>
    </row>
    <row r="63" spans="1:8" x14ac:dyDescent="0.25">
      <c r="A63" s="24">
        <v>2</v>
      </c>
      <c r="B63" s="4" t="s">
        <v>191</v>
      </c>
      <c r="C63" s="12" t="s">
        <v>192</v>
      </c>
      <c r="D63" s="29">
        <v>1</v>
      </c>
      <c r="E63" s="25"/>
      <c r="F63" s="2">
        <v>1</v>
      </c>
      <c r="G63" s="2"/>
      <c r="H63" s="2"/>
    </row>
    <row r="64" spans="1:8" x14ac:dyDescent="0.25">
      <c r="A64" s="24">
        <v>3</v>
      </c>
      <c r="B64" s="4" t="s">
        <v>193</v>
      </c>
      <c r="C64" s="12" t="s">
        <v>192</v>
      </c>
      <c r="D64" s="29">
        <f>SUM(D65:D67)</f>
        <v>5</v>
      </c>
      <c r="E64" s="29">
        <f>SUM(E65:E67)</f>
        <v>7</v>
      </c>
      <c r="F64" s="2"/>
      <c r="G64" s="2"/>
      <c r="H64" s="2"/>
    </row>
    <row r="65" spans="1:8" x14ac:dyDescent="0.25">
      <c r="A65" s="11"/>
      <c r="B65" s="28" t="s">
        <v>207</v>
      </c>
      <c r="C65" s="12"/>
      <c r="D65" s="12">
        <v>4</v>
      </c>
      <c r="E65" s="2">
        <v>4</v>
      </c>
      <c r="F65" s="2"/>
      <c r="G65" s="2"/>
      <c r="H65" s="2"/>
    </row>
    <row r="66" spans="1:8" x14ac:dyDescent="0.25">
      <c r="A66" s="11"/>
      <c r="B66" s="28" t="s">
        <v>237</v>
      </c>
      <c r="C66" s="12"/>
      <c r="D66" s="12">
        <v>1</v>
      </c>
      <c r="E66" s="2">
        <v>1</v>
      </c>
      <c r="F66" s="2"/>
      <c r="G66" s="2"/>
      <c r="H66" s="2"/>
    </row>
    <row r="67" spans="1:8" x14ac:dyDescent="0.25">
      <c r="A67" s="11"/>
      <c r="B67" s="28" t="s">
        <v>217</v>
      </c>
      <c r="C67" s="12"/>
      <c r="D67" s="12"/>
      <c r="E67" s="2">
        <v>2</v>
      </c>
      <c r="F67" s="2"/>
      <c r="G67" s="4" t="s">
        <v>238</v>
      </c>
      <c r="H67" s="2" t="s">
        <v>238</v>
      </c>
    </row>
    <row r="68" spans="1:8" x14ac:dyDescent="0.25">
      <c r="A68" s="24">
        <v>4</v>
      </c>
      <c r="B68" s="4" t="s">
        <v>194</v>
      </c>
      <c r="C68" s="12" t="s">
        <v>195</v>
      </c>
      <c r="D68" s="29">
        <v>1</v>
      </c>
      <c r="E68" s="29">
        <v>1</v>
      </c>
      <c r="F68" s="2"/>
      <c r="G68" s="2"/>
      <c r="H68" s="2"/>
    </row>
    <row r="69" spans="1:8" x14ac:dyDescent="0.25">
      <c r="A69" s="24">
        <v>5</v>
      </c>
      <c r="B69" s="4" t="s">
        <v>199</v>
      </c>
      <c r="C69" s="12" t="s">
        <v>200</v>
      </c>
      <c r="D69" s="29">
        <f>SUM(D70:D74)</f>
        <v>5</v>
      </c>
      <c r="E69" s="29">
        <f>SUM(E70:E74)</f>
        <v>4</v>
      </c>
      <c r="F69" s="2"/>
      <c r="G69" s="2"/>
      <c r="H69" s="2"/>
    </row>
    <row r="70" spans="1:8" x14ac:dyDescent="0.25">
      <c r="A70" s="30"/>
      <c r="B70" s="12" t="s">
        <v>224</v>
      </c>
      <c r="C70" s="12"/>
      <c r="D70" s="12">
        <v>1</v>
      </c>
      <c r="E70" s="2">
        <v>1</v>
      </c>
      <c r="F70" s="2"/>
      <c r="G70" s="2"/>
      <c r="H70" s="2"/>
    </row>
    <row r="71" spans="1:8" x14ac:dyDescent="0.25">
      <c r="A71" s="30"/>
      <c r="B71" s="12" t="s">
        <v>225</v>
      </c>
      <c r="C71" s="12"/>
      <c r="D71" s="12">
        <v>1</v>
      </c>
      <c r="E71" s="2"/>
      <c r="F71" s="2">
        <v>1</v>
      </c>
      <c r="G71" s="2"/>
      <c r="H71" s="2"/>
    </row>
    <row r="72" spans="1:8" x14ac:dyDescent="0.25">
      <c r="A72" s="30"/>
      <c r="B72" s="12" t="s">
        <v>226</v>
      </c>
      <c r="C72" s="12"/>
      <c r="D72" s="12">
        <v>1</v>
      </c>
      <c r="E72" s="2">
        <v>1</v>
      </c>
      <c r="F72" s="2"/>
      <c r="G72" s="2"/>
      <c r="H72" s="2"/>
    </row>
    <row r="73" spans="1:8" x14ac:dyDescent="0.25">
      <c r="A73" s="30"/>
      <c r="B73" s="12" t="s">
        <v>227</v>
      </c>
      <c r="C73" s="12"/>
      <c r="D73" s="12">
        <v>1</v>
      </c>
      <c r="E73" s="2">
        <v>1</v>
      </c>
      <c r="F73" s="2"/>
      <c r="G73" s="2"/>
      <c r="H73" s="2"/>
    </row>
    <row r="74" spans="1:8" x14ac:dyDescent="0.25">
      <c r="A74" s="30"/>
      <c r="B74" s="12" t="s">
        <v>239</v>
      </c>
      <c r="C74" s="12"/>
      <c r="D74" s="12">
        <v>1</v>
      </c>
      <c r="E74" s="2">
        <v>1</v>
      </c>
      <c r="F74" s="2"/>
      <c r="G74" s="2"/>
      <c r="H74" s="2"/>
    </row>
    <row r="75" spans="1:8" x14ac:dyDescent="0.25">
      <c r="A75" s="101" t="s">
        <v>201</v>
      </c>
      <c r="B75" s="101"/>
      <c r="C75" s="101"/>
      <c r="D75" s="29">
        <f>D69+D68+D64+D63+D62</f>
        <v>13</v>
      </c>
      <c r="E75" s="29">
        <f>E69+E68+E64+E63+E62</f>
        <v>13</v>
      </c>
      <c r="F75" s="2"/>
      <c r="G75" s="2"/>
      <c r="H75" s="2"/>
    </row>
    <row r="77" spans="1:8" x14ac:dyDescent="0.25">
      <c r="A77" s="104" t="s">
        <v>240</v>
      </c>
      <c r="B77" s="104"/>
      <c r="C77" s="104"/>
      <c r="D77" s="104"/>
      <c r="E77" s="104"/>
      <c r="F77" s="104"/>
      <c r="G77" s="104"/>
      <c r="H77" s="104"/>
    </row>
    <row r="78" spans="1:8" x14ac:dyDescent="0.25">
      <c r="A78" s="103" t="s">
        <v>185</v>
      </c>
      <c r="B78" s="103" t="s">
        <v>186</v>
      </c>
      <c r="C78" s="103" t="s">
        <v>187</v>
      </c>
      <c r="D78" s="103" t="s">
        <v>188</v>
      </c>
      <c r="E78" s="103" t="s">
        <v>202</v>
      </c>
      <c r="F78" s="104" t="s">
        <v>203</v>
      </c>
      <c r="G78" s="104"/>
      <c r="H78" s="104" t="s">
        <v>210</v>
      </c>
    </row>
    <row r="79" spans="1:8" x14ac:dyDescent="0.25">
      <c r="A79" s="103"/>
      <c r="B79" s="103"/>
      <c r="C79" s="103"/>
      <c r="D79" s="103"/>
      <c r="E79" s="103"/>
      <c r="F79" s="27" t="s">
        <v>204</v>
      </c>
      <c r="G79" s="27" t="s">
        <v>205</v>
      </c>
      <c r="H79" s="104"/>
    </row>
    <row r="80" spans="1:8" x14ac:dyDescent="0.25">
      <c r="A80" s="24">
        <v>1</v>
      </c>
      <c r="B80" s="4" t="s">
        <v>189</v>
      </c>
      <c r="C80" s="12" t="s">
        <v>190</v>
      </c>
      <c r="D80" s="29">
        <v>1</v>
      </c>
      <c r="E80" s="3">
        <v>1</v>
      </c>
      <c r="F80" s="2"/>
      <c r="G80" s="2"/>
      <c r="H80" s="2"/>
    </row>
    <row r="81" spans="1:8" x14ac:dyDescent="0.25">
      <c r="A81" s="24">
        <v>2</v>
      </c>
      <c r="B81" s="4" t="s">
        <v>191</v>
      </c>
      <c r="C81" s="12" t="s">
        <v>192</v>
      </c>
      <c r="D81" s="29">
        <v>1</v>
      </c>
      <c r="E81" s="25"/>
      <c r="F81" s="2">
        <v>1</v>
      </c>
      <c r="G81" s="2"/>
      <c r="H81" s="2"/>
    </row>
    <row r="82" spans="1:8" x14ac:dyDescent="0.25">
      <c r="A82" s="24">
        <v>3</v>
      </c>
      <c r="B82" s="4" t="s">
        <v>193</v>
      </c>
      <c r="C82" s="12" t="s">
        <v>192</v>
      </c>
      <c r="D82" s="29">
        <f>SUM(D83:D85)</f>
        <v>5</v>
      </c>
      <c r="E82" s="29">
        <f>SUM(E83:E85)</f>
        <v>3</v>
      </c>
      <c r="F82" s="2"/>
      <c r="G82" s="2"/>
      <c r="H82" s="2"/>
    </row>
    <row r="83" spans="1:8" x14ac:dyDescent="0.25">
      <c r="A83" s="11"/>
      <c r="B83" s="28" t="s">
        <v>207</v>
      </c>
      <c r="C83" s="12"/>
      <c r="D83" s="12">
        <v>2</v>
      </c>
      <c r="E83" s="2">
        <v>1</v>
      </c>
      <c r="F83" s="2">
        <v>1</v>
      </c>
      <c r="G83" s="2"/>
      <c r="H83" s="2"/>
    </row>
    <row r="84" spans="1:8" x14ac:dyDescent="0.25">
      <c r="A84" s="11"/>
      <c r="B84" s="28" t="s">
        <v>241</v>
      </c>
      <c r="C84" s="12"/>
      <c r="D84" s="12">
        <v>1</v>
      </c>
      <c r="E84" s="2"/>
      <c r="F84" s="2">
        <v>1</v>
      </c>
      <c r="G84" s="2"/>
      <c r="H84" s="2"/>
    </row>
    <row r="85" spans="1:8" x14ac:dyDescent="0.25">
      <c r="A85" s="11"/>
      <c r="B85" s="28" t="s">
        <v>217</v>
      </c>
      <c r="C85" s="12"/>
      <c r="D85" s="12">
        <v>2</v>
      </c>
      <c r="E85" s="2">
        <v>2</v>
      </c>
      <c r="F85" s="2"/>
      <c r="G85" s="2"/>
      <c r="H85" s="2"/>
    </row>
    <row r="86" spans="1:8" x14ac:dyDescent="0.25">
      <c r="A86" s="24">
        <v>4</v>
      </c>
      <c r="B86" s="4" t="s">
        <v>194</v>
      </c>
      <c r="C86" s="12" t="s">
        <v>195</v>
      </c>
      <c r="D86" s="29">
        <v>1</v>
      </c>
      <c r="E86" s="29">
        <v>1</v>
      </c>
      <c r="F86" s="2"/>
      <c r="G86" s="2"/>
      <c r="H86" s="2"/>
    </row>
    <row r="87" spans="1:8" x14ac:dyDescent="0.25">
      <c r="A87" s="24">
        <v>5</v>
      </c>
      <c r="B87" s="4" t="s">
        <v>199</v>
      </c>
      <c r="C87" s="12" t="s">
        <v>200</v>
      </c>
      <c r="D87" s="29">
        <f>SUM(D88:D92)</f>
        <v>5</v>
      </c>
      <c r="E87" s="29">
        <f>SUM(E88:E92)</f>
        <v>3</v>
      </c>
      <c r="F87" s="2"/>
      <c r="G87" s="2"/>
      <c r="H87" s="2"/>
    </row>
    <row r="88" spans="1:8" x14ac:dyDescent="0.25">
      <c r="A88" s="30"/>
      <c r="B88" s="12" t="s">
        <v>224</v>
      </c>
      <c r="C88" s="12"/>
      <c r="D88" s="12">
        <v>1</v>
      </c>
      <c r="E88" s="2"/>
      <c r="F88" s="2"/>
      <c r="G88" s="2"/>
      <c r="H88" s="2" t="s">
        <v>243</v>
      </c>
    </row>
    <row r="89" spans="1:8" x14ac:dyDescent="0.25">
      <c r="A89" s="30"/>
      <c r="B89" s="12" t="s">
        <v>225</v>
      </c>
      <c r="C89" s="12"/>
      <c r="D89" s="12">
        <v>1</v>
      </c>
      <c r="E89" s="2"/>
      <c r="F89" s="2"/>
      <c r="G89" s="2"/>
      <c r="H89" s="2" t="s">
        <v>243</v>
      </c>
    </row>
    <row r="90" spans="1:8" x14ac:dyDescent="0.25">
      <c r="A90" s="30"/>
      <c r="B90" s="12" t="s">
        <v>226</v>
      </c>
      <c r="C90" s="12"/>
      <c r="D90" s="12">
        <v>1</v>
      </c>
      <c r="E90" s="2">
        <v>1</v>
      </c>
      <c r="F90" s="2"/>
      <c r="G90" s="2"/>
      <c r="H90" s="2"/>
    </row>
    <row r="91" spans="1:8" x14ac:dyDescent="0.25">
      <c r="A91" s="30"/>
      <c r="B91" s="12" t="s">
        <v>227</v>
      </c>
      <c r="C91" s="12"/>
      <c r="D91" s="12">
        <v>1</v>
      </c>
      <c r="E91" s="2">
        <v>1</v>
      </c>
      <c r="F91" s="2"/>
      <c r="G91" s="2"/>
      <c r="H91" s="2"/>
    </row>
    <row r="92" spans="1:8" x14ac:dyDescent="0.25">
      <c r="A92" s="30"/>
      <c r="B92" s="12" t="s">
        <v>242</v>
      </c>
      <c r="C92" s="12"/>
      <c r="D92" s="12">
        <v>1</v>
      </c>
      <c r="E92" s="2">
        <v>1</v>
      </c>
      <c r="F92" s="2"/>
      <c r="G92" s="2"/>
      <c r="H92" s="2"/>
    </row>
    <row r="93" spans="1:8" x14ac:dyDescent="0.25">
      <c r="A93" s="101" t="s">
        <v>201</v>
      </c>
      <c r="B93" s="101"/>
      <c r="C93" s="101"/>
      <c r="D93" s="29">
        <f>D87+D86+D82+D81+D80</f>
        <v>13</v>
      </c>
      <c r="E93" s="29">
        <f>E87+E86+E82+E81+E80</f>
        <v>8</v>
      </c>
      <c r="F93" s="2"/>
      <c r="G93" s="2"/>
      <c r="H93" s="2"/>
    </row>
    <row r="95" spans="1:8" x14ac:dyDescent="0.25">
      <c r="A95" s="105" t="s">
        <v>244</v>
      </c>
      <c r="B95" s="115"/>
      <c r="C95" s="115"/>
      <c r="D95" s="115"/>
      <c r="E95" s="115"/>
      <c r="F95" s="115"/>
      <c r="G95" s="115"/>
      <c r="H95" s="106"/>
    </row>
    <row r="96" spans="1:8" x14ac:dyDescent="0.25">
      <c r="A96" s="107" t="s">
        <v>185</v>
      </c>
      <c r="B96" s="107" t="s">
        <v>186</v>
      </c>
      <c r="C96" s="107" t="s">
        <v>187</v>
      </c>
      <c r="D96" s="107" t="s">
        <v>188</v>
      </c>
      <c r="E96" s="107" t="s">
        <v>202</v>
      </c>
      <c r="F96" s="105" t="s">
        <v>203</v>
      </c>
      <c r="G96" s="106"/>
      <c r="H96" s="109" t="s">
        <v>210</v>
      </c>
    </row>
    <row r="97" spans="1:8" x14ac:dyDescent="0.25">
      <c r="A97" s="108"/>
      <c r="B97" s="108"/>
      <c r="C97" s="108"/>
      <c r="D97" s="108"/>
      <c r="E97" s="108"/>
      <c r="F97" s="31" t="s">
        <v>204</v>
      </c>
      <c r="G97" s="31" t="s">
        <v>205</v>
      </c>
      <c r="H97" s="110"/>
    </row>
    <row r="98" spans="1:8" x14ac:dyDescent="0.25">
      <c r="A98" s="24">
        <v>1</v>
      </c>
      <c r="B98" s="4" t="s">
        <v>189</v>
      </c>
      <c r="C98" s="12" t="s">
        <v>190</v>
      </c>
      <c r="D98" s="29">
        <v>1</v>
      </c>
      <c r="E98" s="3">
        <v>1</v>
      </c>
      <c r="F98" s="2"/>
      <c r="G98" s="2"/>
      <c r="H98" s="2"/>
    </row>
    <row r="99" spans="1:8" x14ac:dyDescent="0.25">
      <c r="A99" s="24">
        <v>2</v>
      </c>
      <c r="B99" s="4" t="s">
        <v>191</v>
      </c>
      <c r="C99" s="12" t="s">
        <v>192</v>
      </c>
      <c r="D99" s="29">
        <v>1</v>
      </c>
      <c r="E99" s="25"/>
      <c r="F99" s="2">
        <v>1</v>
      </c>
      <c r="G99" s="2"/>
      <c r="H99" s="2"/>
    </row>
    <row r="100" spans="1:8" x14ac:dyDescent="0.25">
      <c r="A100" s="24">
        <v>3</v>
      </c>
      <c r="B100" s="4" t="s">
        <v>193</v>
      </c>
      <c r="C100" s="12" t="s">
        <v>192</v>
      </c>
      <c r="D100" s="29">
        <f>SUM(D101:D103)</f>
        <v>4</v>
      </c>
      <c r="E100" s="29">
        <f>SUM(E101:E103)</f>
        <v>4</v>
      </c>
      <c r="F100" s="2"/>
      <c r="G100" s="2"/>
      <c r="H100" s="2"/>
    </row>
    <row r="101" spans="1:8" x14ac:dyDescent="0.25">
      <c r="A101" s="11"/>
      <c r="B101" s="28" t="s">
        <v>207</v>
      </c>
      <c r="C101" s="12"/>
      <c r="D101" s="12">
        <v>2</v>
      </c>
      <c r="E101" s="2">
        <v>2</v>
      </c>
      <c r="F101" s="2"/>
      <c r="G101" s="2"/>
      <c r="H101" s="2"/>
    </row>
    <row r="102" spans="1:8" x14ac:dyDescent="0.25">
      <c r="A102" s="11"/>
      <c r="B102" s="28" t="s">
        <v>101</v>
      </c>
      <c r="C102" s="12"/>
      <c r="D102" s="12">
        <v>1</v>
      </c>
      <c r="E102" s="2"/>
      <c r="F102" s="2">
        <v>1</v>
      </c>
      <c r="G102" s="2"/>
      <c r="H102" s="2"/>
    </row>
    <row r="103" spans="1:8" x14ac:dyDescent="0.25">
      <c r="A103" s="11"/>
      <c r="B103" s="28" t="s">
        <v>217</v>
      </c>
      <c r="C103" s="12"/>
      <c r="D103" s="12">
        <v>1</v>
      </c>
      <c r="E103" s="2">
        <v>2</v>
      </c>
      <c r="F103" s="2"/>
      <c r="G103" s="2"/>
      <c r="H103" s="2"/>
    </row>
    <row r="104" spans="1:8" x14ac:dyDescent="0.25">
      <c r="A104" s="24">
        <v>4</v>
      </c>
      <c r="B104" s="4" t="s">
        <v>194</v>
      </c>
      <c r="C104" s="12" t="s">
        <v>195</v>
      </c>
      <c r="D104" s="29">
        <v>1</v>
      </c>
      <c r="E104" s="29">
        <v>1</v>
      </c>
      <c r="F104" s="2"/>
      <c r="G104" s="2"/>
      <c r="H104" s="2"/>
    </row>
    <row r="105" spans="1:8" x14ac:dyDescent="0.25">
      <c r="A105" s="24">
        <v>5</v>
      </c>
      <c r="B105" s="4" t="s">
        <v>199</v>
      </c>
      <c r="C105" s="12" t="s">
        <v>200</v>
      </c>
      <c r="D105" s="29">
        <f>SUM(D106:D109)</f>
        <v>4</v>
      </c>
      <c r="E105" s="29">
        <f>SUM(E106:E109)</f>
        <v>3</v>
      </c>
      <c r="F105" s="2"/>
      <c r="G105" s="2"/>
      <c r="H105" s="2"/>
    </row>
    <row r="106" spans="1:8" x14ac:dyDescent="0.25">
      <c r="A106" s="30"/>
      <c r="B106" s="12" t="s">
        <v>224</v>
      </c>
      <c r="C106" s="12"/>
      <c r="D106" s="12">
        <v>1</v>
      </c>
      <c r="E106" s="2">
        <v>1</v>
      </c>
      <c r="F106" s="2"/>
      <c r="G106" s="2"/>
      <c r="H106" s="2"/>
    </row>
    <row r="107" spans="1:8" x14ac:dyDescent="0.25">
      <c r="A107" s="30"/>
      <c r="B107" s="12" t="s">
        <v>225</v>
      </c>
      <c r="C107" s="12"/>
      <c r="D107" s="12">
        <v>1</v>
      </c>
      <c r="E107" s="2">
        <v>1</v>
      </c>
      <c r="F107" s="2"/>
      <c r="G107" s="2"/>
      <c r="H107" s="2"/>
    </row>
    <row r="108" spans="1:8" x14ac:dyDescent="0.25">
      <c r="A108" s="30"/>
      <c r="B108" s="12" t="s">
        <v>226</v>
      </c>
      <c r="C108" s="12"/>
      <c r="D108" s="12">
        <v>1</v>
      </c>
      <c r="E108" s="2"/>
      <c r="F108" s="2"/>
      <c r="G108" s="2"/>
      <c r="H108" s="2" t="s">
        <v>245</v>
      </c>
    </row>
    <row r="109" spans="1:8" x14ac:dyDescent="0.25">
      <c r="A109" s="30"/>
      <c r="B109" s="12" t="s">
        <v>227</v>
      </c>
      <c r="C109" s="12"/>
      <c r="D109" s="12">
        <v>1</v>
      </c>
      <c r="E109" s="2">
        <v>1</v>
      </c>
      <c r="F109" s="2"/>
      <c r="G109" s="2"/>
      <c r="H109" s="2"/>
    </row>
    <row r="110" spans="1:8" x14ac:dyDescent="0.25">
      <c r="A110" s="113" t="s">
        <v>201</v>
      </c>
      <c r="B110" s="114"/>
      <c r="C110" s="118"/>
      <c r="D110" s="29">
        <f>D105+D104+D100+D99+D98</f>
        <v>11</v>
      </c>
      <c r="E110" s="29">
        <f>E105+E104+E100+E99+E98</f>
        <v>9</v>
      </c>
      <c r="F110" s="2"/>
      <c r="G110" s="2"/>
      <c r="H110" s="2"/>
    </row>
    <row r="112" spans="1:8" x14ac:dyDescent="0.25">
      <c r="A112" s="105" t="s">
        <v>246</v>
      </c>
      <c r="B112" s="115"/>
      <c r="C112" s="115"/>
      <c r="D112" s="115"/>
      <c r="E112" s="115"/>
      <c r="F112" s="115"/>
      <c r="G112" s="115"/>
      <c r="H112" s="106"/>
    </row>
    <row r="113" spans="1:8" x14ac:dyDescent="0.25">
      <c r="A113" s="107" t="s">
        <v>185</v>
      </c>
      <c r="B113" s="107" t="s">
        <v>186</v>
      </c>
      <c r="C113" s="107" t="s">
        <v>187</v>
      </c>
      <c r="D113" s="107" t="s">
        <v>188</v>
      </c>
      <c r="E113" s="107" t="s">
        <v>202</v>
      </c>
      <c r="F113" s="105" t="s">
        <v>203</v>
      </c>
      <c r="G113" s="106"/>
      <c r="H113" s="109" t="s">
        <v>210</v>
      </c>
    </row>
    <row r="114" spans="1:8" x14ac:dyDescent="0.25">
      <c r="A114" s="108"/>
      <c r="B114" s="108"/>
      <c r="C114" s="108"/>
      <c r="D114" s="108"/>
      <c r="E114" s="108"/>
      <c r="F114" s="31" t="s">
        <v>204</v>
      </c>
      <c r="G114" s="31" t="s">
        <v>205</v>
      </c>
      <c r="H114" s="110"/>
    </row>
    <row r="115" spans="1:8" x14ac:dyDescent="0.25">
      <c r="A115" s="24">
        <v>1</v>
      </c>
      <c r="B115" s="4" t="s">
        <v>189</v>
      </c>
      <c r="C115" s="12" t="s">
        <v>190</v>
      </c>
      <c r="D115" s="29">
        <v>1</v>
      </c>
      <c r="E115" s="3">
        <v>1</v>
      </c>
      <c r="F115" s="2"/>
      <c r="G115" s="2"/>
      <c r="H115" s="2"/>
    </row>
    <row r="116" spans="1:8" x14ac:dyDescent="0.25">
      <c r="A116" s="24">
        <v>2</v>
      </c>
      <c r="B116" s="4" t="s">
        <v>191</v>
      </c>
      <c r="C116" s="12" t="s">
        <v>192</v>
      </c>
      <c r="D116" s="29">
        <v>1</v>
      </c>
      <c r="E116" s="29">
        <v>1</v>
      </c>
      <c r="F116" s="2"/>
      <c r="G116" s="2"/>
      <c r="H116" s="2"/>
    </row>
    <row r="117" spans="1:8" x14ac:dyDescent="0.25">
      <c r="A117" s="24">
        <v>3</v>
      </c>
      <c r="B117" s="4" t="s">
        <v>193</v>
      </c>
      <c r="C117" s="12" t="s">
        <v>192</v>
      </c>
      <c r="D117" s="29">
        <f>SUM(D118:D120)</f>
        <v>7</v>
      </c>
      <c r="E117" s="29">
        <f>SUM(E118:E120)</f>
        <v>8</v>
      </c>
      <c r="F117" s="2"/>
      <c r="G117" s="2"/>
      <c r="H117" s="2"/>
    </row>
    <row r="118" spans="1:8" x14ac:dyDescent="0.25">
      <c r="A118" s="11"/>
      <c r="B118" s="28" t="s">
        <v>207</v>
      </c>
      <c r="C118" s="12"/>
      <c r="D118" s="12">
        <v>3</v>
      </c>
      <c r="E118" s="2">
        <v>4</v>
      </c>
      <c r="F118" s="2"/>
      <c r="G118" s="2"/>
      <c r="H118" s="2" t="s">
        <v>249</v>
      </c>
    </row>
    <row r="119" spans="1:8" x14ac:dyDescent="0.25">
      <c r="A119" s="11"/>
      <c r="B119" s="28" t="s">
        <v>101</v>
      </c>
      <c r="C119" s="12"/>
      <c r="D119" s="12">
        <v>2</v>
      </c>
      <c r="E119" s="2">
        <v>2</v>
      </c>
      <c r="F119" s="2"/>
      <c r="G119" s="2"/>
      <c r="H119" s="2"/>
    </row>
    <row r="120" spans="1:8" x14ac:dyDescent="0.25">
      <c r="A120" s="11"/>
      <c r="B120" s="28" t="s">
        <v>217</v>
      </c>
      <c r="C120" s="12"/>
      <c r="D120" s="12">
        <v>2</v>
      </c>
      <c r="E120" s="2">
        <v>2</v>
      </c>
      <c r="F120" s="2"/>
      <c r="G120" s="2"/>
      <c r="H120" s="2"/>
    </row>
    <row r="121" spans="1:8" x14ac:dyDescent="0.25">
      <c r="A121" s="24">
        <v>4</v>
      </c>
      <c r="B121" s="4" t="s">
        <v>194</v>
      </c>
      <c r="C121" s="12" t="s">
        <v>195</v>
      </c>
      <c r="D121" s="29">
        <v>1</v>
      </c>
      <c r="E121" s="29">
        <v>1</v>
      </c>
      <c r="F121" s="2"/>
      <c r="G121" s="2"/>
      <c r="H121" s="2"/>
    </row>
    <row r="122" spans="1:8" x14ac:dyDescent="0.25">
      <c r="A122" s="24">
        <v>5</v>
      </c>
      <c r="B122" s="4" t="s">
        <v>199</v>
      </c>
      <c r="C122" s="12" t="s">
        <v>200</v>
      </c>
      <c r="D122" s="29">
        <f>SUM(D123:D126)</f>
        <v>8</v>
      </c>
      <c r="E122" s="29">
        <f>SUM(E123:E126)</f>
        <v>7</v>
      </c>
      <c r="F122" s="2"/>
      <c r="G122" s="2"/>
      <c r="H122" s="2"/>
    </row>
    <row r="123" spans="1:8" x14ac:dyDescent="0.25">
      <c r="A123" s="30"/>
      <c r="B123" s="12" t="s">
        <v>224</v>
      </c>
      <c r="C123" s="12"/>
      <c r="D123" s="12">
        <v>2</v>
      </c>
      <c r="E123" s="2">
        <v>1</v>
      </c>
      <c r="F123" s="2"/>
      <c r="G123" s="2"/>
      <c r="H123" s="2" t="s">
        <v>248</v>
      </c>
    </row>
    <row r="124" spans="1:8" x14ac:dyDescent="0.25">
      <c r="A124" s="30"/>
      <c r="B124" s="12" t="s">
        <v>225</v>
      </c>
      <c r="C124" s="12"/>
      <c r="D124" s="12">
        <v>2</v>
      </c>
      <c r="E124" s="2">
        <v>2</v>
      </c>
      <c r="F124" s="2"/>
      <c r="G124" s="2"/>
      <c r="H124" s="2" t="s">
        <v>247</v>
      </c>
    </row>
    <row r="125" spans="1:8" x14ac:dyDescent="0.25">
      <c r="A125" s="30"/>
      <c r="B125" s="12" t="s">
        <v>226</v>
      </c>
      <c r="C125" s="12"/>
      <c r="D125" s="12">
        <v>2</v>
      </c>
      <c r="E125" s="2">
        <v>2</v>
      </c>
      <c r="F125" s="2"/>
      <c r="G125" s="2"/>
      <c r="H125" s="2"/>
    </row>
    <row r="126" spans="1:8" x14ac:dyDescent="0.25">
      <c r="A126" s="30"/>
      <c r="B126" s="12" t="s">
        <v>227</v>
      </c>
      <c r="C126" s="12"/>
      <c r="D126" s="12">
        <v>2</v>
      </c>
      <c r="E126" s="2">
        <v>2</v>
      </c>
      <c r="F126" s="2"/>
      <c r="G126" s="2"/>
      <c r="H126" s="2"/>
    </row>
    <row r="127" spans="1:8" x14ac:dyDescent="0.25">
      <c r="A127" s="113" t="s">
        <v>201</v>
      </c>
      <c r="B127" s="114"/>
      <c r="C127" s="118"/>
      <c r="D127" s="29">
        <f>D122+D121+D117+D116+D115</f>
        <v>18</v>
      </c>
      <c r="E127" s="29">
        <f>E122+E121+E117+E116+E115</f>
        <v>18</v>
      </c>
      <c r="F127" s="2"/>
      <c r="G127" s="2"/>
      <c r="H127" s="2"/>
    </row>
    <row r="129" spans="1:8" x14ac:dyDescent="0.25">
      <c r="A129" s="105" t="s">
        <v>250</v>
      </c>
      <c r="B129" s="115"/>
      <c r="C129" s="115"/>
      <c r="D129" s="115"/>
      <c r="E129" s="115"/>
      <c r="F129" s="115"/>
      <c r="G129" s="115"/>
      <c r="H129" s="106"/>
    </row>
    <row r="130" spans="1:8" x14ac:dyDescent="0.25">
      <c r="A130" s="107" t="s">
        <v>185</v>
      </c>
      <c r="B130" s="107" t="s">
        <v>186</v>
      </c>
      <c r="C130" s="107" t="s">
        <v>187</v>
      </c>
      <c r="D130" s="107" t="s">
        <v>188</v>
      </c>
      <c r="E130" s="107" t="s">
        <v>202</v>
      </c>
      <c r="F130" s="105" t="s">
        <v>203</v>
      </c>
      <c r="G130" s="106"/>
      <c r="H130" s="109" t="s">
        <v>210</v>
      </c>
    </row>
    <row r="131" spans="1:8" x14ac:dyDescent="0.25">
      <c r="A131" s="108"/>
      <c r="B131" s="108"/>
      <c r="C131" s="108"/>
      <c r="D131" s="108"/>
      <c r="E131" s="108"/>
      <c r="F131" s="31" t="s">
        <v>204</v>
      </c>
      <c r="G131" s="31" t="s">
        <v>205</v>
      </c>
      <c r="H131" s="110"/>
    </row>
    <row r="132" spans="1:8" x14ac:dyDescent="0.25">
      <c r="A132" s="24">
        <v>1</v>
      </c>
      <c r="B132" s="4" t="s">
        <v>189</v>
      </c>
      <c r="C132" s="12" t="s">
        <v>190</v>
      </c>
      <c r="D132" s="29">
        <v>1</v>
      </c>
      <c r="E132" s="3">
        <v>1</v>
      </c>
      <c r="F132" s="2"/>
      <c r="G132" s="2"/>
      <c r="H132" s="2"/>
    </row>
    <row r="133" spans="1:8" x14ac:dyDescent="0.25">
      <c r="A133" s="24">
        <v>2</v>
      </c>
      <c r="B133" s="4" t="s">
        <v>191</v>
      </c>
      <c r="C133" s="12" t="s">
        <v>192</v>
      </c>
      <c r="D133" s="29">
        <v>1</v>
      </c>
      <c r="E133" s="29">
        <v>1</v>
      </c>
      <c r="F133" s="2"/>
      <c r="G133" s="2"/>
      <c r="H133" s="2"/>
    </row>
    <row r="134" spans="1:8" x14ac:dyDescent="0.25">
      <c r="A134" s="24">
        <v>3</v>
      </c>
      <c r="B134" s="4" t="s">
        <v>193</v>
      </c>
      <c r="C134" s="12" t="s">
        <v>192</v>
      </c>
      <c r="D134" s="29">
        <f>SUM(D135:D137)</f>
        <v>7</v>
      </c>
      <c r="E134" s="29">
        <f>SUM(E135:E137)</f>
        <v>8</v>
      </c>
      <c r="F134" s="2"/>
      <c r="G134" s="2"/>
      <c r="H134" s="2"/>
    </row>
    <row r="135" spans="1:8" x14ac:dyDescent="0.25">
      <c r="A135" s="11"/>
      <c r="B135" s="28" t="s">
        <v>207</v>
      </c>
      <c r="C135" s="12"/>
      <c r="D135" s="12">
        <v>3</v>
      </c>
      <c r="E135" s="2">
        <v>4</v>
      </c>
      <c r="F135" s="2"/>
      <c r="G135" s="2"/>
      <c r="H135" s="2" t="s">
        <v>249</v>
      </c>
    </row>
    <row r="136" spans="1:8" x14ac:dyDescent="0.25">
      <c r="A136" s="11"/>
      <c r="B136" s="28" t="s">
        <v>101</v>
      </c>
      <c r="C136" s="12"/>
      <c r="D136" s="12">
        <v>2</v>
      </c>
      <c r="E136" s="2">
        <v>2</v>
      </c>
      <c r="F136" s="2"/>
      <c r="G136" s="2"/>
      <c r="H136" s="2"/>
    </row>
    <row r="137" spans="1:8" x14ac:dyDescent="0.25">
      <c r="A137" s="11"/>
      <c r="B137" s="28" t="s">
        <v>217</v>
      </c>
      <c r="C137" s="12"/>
      <c r="D137" s="12">
        <v>2</v>
      </c>
      <c r="E137" s="2">
        <v>2</v>
      </c>
      <c r="F137" s="2"/>
      <c r="G137" s="2"/>
      <c r="H137" s="2"/>
    </row>
    <row r="138" spans="1:8" x14ac:dyDescent="0.25">
      <c r="A138" s="24">
        <v>4</v>
      </c>
      <c r="B138" s="4" t="s">
        <v>194</v>
      </c>
      <c r="C138" s="12" t="s">
        <v>195</v>
      </c>
      <c r="D138" s="29">
        <v>1</v>
      </c>
      <c r="E138" s="29">
        <v>1</v>
      </c>
      <c r="F138" s="2"/>
      <c r="G138" s="2"/>
      <c r="H138" s="2"/>
    </row>
    <row r="139" spans="1:8" x14ac:dyDescent="0.25">
      <c r="A139" s="24">
        <v>5</v>
      </c>
      <c r="B139" s="4" t="s">
        <v>199</v>
      </c>
      <c r="C139" s="12" t="s">
        <v>200</v>
      </c>
      <c r="D139" s="29">
        <f>SUM(D140:D143)</f>
        <v>8</v>
      </c>
      <c r="E139" s="29">
        <f>SUM(E140:E143)</f>
        <v>7</v>
      </c>
      <c r="F139" s="2"/>
      <c r="G139" s="2"/>
      <c r="H139" s="2"/>
    </row>
    <row r="140" spans="1:8" x14ac:dyDescent="0.25">
      <c r="A140" s="30"/>
      <c r="B140" s="12" t="s">
        <v>224</v>
      </c>
      <c r="C140" s="12"/>
      <c r="D140" s="12">
        <v>2</v>
      </c>
      <c r="E140" s="2">
        <v>1</v>
      </c>
      <c r="F140" s="2"/>
      <c r="G140" s="2"/>
      <c r="H140" s="2" t="s">
        <v>248</v>
      </c>
    </row>
    <row r="141" spans="1:8" x14ac:dyDescent="0.25">
      <c r="A141" s="30"/>
      <c r="B141" s="12" t="s">
        <v>225</v>
      </c>
      <c r="C141" s="12"/>
      <c r="D141" s="12">
        <v>2</v>
      </c>
      <c r="E141" s="2">
        <v>2</v>
      </c>
      <c r="F141" s="2"/>
      <c r="G141" s="2"/>
      <c r="H141" s="2" t="s">
        <v>247</v>
      </c>
    </row>
    <row r="142" spans="1:8" x14ac:dyDescent="0.25">
      <c r="A142" s="30"/>
      <c r="B142" s="12" t="s">
        <v>226</v>
      </c>
      <c r="C142" s="12"/>
      <c r="D142" s="12">
        <v>2</v>
      </c>
      <c r="E142" s="2">
        <v>2</v>
      </c>
      <c r="F142" s="2"/>
      <c r="G142" s="2"/>
      <c r="H142" s="2"/>
    </row>
    <row r="143" spans="1:8" x14ac:dyDescent="0.25">
      <c r="A143" s="30"/>
      <c r="B143" s="12" t="s">
        <v>227</v>
      </c>
      <c r="C143" s="12"/>
      <c r="D143" s="12">
        <v>2</v>
      </c>
      <c r="E143" s="2">
        <v>2</v>
      </c>
      <c r="F143" s="2"/>
      <c r="G143" s="2"/>
      <c r="H143" s="2"/>
    </row>
    <row r="144" spans="1:8" x14ac:dyDescent="0.25">
      <c r="A144" s="113" t="s">
        <v>201</v>
      </c>
      <c r="B144" s="114"/>
      <c r="C144" s="118"/>
      <c r="D144" s="29">
        <f>D139+D138+D134+D133+D132</f>
        <v>18</v>
      </c>
      <c r="E144" s="29">
        <f>E139+E138+E134+E133+E132</f>
        <v>18</v>
      </c>
      <c r="F144" s="2"/>
      <c r="G144" s="2"/>
      <c r="H144" s="2"/>
    </row>
    <row r="146" spans="1:8" x14ac:dyDescent="0.25">
      <c r="A146" s="105" t="s">
        <v>251</v>
      </c>
      <c r="B146" s="115"/>
      <c r="C146" s="115"/>
      <c r="D146" s="115"/>
      <c r="E146" s="115"/>
      <c r="F146" s="115"/>
      <c r="G146" s="115"/>
      <c r="H146" s="106"/>
    </row>
    <row r="147" spans="1:8" x14ac:dyDescent="0.25">
      <c r="A147" s="107" t="s">
        <v>185</v>
      </c>
      <c r="B147" s="107" t="s">
        <v>186</v>
      </c>
      <c r="C147" s="107" t="s">
        <v>187</v>
      </c>
      <c r="D147" s="107" t="s">
        <v>188</v>
      </c>
      <c r="E147" s="107" t="s">
        <v>202</v>
      </c>
      <c r="F147" s="105" t="s">
        <v>203</v>
      </c>
      <c r="G147" s="106"/>
      <c r="H147" s="109" t="s">
        <v>210</v>
      </c>
    </row>
    <row r="148" spans="1:8" x14ac:dyDescent="0.25">
      <c r="A148" s="108"/>
      <c r="B148" s="108"/>
      <c r="C148" s="108"/>
      <c r="D148" s="108"/>
      <c r="E148" s="108"/>
      <c r="F148" s="32" t="s">
        <v>204</v>
      </c>
      <c r="G148" s="32" t="s">
        <v>205</v>
      </c>
      <c r="H148" s="110"/>
    </row>
    <row r="149" spans="1:8" x14ac:dyDescent="0.25">
      <c r="A149" s="24">
        <v>1</v>
      </c>
      <c r="B149" s="4" t="s">
        <v>189</v>
      </c>
      <c r="C149" s="12" t="s">
        <v>190</v>
      </c>
      <c r="D149" s="29">
        <v>1</v>
      </c>
      <c r="E149" s="3">
        <v>1</v>
      </c>
      <c r="F149" s="2"/>
      <c r="G149" s="2"/>
      <c r="H149" s="2"/>
    </row>
    <row r="150" spans="1:8" x14ac:dyDescent="0.25">
      <c r="A150" s="24">
        <v>2</v>
      </c>
      <c r="B150" s="4" t="s">
        <v>191</v>
      </c>
      <c r="C150" s="12" t="s">
        <v>192</v>
      </c>
      <c r="D150" s="29">
        <v>1</v>
      </c>
      <c r="E150" s="29">
        <v>1</v>
      </c>
      <c r="F150" s="2"/>
      <c r="G150" s="2"/>
      <c r="H150" s="2" t="s">
        <v>252</v>
      </c>
    </row>
    <row r="151" spans="1:8" x14ac:dyDescent="0.25">
      <c r="A151" s="24">
        <v>3</v>
      </c>
      <c r="B151" s="4" t="s">
        <v>193</v>
      </c>
      <c r="C151" s="12" t="s">
        <v>192</v>
      </c>
      <c r="D151" s="29">
        <f>SUM(D152:D154)</f>
        <v>5</v>
      </c>
      <c r="E151" s="29">
        <f>SUM(E152:E154)</f>
        <v>4</v>
      </c>
      <c r="F151" s="2"/>
      <c r="G151" s="2"/>
      <c r="H151" s="2"/>
    </row>
    <row r="152" spans="1:8" x14ac:dyDescent="0.25">
      <c r="A152" s="11"/>
      <c r="B152" s="28" t="s">
        <v>207</v>
      </c>
      <c r="C152" s="12"/>
      <c r="D152" s="12">
        <v>3</v>
      </c>
      <c r="E152" s="2">
        <v>2</v>
      </c>
      <c r="F152" s="2">
        <v>1</v>
      </c>
      <c r="G152" s="2"/>
      <c r="H152" s="2"/>
    </row>
    <row r="153" spans="1:8" x14ac:dyDescent="0.25">
      <c r="A153" s="11"/>
      <c r="B153" s="28" t="s">
        <v>101</v>
      </c>
      <c r="C153" s="12"/>
      <c r="D153" s="12">
        <v>1</v>
      </c>
      <c r="E153" s="2">
        <v>1</v>
      </c>
      <c r="F153" s="2"/>
      <c r="G153" s="2"/>
      <c r="H153" s="2"/>
    </row>
    <row r="154" spans="1:8" x14ac:dyDescent="0.25">
      <c r="A154" s="11"/>
      <c r="B154" s="28" t="s">
        <v>217</v>
      </c>
      <c r="C154" s="12"/>
      <c r="D154" s="12">
        <v>1</v>
      </c>
      <c r="E154" s="2">
        <v>1</v>
      </c>
      <c r="F154" s="2"/>
      <c r="G154" s="2"/>
      <c r="H154" s="2"/>
    </row>
    <row r="155" spans="1:8" x14ac:dyDescent="0.25">
      <c r="A155" s="24">
        <v>4</v>
      </c>
      <c r="B155" s="4" t="s">
        <v>194</v>
      </c>
      <c r="C155" s="12" t="s">
        <v>195</v>
      </c>
      <c r="D155" s="29">
        <v>1</v>
      </c>
      <c r="E155" s="29"/>
      <c r="F155" s="2"/>
      <c r="G155" s="2"/>
      <c r="H155" s="2"/>
    </row>
    <row r="156" spans="1:8" x14ac:dyDescent="0.25">
      <c r="A156" s="24">
        <v>5</v>
      </c>
      <c r="B156" s="4" t="s">
        <v>199</v>
      </c>
      <c r="C156" s="12" t="s">
        <v>200</v>
      </c>
      <c r="D156" s="29">
        <f>SUM(D157:D161)</f>
        <v>10</v>
      </c>
      <c r="E156" s="29">
        <f>SUM(E157:E161)</f>
        <v>6</v>
      </c>
      <c r="F156" s="2"/>
      <c r="G156" s="2"/>
      <c r="H156" s="2"/>
    </row>
    <row r="157" spans="1:8" x14ac:dyDescent="0.25">
      <c r="A157" s="30"/>
      <c r="B157" s="12" t="s">
        <v>224</v>
      </c>
      <c r="C157" s="12"/>
      <c r="D157" s="12">
        <v>2</v>
      </c>
      <c r="E157" s="2">
        <v>1</v>
      </c>
      <c r="F157" s="2"/>
      <c r="G157" s="2"/>
      <c r="H157" s="2" t="s">
        <v>254</v>
      </c>
    </row>
    <row r="158" spans="1:8" x14ac:dyDescent="0.25">
      <c r="A158" s="30"/>
      <c r="B158" s="12" t="s">
        <v>225</v>
      </c>
      <c r="C158" s="12"/>
      <c r="D158" s="12">
        <v>2</v>
      </c>
      <c r="E158" s="2">
        <v>1</v>
      </c>
      <c r="F158" s="2"/>
      <c r="G158" s="2"/>
      <c r="H158" s="2" t="s">
        <v>255</v>
      </c>
    </row>
    <row r="159" spans="1:8" x14ac:dyDescent="0.25">
      <c r="A159" s="30"/>
      <c r="B159" s="12" t="s">
        <v>226</v>
      </c>
      <c r="C159" s="12"/>
      <c r="D159" s="12">
        <v>2</v>
      </c>
      <c r="E159" s="2">
        <v>1</v>
      </c>
      <c r="F159" s="2"/>
      <c r="G159" s="2"/>
      <c r="H159" s="2" t="s">
        <v>256</v>
      </c>
    </row>
    <row r="160" spans="1:8" x14ac:dyDescent="0.25">
      <c r="A160" s="30"/>
      <c r="B160" s="12" t="s">
        <v>227</v>
      </c>
      <c r="C160" s="12"/>
      <c r="D160" s="12">
        <v>2</v>
      </c>
      <c r="E160" s="2">
        <v>1</v>
      </c>
      <c r="F160" s="2"/>
      <c r="G160" s="2"/>
      <c r="H160" s="2" t="s">
        <v>257</v>
      </c>
    </row>
    <row r="161" spans="1:8" x14ac:dyDescent="0.25">
      <c r="A161" s="30"/>
      <c r="B161" s="12" t="s">
        <v>253</v>
      </c>
      <c r="C161" s="12"/>
      <c r="D161" s="12">
        <v>2</v>
      </c>
      <c r="E161" s="2">
        <v>2</v>
      </c>
      <c r="F161" s="2"/>
      <c r="G161" s="2"/>
      <c r="H161" s="2"/>
    </row>
    <row r="162" spans="1:8" x14ac:dyDescent="0.25">
      <c r="A162" s="113" t="s">
        <v>201</v>
      </c>
      <c r="B162" s="114"/>
      <c r="C162" s="118"/>
      <c r="D162" s="29">
        <f>D156+D155+D151+D150+D149</f>
        <v>18</v>
      </c>
      <c r="E162" s="29">
        <f>E156+E155+E151+E150+E149</f>
        <v>12</v>
      </c>
      <c r="F162" s="2"/>
      <c r="G162" s="2"/>
      <c r="H162" s="2"/>
    </row>
    <row r="164" spans="1:8" x14ac:dyDescent="0.25">
      <c r="A164" s="105" t="s">
        <v>258</v>
      </c>
      <c r="B164" s="115"/>
      <c r="C164" s="115"/>
      <c r="D164" s="115"/>
      <c r="E164" s="115"/>
      <c r="F164" s="115"/>
      <c r="G164" s="115"/>
      <c r="H164" s="106"/>
    </row>
    <row r="165" spans="1:8" x14ac:dyDescent="0.25">
      <c r="A165" s="107" t="s">
        <v>185</v>
      </c>
      <c r="B165" s="107" t="s">
        <v>186</v>
      </c>
      <c r="C165" s="107" t="s">
        <v>187</v>
      </c>
      <c r="D165" s="107" t="s">
        <v>188</v>
      </c>
      <c r="E165" s="107" t="s">
        <v>202</v>
      </c>
      <c r="F165" s="105" t="s">
        <v>203</v>
      </c>
      <c r="G165" s="106"/>
      <c r="H165" s="109" t="s">
        <v>210</v>
      </c>
    </row>
    <row r="166" spans="1:8" x14ac:dyDescent="0.25">
      <c r="A166" s="108"/>
      <c r="B166" s="108"/>
      <c r="C166" s="108"/>
      <c r="D166" s="108"/>
      <c r="E166" s="108"/>
      <c r="F166" s="32" t="s">
        <v>204</v>
      </c>
      <c r="G166" s="32" t="s">
        <v>205</v>
      </c>
      <c r="H166" s="110"/>
    </row>
    <row r="167" spans="1:8" x14ac:dyDescent="0.25">
      <c r="A167" s="24">
        <v>1</v>
      </c>
      <c r="B167" s="4" t="s">
        <v>189</v>
      </c>
      <c r="C167" s="12" t="s">
        <v>190</v>
      </c>
      <c r="D167" s="29">
        <v>1</v>
      </c>
      <c r="E167" s="3">
        <v>1</v>
      </c>
      <c r="F167" s="2"/>
      <c r="G167" s="2"/>
      <c r="H167" s="2"/>
    </row>
    <row r="168" spans="1:8" x14ac:dyDescent="0.25">
      <c r="A168" s="24">
        <v>2</v>
      </c>
      <c r="B168" s="4" t="s">
        <v>191</v>
      </c>
      <c r="C168" s="12" t="s">
        <v>192</v>
      </c>
      <c r="D168" s="29">
        <v>1</v>
      </c>
      <c r="E168" s="29"/>
      <c r="F168" s="2"/>
      <c r="G168" s="2"/>
      <c r="H168" s="2"/>
    </row>
    <row r="169" spans="1:8" x14ac:dyDescent="0.25">
      <c r="A169" s="24">
        <v>3</v>
      </c>
      <c r="B169" s="4" t="s">
        <v>193</v>
      </c>
      <c r="C169" s="12" t="s">
        <v>192</v>
      </c>
      <c r="D169" s="29">
        <f>SUM(D170:D172)</f>
        <v>5</v>
      </c>
      <c r="E169" s="29">
        <f>SUM(E170:E172)</f>
        <v>6</v>
      </c>
      <c r="F169" s="2"/>
      <c r="G169" s="2"/>
      <c r="H169" s="2"/>
    </row>
    <row r="170" spans="1:8" x14ac:dyDescent="0.25">
      <c r="A170" s="11"/>
      <c r="B170" s="28" t="s">
        <v>207</v>
      </c>
      <c r="C170" s="12"/>
      <c r="D170" s="12">
        <v>2</v>
      </c>
      <c r="E170" s="2">
        <v>5</v>
      </c>
      <c r="F170" s="2"/>
      <c r="G170" s="2"/>
      <c r="H170" s="2"/>
    </row>
    <row r="171" spans="1:8" x14ac:dyDescent="0.25">
      <c r="A171" s="11"/>
      <c r="B171" s="28" t="s">
        <v>101</v>
      </c>
      <c r="C171" s="12"/>
      <c r="D171" s="12">
        <v>1</v>
      </c>
      <c r="E171" s="2">
        <v>1</v>
      </c>
      <c r="F171" s="2"/>
      <c r="G171" s="2"/>
      <c r="H171" s="2"/>
    </row>
    <row r="172" spans="1:8" x14ac:dyDescent="0.25">
      <c r="A172" s="11"/>
      <c r="B172" s="28" t="s">
        <v>217</v>
      </c>
      <c r="C172" s="12"/>
      <c r="D172" s="12">
        <v>2</v>
      </c>
      <c r="E172" s="2"/>
      <c r="F172" s="2"/>
      <c r="G172" s="2"/>
      <c r="H172" s="2"/>
    </row>
    <row r="173" spans="1:8" x14ac:dyDescent="0.25">
      <c r="A173" s="24">
        <v>4</v>
      </c>
      <c r="B173" s="4" t="s">
        <v>194</v>
      </c>
      <c r="C173" s="12" t="s">
        <v>195</v>
      </c>
      <c r="D173" s="29">
        <v>1</v>
      </c>
      <c r="E173" s="29"/>
      <c r="F173" s="2"/>
      <c r="G173" s="2"/>
      <c r="H173" s="2" t="s">
        <v>259</v>
      </c>
    </row>
    <row r="174" spans="1:8" x14ac:dyDescent="0.25">
      <c r="A174" s="24">
        <v>5</v>
      </c>
      <c r="B174" s="4" t="s">
        <v>199</v>
      </c>
      <c r="C174" s="12" t="s">
        <v>200</v>
      </c>
      <c r="D174" s="29">
        <f>SUM(D175:D179)</f>
        <v>10</v>
      </c>
      <c r="E174" s="29">
        <f>SUM(E175:E179)</f>
        <v>6</v>
      </c>
      <c r="F174" s="2"/>
      <c r="G174" s="2"/>
      <c r="H174" s="2"/>
    </row>
    <row r="175" spans="1:8" x14ac:dyDescent="0.25">
      <c r="A175" s="30"/>
      <c r="B175" s="12" t="s">
        <v>224</v>
      </c>
      <c r="C175" s="12"/>
      <c r="D175" s="12">
        <v>2</v>
      </c>
      <c r="E175" s="2">
        <v>1</v>
      </c>
      <c r="F175" s="2"/>
      <c r="G175" s="2"/>
      <c r="H175" s="2" t="s">
        <v>254</v>
      </c>
    </row>
    <row r="176" spans="1:8" x14ac:dyDescent="0.25">
      <c r="A176" s="30"/>
      <c r="B176" s="12" t="s">
        <v>225</v>
      </c>
      <c r="C176" s="12"/>
      <c r="D176" s="12">
        <v>2</v>
      </c>
      <c r="E176" s="2">
        <v>1</v>
      </c>
      <c r="F176" s="2"/>
      <c r="G176" s="2"/>
      <c r="H176" s="2" t="s">
        <v>255</v>
      </c>
    </row>
    <row r="177" spans="1:8" x14ac:dyDescent="0.25">
      <c r="A177" s="30"/>
      <c r="B177" s="12" t="s">
        <v>226</v>
      </c>
      <c r="C177" s="12"/>
      <c r="D177" s="12">
        <v>2</v>
      </c>
      <c r="E177" s="2">
        <v>1</v>
      </c>
      <c r="F177" s="2"/>
      <c r="G177" s="2"/>
      <c r="H177" s="2" t="s">
        <v>256</v>
      </c>
    </row>
    <row r="178" spans="1:8" x14ac:dyDescent="0.25">
      <c r="A178" s="30"/>
      <c r="B178" s="12" t="s">
        <v>227</v>
      </c>
      <c r="C178" s="12"/>
      <c r="D178" s="12">
        <v>2</v>
      </c>
      <c r="E178" s="2">
        <v>1</v>
      </c>
      <c r="F178" s="2"/>
      <c r="G178" s="2"/>
      <c r="H178" s="2" t="s">
        <v>257</v>
      </c>
    </row>
    <row r="179" spans="1:8" x14ac:dyDescent="0.25">
      <c r="A179" s="30"/>
      <c r="B179" s="12" t="s">
        <v>253</v>
      </c>
      <c r="C179" s="12"/>
      <c r="D179" s="12">
        <v>2</v>
      </c>
      <c r="E179" s="2">
        <v>2</v>
      </c>
      <c r="F179" s="2"/>
      <c r="G179" s="2"/>
      <c r="H179" s="2"/>
    </row>
    <row r="180" spans="1:8" x14ac:dyDescent="0.25">
      <c r="A180" s="113" t="s">
        <v>201</v>
      </c>
      <c r="B180" s="114"/>
      <c r="C180" s="118"/>
      <c r="D180" s="29">
        <f>D174+D173+D169+D168+D167</f>
        <v>18</v>
      </c>
      <c r="E180" s="29">
        <f>E174+E173+E169+E168+E167</f>
        <v>13</v>
      </c>
      <c r="F180" s="2"/>
      <c r="G180" s="2"/>
      <c r="H180" s="2"/>
    </row>
    <row r="182" spans="1:8" x14ac:dyDescent="0.25">
      <c r="A182" s="105" t="s">
        <v>260</v>
      </c>
      <c r="B182" s="115"/>
      <c r="C182" s="115"/>
      <c r="D182" s="115"/>
      <c r="E182" s="115"/>
      <c r="F182" s="115"/>
      <c r="G182" s="115"/>
      <c r="H182" s="106"/>
    </row>
    <row r="183" spans="1:8" x14ac:dyDescent="0.25">
      <c r="A183" s="107" t="s">
        <v>185</v>
      </c>
      <c r="B183" s="107" t="s">
        <v>186</v>
      </c>
      <c r="C183" s="107" t="s">
        <v>187</v>
      </c>
      <c r="D183" s="107" t="s">
        <v>188</v>
      </c>
      <c r="E183" s="107" t="s">
        <v>202</v>
      </c>
      <c r="F183" s="105" t="s">
        <v>203</v>
      </c>
      <c r="G183" s="106"/>
      <c r="H183" s="109" t="s">
        <v>210</v>
      </c>
    </row>
    <row r="184" spans="1:8" x14ac:dyDescent="0.25">
      <c r="A184" s="108"/>
      <c r="B184" s="108"/>
      <c r="C184" s="108"/>
      <c r="D184" s="108"/>
      <c r="E184" s="108"/>
      <c r="F184" s="33" t="s">
        <v>204</v>
      </c>
      <c r="G184" s="33" t="s">
        <v>205</v>
      </c>
      <c r="H184" s="110"/>
    </row>
    <row r="185" spans="1:8" x14ac:dyDescent="0.25">
      <c r="A185" s="24">
        <v>1</v>
      </c>
      <c r="B185" s="4" t="s">
        <v>189</v>
      </c>
      <c r="C185" s="12" t="s">
        <v>190</v>
      </c>
      <c r="D185" s="29">
        <v>1</v>
      </c>
      <c r="E185" s="3">
        <v>1</v>
      </c>
      <c r="F185" s="2"/>
      <c r="G185" s="2"/>
      <c r="H185" s="2"/>
    </row>
    <row r="186" spans="1:8" x14ac:dyDescent="0.25">
      <c r="A186" s="24">
        <v>2</v>
      </c>
      <c r="B186" s="4" t="s">
        <v>191</v>
      </c>
      <c r="C186" s="12" t="s">
        <v>192</v>
      </c>
      <c r="D186" s="29">
        <v>1</v>
      </c>
      <c r="E186" s="29">
        <v>1</v>
      </c>
      <c r="F186" s="2"/>
      <c r="G186" s="2"/>
      <c r="H186" s="2" t="s">
        <v>252</v>
      </c>
    </row>
    <row r="187" spans="1:8" x14ac:dyDescent="0.25">
      <c r="A187" s="24">
        <v>3</v>
      </c>
      <c r="B187" s="4" t="s">
        <v>193</v>
      </c>
      <c r="C187" s="12" t="s">
        <v>192</v>
      </c>
      <c r="D187" s="29">
        <f>SUM(D188:D190)</f>
        <v>8</v>
      </c>
      <c r="E187" s="29">
        <f>SUM(E188:E190)</f>
        <v>8</v>
      </c>
      <c r="F187" s="2"/>
      <c r="G187" s="2"/>
      <c r="H187" s="2"/>
    </row>
    <row r="188" spans="1:8" x14ac:dyDescent="0.25">
      <c r="A188" s="11"/>
      <c r="B188" s="28" t="s">
        <v>207</v>
      </c>
      <c r="C188" s="12"/>
      <c r="D188" s="12">
        <v>2</v>
      </c>
      <c r="E188" s="2">
        <v>2</v>
      </c>
      <c r="F188" s="2"/>
      <c r="G188" s="2"/>
      <c r="H188" s="2"/>
    </row>
    <row r="189" spans="1:8" x14ac:dyDescent="0.25">
      <c r="A189" s="11"/>
      <c r="B189" s="28" t="s">
        <v>101</v>
      </c>
      <c r="C189" s="12"/>
      <c r="D189" s="12">
        <v>2</v>
      </c>
      <c r="E189" s="2">
        <v>1</v>
      </c>
      <c r="F189" s="2"/>
      <c r="G189" s="2"/>
      <c r="H189" s="2"/>
    </row>
    <row r="190" spans="1:8" x14ac:dyDescent="0.25">
      <c r="A190" s="11"/>
      <c r="B190" s="28" t="s">
        <v>217</v>
      </c>
      <c r="C190" s="12"/>
      <c r="D190" s="12">
        <v>4</v>
      </c>
      <c r="E190" s="2">
        <v>5</v>
      </c>
      <c r="F190" s="2"/>
      <c r="G190" s="2"/>
      <c r="H190" s="2"/>
    </row>
    <row r="191" spans="1:8" x14ac:dyDescent="0.25">
      <c r="A191" s="24">
        <v>4</v>
      </c>
      <c r="B191" s="4" t="s">
        <v>194</v>
      </c>
      <c r="C191" s="12" t="s">
        <v>195</v>
      </c>
      <c r="D191" s="29">
        <v>1</v>
      </c>
      <c r="E191" s="29">
        <v>1</v>
      </c>
      <c r="F191" s="2"/>
      <c r="G191" s="2"/>
      <c r="H191" s="2"/>
    </row>
    <row r="192" spans="1:8" x14ac:dyDescent="0.25">
      <c r="A192" s="24">
        <v>5</v>
      </c>
      <c r="B192" s="4" t="s">
        <v>199</v>
      </c>
      <c r="C192" s="12" t="s">
        <v>200</v>
      </c>
      <c r="D192" s="29">
        <f>SUM(D193:D199)</f>
        <v>9</v>
      </c>
      <c r="E192" s="29">
        <f>SUM(E193:E199)</f>
        <v>7</v>
      </c>
      <c r="F192" s="2"/>
      <c r="G192" s="2"/>
      <c r="H192" s="2"/>
    </row>
    <row r="193" spans="1:8" x14ac:dyDescent="0.25">
      <c r="A193" s="30"/>
      <c r="B193" s="12" t="s">
        <v>224</v>
      </c>
      <c r="C193" s="12"/>
      <c r="D193" s="12">
        <v>1</v>
      </c>
      <c r="E193" s="2">
        <v>1</v>
      </c>
      <c r="F193" s="2"/>
      <c r="G193" s="2"/>
      <c r="H193" s="2"/>
    </row>
    <row r="194" spans="1:8" x14ac:dyDescent="0.25">
      <c r="A194" s="30"/>
      <c r="B194" s="12" t="s">
        <v>225</v>
      </c>
      <c r="C194" s="12"/>
      <c r="D194" s="12">
        <v>1</v>
      </c>
      <c r="E194" s="2">
        <v>1</v>
      </c>
      <c r="F194" s="2"/>
      <c r="G194" s="2"/>
      <c r="H194" s="2"/>
    </row>
    <row r="195" spans="1:8" x14ac:dyDescent="0.25">
      <c r="A195" s="30"/>
      <c r="B195" s="12" t="s">
        <v>226</v>
      </c>
      <c r="C195" s="12"/>
      <c r="D195" s="12">
        <v>1</v>
      </c>
      <c r="E195" s="2"/>
      <c r="F195" s="2">
        <v>1</v>
      </c>
      <c r="G195" s="2"/>
      <c r="H195" s="2"/>
    </row>
    <row r="196" spans="1:8" x14ac:dyDescent="0.25">
      <c r="A196" s="30"/>
      <c r="B196" s="12" t="s">
        <v>227</v>
      </c>
      <c r="C196" s="12"/>
      <c r="D196" s="12">
        <v>1</v>
      </c>
      <c r="E196" s="2">
        <v>1</v>
      </c>
      <c r="F196" s="2"/>
      <c r="G196" s="2"/>
      <c r="H196" s="2"/>
    </row>
    <row r="197" spans="1:8" x14ac:dyDescent="0.25">
      <c r="A197" s="30"/>
      <c r="B197" s="12" t="s">
        <v>239</v>
      </c>
      <c r="C197" s="12"/>
      <c r="D197" s="12">
        <v>1</v>
      </c>
      <c r="E197" s="2">
        <v>1</v>
      </c>
      <c r="F197" s="2"/>
      <c r="G197" s="2"/>
      <c r="H197" s="2"/>
    </row>
    <row r="198" spans="1:8" x14ac:dyDescent="0.25">
      <c r="A198" s="30"/>
      <c r="B198" s="12" t="s">
        <v>261</v>
      </c>
      <c r="C198" s="12"/>
      <c r="D198" s="12">
        <v>1</v>
      </c>
      <c r="E198" s="2">
        <v>1</v>
      </c>
      <c r="F198" s="2"/>
      <c r="G198" s="2"/>
      <c r="H198" s="2"/>
    </row>
    <row r="199" spans="1:8" x14ac:dyDescent="0.25">
      <c r="A199" s="30"/>
      <c r="B199" s="12" t="s">
        <v>253</v>
      </c>
      <c r="C199" s="12"/>
      <c r="D199" s="12">
        <v>3</v>
      </c>
      <c r="E199" s="2">
        <v>2</v>
      </c>
      <c r="F199" s="2">
        <v>1</v>
      </c>
      <c r="G199" s="2"/>
      <c r="H199" s="2"/>
    </row>
    <row r="200" spans="1:8" x14ac:dyDescent="0.25">
      <c r="A200" s="113" t="s">
        <v>201</v>
      </c>
      <c r="B200" s="114"/>
      <c r="C200" s="118"/>
      <c r="D200" s="29">
        <f>D192+D191+D187+D186+D185</f>
        <v>20</v>
      </c>
      <c r="E200" s="29">
        <f>E192+E191+E187+E186+E185</f>
        <v>18</v>
      </c>
      <c r="F200" s="2"/>
      <c r="G200" s="2"/>
      <c r="H200" s="2"/>
    </row>
    <row r="202" spans="1:8" x14ac:dyDescent="0.25">
      <c r="A202" s="105" t="s">
        <v>262</v>
      </c>
      <c r="B202" s="115"/>
      <c r="C202" s="115"/>
      <c r="D202" s="115"/>
      <c r="E202" s="115"/>
      <c r="F202" s="115"/>
      <c r="G202" s="115"/>
      <c r="H202" s="106"/>
    </row>
    <row r="203" spans="1:8" x14ac:dyDescent="0.25">
      <c r="A203" s="107" t="s">
        <v>185</v>
      </c>
      <c r="B203" s="107" t="s">
        <v>186</v>
      </c>
      <c r="C203" s="107" t="s">
        <v>187</v>
      </c>
      <c r="D203" s="107" t="s">
        <v>188</v>
      </c>
      <c r="E203" s="107" t="s">
        <v>202</v>
      </c>
      <c r="F203" s="105" t="s">
        <v>203</v>
      </c>
      <c r="G203" s="106"/>
      <c r="H203" s="109" t="s">
        <v>210</v>
      </c>
    </row>
    <row r="204" spans="1:8" x14ac:dyDescent="0.25">
      <c r="A204" s="108"/>
      <c r="B204" s="108"/>
      <c r="C204" s="108"/>
      <c r="D204" s="108"/>
      <c r="E204" s="108"/>
      <c r="F204" s="33" t="s">
        <v>204</v>
      </c>
      <c r="G204" s="33" t="s">
        <v>205</v>
      </c>
      <c r="H204" s="110"/>
    </row>
    <row r="205" spans="1:8" x14ac:dyDescent="0.25">
      <c r="A205" s="24">
        <v>1</v>
      </c>
      <c r="B205" s="4" t="s">
        <v>189</v>
      </c>
      <c r="C205" s="12" t="s">
        <v>190</v>
      </c>
      <c r="D205" s="29">
        <v>1</v>
      </c>
      <c r="E205" s="3"/>
      <c r="F205" s="2"/>
      <c r="G205" s="2"/>
      <c r="H205" s="2"/>
    </row>
    <row r="206" spans="1:8" x14ac:dyDescent="0.25">
      <c r="A206" s="24">
        <v>2</v>
      </c>
      <c r="B206" s="4" t="s">
        <v>193</v>
      </c>
      <c r="C206" s="12" t="s">
        <v>192</v>
      </c>
      <c r="D206" s="29">
        <f>SUM(D207:D209)</f>
        <v>3</v>
      </c>
      <c r="E206" s="29">
        <f>SUM(E207:E209)</f>
        <v>3</v>
      </c>
      <c r="F206" s="2"/>
      <c r="G206" s="2"/>
      <c r="H206" s="2"/>
    </row>
    <row r="207" spans="1:8" x14ac:dyDescent="0.25">
      <c r="A207" s="11"/>
      <c r="B207" s="28" t="s">
        <v>207</v>
      </c>
      <c r="C207" s="12"/>
      <c r="D207" s="12">
        <v>1</v>
      </c>
      <c r="E207" s="2">
        <v>1</v>
      </c>
      <c r="F207" s="2"/>
      <c r="G207" s="2"/>
      <c r="H207" s="2" t="s">
        <v>263</v>
      </c>
    </row>
    <row r="208" spans="1:8" x14ac:dyDescent="0.25">
      <c r="A208" s="11"/>
      <c r="B208" s="28" t="s">
        <v>101</v>
      </c>
      <c r="C208" s="12"/>
      <c r="D208" s="12">
        <v>1</v>
      </c>
      <c r="E208" s="2">
        <v>1</v>
      </c>
      <c r="F208" s="2"/>
      <c r="G208" s="2"/>
      <c r="H208" s="2"/>
    </row>
    <row r="209" spans="1:8" x14ac:dyDescent="0.25">
      <c r="A209" s="11"/>
      <c r="B209" s="28" t="s">
        <v>217</v>
      </c>
      <c r="C209" s="12"/>
      <c r="D209" s="12">
        <v>1</v>
      </c>
      <c r="E209" s="2">
        <v>1</v>
      </c>
      <c r="F209" s="2"/>
      <c r="G209" s="2"/>
      <c r="H209" s="2"/>
    </row>
    <row r="210" spans="1:8" x14ac:dyDescent="0.25">
      <c r="A210" s="113" t="s">
        <v>201</v>
      </c>
      <c r="B210" s="114"/>
      <c r="C210" s="118"/>
      <c r="D210" s="29">
        <f>D206+D205</f>
        <v>4</v>
      </c>
      <c r="E210" s="29">
        <f>E206+E205</f>
        <v>3</v>
      </c>
      <c r="F210" s="2"/>
      <c r="G210" s="2"/>
      <c r="H210" s="2"/>
    </row>
    <row r="212" spans="1:8" x14ac:dyDescent="0.25">
      <c r="A212" s="105" t="s">
        <v>264</v>
      </c>
      <c r="B212" s="115"/>
      <c r="C212" s="115"/>
      <c r="D212" s="115"/>
      <c r="E212" s="115"/>
      <c r="F212" s="115"/>
      <c r="G212" s="115"/>
      <c r="H212" s="106"/>
    </row>
    <row r="213" spans="1:8" x14ac:dyDescent="0.25">
      <c r="A213" s="107" t="s">
        <v>185</v>
      </c>
      <c r="B213" s="107" t="s">
        <v>186</v>
      </c>
      <c r="C213" s="107" t="s">
        <v>187</v>
      </c>
      <c r="D213" s="107" t="s">
        <v>188</v>
      </c>
      <c r="E213" s="107" t="s">
        <v>202</v>
      </c>
      <c r="F213" s="105" t="s">
        <v>203</v>
      </c>
      <c r="G213" s="106"/>
      <c r="H213" s="109" t="s">
        <v>210</v>
      </c>
    </row>
    <row r="214" spans="1:8" x14ac:dyDescent="0.25">
      <c r="A214" s="108"/>
      <c r="B214" s="108"/>
      <c r="C214" s="108"/>
      <c r="D214" s="108"/>
      <c r="E214" s="108"/>
      <c r="F214" s="33" t="s">
        <v>204</v>
      </c>
      <c r="G214" s="33" t="s">
        <v>205</v>
      </c>
      <c r="H214" s="110"/>
    </row>
    <row r="215" spans="1:8" x14ac:dyDescent="0.25">
      <c r="A215" s="24">
        <v>1</v>
      </c>
      <c r="B215" s="4" t="s">
        <v>265</v>
      </c>
      <c r="C215" s="12" t="s">
        <v>190</v>
      </c>
      <c r="D215" s="29">
        <v>1</v>
      </c>
      <c r="E215" s="3">
        <v>1</v>
      </c>
      <c r="F215" s="2"/>
      <c r="G215" s="2"/>
      <c r="H215" s="2"/>
    </row>
    <row r="216" spans="1:8" x14ac:dyDescent="0.25">
      <c r="A216" s="24">
        <v>2</v>
      </c>
      <c r="B216" s="4" t="s">
        <v>266</v>
      </c>
      <c r="C216" s="12" t="s">
        <v>192</v>
      </c>
      <c r="D216" s="29">
        <f>SUM(D217:D219)</f>
        <v>4</v>
      </c>
      <c r="E216" s="29">
        <f>SUM(E217:E219)</f>
        <v>4</v>
      </c>
      <c r="F216" s="2"/>
      <c r="G216" s="2"/>
      <c r="H216" s="2"/>
    </row>
    <row r="217" spans="1:8" x14ac:dyDescent="0.25">
      <c r="A217" s="11"/>
      <c r="B217" s="28" t="s">
        <v>267</v>
      </c>
      <c r="C217" s="12"/>
      <c r="D217" s="12">
        <v>1</v>
      </c>
      <c r="E217" s="2">
        <v>1</v>
      </c>
      <c r="F217" s="2"/>
      <c r="G217" s="2"/>
      <c r="H217" s="2"/>
    </row>
    <row r="218" spans="1:8" x14ac:dyDescent="0.25">
      <c r="A218" s="11"/>
      <c r="B218" s="28" t="s">
        <v>268</v>
      </c>
      <c r="C218" s="12"/>
      <c r="D218" s="12">
        <v>2</v>
      </c>
      <c r="E218" s="2">
        <v>2</v>
      </c>
      <c r="F218" s="2"/>
      <c r="G218" s="2"/>
      <c r="H218" s="2"/>
    </row>
    <row r="219" spans="1:8" x14ac:dyDescent="0.25">
      <c r="A219" s="11"/>
      <c r="B219" s="28" t="s">
        <v>269</v>
      </c>
      <c r="C219" s="12"/>
      <c r="D219" s="12">
        <v>1</v>
      </c>
      <c r="E219" s="2">
        <v>1</v>
      </c>
      <c r="F219" s="2"/>
      <c r="G219" s="2"/>
      <c r="H219" s="2"/>
    </row>
    <row r="220" spans="1:8" x14ac:dyDescent="0.25">
      <c r="A220" s="24">
        <v>3</v>
      </c>
      <c r="B220" s="4" t="s">
        <v>270</v>
      </c>
      <c r="C220" s="12" t="s">
        <v>271</v>
      </c>
      <c r="D220" s="29">
        <v>3</v>
      </c>
      <c r="E220" s="29">
        <v>2</v>
      </c>
      <c r="F220" s="2">
        <v>1</v>
      </c>
      <c r="G220" s="2"/>
      <c r="H220" s="2"/>
    </row>
    <row r="221" spans="1:8" x14ac:dyDescent="0.25">
      <c r="A221" s="24">
        <v>4</v>
      </c>
      <c r="B221" s="4" t="s">
        <v>272</v>
      </c>
      <c r="C221" s="12" t="s">
        <v>273</v>
      </c>
      <c r="D221" s="29">
        <v>3</v>
      </c>
      <c r="E221" s="29">
        <v>1</v>
      </c>
      <c r="F221" s="2">
        <v>2</v>
      </c>
      <c r="G221" s="2"/>
      <c r="H221" s="2"/>
    </row>
    <row r="222" spans="1:8" x14ac:dyDescent="0.25">
      <c r="A222" s="24">
        <v>5</v>
      </c>
      <c r="B222" s="4" t="s">
        <v>198</v>
      </c>
      <c r="C222" s="12" t="s">
        <v>197</v>
      </c>
      <c r="D222" s="29">
        <f>SUM(D223:D225)</f>
        <v>15</v>
      </c>
      <c r="E222" s="29">
        <f>SUM(E223:E225)</f>
        <v>11</v>
      </c>
      <c r="F222" s="2"/>
      <c r="G222" s="2"/>
      <c r="H222" s="2"/>
    </row>
    <row r="223" spans="1:8" x14ac:dyDescent="0.25">
      <c r="A223" s="11"/>
      <c r="B223" s="28" t="s">
        <v>274</v>
      </c>
      <c r="C223" s="12"/>
      <c r="D223" s="12">
        <v>5</v>
      </c>
      <c r="E223" s="2">
        <v>4</v>
      </c>
      <c r="F223" s="2">
        <v>1</v>
      </c>
      <c r="G223" s="2"/>
      <c r="H223" s="2"/>
    </row>
    <row r="224" spans="1:8" x14ac:dyDescent="0.25">
      <c r="A224" s="11"/>
      <c r="B224" s="28" t="s">
        <v>275</v>
      </c>
      <c r="C224" s="12"/>
      <c r="D224" s="12">
        <v>8</v>
      </c>
      <c r="E224" s="2">
        <v>6</v>
      </c>
      <c r="F224" s="2">
        <v>2</v>
      </c>
      <c r="G224" s="2"/>
      <c r="H224" s="2"/>
    </row>
    <row r="225" spans="1:8" x14ac:dyDescent="0.25">
      <c r="A225" s="11"/>
      <c r="B225" s="28" t="s">
        <v>276</v>
      </c>
      <c r="C225" s="12"/>
      <c r="D225" s="12">
        <v>2</v>
      </c>
      <c r="E225" s="2">
        <v>1</v>
      </c>
      <c r="F225" s="2">
        <v>1</v>
      </c>
      <c r="G225" s="2"/>
      <c r="H225" s="2"/>
    </row>
    <row r="226" spans="1:8" x14ac:dyDescent="0.25">
      <c r="A226" s="113" t="s">
        <v>201</v>
      </c>
      <c r="B226" s="114"/>
      <c r="C226" s="118"/>
      <c r="D226" s="29">
        <f>D222+D221+D220+D216+D215</f>
        <v>26</v>
      </c>
      <c r="E226" s="29">
        <f>E222+E221+E220+E216+E215</f>
        <v>19</v>
      </c>
      <c r="F226" s="2"/>
      <c r="G226" s="2"/>
      <c r="H226" s="2"/>
    </row>
    <row r="228" spans="1:8" x14ac:dyDescent="0.25">
      <c r="A228" s="104" t="s">
        <v>277</v>
      </c>
      <c r="B228" s="104"/>
      <c r="C228" s="104"/>
      <c r="D228" s="104"/>
      <c r="E228" s="104"/>
      <c r="F228" s="104"/>
      <c r="G228" s="104"/>
      <c r="H228" s="104"/>
    </row>
    <row r="229" spans="1:8" x14ac:dyDescent="0.25">
      <c r="A229" s="103" t="s">
        <v>185</v>
      </c>
      <c r="B229" s="103" t="s">
        <v>186</v>
      </c>
      <c r="C229" s="103" t="s">
        <v>187</v>
      </c>
      <c r="D229" s="103" t="s">
        <v>188</v>
      </c>
      <c r="E229" s="103" t="s">
        <v>202</v>
      </c>
      <c r="F229" s="104" t="s">
        <v>203</v>
      </c>
      <c r="G229" s="104"/>
      <c r="H229" s="104" t="s">
        <v>210</v>
      </c>
    </row>
    <row r="230" spans="1:8" x14ac:dyDescent="0.25">
      <c r="A230" s="103"/>
      <c r="B230" s="103"/>
      <c r="C230" s="103"/>
      <c r="D230" s="103"/>
      <c r="E230" s="103"/>
      <c r="F230" s="33" t="s">
        <v>204</v>
      </c>
      <c r="G230" s="33" t="s">
        <v>205</v>
      </c>
      <c r="H230" s="104"/>
    </row>
    <row r="231" spans="1:8" x14ac:dyDescent="0.25">
      <c r="A231" s="24">
        <v>1</v>
      </c>
      <c r="B231" s="4" t="s">
        <v>189</v>
      </c>
      <c r="C231" s="12" t="s">
        <v>190</v>
      </c>
      <c r="D231" s="29">
        <v>1</v>
      </c>
      <c r="E231" s="3">
        <v>1</v>
      </c>
      <c r="F231" s="2"/>
      <c r="G231" s="2"/>
      <c r="H231" s="2"/>
    </row>
    <row r="232" spans="1:8" x14ac:dyDescent="0.25">
      <c r="A232" s="24">
        <v>2</v>
      </c>
      <c r="B232" s="4" t="s">
        <v>191</v>
      </c>
      <c r="C232" s="12" t="s">
        <v>192</v>
      </c>
      <c r="D232" s="29">
        <v>1</v>
      </c>
      <c r="E232" s="25"/>
      <c r="F232" s="2">
        <v>1</v>
      </c>
      <c r="G232" s="2"/>
      <c r="H232" s="2"/>
    </row>
    <row r="233" spans="1:8" x14ac:dyDescent="0.25">
      <c r="A233" s="24">
        <v>3</v>
      </c>
      <c r="B233" s="4" t="s">
        <v>193</v>
      </c>
      <c r="C233" s="12" t="s">
        <v>192</v>
      </c>
      <c r="D233" s="29">
        <f>SUM(D234:D236)</f>
        <v>6</v>
      </c>
      <c r="E233" s="29">
        <f>SUM(E234:E236)</f>
        <v>0</v>
      </c>
      <c r="F233" s="2"/>
      <c r="G233" s="2"/>
      <c r="H233" s="2"/>
    </row>
    <row r="234" spans="1:8" x14ac:dyDescent="0.25">
      <c r="A234" s="11"/>
      <c r="B234" s="28" t="s">
        <v>207</v>
      </c>
      <c r="C234" s="12"/>
      <c r="D234" s="12">
        <v>4</v>
      </c>
      <c r="E234" s="2">
        <v>0</v>
      </c>
      <c r="F234" s="2">
        <v>4</v>
      </c>
      <c r="G234" s="2"/>
      <c r="H234" s="2"/>
    </row>
    <row r="235" spans="1:8" x14ac:dyDescent="0.25">
      <c r="A235" s="11"/>
      <c r="B235" s="28" t="s">
        <v>101</v>
      </c>
      <c r="C235" s="12"/>
      <c r="D235" s="12">
        <v>2</v>
      </c>
      <c r="E235" s="2">
        <v>0</v>
      </c>
      <c r="F235" s="2">
        <v>2</v>
      </c>
      <c r="G235" s="2"/>
      <c r="H235" s="2"/>
    </row>
    <row r="236" spans="1:8" x14ac:dyDescent="0.25">
      <c r="A236" s="11"/>
      <c r="B236" s="28" t="s">
        <v>217</v>
      </c>
      <c r="C236" s="12"/>
      <c r="D236" s="12">
        <v>0</v>
      </c>
      <c r="E236" s="2">
        <v>0</v>
      </c>
      <c r="F236" s="2"/>
      <c r="G236" s="2"/>
      <c r="H236" s="2"/>
    </row>
    <row r="237" spans="1:8" x14ac:dyDescent="0.25">
      <c r="A237" s="24">
        <v>4</v>
      </c>
      <c r="B237" s="4" t="s">
        <v>194</v>
      </c>
      <c r="C237" s="12" t="s">
        <v>195</v>
      </c>
      <c r="D237" s="29">
        <v>1</v>
      </c>
      <c r="E237" s="29">
        <v>1</v>
      </c>
      <c r="F237" s="2"/>
      <c r="G237" s="2"/>
      <c r="H237" s="2" t="s">
        <v>278</v>
      </c>
    </row>
    <row r="238" spans="1:8" x14ac:dyDescent="0.25">
      <c r="A238" s="24">
        <v>5</v>
      </c>
      <c r="B238" s="4" t="s">
        <v>199</v>
      </c>
      <c r="C238" s="12" t="s">
        <v>200</v>
      </c>
      <c r="D238" s="29">
        <f>SUM(D239:D242)</f>
        <v>4</v>
      </c>
      <c r="E238" s="29">
        <f>SUM(E239:E242)</f>
        <v>2</v>
      </c>
      <c r="F238" s="2"/>
      <c r="G238" s="2"/>
      <c r="H238" s="2"/>
    </row>
    <row r="239" spans="1:8" x14ac:dyDescent="0.25">
      <c r="A239" s="30"/>
      <c r="B239" s="12" t="s">
        <v>224</v>
      </c>
      <c r="C239" s="12"/>
      <c r="D239" s="12">
        <v>1</v>
      </c>
      <c r="E239" s="2">
        <v>1</v>
      </c>
      <c r="F239" s="2"/>
      <c r="G239" s="2"/>
      <c r="H239" s="2"/>
    </row>
    <row r="240" spans="1:8" x14ac:dyDescent="0.25">
      <c r="A240" s="30"/>
      <c r="B240" s="12" t="s">
        <v>225</v>
      </c>
      <c r="C240" s="12"/>
      <c r="D240" s="12">
        <v>1</v>
      </c>
      <c r="E240" s="2">
        <v>0</v>
      </c>
      <c r="F240" s="2">
        <v>1</v>
      </c>
      <c r="G240" s="2"/>
      <c r="H240" s="2"/>
    </row>
    <row r="241" spans="1:8" x14ac:dyDescent="0.25">
      <c r="A241" s="30"/>
      <c r="B241" s="12" t="s">
        <v>226</v>
      </c>
      <c r="C241" s="12"/>
      <c r="D241" s="12">
        <v>1</v>
      </c>
      <c r="E241" s="2">
        <v>0</v>
      </c>
      <c r="F241" s="2"/>
      <c r="G241" s="2"/>
      <c r="H241" s="2" t="s">
        <v>281</v>
      </c>
    </row>
    <row r="242" spans="1:8" x14ac:dyDescent="0.25">
      <c r="A242" s="30"/>
      <c r="B242" s="12" t="s">
        <v>227</v>
      </c>
      <c r="C242" s="12"/>
      <c r="D242" s="12">
        <v>1</v>
      </c>
      <c r="E242" s="2">
        <v>1</v>
      </c>
      <c r="F242" s="2"/>
      <c r="G242" s="2"/>
      <c r="H242" s="2" t="s">
        <v>280</v>
      </c>
    </row>
    <row r="243" spans="1:8" x14ac:dyDescent="0.25">
      <c r="A243" s="101" t="s">
        <v>201</v>
      </c>
      <c r="B243" s="101"/>
      <c r="C243" s="101"/>
      <c r="D243" s="29">
        <f>D238+D237+D233+D232+D231</f>
        <v>13</v>
      </c>
      <c r="E243" s="29">
        <f>E238+E237+E233+E232+E231</f>
        <v>4</v>
      </c>
      <c r="F243" s="2"/>
      <c r="G243" s="2"/>
      <c r="H243" s="2"/>
    </row>
    <row r="245" spans="1:8" x14ac:dyDescent="0.25">
      <c r="A245" s="104" t="s">
        <v>279</v>
      </c>
      <c r="B245" s="104"/>
      <c r="C245" s="104"/>
      <c r="D245" s="104"/>
      <c r="E245" s="104"/>
      <c r="F245" s="104"/>
      <c r="G245" s="104"/>
      <c r="H245" s="104"/>
    </row>
    <row r="246" spans="1:8" x14ac:dyDescent="0.25">
      <c r="A246" s="103" t="s">
        <v>185</v>
      </c>
      <c r="B246" s="103" t="s">
        <v>186</v>
      </c>
      <c r="C246" s="103" t="s">
        <v>187</v>
      </c>
      <c r="D246" s="103" t="s">
        <v>188</v>
      </c>
      <c r="E246" s="103" t="s">
        <v>202</v>
      </c>
      <c r="F246" s="104" t="s">
        <v>203</v>
      </c>
      <c r="G246" s="104"/>
      <c r="H246" s="104" t="s">
        <v>210</v>
      </c>
    </row>
    <row r="247" spans="1:8" x14ac:dyDescent="0.25">
      <c r="A247" s="103"/>
      <c r="B247" s="103"/>
      <c r="C247" s="103"/>
      <c r="D247" s="103"/>
      <c r="E247" s="103"/>
      <c r="F247" s="33" t="s">
        <v>204</v>
      </c>
      <c r="G247" s="33" t="s">
        <v>205</v>
      </c>
      <c r="H247" s="104"/>
    </row>
    <row r="248" spans="1:8" x14ac:dyDescent="0.25">
      <c r="A248" s="24">
        <v>1</v>
      </c>
      <c r="B248" s="4" t="s">
        <v>189</v>
      </c>
      <c r="C248" s="12" t="s">
        <v>190</v>
      </c>
      <c r="D248" s="29">
        <v>1</v>
      </c>
      <c r="E248" s="3">
        <v>1</v>
      </c>
      <c r="F248" s="2"/>
      <c r="G248" s="2"/>
      <c r="H248" s="2"/>
    </row>
    <row r="249" spans="1:8" x14ac:dyDescent="0.25">
      <c r="A249" s="24">
        <v>2</v>
      </c>
      <c r="B249" s="4" t="s">
        <v>191</v>
      </c>
      <c r="C249" s="12" t="s">
        <v>192</v>
      </c>
      <c r="D249" s="29">
        <v>1</v>
      </c>
      <c r="E249" s="25"/>
      <c r="F249" s="2">
        <v>1</v>
      </c>
      <c r="G249" s="2"/>
      <c r="H249" s="2"/>
    </row>
    <row r="250" spans="1:8" x14ac:dyDescent="0.25">
      <c r="A250" s="24">
        <v>3</v>
      </c>
      <c r="B250" s="4" t="s">
        <v>193</v>
      </c>
      <c r="C250" s="12" t="s">
        <v>192</v>
      </c>
      <c r="D250" s="29">
        <f>SUM(D251:D253)</f>
        <v>6</v>
      </c>
      <c r="E250" s="29">
        <f>SUM(E251:E253)</f>
        <v>2</v>
      </c>
      <c r="F250" s="2"/>
      <c r="G250" s="2"/>
      <c r="H250" s="2"/>
    </row>
    <row r="251" spans="1:8" x14ac:dyDescent="0.25">
      <c r="A251" s="11"/>
      <c r="B251" s="28" t="s">
        <v>207</v>
      </c>
      <c r="C251" s="12"/>
      <c r="D251" s="12">
        <v>4</v>
      </c>
      <c r="E251" s="2">
        <v>2</v>
      </c>
      <c r="F251" s="2">
        <v>2</v>
      </c>
      <c r="G251" s="2"/>
      <c r="H251" s="2"/>
    </row>
    <row r="252" spans="1:8" x14ac:dyDescent="0.25">
      <c r="A252" s="11"/>
      <c r="B252" s="28" t="s">
        <v>101</v>
      </c>
      <c r="C252" s="12"/>
      <c r="D252" s="12">
        <v>2</v>
      </c>
      <c r="E252" s="2">
        <v>0</v>
      </c>
      <c r="F252" s="2">
        <v>2</v>
      </c>
      <c r="G252" s="2"/>
      <c r="H252" s="2"/>
    </row>
    <row r="253" spans="1:8" x14ac:dyDescent="0.25">
      <c r="A253" s="11"/>
      <c r="B253" s="28" t="s">
        <v>217</v>
      </c>
      <c r="C253" s="12"/>
      <c r="D253" s="12">
        <v>0</v>
      </c>
      <c r="E253" s="2">
        <v>0</v>
      </c>
      <c r="F253" s="2"/>
      <c r="G253" s="2"/>
      <c r="H253" s="2"/>
    </row>
    <row r="254" spans="1:8" x14ac:dyDescent="0.25">
      <c r="A254" s="24">
        <v>4</v>
      </c>
      <c r="B254" s="4" t="s">
        <v>194</v>
      </c>
      <c r="C254" s="12" t="s">
        <v>195</v>
      </c>
      <c r="D254" s="29">
        <v>1</v>
      </c>
      <c r="E254" s="29">
        <v>1</v>
      </c>
      <c r="F254" s="2"/>
      <c r="G254" s="2"/>
      <c r="H254" s="2"/>
    </row>
    <row r="255" spans="1:8" x14ac:dyDescent="0.25">
      <c r="A255" s="24">
        <v>5</v>
      </c>
      <c r="B255" s="4" t="s">
        <v>199</v>
      </c>
      <c r="C255" s="12" t="s">
        <v>200</v>
      </c>
      <c r="D255" s="29">
        <f>SUM(D256:D259)</f>
        <v>4</v>
      </c>
      <c r="E255" s="29">
        <f>SUM(E256:E259)</f>
        <v>3</v>
      </c>
      <c r="F255" s="2"/>
      <c r="G255" s="2"/>
      <c r="H255" s="2"/>
    </row>
    <row r="256" spans="1:8" x14ac:dyDescent="0.25">
      <c r="A256" s="30"/>
      <c r="B256" s="12" t="s">
        <v>224</v>
      </c>
      <c r="C256" s="12"/>
      <c r="D256" s="12">
        <v>1</v>
      </c>
      <c r="E256" s="2">
        <v>1</v>
      </c>
      <c r="F256" s="2"/>
      <c r="G256" s="2"/>
      <c r="H256" s="2"/>
    </row>
    <row r="257" spans="1:8" x14ac:dyDescent="0.25">
      <c r="A257" s="30"/>
      <c r="B257" s="12" t="s">
        <v>225</v>
      </c>
      <c r="C257" s="12"/>
      <c r="D257" s="12">
        <v>1</v>
      </c>
      <c r="E257" s="2">
        <v>1</v>
      </c>
      <c r="F257" s="2"/>
      <c r="G257" s="2"/>
      <c r="H257" s="2"/>
    </row>
    <row r="258" spans="1:8" x14ac:dyDescent="0.25">
      <c r="A258" s="30"/>
      <c r="B258" s="12" t="s">
        <v>226</v>
      </c>
      <c r="C258" s="12"/>
      <c r="D258" s="12">
        <v>1</v>
      </c>
      <c r="E258" s="2">
        <v>1</v>
      </c>
      <c r="F258" s="2"/>
      <c r="G258" s="2"/>
      <c r="H258" s="2" t="s">
        <v>281</v>
      </c>
    </row>
    <row r="259" spans="1:8" x14ac:dyDescent="0.25">
      <c r="A259" s="30"/>
      <c r="B259" s="12" t="s">
        <v>227</v>
      </c>
      <c r="C259" s="12"/>
      <c r="D259" s="12">
        <v>1</v>
      </c>
      <c r="E259" s="2">
        <v>0</v>
      </c>
      <c r="F259" s="2"/>
      <c r="G259" s="2"/>
      <c r="H259" s="2" t="s">
        <v>280</v>
      </c>
    </row>
    <row r="260" spans="1:8" x14ac:dyDescent="0.25">
      <c r="A260" s="101" t="s">
        <v>201</v>
      </c>
      <c r="B260" s="101"/>
      <c r="C260" s="101"/>
      <c r="D260" s="29">
        <f>D255+D254+D250+D249+D248</f>
        <v>13</v>
      </c>
      <c r="E260" s="29">
        <f>E255+E254+E250+E249+E248</f>
        <v>7</v>
      </c>
      <c r="F260" s="2"/>
      <c r="G260" s="2"/>
      <c r="H260" s="2"/>
    </row>
    <row r="262" spans="1:8" x14ac:dyDescent="0.25">
      <c r="A262" s="104" t="s">
        <v>285</v>
      </c>
      <c r="B262" s="104"/>
      <c r="C262" s="104"/>
      <c r="D262" s="104"/>
      <c r="E262" s="104"/>
      <c r="F262" s="104"/>
      <c r="G262" s="104"/>
      <c r="H262" s="104"/>
    </row>
    <row r="263" spans="1:8" x14ac:dyDescent="0.25">
      <c r="A263" s="103" t="s">
        <v>185</v>
      </c>
      <c r="B263" s="103" t="s">
        <v>186</v>
      </c>
      <c r="C263" s="103" t="s">
        <v>187</v>
      </c>
      <c r="D263" s="103" t="s">
        <v>188</v>
      </c>
      <c r="E263" s="103" t="s">
        <v>202</v>
      </c>
      <c r="F263" s="104" t="s">
        <v>203</v>
      </c>
      <c r="G263" s="104"/>
      <c r="H263" s="104" t="s">
        <v>210</v>
      </c>
    </row>
    <row r="264" spans="1:8" x14ac:dyDescent="0.25">
      <c r="A264" s="103"/>
      <c r="B264" s="103"/>
      <c r="C264" s="103"/>
      <c r="D264" s="103"/>
      <c r="E264" s="103"/>
      <c r="F264" s="33" t="s">
        <v>204</v>
      </c>
      <c r="G264" s="33" t="s">
        <v>205</v>
      </c>
      <c r="H264" s="104"/>
    </row>
    <row r="265" spans="1:8" x14ac:dyDescent="0.25">
      <c r="A265" s="24">
        <v>1</v>
      </c>
      <c r="B265" s="4" t="s">
        <v>189</v>
      </c>
      <c r="C265" s="12" t="s">
        <v>190</v>
      </c>
      <c r="D265" s="29">
        <v>1</v>
      </c>
      <c r="E265" s="3">
        <v>1</v>
      </c>
      <c r="F265" s="2"/>
      <c r="G265" s="2"/>
      <c r="H265" s="2"/>
    </row>
    <row r="266" spans="1:8" x14ac:dyDescent="0.25">
      <c r="A266" s="24">
        <v>2</v>
      </c>
      <c r="B266" s="4" t="s">
        <v>191</v>
      </c>
      <c r="C266" s="12" t="s">
        <v>192</v>
      </c>
      <c r="D266" s="29">
        <v>1</v>
      </c>
      <c r="E266" s="25">
        <v>1</v>
      </c>
      <c r="F266" s="2"/>
      <c r="G266" s="2"/>
      <c r="H266" s="2" t="s">
        <v>290</v>
      </c>
    </row>
    <row r="267" spans="1:8" x14ac:dyDescent="0.25">
      <c r="A267" s="24">
        <v>3</v>
      </c>
      <c r="B267" s="4" t="s">
        <v>193</v>
      </c>
      <c r="C267" s="12" t="s">
        <v>192</v>
      </c>
      <c r="D267" s="29">
        <f>SUM(D268:D270)</f>
        <v>8</v>
      </c>
      <c r="E267" s="29">
        <f>SUM(E268:E270)</f>
        <v>5</v>
      </c>
      <c r="F267" s="2"/>
      <c r="G267" s="2"/>
      <c r="H267" s="2"/>
    </row>
    <row r="268" spans="1:8" x14ac:dyDescent="0.25">
      <c r="A268" s="11"/>
      <c r="B268" s="28" t="s">
        <v>207</v>
      </c>
      <c r="C268" s="12"/>
      <c r="D268" s="12">
        <v>2</v>
      </c>
      <c r="E268" s="2">
        <v>1</v>
      </c>
      <c r="F268" s="2">
        <v>1</v>
      </c>
      <c r="G268" s="2"/>
      <c r="H268" s="2"/>
    </row>
    <row r="269" spans="1:8" x14ac:dyDescent="0.25">
      <c r="A269" s="11"/>
      <c r="B269" s="28" t="s">
        <v>101</v>
      </c>
      <c r="C269" s="12"/>
      <c r="D269" s="12">
        <v>1</v>
      </c>
      <c r="E269" s="2">
        <v>0</v>
      </c>
      <c r="F269" s="2">
        <v>1</v>
      </c>
      <c r="G269" s="2"/>
      <c r="H269" s="2"/>
    </row>
    <row r="270" spans="1:8" x14ac:dyDescent="0.25">
      <c r="A270" s="11"/>
      <c r="B270" s="28" t="s">
        <v>217</v>
      </c>
      <c r="C270" s="12"/>
      <c r="D270" s="12">
        <v>5</v>
      </c>
      <c r="E270" s="2">
        <v>4</v>
      </c>
      <c r="F270" s="2">
        <v>1</v>
      </c>
      <c r="G270" s="2"/>
      <c r="H270" s="2" t="s">
        <v>291</v>
      </c>
    </row>
    <row r="271" spans="1:8" x14ac:dyDescent="0.25">
      <c r="A271" s="24">
        <v>4</v>
      </c>
      <c r="B271" s="4" t="s">
        <v>194</v>
      </c>
      <c r="C271" s="12" t="s">
        <v>195</v>
      </c>
      <c r="D271" s="29">
        <v>1</v>
      </c>
      <c r="E271" s="29">
        <v>1</v>
      </c>
      <c r="F271" s="2"/>
      <c r="G271" s="2"/>
      <c r="H271" s="2"/>
    </row>
    <row r="272" spans="1:8" x14ac:dyDescent="0.25">
      <c r="A272" s="24">
        <v>5</v>
      </c>
      <c r="B272" s="4" t="s">
        <v>199</v>
      </c>
      <c r="C272" s="12" t="s">
        <v>200</v>
      </c>
      <c r="D272" s="29">
        <f>SUM(D273:D277)</f>
        <v>6</v>
      </c>
      <c r="E272" s="29">
        <f>SUM(E273:E277)</f>
        <v>6</v>
      </c>
      <c r="F272" s="2"/>
      <c r="G272" s="2"/>
      <c r="H272" s="2"/>
    </row>
    <row r="273" spans="1:8" x14ac:dyDescent="0.25">
      <c r="A273" s="30"/>
      <c r="B273" s="12" t="s">
        <v>224</v>
      </c>
      <c r="C273" s="12"/>
      <c r="D273" s="12">
        <v>1</v>
      </c>
      <c r="E273" s="2">
        <v>1</v>
      </c>
      <c r="F273" s="2"/>
      <c r="G273" s="2"/>
      <c r="H273" s="2"/>
    </row>
    <row r="274" spans="1:8" x14ac:dyDescent="0.25">
      <c r="A274" s="30"/>
      <c r="B274" s="12" t="s">
        <v>225</v>
      </c>
      <c r="C274" s="12"/>
      <c r="D274" s="12">
        <v>1</v>
      </c>
      <c r="E274" s="2">
        <v>1</v>
      </c>
      <c r="F274" s="2"/>
      <c r="G274" s="2"/>
      <c r="H274" s="2" t="s">
        <v>281</v>
      </c>
    </row>
    <row r="275" spans="1:8" x14ac:dyDescent="0.25">
      <c r="A275" s="30"/>
      <c r="B275" s="12" t="s">
        <v>226</v>
      </c>
      <c r="C275" s="12"/>
      <c r="D275" s="12">
        <v>1</v>
      </c>
      <c r="E275" s="2">
        <v>1</v>
      </c>
      <c r="F275" s="2"/>
      <c r="G275" s="2"/>
      <c r="H275" s="2"/>
    </row>
    <row r="276" spans="1:8" x14ac:dyDescent="0.25">
      <c r="A276" s="30"/>
      <c r="B276" s="12" t="s">
        <v>227</v>
      </c>
      <c r="C276" s="12"/>
      <c r="D276" s="12">
        <v>1</v>
      </c>
      <c r="E276" s="2">
        <v>1</v>
      </c>
      <c r="F276" s="2"/>
      <c r="G276" s="2"/>
      <c r="H276" s="2"/>
    </row>
    <row r="277" spans="1:8" x14ac:dyDescent="0.25">
      <c r="A277" s="30"/>
      <c r="B277" s="12" t="s">
        <v>253</v>
      </c>
      <c r="C277" s="12"/>
      <c r="D277" s="12">
        <v>2</v>
      </c>
      <c r="E277" s="2">
        <v>2</v>
      </c>
      <c r="F277" s="2"/>
      <c r="G277" s="2"/>
      <c r="H277" s="2"/>
    </row>
    <row r="278" spans="1:8" x14ac:dyDescent="0.25">
      <c r="A278" s="101" t="s">
        <v>201</v>
      </c>
      <c r="B278" s="101"/>
      <c r="C278" s="101"/>
      <c r="D278" s="29">
        <f>D272+D271+D267+D266+D265</f>
        <v>17</v>
      </c>
      <c r="E278" s="29">
        <f>E272+E271+E267+E266+E265</f>
        <v>14</v>
      </c>
      <c r="F278" s="2"/>
      <c r="G278" s="2"/>
      <c r="H278" s="2"/>
    </row>
  </sheetData>
  <mergeCells count="153">
    <mergeCell ref="A278:C278"/>
    <mergeCell ref="A260:C260"/>
    <mergeCell ref="A262:H262"/>
    <mergeCell ref="A263:A264"/>
    <mergeCell ref="B263:B264"/>
    <mergeCell ref="C263:C264"/>
    <mergeCell ref="D263:D264"/>
    <mergeCell ref="E263:E264"/>
    <mergeCell ref="F263:G263"/>
    <mergeCell ref="H263:H264"/>
    <mergeCell ref="A243:C243"/>
    <mergeCell ref="A245:H245"/>
    <mergeCell ref="A246:A247"/>
    <mergeCell ref="B246:B247"/>
    <mergeCell ref="C246:C247"/>
    <mergeCell ref="D246:D247"/>
    <mergeCell ref="E246:E247"/>
    <mergeCell ref="F246:G246"/>
    <mergeCell ref="H246:H247"/>
    <mergeCell ref="A226:C226"/>
    <mergeCell ref="A228:H228"/>
    <mergeCell ref="A229:A230"/>
    <mergeCell ref="B229:B230"/>
    <mergeCell ref="C229:C230"/>
    <mergeCell ref="D229:D230"/>
    <mergeCell ref="E229:E230"/>
    <mergeCell ref="F229:G229"/>
    <mergeCell ref="H229:H230"/>
    <mergeCell ref="A210:C210"/>
    <mergeCell ref="A212:H212"/>
    <mergeCell ref="A213:A214"/>
    <mergeCell ref="B213:B214"/>
    <mergeCell ref="C213:C214"/>
    <mergeCell ref="D213:D214"/>
    <mergeCell ref="E213:E214"/>
    <mergeCell ref="F213:G213"/>
    <mergeCell ref="H213:H214"/>
    <mergeCell ref="A200:C200"/>
    <mergeCell ref="A202:H202"/>
    <mergeCell ref="A203:A204"/>
    <mergeCell ref="B203:B204"/>
    <mergeCell ref="C203:C204"/>
    <mergeCell ref="D203:D204"/>
    <mergeCell ref="E203:E204"/>
    <mergeCell ref="F203:G203"/>
    <mergeCell ref="H203:H204"/>
    <mergeCell ref="A182:H182"/>
    <mergeCell ref="A183:A184"/>
    <mergeCell ref="B183:B184"/>
    <mergeCell ref="C183:C184"/>
    <mergeCell ref="D183:D184"/>
    <mergeCell ref="E183:E184"/>
    <mergeCell ref="F183:G183"/>
    <mergeCell ref="H183:H184"/>
    <mergeCell ref="A180:C180"/>
    <mergeCell ref="A162:C162"/>
    <mergeCell ref="A164:H164"/>
    <mergeCell ref="A165:A166"/>
    <mergeCell ref="B165:B166"/>
    <mergeCell ref="C165:C166"/>
    <mergeCell ref="D165:D166"/>
    <mergeCell ref="E165:E166"/>
    <mergeCell ref="F165:G165"/>
    <mergeCell ref="H165:H166"/>
    <mergeCell ref="A146:H146"/>
    <mergeCell ref="A147:A148"/>
    <mergeCell ref="B147:B148"/>
    <mergeCell ref="C147:C148"/>
    <mergeCell ref="D147:D148"/>
    <mergeCell ref="E147:E148"/>
    <mergeCell ref="F147:G147"/>
    <mergeCell ref="H147:H148"/>
    <mergeCell ref="A110:C110"/>
    <mergeCell ref="A144:C144"/>
    <mergeCell ref="A127:C127"/>
    <mergeCell ref="A129:H129"/>
    <mergeCell ref="A130:A131"/>
    <mergeCell ref="B130:B131"/>
    <mergeCell ref="C130:C131"/>
    <mergeCell ref="D130:D131"/>
    <mergeCell ref="E130:E131"/>
    <mergeCell ref="F130:G130"/>
    <mergeCell ref="H130:H131"/>
    <mergeCell ref="E78:E79"/>
    <mergeCell ref="F78:G78"/>
    <mergeCell ref="H78:H79"/>
    <mergeCell ref="A93:C93"/>
    <mergeCell ref="A95:H95"/>
    <mergeCell ref="A96:A97"/>
    <mergeCell ref="B96:B97"/>
    <mergeCell ref="C96:C97"/>
    <mergeCell ref="D96:D97"/>
    <mergeCell ref="E96:E97"/>
    <mergeCell ref="F96:G96"/>
    <mergeCell ref="H96:H97"/>
    <mergeCell ref="A17:A18"/>
    <mergeCell ref="B17:B18"/>
    <mergeCell ref="A42:H42"/>
    <mergeCell ref="A43:A44"/>
    <mergeCell ref="B43:B44"/>
    <mergeCell ref="C43:C44"/>
    <mergeCell ref="D43:D44"/>
    <mergeCell ref="E43:E44"/>
    <mergeCell ref="F43:G43"/>
    <mergeCell ref="H43:H44"/>
    <mergeCell ref="C17:C18"/>
    <mergeCell ref="D17:D18"/>
    <mergeCell ref="E17:E18"/>
    <mergeCell ref="F17:G17"/>
    <mergeCell ref="H17:H18"/>
    <mergeCell ref="A40:C40"/>
    <mergeCell ref="A22:C22"/>
    <mergeCell ref="A24:H24"/>
    <mergeCell ref="A25:A26"/>
    <mergeCell ref="B25:B26"/>
    <mergeCell ref="C25:C26"/>
    <mergeCell ref="D25:D26"/>
    <mergeCell ref="E25:E26"/>
    <mergeCell ref="F25:G25"/>
    <mergeCell ref="E3:E4"/>
    <mergeCell ref="H3:H4"/>
    <mergeCell ref="F3:G3"/>
    <mergeCell ref="A2:H2"/>
    <mergeCell ref="A16:H16"/>
    <mergeCell ref="A14:C14"/>
    <mergeCell ref="A3:A4"/>
    <mergeCell ref="B3:B4"/>
    <mergeCell ref="C3:C4"/>
    <mergeCell ref="D3:D4"/>
    <mergeCell ref="H25:H26"/>
    <mergeCell ref="A112:H112"/>
    <mergeCell ref="A113:A114"/>
    <mergeCell ref="B113:B114"/>
    <mergeCell ref="C113:C114"/>
    <mergeCell ref="D113:D114"/>
    <mergeCell ref="E113:E114"/>
    <mergeCell ref="F113:G113"/>
    <mergeCell ref="H113:H114"/>
    <mergeCell ref="A57:C57"/>
    <mergeCell ref="A59:H59"/>
    <mergeCell ref="A60:A61"/>
    <mergeCell ref="B60:B61"/>
    <mergeCell ref="C60:C61"/>
    <mergeCell ref="D60:D61"/>
    <mergeCell ref="E60:E61"/>
    <mergeCell ref="F60:G60"/>
    <mergeCell ref="H60:H61"/>
    <mergeCell ref="A75:C75"/>
    <mergeCell ref="A77:H77"/>
    <mergeCell ref="A78:A79"/>
    <mergeCell ref="B78:B79"/>
    <mergeCell ref="C78:C79"/>
    <mergeCell ref="D78:D79"/>
  </mergeCells>
  <pageMargins left="0" right="0" top="0" bottom="0" header="0" footer="0"/>
  <pageSetup paperSize="9" scale="7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U78"/>
  <sheetViews>
    <sheetView topLeftCell="A40" workbookViewId="0">
      <selection activeCell="G61" sqref="G61"/>
    </sheetView>
  </sheetViews>
  <sheetFormatPr defaultRowHeight="15.75" x14ac:dyDescent="0.25"/>
  <cols>
    <col min="1" max="1" width="33.42578125" style="1" bestFit="1" customWidth="1"/>
    <col min="2" max="2" width="14.85546875" style="1" bestFit="1" customWidth="1"/>
    <col min="3" max="3" width="9.42578125" style="1" bestFit="1" customWidth="1"/>
    <col min="4" max="4" width="9.28515625" style="1" bestFit="1" customWidth="1"/>
    <col min="5" max="5" width="9.7109375" style="1" bestFit="1" customWidth="1"/>
    <col min="6" max="6" width="15.5703125" style="1" bestFit="1" customWidth="1"/>
    <col min="7" max="7" width="13.7109375" style="1" bestFit="1" customWidth="1"/>
    <col min="8" max="8" width="13.28515625" style="1" bestFit="1" customWidth="1"/>
    <col min="9" max="9" width="9.5703125" style="1" bestFit="1" customWidth="1"/>
    <col min="10" max="11" width="11.140625" style="1" bestFit="1" customWidth="1"/>
    <col min="12" max="18" width="9.5703125" style="1" bestFit="1" customWidth="1"/>
    <col min="19" max="19" width="9.5703125" style="1" customWidth="1"/>
    <col min="20" max="16384" width="9.140625" style="1"/>
  </cols>
  <sheetData>
    <row r="2" spans="1:20" ht="25.5" x14ac:dyDescent="0.35">
      <c r="A2" s="14" t="s">
        <v>83</v>
      </c>
      <c r="B2" s="14"/>
      <c r="C2" s="15"/>
      <c r="D2" s="15"/>
      <c r="E2" s="15"/>
    </row>
    <row r="4" spans="1:20" x14ac:dyDescent="0.25">
      <c r="A4" s="2"/>
      <c r="B4" s="3" t="s">
        <v>174</v>
      </c>
      <c r="C4" s="3" t="s">
        <v>21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178</v>
      </c>
    </row>
    <row r="5" spans="1:20" x14ac:dyDescent="0.25">
      <c r="A5" s="5" t="s">
        <v>0</v>
      </c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0" x14ac:dyDescent="0.25">
      <c r="A6" s="2" t="s">
        <v>33</v>
      </c>
      <c r="B6" s="2">
        <v>5</v>
      </c>
      <c r="C6" s="2">
        <v>23</v>
      </c>
      <c r="D6" s="2">
        <v>50</v>
      </c>
      <c r="E6" s="2">
        <v>31</v>
      </c>
      <c r="F6" s="2">
        <v>38</v>
      </c>
      <c r="G6" s="2">
        <v>24</v>
      </c>
      <c r="H6" s="2">
        <v>25</v>
      </c>
      <c r="I6" s="2">
        <v>18</v>
      </c>
      <c r="J6" s="2">
        <v>24</v>
      </c>
      <c r="K6" s="2">
        <v>30</v>
      </c>
      <c r="L6" s="2">
        <v>45</v>
      </c>
      <c r="M6" s="2">
        <v>62</v>
      </c>
      <c r="N6" s="2">
        <v>53</v>
      </c>
      <c r="O6" s="2">
        <v>81</v>
      </c>
      <c r="P6" s="2">
        <v>66</v>
      </c>
      <c r="Q6" s="2">
        <v>50</v>
      </c>
      <c r="R6" s="2">
        <v>0</v>
      </c>
      <c r="S6" s="2"/>
    </row>
    <row r="7" spans="1:20" x14ac:dyDescent="0.25">
      <c r="A7" s="4">
        <v>5</v>
      </c>
      <c r="B7" s="4">
        <f>ROUND(B6/$A$7,0)</f>
        <v>1</v>
      </c>
      <c r="C7" s="4">
        <f t="shared" ref="C7:R7" si="0">ROUND(C6/$A$7,0)</f>
        <v>5</v>
      </c>
      <c r="D7" s="4">
        <f t="shared" si="0"/>
        <v>10</v>
      </c>
      <c r="E7" s="4">
        <f t="shared" si="0"/>
        <v>6</v>
      </c>
      <c r="F7" s="4">
        <f t="shared" si="0"/>
        <v>8</v>
      </c>
      <c r="G7" s="4">
        <f t="shared" si="0"/>
        <v>5</v>
      </c>
      <c r="H7" s="4">
        <f t="shared" si="0"/>
        <v>5</v>
      </c>
      <c r="I7" s="4">
        <f t="shared" si="0"/>
        <v>4</v>
      </c>
      <c r="J7" s="4">
        <f t="shared" si="0"/>
        <v>5</v>
      </c>
      <c r="K7" s="4">
        <f t="shared" si="0"/>
        <v>6</v>
      </c>
      <c r="L7" s="4">
        <f t="shared" si="0"/>
        <v>9</v>
      </c>
      <c r="M7" s="4">
        <f t="shared" si="0"/>
        <v>12</v>
      </c>
      <c r="N7" s="4">
        <f t="shared" si="0"/>
        <v>11</v>
      </c>
      <c r="O7" s="4">
        <f t="shared" si="0"/>
        <v>16</v>
      </c>
      <c r="P7" s="4">
        <f t="shared" si="0"/>
        <v>13</v>
      </c>
      <c r="Q7" s="4">
        <f t="shared" si="0"/>
        <v>10</v>
      </c>
      <c r="R7" s="4">
        <f t="shared" si="0"/>
        <v>0</v>
      </c>
      <c r="S7" s="4"/>
      <c r="T7" s="1">
        <f t="shared" ref="T7:T8" si="1">SUM(B7:R7)</f>
        <v>126</v>
      </c>
    </row>
    <row r="8" spans="1:20" x14ac:dyDescent="0.25">
      <c r="A8" s="12" t="s">
        <v>60</v>
      </c>
      <c r="B8" s="12">
        <v>2</v>
      </c>
      <c r="C8" s="12">
        <v>2</v>
      </c>
      <c r="D8" s="12">
        <v>2</v>
      </c>
      <c r="E8" s="12">
        <v>2</v>
      </c>
      <c r="F8" s="12">
        <v>2</v>
      </c>
      <c r="G8" s="12">
        <v>2</v>
      </c>
      <c r="H8" s="12">
        <v>2</v>
      </c>
      <c r="I8" s="12">
        <v>2</v>
      </c>
      <c r="J8" s="12">
        <v>2</v>
      </c>
      <c r="K8" s="12">
        <v>2</v>
      </c>
      <c r="L8" s="12">
        <v>2</v>
      </c>
      <c r="M8" s="12">
        <v>2</v>
      </c>
      <c r="N8" s="12">
        <v>2</v>
      </c>
      <c r="O8" s="12">
        <v>2</v>
      </c>
      <c r="P8" s="12">
        <v>2</v>
      </c>
      <c r="Q8" s="12">
        <v>2</v>
      </c>
      <c r="R8" s="2"/>
      <c r="S8" s="2"/>
      <c r="T8" s="1">
        <f t="shared" si="1"/>
        <v>32</v>
      </c>
    </row>
    <row r="9" spans="1:20" x14ac:dyDescent="0.25">
      <c r="A9" s="12" t="s">
        <v>61</v>
      </c>
      <c r="B9" s="12">
        <v>2</v>
      </c>
      <c r="C9" s="12">
        <v>2</v>
      </c>
      <c r="D9" s="12">
        <v>2</v>
      </c>
      <c r="E9" s="12">
        <v>2</v>
      </c>
      <c r="F9" s="12">
        <v>2</v>
      </c>
      <c r="G9" s="12">
        <v>2</v>
      </c>
      <c r="H9" s="12">
        <v>2</v>
      </c>
      <c r="I9" s="12">
        <v>2</v>
      </c>
      <c r="J9" s="12">
        <v>2</v>
      </c>
      <c r="K9" s="12">
        <v>2</v>
      </c>
      <c r="L9" s="12">
        <v>2</v>
      </c>
      <c r="M9" s="12">
        <v>2</v>
      </c>
      <c r="N9" s="12">
        <v>2</v>
      </c>
      <c r="O9" s="12">
        <v>2</v>
      </c>
      <c r="P9" s="12">
        <v>2</v>
      </c>
      <c r="Q9" s="12">
        <v>2</v>
      </c>
      <c r="R9" s="2"/>
      <c r="S9" s="2"/>
      <c r="T9" s="1">
        <f>SUM(B9:R9)</f>
        <v>32</v>
      </c>
    </row>
    <row r="11" spans="1:20" x14ac:dyDescent="0.25">
      <c r="A11" s="13" t="s">
        <v>75</v>
      </c>
      <c r="B11" s="13"/>
    </row>
    <row r="12" spans="1:20" x14ac:dyDescent="0.25">
      <c r="A12" s="2" t="s">
        <v>85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20" x14ac:dyDescent="0.25">
      <c r="A13" s="2" t="s">
        <v>85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0" x14ac:dyDescent="0.25">
      <c r="A14" s="2" t="s">
        <v>218</v>
      </c>
      <c r="B14" s="2">
        <v>1</v>
      </c>
      <c r="C14" s="2">
        <v>1</v>
      </c>
      <c r="D14" s="2">
        <v>1</v>
      </c>
      <c r="E14" s="2">
        <v>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20" x14ac:dyDescent="0.25">
      <c r="A15" s="2" t="s">
        <v>86</v>
      </c>
      <c r="B15" s="2"/>
      <c r="C15" s="2"/>
      <c r="D15" s="2"/>
      <c r="E15" s="2"/>
      <c r="F15" s="2"/>
      <c r="G15" s="2"/>
      <c r="H15" s="2"/>
      <c r="I15" s="2"/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/>
      <c r="S15" s="2"/>
    </row>
    <row r="16" spans="1:20" x14ac:dyDescent="0.25">
      <c r="A16" s="2" t="s">
        <v>86</v>
      </c>
      <c r="B16" s="2"/>
      <c r="C16" s="2"/>
      <c r="D16" s="2"/>
      <c r="E16" s="2"/>
      <c r="F16" s="2"/>
      <c r="G16" s="2"/>
      <c r="H16" s="2"/>
      <c r="I16" s="2"/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/>
      <c r="S16" s="2"/>
    </row>
    <row r="17" spans="1:21" x14ac:dyDescent="0.25">
      <c r="A17" s="2" t="s">
        <v>221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1</v>
      </c>
      <c r="O17" s="2">
        <v>1</v>
      </c>
      <c r="P17" s="2">
        <v>1</v>
      </c>
      <c r="Q17" s="2">
        <v>1</v>
      </c>
      <c r="R17" s="2"/>
      <c r="S17" s="2"/>
    </row>
    <row r="18" spans="1:21" x14ac:dyDescent="0.25">
      <c r="A18" s="2" t="s">
        <v>175</v>
      </c>
      <c r="B18" s="2"/>
      <c r="C18" s="2"/>
      <c r="D18" s="2"/>
      <c r="E18" s="2"/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/>
      <c r="O18" s="2"/>
      <c r="P18" s="2"/>
      <c r="Q18" s="2"/>
      <c r="R18" s="2"/>
      <c r="S18" s="2"/>
    </row>
    <row r="19" spans="1:21" x14ac:dyDescent="0.25">
      <c r="A19" s="2" t="s">
        <v>66</v>
      </c>
      <c r="B19" s="2">
        <f>SUM(B12:B18)</f>
        <v>3</v>
      </c>
      <c r="C19" s="2">
        <f t="shared" ref="C19:S19" si="2">SUM(C12:C18)</f>
        <v>3</v>
      </c>
      <c r="D19" s="2">
        <f t="shared" si="2"/>
        <v>3</v>
      </c>
      <c r="E19" s="2">
        <f t="shared" si="2"/>
        <v>3</v>
      </c>
      <c r="F19" s="2">
        <f t="shared" si="2"/>
        <v>3</v>
      </c>
      <c r="G19" s="2">
        <f t="shared" si="2"/>
        <v>3</v>
      </c>
      <c r="H19" s="2">
        <f t="shared" si="2"/>
        <v>3</v>
      </c>
      <c r="I19" s="2">
        <f t="shared" si="2"/>
        <v>3</v>
      </c>
      <c r="J19" s="2">
        <f t="shared" si="2"/>
        <v>3</v>
      </c>
      <c r="K19" s="2">
        <f t="shared" si="2"/>
        <v>3</v>
      </c>
      <c r="L19" s="2">
        <f t="shared" si="2"/>
        <v>3</v>
      </c>
      <c r="M19" s="2">
        <f t="shared" si="2"/>
        <v>3</v>
      </c>
      <c r="N19" s="2">
        <f t="shared" si="2"/>
        <v>3</v>
      </c>
      <c r="O19" s="2">
        <f t="shared" si="2"/>
        <v>3</v>
      </c>
      <c r="P19" s="2">
        <f t="shared" si="2"/>
        <v>3</v>
      </c>
      <c r="Q19" s="2">
        <f t="shared" si="2"/>
        <v>3</v>
      </c>
      <c r="R19" s="2">
        <f t="shared" si="2"/>
        <v>0</v>
      </c>
      <c r="S19" s="2">
        <f t="shared" si="2"/>
        <v>0</v>
      </c>
      <c r="T19" s="1">
        <f>SUM(C19:R19)</f>
        <v>45</v>
      </c>
    </row>
    <row r="21" spans="1:21" x14ac:dyDescent="0.25">
      <c r="A21" s="5" t="s">
        <v>2</v>
      </c>
      <c r="B21" s="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21" x14ac:dyDescent="0.25">
      <c r="A22" s="2" t="s">
        <v>176</v>
      </c>
      <c r="B22" s="2">
        <v>6</v>
      </c>
      <c r="C22" s="2">
        <v>8</v>
      </c>
      <c r="D22" s="2">
        <v>9</v>
      </c>
      <c r="E22" s="2">
        <v>6</v>
      </c>
      <c r="F22" s="2">
        <v>12</v>
      </c>
      <c r="G22" s="2">
        <v>5</v>
      </c>
      <c r="H22" s="2">
        <v>9</v>
      </c>
      <c r="I22" s="2">
        <v>4</v>
      </c>
      <c r="J22" s="2">
        <v>1</v>
      </c>
      <c r="K22" s="2">
        <v>7</v>
      </c>
      <c r="L22" s="2">
        <v>5</v>
      </c>
      <c r="M22" s="2">
        <v>10</v>
      </c>
      <c r="N22" s="2">
        <v>16</v>
      </c>
      <c r="O22" s="2">
        <v>13</v>
      </c>
      <c r="P22" s="2">
        <v>22</v>
      </c>
      <c r="Q22" s="2">
        <v>9</v>
      </c>
      <c r="R22" s="2">
        <v>5</v>
      </c>
      <c r="S22" s="2">
        <v>1</v>
      </c>
      <c r="T22" s="1">
        <v>1</v>
      </c>
      <c r="U22" s="1">
        <v>6</v>
      </c>
    </row>
    <row r="23" spans="1:21" x14ac:dyDescent="0.25">
      <c r="A23" s="2" t="s">
        <v>177</v>
      </c>
      <c r="B23" s="2"/>
      <c r="C23" s="2">
        <v>2</v>
      </c>
      <c r="D23" s="2">
        <v>16</v>
      </c>
      <c r="E23" s="2">
        <v>14</v>
      </c>
      <c r="F23" s="2">
        <v>13</v>
      </c>
      <c r="G23" s="2">
        <v>3</v>
      </c>
      <c r="H23" s="2">
        <v>3</v>
      </c>
      <c r="I23" s="2">
        <v>5</v>
      </c>
      <c r="J23" s="2">
        <v>2</v>
      </c>
      <c r="K23" s="2">
        <v>9</v>
      </c>
      <c r="L23" s="2">
        <v>3</v>
      </c>
      <c r="M23" s="2">
        <v>7</v>
      </c>
      <c r="N23" s="2">
        <v>13</v>
      </c>
      <c r="O23" s="2">
        <v>15</v>
      </c>
      <c r="P23" s="2">
        <v>9</v>
      </c>
      <c r="Q23" s="2">
        <v>13</v>
      </c>
      <c r="R23" s="2">
        <v>1</v>
      </c>
      <c r="S23" s="2"/>
    </row>
    <row r="24" spans="1:21" x14ac:dyDescent="0.25">
      <c r="A24" s="4">
        <v>2</v>
      </c>
      <c r="B24" s="4">
        <f>ROUND((B23+B22)/$A$24,0)</f>
        <v>3</v>
      </c>
      <c r="C24" s="4">
        <f t="shared" ref="C24:S24" si="3">ROUND((C23+C22)/$A$24,0)</f>
        <v>5</v>
      </c>
      <c r="D24" s="4">
        <f t="shared" si="3"/>
        <v>13</v>
      </c>
      <c r="E24" s="4">
        <f t="shared" si="3"/>
        <v>10</v>
      </c>
      <c r="F24" s="4">
        <f t="shared" si="3"/>
        <v>13</v>
      </c>
      <c r="G24" s="4">
        <f t="shared" si="3"/>
        <v>4</v>
      </c>
      <c r="H24" s="4">
        <f t="shared" si="3"/>
        <v>6</v>
      </c>
      <c r="I24" s="4">
        <f t="shared" si="3"/>
        <v>5</v>
      </c>
      <c r="J24" s="4">
        <f t="shared" si="3"/>
        <v>2</v>
      </c>
      <c r="K24" s="4">
        <f t="shared" si="3"/>
        <v>8</v>
      </c>
      <c r="L24" s="4">
        <f t="shared" si="3"/>
        <v>4</v>
      </c>
      <c r="M24" s="4">
        <f t="shared" si="3"/>
        <v>9</v>
      </c>
      <c r="N24" s="4">
        <f t="shared" si="3"/>
        <v>15</v>
      </c>
      <c r="O24" s="4">
        <f t="shared" si="3"/>
        <v>14</v>
      </c>
      <c r="P24" s="4">
        <f t="shared" si="3"/>
        <v>16</v>
      </c>
      <c r="Q24" s="4">
        <f t="shared" si="3"/>
        <v>11</v>
      </c>
      <c r="R24" s="4">
        <f t="shared" si="3"/>
        <v>3</v>
      </c>
      <c r="S24" s="4">
        <f t="shared" si="3"/>
        <v>1</v>
      </c>
      <c r="T24" s="1">
        <f t="shared" ref="T24:T25" si="4">SUM(C24:R24)</f>
        <v>138</v>
      </c>
    </row>
    <row r="25" spans="1:21" x14ac:dyDescent="0.25">
      <c r="A25" s="12" t="s">
        <v>60</v>
      </c>
      <c r="B25" s="12">
        <v>2</v>
      </c>
      <c r="C25" s="12">
        <v>2</v>
      </c>
      <c r="D25" s="12">
        <v>2</v>
      </c>
      <c r="E25" s="12">
        <v>2</v>
      </c>
      <c r="F25" s="12">
        <v>2</v>
      </c>
      <c r="G25" s="12">
        <v>2</v>
      </c>
      <c r="H25" s="12">
        <v>2</v>
      </c>
      <c r="I25" s="12">
        <v>2</v>
      </c>
      <c r="J25" s="12">
        <v>2</v>
      </c>
      <c r="K25" s="12">
        <v>2</v>
      </c>
      <c r="L25" s="12">
        <v>2</v>
      </c>
      <c r="M25" s="12">
        <v>2</v>
      </c>
      <c r="N25" s="12">
        <v>2</v>
      </c>
      <c r="O25" s="12">
        <v>2</v>
      </c>
      <c r="P25" s="12">
        <v>2</v>
      </c>
      <c r="Q25" s="12">
        <v>2</v>
      </c>
      <c r="R25" s="12">
        <v>2</v>
      </c>
      <c r="S25" s="2"/>
      <c r="T25" s="1">
        <f t="shared" si="4"/>
        <v>32</v>
      </c>
    </row>
    <row r="26" spans="1:21" x14ac:dyDescent="0.25">
      <c r="A26" s="12" t="s">
        <v>61</v>
      </c>
      <c r="B26" s="12">
        <v>2</v>
      </c>
      <c r="C26" s="12">
        <v>2</v>
      </c>
      <c r="D26" s="12">
        <v>2</v>
      </c>
      <c r="E26" s="12">
        <v>2</v>
      </c>
      <c r="F26" s="12">
        <v>2</v>
      </c>
      <c r="G26" s="12">
        <v>2</v>
      </c>
      <c r="H26" s="12">
        <v>2</v>
      </c>
      <c r="I26" s="12">
        <v>2</v>
      </c>
      <c r="J26" s="12">
        <v>2</v>
      </c>
      <c r="K26" s="12">
        <v>2</v>
      </c>
      <c r="L26" s="12">
        <v>2</v>
      </c>
      <c r="M26" s="12">
        <v>2</v>
      </c>
      <c r="N26" s="12">
        <v>2</v>
      </c>
      <c r="O26" s="12">
        <v>2</v>
      </c>
      <c r="P26" s="12">
        <v>2</v>
      </c>
      <c r="Q26" s="12">
        <v>2</v>
      </c>
      <c r="R26" s="12">
        <v>2</v>
      </c>
      <c r="S26" s="2"/>
      <c r="T26" s="1">
        <f>SUM(C26:R26)</f>
        <v>32</v>
      </c>
    </row>
    <row r="28" spans="1:21" x14ac:dyDescent="0.25">
      <c r="A28" s="13" t="s">
        <v>75</v>
      </c>
      <c r="B28" s="13"/>
    </row>
    <row r="29" spans="1:21" x14ac:dyDescent="0.25">
      <c r="A29" s="2" t="s">
        <v>85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21" x14ac:dyDescent="0.25">
      <c r="A30" s="2" t="s">
        <v>85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21" x14ac:dyDescent="0.25">
      <c r="A31" s="2" t="s">
        <v>218</v>
      </c>
      <c r="B31" s="2">
        <v>1</v>
      </c>
      <c r="C31" s="2">
        <v>1</v>
      </c>
      <c r="D31" s="2">
        <v>1</v>
      </c>
      <c r="E31" s="2">
        <v>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21" x14ac:dyDescent="0.25">
      <c r="A32" s="2" t="s">
        <v>86</v>
      </c>
      <c r="B32" s="2"/>
      <c r="C32" s="2"/>
      <c r="D32" s="2"/>
      <c r="E32" s="2"/>
      <c r="F32" s="2"/>
      <c r="G32" s="2"/>
      <c r="H32" s="2"/>
      <c r="I32" s="2"/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/>
    </row>
    <row r="33" spans="1:20" x14ac:dyDescent="0.25">
      <c r="A33" s="2" t="s">
        <v>86</v>
      </c>
      <c r="B33" s="2"/>
      <c r="C33" s="2"/>
      <c r="D33" s="2"/>
      <c r="E33" s="2"/>
      <c r="F33" s="2"/>
      <c r="G33" s="2"/>
      <c r="H33" s="2"/>
      <c r="I33" s="2"/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/>
    </row>
    <row r="34" spans="1:20" x14ac:dyDescent="0.25">
      <c r="A34" s="2" t="s">
        <v>221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/>
      <c r="S34" s="2"/>
    </row>
    <row r="35" spans="1:20" x14ac:dyDescent="0.25">
      <c r="A35" s="2" t="s">
        <v>175</v>
      </c>
      <c r="B35" s="2"/>
      <c r="C35" s="2"/>
      <c r="D35" s="2"/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/>
      <c r="O35" s="2"/>
      <c r="P35" s="2"/>
      <c r="Q35" s="2"/>
      <c r="R35" s="2"/>
      <c r="S35" s="2"/>
    </row>
    <row r="36" spans="1:20" x14ac:dyDescent="0.25">
      <c r="A36" s="2" t="s">
        <v>66</v>
      </c>
      <c r="B36" s="2">
        <f>SUM(B29:B35)</f>
        <v>3</v>
      </c>
      <c r="C36" s="2">
        <f t="shared" ref="C36:S36" si="5">SUM(C29:C35)</f>
        <v>3</v>
      </c>
      <c r="D36" s="2">
        <f t="shared" si="5"/>
        <v>3</v>
      </c>
      <c r="E36" s="2">
        <f t="shared" si="5"/>
        <v>3</v>
      </c>
      <c r="F36" s="2">
        <f t="shared" si="5"/>
        <v>3</v>
      </c>
      <c r="G36" s="2">
        <f t="shared" si="5"/>
        <v>3</v>
      </c>
      <c r="H36" s="2">
        <f t="shared" si="5"/>
        <v>3</v>
      </c>
      <c r="I36" s="2">
        <f t="shared" si="5"/>
        <v>3</v>
      </c>
      <c r="J36" s="2">
        <f t="shared" si="5"/>
        <v>3</v>
      </c>
      <c r="K36" s="2">
        <f t="shared" si="5"/>
        <v>3</v>
      </c>
      <c r="L36" s="2">
        <f t="shared" si="5"/>
        <v>3</v>
      </c>
      <c r="M36" s="2">
        <f t="shared" si="5"/>
        <v>4</v>
      </c>
      <c r="N36" s="2">
        <f t="shared" si="5"/>
        <v>3</v>
      </c>
      <c r="O36" s="2">
        <f t="shared" si="5"/>
        <v>3</v>
      </c>
      <c r="P36" s="2">
        <f t="shared" si="5"/>
        <v>3</v>
      </c>
      <c r="Q36" s="2">
        <f t="shared" si="5"/>
        <v>3</v>
      </c>
      <c r="R36" s="2">
        <f t="shared" si="5"/>
        <v>2</v>
      </c>
      <c r="S36" s="2">
        <f t="shared" si="5"/>
        <v>0</v>
      </c>
      <c r="T36" s="1">
        <f>SUM(C36:R36)</f>
        <v>48</v>
      </c>
    </row>
    <row r="38" spans="1:20" x14ac:dyDescent="0.25">
      <c r="A38" s="2" t="s">
        <v>22</v>
      </c>
      <c r="B38" s="2"/>
      <c r="C38" s="2"/>
      <c r="D38" s="2"/>
      <c r="F38" s="1" t="s">
        <v>64</v>
      </c>
      <c r="G38" s="1" t="s">
        <v>70</v>
      </c>
    </row>
    <row r="39" spans="1:20" x14ac:dyDescent="0.25">
      <c r="A39" s="3" t="s">
        <v>0</v>
      </c>
      <c r="B39" s="3"/>
      <c r="C39" s="2"/>
      <c r="D39" s="2"/>
      <c r="F39" s="1" t="s">
        <v>69</v>
      </c>
      <c r="G39" s="1" t="s">
        <v>71</v>
      </c>
    </row>
    <row r="40" spans="1:20" x14ac:dyDescent="0.25">
      <c r="A40" s="2" t="s">
        <v>47</v>
      </c>
      <c r="B40" s="2"/>
      <c r="C40" s="2">
        <f>22-6</f>
        <v>16</v>
      </c>
      <c r="D40" s="2" t="s">
        <v>24</v>
      </c>
      <c r="F40" s="1">
        <f>D56</f>
        <v>48</v>
      </c>
      <c r="G40" s="1" t="s">
        <v>24</v>
      </c>
      <c r="H40" s="1">
        <f>F40/C40</f>
        <v>3</v>
      </c>
      <c r="I40" s="1" t="s">
        <v>76</v>
      </c>
    </row>
    <row r="41" spans="1:20" x14ac:dyDescent="0.25">
      <c r="A41" s="3" t="s">
        <v>2</v>
      </c>
      <c r="B41" s="3"/>
      <c r="C41" s="2"/>
      <c r="D41" s="2"/>
    </row>
    <row r="42" spans="1:20" x14ac:dyDescent="0.25">
      <c r="A42" s="2" t="s">
        <v>51</v>
      </c>
      <c r="B42" s="2"/>
      <c r="C42" s="2">
        <f>23-6</f>
        <v>17</v>
      </c>
      <c r="D42" s="2" t="s">
        <v>24</v>
      </c>
      <c r="F42" s="1">
        <f>D66</f>
        <v>48</v>
      </c>
      <c r="G42" s="1" t="s">
        <v>24</v>
      </c>
      <c r="H42" s="1">
        <f>F42/C42</f>
        <v>2.8235294117647061</v>
      </c>
      <c r="I42" s="1" t="s">
        <v>76</v>
      </c>
    </row>
    <row r="46" spans="1:20" x14ac:dyDescent="0.25">
      <c r="A46" s="2"/>
      <c r="B46" s="2" t="s">
        <v>26</v>
      </c>
      <c r="C46" s="2" t="s">
        <v>27</v>
      </c>
    </row>
    <row r="47" spans="1:20" x14ac:dyDescent="0.25">
      <c r="A47" s="3" t="s">
        <v>0</v>
      </c>
      <c r="B47" s="2"/>
      <c r="C47" s="2"/>
      <c r="D47" s="2"/>
    </row>
    <row r="48" spans="1:20" x14ac:dyDescent="0.25">
      <c r="A48" s="2" t="s">
        <v>85</v>
      </c>
      <c r="B48" s="2" t="s">
        <v>67</v>
      </c>
      <c r="C48" s="2">
        <v>1</v>
      </c>
      <c r="D48" s="2">
        <f>C48*8</f>
        <v>8</v>
      </c>
    </row>
    <row r="49" spans="1:14" x14ac:dyDescent="0.25">
      <c r="A49" s="2" t="s">
        <v>219</v>
      </c>
      <c r="B49" s="2" t="s">
        <v>67</v>
      </c>
      <c r="C49" s="2">
        <v>1</v>
      </c>
      <c r="D49" s="2">
        <f t="shared" ref="D49:D52" si="6">C49*8</f>
        <v>8</v>
      </c>
    </row>
    <row r="50" spans="1:14" x14ac:dyDescent="0.25">
      <c r="A50" s="2" t="s">
        <v>86</v>
      </c>
      <c r="B50" s="2" t="s">
        <v>67</v>
      </c>
      <c r="C50" s="2">
        <v>1</v>
      </c>
      <c r="D50" s="2">
        <f t="shared" si="6"/>
        <v>8</v>
      </c>
      <c r="F50" s="8" t="s">
        <v>114</v>
      </c>
      <c r="G50" s="3" t="s">
        <v>67</v>
      </c>
      <c r="H50" s="3" t="s">
        <v>68</v>
      </c>
      <c r="I50" s="3" t="s">
        <v>90</v>
      </c>
    </row>
    <row r="51" spans="1:14" x14ac:dyDescent="0.25">
      <c r="A51" s="2" t="s">
        <v>220</v>
      </c>
      <c r="B51" s="2" t="s">
        <v>67</v>
      </c>
      <c r="C51" s="2">
        <v>1</v>
      </c>
      <c r="D51" s="2">
        <f t="shared" si="6"/>
        <v>8</v>
      </c>
      <c r="F51" s="11">
        <f>SUM(G51:I51)</f>
        <v>8</v>
      </c>
      <c r="G51" s="2">
        <v>5</v>
      </c>
      <c r="H51" s="2">
        <v>2</v>
      </c>
      <c r="I51" s="2">
        <v>1</v>
      </c>
    </row>
    <row r="52" spans="1:14" x14ac:dyDescent="0.25">
      <c r="A52" s="2" t="s">
        <v>179</v>
      </c>
      <c r="B52" s="2" t="s">
        <v>67</v>
      </c>
      <c r="C52" s="2">
        <v>1</v>
      </c>
      <c r="D52" s="2">
        <f t="shared" si="6"/>
        <v>8</v>
      </c>
    </row>
    <row r="53" spans="1:14" x14ac:dyDescent="0.25">
      <c r="A53" s="2" t="s">
        <v>218</v>
      </c>
      <c r="B53" s="2" t="s">
        <v>206</v>
      </c>
      <c r="C53" s="2">
        <v>1</v>
      </c>
      <c r="D53" s="2">
        <v>4</v>
      </c>
    </row>
    <row r="54" spans="1:14" x14ac:dyDescent="0.25">
      <c r="A54" s="2" t="s">
        <v>221</v>
      </c>
      <c r="B54" s="2" t="s">
        <v>206</v>
      </c>
      <c r="C54" s="2">
        <v>1</v>
      </c>
      <c r="D54" s="2">
        <v>4</v>
      </c>
    </row>
    <row r="55" spans="1:14" x14ac:dyDescent="0.25">
      <c r="A55" s="2" t="s">
        <v>88</v>
      </c>
      <c r="B55" s="2"/>
      <c r="C55" s="2">
        <v>1</v>
      </c>
      <c r="D55" s="2"/>
      <c r="F55" s="8" t="s">
        <v>89</v>
      </c>
      <c r="G55" s="3" t="s">
        <v>67</v>
      </c>
      <c r="H55" s="3" t="s">
        <v>68</v>
      </c>
      <c r="I55" s="3" t="s">
        <v>90</v>
      </c>
      <c r="K55" s="8" t="s">
        <v>91</v>
      </c>
      <c r="L55" s="3" t="s">
        <v>67</v>
      </c>
      <c r="M55" s="3" t="s">
        <v>68</v>
      </c>
      <c r="N55" s="3" t="s">
        <v>90</v>
      </c>
    </row>
    <row r="56" spans="1:14" x14ac:dyDescent="0.25">
      <c r="A56" s="3" t="s">
        <v>66</v>
      </c>
      <c r="B56" s="3"/>
      <c r="C56" s="3">
        <f>SUM(C48:C55)</f>
        <v>8</v>
      </c>
      <c r="D56" s="3">
        <f>SUM(D48:D55)</f>
        <v>48</v>
      </c>
      <c r="F56" s="11">
        <f>SUM(G56:I56)</f>
        <v>6</v>
      </c>
      <c r="G56" s="2">
        <v>3</v>
      </c>
      <c r="H56" s="2">
        <v>2</v>
      </c>
      <c r="I56" s="2">
        <v>1</v>
      </c>
      <c r="K56" s="11">
        <f>F56-F51</f>
        <v>-2</v>
      </c>
      <c r="L56" s="11">
        <f>G56-G51</f>
        <v>-2</v>
      </c>
      <c r="M56" s="11">
        <f>H56-H51</f>
        <v>0</v>
      </c>
      <c r="N56" s="11">
        <f>I56-I51</f>
        <v>0</v>
      </c>
    </row>
    <row r="57" spans="1:14" x14ac:dyDescent="0.25">
      <c r="A57" s="3" t="s">
        <v>2</v>
      </c>
      <c r="B57" s="2"/>
      <c r="C57" s="2"/>
      <c r="D57" s="2"/>
    </row>
    <row r="58" spans="1:14" x14ac:dyDescent="0.25">
      <c r="A58" s="2" t="s">
        <v>78</v>
      </c>
      <c r="B58" s="2" t="s">
        <v>67</v>
      </c>
      <c r="C58" s="2">
        <v>1</v>
      </c>
      <c r="D58" s="2">
        <f>C58*8</f>
        <v>8</v>
      </c>
      <c r="L58" s="1" t="s">
        <v>173</v>
      </c>
    </row>
    <row r="59" spans="1:14" x14ac:dyDescent="0.25">
      <c r="A59" s="2" t="s">
        <v>111</v>
      </c>
      <c r="B59" s="2" t="s">
        <v>67</v>
      </c>
      <c r="C59" s="2">
        <v>1</v>
      </c>
      <c r="D59" s="2">
        <f t="shared" ref="D59:D62" si="7">C59*8</f>
        <v>8</v>
      </c>
    </row>
    <row r="60" spans="1:14" x14ac:dyDescent="0.25">
      <c r="A60" s="2" t="s">
        <v>86</v>
      </c>
      <c r="B60" s="2" t="s">
        <v>67</v>
      </c>
      <c r="C60" s="2">
        <v>1</v>
      </c>
      <c r="D60" s="2">
        <f t="shared" si="7"/>
        <v>8</v>
      </c>
    </row>
    <row r="61" spans="1:14" x14ac:dyDescent="0.25">
      <c r="A61" s="2" t="s">
        <v>117</v>
      </c>
      <c r="B61" s="2" t="s">
        <v>67</v>
      </c>
      <c r="C61" s="2">
        <v>1</v>
      </c>
      <c r="D61" s="2">
        <f t="shared" si="7"/>
        <v>8</v>
      </c>
    </row>
    <row r="62" spans="1:14" x14ac:dyDescent="0.25">
      <c r="A62" s="2" t="s">
        <v>179</v>
      </c>
      <c r="B62" s="2" t="s">
        <v>67</v>
      </c>
      <c r="C62" s="2">
        <v>1</v>
      </c>
      <c r="D62" s="2">
        <f t="shared" si="7"/>
        <v>8</v>
      </c>
    </row>
    <row r="63" spans="1:14" x14ac:dyDescent="0.25">
      <c r="A63" s="2" t="s">
        <v>218</v>
      </c>
      <c r="B63" s="2" t="s">
        <v>206</v>
      </c>
      <c r="C63" s="2">
        <v>1</v>
      </c>
      <c r="D63" s="2">
        <v>4</v>
      </c>
    </row>
    <row r="64" spans="1:14" x14ac:dyDescent="0.25">
      <c r="A64" s="2" t="s">
        <v>221</v>
      </c>
      <c r="B64" s="2" t="s">
        <v>206</v>
      </c>
      <c r="C64" s="2">
        <v>1</v>
      </c>
      <c r="D64" s="2">
        <v>4</v>
      </c>
    </row>
    <row r="65" spans="1:13" x14ac:dyDescent="0.25">
      <c r="A65" s="2" t="s">
        <v>88</v>
      </c>
      <c r="B65" s="2"/>
      <c r="C65" s="2">
        <v>1</v>
      </c>
      <c r="D65" s="2"/>
    </row>
    <row r="66" spans="1:13" x14ac:dyDescent="0.25">
      <c r="A66" s="3" t="s">
        <v>66</v>
      </c>
      <c r="B66" s="3"/>
      <c r="C66" s="3">
        <f>SUM(C58:C65)</f>
        <v>8</v>
      </c>
      <c r="D66" s="3">
        <f>SUM(D58:D65)</f>
        <v>48</v>
      </c>
    </row>
    <row r="68" spans="1:13" x14ac:dyDescent="0.25">
      <c r="F68" s="1" t="s">
        <v>94</v>
      </c>
      <c r="G68" s="1" t="s">
        <v>95</v>
      </c>
      <c r="H68" s="1" t="s">
        <v>99</v>
      </c>
    </row>
    <row r="69" spans="1:13" ht="25.5" x14ac:dyDescent="0.35">
      <c r="A69" s="14" t="s">
        <v>84</v>
      </c>
      <c r="B69" s="14"/>
      <c r="C69" s="15"/>
      <c r="D69" s="15"/>
      <c r="E69" s="15"/>
      <c r="F69" s="1" t="s">
        <v>104</v>
      </c>
      <c r="G69" s="1" t="s">
        <v>105</v>
      </c>
      <c r="H69" s="1" t="s">
        <v>100</v>
      </c>
    </row>
    <row r="71" spans="1:13" x14ac:dyDescent="0.25">
      <c r="A71" s="8" t="s">
        <v>80</v>
      </c>
      <c r="B71" s="8"/>
      <c r="C71" s="8" t="s">
        <v>81</v>
      </c>
      <c r="D71" s="8" t="s">
        <v>82</v>
      </c>
      <c r="E71" s="8" t="s">
        <v>66</v>
      </c>
    </row>
    <row r="72" spans="1:13" x14ac:dyDescent="0.25">
      <c r="A72" s="3" t="s">
        <v>0</v>
      </c>
      <c r="B72" s="3"/>
      <c r="C72" s="2">
        <v>205</v>
      </c>
      <c r="D72" s="2">
        <v>60</v>
      </c>
      <c r="E72" s="8">
        <f>C72+D72</f>
        <v>265</v>
      </c>
    </row>
    <row r="73" spans="1:13" x14ac:dyDescent="0.25">
      <c r="A73" s="3" t="s">
        <v>2</v>
      </c>
      <c r="B73" s="3"/>
      <c r="C73" s="2">
        <v>240</v>
      </c>
      <c r="D73" s="2">
        <v>74</v>
      </c>
      <c r="E73" s="8">
        <f>C73+D73</f>
        <v>314</v>
      </c>
    </row>
    <row r="75" spans="1:13" x14ac:dyDescent="0.25">
      <c r="A75" s="8" t="s">
        <v>103</v>
      </c>
      <c r="B75" s="8"/>
      <c r="C75" s="3" t="s">
        <v>67</v>
      </c>
      <c r="D75" s="8" t="s">
        <v>101</v>
      </c>
      <c r="E75" s="3" t="s">
        <v>90</v>
      </c>
      <c r="G75" s="8" t="s">
        <v>89</v>
      </c>
      <c r="H75" s="3" t="s">
        <v>67</v>
      </c>
      <c r="I75" s="3" t="s">
        <v>90</v>
      </c>
      <c r="K75" s="8" t="s">
        <v>102</v>
      </c>
      <c r="L75" s="3" t="s">
        <v>67</v>
      </c>
      <c r="M75" s="3" t="s">
        <v>90</v>
      </c>
    </row>
    <row r="76" spans="1:13" x14ac:dyDescent="0.25">
      <c r="A76" s="11">
        <f>SUM(C76:E76)</f>
        <v>15</v>
      </c>
      <c r="B76" s="11"/>
      <c r="C76" s="2">
        <v>12</v>
      </c>
      <c r="D76" s="2">
        <v>2</v>
      </c>
      <c r="E76" s="2">
        <v>1</v>
      </c>
      <c r="G76" s="11">
        <f>SUM(H76:I76)</f>
        <v>13</v>
      </c>
      <c r="H76" s="2">
        <v>12</v>
      </c>
      <c r="I76" s="2">
        <v>1</v>
      </c>
      <c r="K76" s="11">
        <f>A76-G76</f>
        <v>2</v>
      </c>
      <c r="L76" s="2"/>
      <c r="M76" s="2"/>
    </row>
    <row r="78" spans="1:13" x14ac:dyDescent="0.25">
      <c r="G78" s="1" t="s">
        <v>180</v>
      </c>
    </row>
  </sheetData>
  <pageMargins left="0" right="0" top="0" bottom="0" header="0" footer="0"/>
  <pageSetup paperSize="9" scale="67" orientation="landscape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B2" sqref="B2:B4"/>
    </sheetView>
  </sheetViews>
  <sheetFormatPr defaultRowHeight="15.75" x14ac:dyDescent="0.25"/>
  <cols>
    <col min="1" max="1" width="26.5703125" style="1" bestFit="1" customWidth="1"/>
    <col min="2" max="3" width="10.7109375" style="1" bestFit="1" customWidth="1"/>
    <col min="4" max="4" width="9.5703125" style="1" bestFit="1" customWidth="1"/>
    <col min="5" max="5" width="11.85546875" style="1" bestFit="1" customWidth="1"/>
    <col min="6" max="6" width="9.5703125" style="1" bestFit="1" customWidth="1"/>
    <col min="7" max="7" width="12.7109375" style="1" bestFit="1" customWidth="1"/>
    <col min="8" max="8" width="9.5703125" style="1" bestFit="1" customWidth="1"/>
    <col min="9" max="9" width="11.85546875" style="1" bestFit="1" customWidth="1"/>
    <col min="10" max="10" width="12.140625" style="1" bestFit="1" customWidth="1"/>
    <col min="11" max="11" width="13.42578125" style="1" bestFit="1" customWidth="1"/>
    <col min="12" max="12" width="10.7109375" style="1" bestFit="1" customWidth="1"/>
    <col min="13" max="13" width="12.7109375" style="1" bestFit="1" customWidth="1"/>
    <col min="14" max="14" width="11.85546875" style="1" bestFit="1" customWidth="1"/>
    <col min="15" max="15" width="14.28515625" style="1" bestFit="1" customWidth="1"/>
    <col min="16" max="16384" width="9.140625" style="1"/>
  </cols>
  <sheetData>
    <row r="1" spans="1:15" x14ac:dyDescent="0.25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</row>
    <row r="2" spans="1:15" x14ac:dyDescent="0.25">
      <c r="A2" s="9" t="s">
        <v>22</v>
      </c>
      <c r="B2" s="16" t="s">
        <v>44</v>
      </c>
      <c r="C2" s="16" t="s">
        <v>45</v>
      </c>
      <c r="D2" s="8" t="s">
        <v>46</v>
      </c>
      <c r="E2" s="8" t="s">
        <v>48</v>
      </c>
      <c r="F2" s="16" t="s">
        <v>50</v>
      </c>
      <c r="G2" s="16" t="s">
        <v>52</v>
      </c>
      <c r="H2" s="16" t="s">
        <v>54</v>
      </c>
      <c r="I2" s="16" t="s">
        <v>55</v>
      </c>
      <c r="J2" s="16" t="s">
        <v>57</v>
      </c>
      <c r="K2" s="16" t="s">
        <v>58</v>
      </c>
      <c r="L2" s="16" t="s">
        <v>43</v>
      </c>
      <c r="M2" s="20" t="s">
        <v>59</v>
      </c>
      <c r="N2" s="16" t="s">
        <v>96</v>
      </c>
      <c r="O2" s="16" t="s">
        <v>168</v>
      </c>
    </row>
    <row r="3" spans="1:15" x14ac:dyDescent="0.25">
      <c r="A3" s="10" t="s">
        <v>0</v>
      </c>
      <c r="B3" s="18" t="s">
        <v>23</v>
      </c>
      <c r="C3" s="18" t="s">
        <v>23</v>
      </c>
      <c r="D3" s="11" t="s">
        <v>47</v>
      </c>
      <c r="E3" s="11" t="s">
        <v>49</v>
      </c>
      <c r="F3" s="18" t="s">
        <v>47</v>
      </c>
      <c r="G3" s="18" t="s">
        <v>53</v>
      </c>
      <c r="H3" s="18" t="s">
        <v>47</v>
      </c>
      <c r="I3" s="18" t="s">
        <v>56</v>
      </c>
      <c r="J3" s="18" t="s">
        <v>42</v>
      </c>
      <c r="K3" s="18" t="s">
        <v>42</v>
      </c>
      <c r="L3" s="17" t="s">
        <v>23</v>
      </c>
      <c r="M3" s="18" t="s">
        <v>42</v>
      </c>
      <c r="N3" s="17" t="s">
        <v>98</v>
      </c>
      <c r="O3" s="17" t="s">
        <v>167</v>
      </c>
    </row>
    <row r="4" spans="1:15" x14ac:dyDescent="0.25">
      <c r="A4" s="10" t="s">
        <v>2</v>
      </c>
      <c r="B4" s="18" t="s">
        <v>23</v>
      </c>
      <c r="C4" s="18" t="s">
        <v>23</v>
      </c>
      <c r="D4" s="11" t="s">
        <v>47</v>
      </c>
      <c r="E4" s="11" t="s">
        <v>49</v>
      </c>
      <c r="F4" s="18" t="s">
        <v>51</v>
      </c>
      <c r="G4" s="18" t="s">
        <v>53</v>
      </c>
      <c r="H4" s="18" t="s">
        <v>47</v>
      </c>
      <c r="I4" s="18" t="s">
        <v>56</v>
      </c>
      <c r="J4" s="18" t="s">
        <v>42</v>
      </c>
      <c r="K4" s="18" t="s">
        <v>42</v>
      </c>
      <c r="L4" s="17" t="s">
        <v>25</v>
      </c>
      <c r="M4" s="18" t="s">
        <v>42</v>
      </c>
      <c r="N4" s="17" t="s">
        <v>97</v>
      </c>
      <c r="O4" s="17" t="s">
        <v>167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V113"/>
  <sheetViews>
    <sheetView topLeftCell="A55" workbookViewId="0">
      <selection activeCell="C95" sqref="C95"/>
    </sheetView>
  </sheetViews>
  <sheetFormatPr defaultRowHeight="15.75" x14ac:dyDescent="0.25"/>
  <cols>
    <col min="1" max="1" width="33.7109375" style="1" bestFit="1" customWidth="1"/>
    <col min="2" max="2" width="15.140625" style="1" bestFit="1" customWidth="1"/>
    <col min="3" max="5" width="14.7109375" style="1" bestFit="1" customWidth="1"/>
    <col min="6" max="6" width="15.85546875" style="1" bestFit="1" customWidth="1"/>
    <col min="7" max="17" width="14.7109375" style="1" bestFit="1" customWidth="1"/>
    <col min="18" max="18" width="12.7109375" style="1" bestFit="1" customWidth="1"/>
    <col min="19" max="19" width="9.5703125" style="1" customWidth="1"/>
    <col min="20" max="20" width="11.42578125" style="1" bestFit="1" customWidth="1"/>
    <col min="21" max="21" width="9.28515625" style="1" bestFit="1" customWidth="1"/>
    <col min="22" max="16384" width="9.140625" style="1"/>
  </cols>
  <sheetData>
    <row r="2" spans="1:21" ht="25.5" x14ac:dyDescent="0.35">
      <c r="A2" s="14" t="s">
        <v>83</v>
      </c>
      <c r="B2" s="14"/>
      <c r="C2" s="15"/>
      <c r="D2" s="15"/>
      <c r="E2" s="15"/>
      <c r="F2" s="1" t="s">
        <v>50</v>
      </c>
    </row>
    <row r="4" spans="1:21" x14ac:dyDescent="0.25">
      <c r="A4" s="2"/>
      <c r="B4" s="3" t="s">
        <v>174</v>
      </c>
      <c r="C4" s="3" t="s">
        <v>21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178</v>
      </c>
    </row>
    <row r="5" spans="1:21" x14ac:dyDescent="0.25">
      <c r="A5" s="5" t="s">
        <v>0</v>
      </c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1" s="43" customFormat="1" x14ac:dyDescent="0.25">
      <c r="A6" s="42" t="s">
        <v>33</v>
      </c>
      <c r="B6" s="42">
        <v>176362</v>
      </c>
      <c r="C6" s="42">
        <v>1371811</v>
      </c>
      <c r="D6" s="42">
        <v>3271004</v>
      </c>
      <c r="E6" s="42">
        <v>1821820</v>
      </c>
      <c r="F6" s="42">
        <v>5183818</v>
      </c>
      <c r="G6" s="42">
        <v>1988910</v>
      </c>
      <c r="H6" s="42">
        <v>1904543</v>
      </c>
      <c r="I6" s="42">
        <v>1437271</v>
      </c>
      <c r="J6" s="42">
        <v>2708457</v>
      </c>
      <c r="K6" s="42">
        <v>2276731</v>
      </c>
      <c r="L6" s="42">
        <v>5764541</v>
      </c>
      <c r="M6" s="42">
        <v>6448364</v>
      </c>
      <c r="N6" s="42">
        <v>4784540</v>
      </c>
      <c r="O6" s="42">
        <v>6393274</v>
      </c>
      <c r="P6" s="42">
        <v>4749814</v>
      </c>
      <c r="Q6" s="42">
        <v>4654002</v>
      </c>
      <c r="R6" s="42">
        <v>0</v>
      </c>
      <c r="S6" s="42"/>
    </row>
    <row r="7" spans="1:21" s="43" customFormat="1" x14ac:dyDescent="0.25">
      <c r="A7" s="44">
        <v>5</v>
      </c>
      <c r="B7" s="44">
        <f>ROUND(B6/$A$7,0)</f>
        <v>35272</v>
      </c>
      <c r="C7" s="44">
        <f t="shared" ref="C7:R7" si="0">ROUND(C6/$A$7,0)</f>
        <v>274362</v>
      </c>
      <c r="D7" s="44">
        <f t="shared" si="0"/>
        <v>654201</v>
      </c>
      <c r="E7" s="44">
        <f t="shared" si="0"/>
        <v>364364</v>
      </c>
      <c r="F7" s="44">
        <f t="shared" si="0"/>
        <v>1036764</v>
      </c>
      <c r="G7" s="44">
        <f t="shared" si="0"/>
        <v>397782</v>
      </c>
      <c r="H7" s="44">
        <f t="shared" si="0"/>
        <v>380909</v>
      </c>
      <c r="I7" s="44">
        <f t="shared" si="0"/>
        <v>287454</v>
      </c>
      <c r="J7" s="44">
        <f t="shared" si="0"/>
        <v>541691</v>
      </c>
      <c r="K7" s="44">
        <f t="shared" si="0"/>
        <v>455346</v>
      </c>
      <c r="L7" s="44">
        <f t="shared" si="0"/>
        <v>1152908</v>
      </c>
      <c r="M7" s="44">
        <f t="shared" si="0"/>
        <v>1289673</v>
      </c>
      <c r="N7" s="44">
        <f t="shared" si="0"/>
        <v>956908</v>
      </c>
      <c r="O7" s="44">
        <f t="shared" si="0"/>
        <v>1278655</v>
      </c>
      <c r="P7" s="44">
        <f t="shared" si="0"/>
        <v>949963</v>
      </c>
      <c r="Q7" s="44">
        <f t="shared" si="0"/>
        <v>930800</v>
      </c>
      <c r="R7" s="44">
        <f t="shared" si="0"/>
        <v>0</v>
      </c>
      <c r="S7" s="44"/>
    </row>
    <row r="8" spans="1:21" s="37" customFormat="1" x14ac:dyDescent="0.25">
      <c r="A8" s="45" t="s">
        <v>302</v>
      </c>
      <c r="B8" s="45">
        <f>B7</f>
        <v>35272</v>
      </c>
      <c r="C8" s="45">
        <f t="shared" ref="C8:S8" si="1">C7</f>
        <v>274362</v>
      </c>
      <c r="D8" s="45">
        <f t="shared" si="1"/>
        <v>654201</v>
      </c>
      <c r="E8" s="45">
        <f t="shared" si="1"/>
        <v>364364</v>
      </c>
      <c r="F8" s="45">
        <f t="shared" si="1"/>
        <v>1036764</v>
      </c>
      <c r="G8" s="45">
        <f t="shared" si="1"/>
        <v>397782</v>
      </c>
      <c r="H8" s="45">
        <f t="shared" si="1"/>
        <v>380909</v>
      </c>
      <c r="I8" s="45">
        <f t="shared" si="1"/>
        <v>287454</v>
      </c>
      <c r="J8" s="45">
        <f t="shared" si="1"/>
        <v>541691</v>
      </c>
      <c r="K8" s="45">
        <f t="shared" si="1"/>
        <v>455346</v>
      </c>
      <c r="L8" s="45">
        <f t="shared" si="1"/>
        <v>1152908</v>
      </c>
      <c r="M8" s="45">
        <f t="shared" si="1"/>
        <v>1289673</v>
      </c>
      <c r="N8" s="45">
        <f t="shared" si="1"/>
        <v>956908</v>
      </c>
      <c r="O8" s="45">
        <f t="shared" si="1"/>
        <v>1278655</v>
      </c>
      <c r="P8" s="45">
        <f t="shared" si="1"/>
        <v>949963</v>
      </c>
      <c r="Q8" s="45">
        <f t="shared" si="1"/>
        <v>930800</v>
      </c>
      <c r="R8" s="45">
        <f t="shared" si="1"/>
        <v>0</v>
      </c>
      <c r="S8" s="45">
        <f t="shared" si="1"/>
        <v>0</v>
      </c>
      <c r="T8" s="37">
        <f>SUM(B8:S8)</f>
        <v>10987052</v>
      </c>
    </row>
    <row r="9" spans="1:21" x14ac:dyDescent="0.25">
      <c r="A9" s="12" t="s">
        <v>303</v>
      </c>
      <c r="B9" s="12">
        <v>2</v>
      </c>
      <c r="C9" s="12">
        <v>2</v>
      </c>
      <c r="D9" s="12">
        <v>2</v>
      </c>
      <c r="E9" s="12">
        <v>2</v>
      </c>
      <c r="F9" s="12">
        <v>3</v>
      </c>
      <c r="G9" s="12">
        <v>2</v>
      </c>
      <c r="H9" s="12">
        <v>2</v>
      </c>
      <c r="I9" s="12">
        <v>2</v>
      </c>
      <c r="J9" s="12">
        <v>2</v>
      </c>
      <c r="K9" s="12">
        <v>2</v>
      </c>
      <c r="L9" s="12">
        <v>3</v>
      </c>
      <c r="M9" s="12">
        <v>3</v>
      </c>
      <c r="N9" s="12">
        <v>2</v>
      </c>
      <c r="O9" s="12">
        <v>3</v>
      </c>
      <c r="P9" s="12">
        <v>2</v>
      </c>
      <c r="Q9" s="12">
        <v>2</v>
      </c>
      <c r="R9" s="2"/>
      <c r="S9" s="2"/>
      <c r="T9" s="37">
        <f t="shared" ref="T9" si="2">SUM(B9:S9)</f>
        <v>36</v>
      </c>
    </row>
    <row r="10" spans="1:21" x14ac:dyDescent="0.25">
      <c r="A10" s="12" t="s">
        <v>304</v>
      </c>
      <c r="B10" s="46">
        <f>B9*18000</f>
        <v>36000</v>
      </c>
      <c r="C10" s="46">
        <f t="shared" ref="C10:S10" si="3">C9*18000</f>
        <v>36000</v>
      </c>
      <c r="D10" s="46">
        <f t="shared" si="3"/>
        <v>36000</v>
      </c>
      <c r="E10" s="46">
        <f t="shared" si="3"/>
        <v>36000</v>
      </c>
      <c r="F10" s="46">
        <f t="shared" si="3"/>
        <v>54000</v>
      </c>
      <c r="G10" s="46">
        <f t="shared" si="3"/>
        <v>36000</v>
      </c>
      <c r="H10" s="46">
        <f t="shared" si="3"/>
        <v>36000</v>
      </c>
      <c r="I10" s="46">
        <f t="shared" si="3"/>
        <v>36000</v>
      </c>
      <c r="J10" s="46">
        <f t="shared" si="3"/>
        <v>36000</v>
      </c>
      <c r="K10" s="46">
        <f t="shared" si="3"/>
        <v>36000</v>
      </c>
      <c r="L10" s="46">
        <f t="shared" si="3"/>
        <v>54000</v>
      </c>
      <c r="M10" s="46">
        <f t="shared" si="3"/>
        <v>54000</v>
      </c>
      <c r="N10" s="46">
        <f t="shared" si="3"/>
        <v>36000</v>
      </c>
      <c r="O10" s="46">
        <f t="shared" si="3"/>
        <v>54000</v>
      </c>
      <c r="P10" s="46">
        <f t="shared" si="3"/>
        <v>36000</v>
      </c>
      <c r="Q10" s="46">
        <f t="shared" si="3"/>
        <v>36000</v>
      </c>
      <c r="R10" s="46">
        <f t="shared" si="3"/>
        <v>0</v>
      </c>
      <c r="S10" s="46">
        <f t="shared" si="3"/>
        <v>0</v>
      </c>
      <c r="T10" s="37">
        <f>SUM(B10:S10)</f>
        <v>648000</v>
      </c>
      <c r="U10" s="47">
        <f>T10/T8</f>
        <v>5.8978513981730492E-2</v>
      </c>
    </row>
    <row r="12" spans="1:21" x14ac:dyDescent="0.25">
      <c r="A12" s="13" t="s">
        <v>75</v>
      </c>
      <c r="B12" s="13"/>
    </row>
    <row r="13" spans="1:21" x14ac:dyDescent="0.25">
      <c r="A13" s="2" t="s">
        <v>85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1" x14ac:dyDescent="0.25">
      <c r="A14" s="2" t="s">
        <v>219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21" x14ac:dyDescent="0.25">
      <c r="A15" s="2" t="s">
        <v>218</v>
      </c>
      <c r="B15" s="2">
        <v>1</v>
      </c>
      <c r="C15" s="2">
        <v>1</v>
      </c>
      <c r="D15" s="2">
        <v>1</v>
      </c>
      <c r="E15" s="2">
        <v>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21" x14ac:dyDescent="0.25">
      <c r="A16" s="2" t="s">
        <v>86</v>
      </c>
      <c r="B16" s="2"/>
      <c r="C16" s="2"/>
      <c r="D16" s="2"/>
      <c r="E16" s="2"/>
      <c r="F16" s="2"/>
      <c r="G16" s="2"/>
      <c r="H16" s="2"/>
      <c r="I16" s="2"/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/>
      <c r="S16" s="2"/>
    </row>
    <row r="17" spans="1:21" x14ac:dyDescent="0.25">
      <c r="A17" s="2" t="s">
        <v>220</v>
      </c>
      <c r="B17" s="2"/>
      <c r="C17" s="2"/>
      <c r="D17" s="2"/>
      <c r="E17" s="2"/>
      <c r="F17" s="2"/>
      <c r="G17" s="2"/>
      <c r="H17" s="2"/>
      <c r="I17" s="2"/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/>
      <c r="S17" s="2"/>
    </row>
    <row r="18" spans="1:21" x14ac:dyDescent="0.25">
      <c r="A18" s="2" t="s">
        <v>221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1</v>
      </c>
      <c r="O18" s="2">
        <v>1</v>
      </c>
      <c r="P18" s="2">
        <v>1</v>
      </c>
      <c r="Q18" s="2">
        <v>1</v>
      </c>
      <c r="R18" s="2"/>
      <c r="S18" s="2"/>
    </row>
    <row r="19" spans="1:21" x14ac:dyDescent="0.25">
      <c r="A19" s="2" t="s">
        <v>221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>
        <v>1</v>
      </c>
      <c r="P19" s="2">
        <v>1</v>
      </c>
      <c r="Q19" s="2">
        <v>1</v>
      </c>
      <c r="R19" s="2"/>
      <c r="S19" s="2"/>
    </row>
    <row r="20" spans="1:21" x14ac:dyDescent="0.25">
      <c r="A20" s="2" t="s">
        <v>175</v>
      </c>
      <c r="B20" s="2"/>
      <c r="C20" s="2"/>
      <c r="D20" s="2"/>
      <c r="E20" s="2"/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/>
      <c r="O20" s="2"/>
      <c r="P20" s="2"/>
      <c r="Q20" s="2"/>
      <c r="R20" s="2"/>
      <c r="S20" s="2"/>
    </row>
    <row r="21" spans="1:21" x14ac:dyDescent="0.25">
      <c r="A21" s="7" t="s">
        <v>303</v>
      </c>
      <c r="B21" s="7">
        <f>SUM(B13:B20)</f>
        <v>3</v>
      </c>
      <c r="C21" s="7">
        <f t="shared" ref="C21:S21" si="4">SUM(C13:C20)</f>
        <v>3</v>
      </c>
      <c r="D21" s="7">
        <f t="shared" si="4"/>
        <v>3</v>
      </c>
      <c r="E21" s="7">
        <f t="shared" si="4"/>
        <v>3</v>
      </c>
      <c r="F21" s="7">
        <f t="shared" si="4"/>
        <v>3</v>
      </c>
      <c r="G21" s="7">
        <f t="shared" si="4"/>
        <v>3</v>
      </c>
      <c r="H21" s="7">
        <f t="shared" si="4"/>
        <v>3</v>
      </c>
      <c r="I21" s="7">
        <f t="shared" si="4"/>
        <v>3</v>
      </c>
      <c r="J21" s="7">
        <f t="shared" si="4"/>
        <v>3</v>
      </c>
      <c r="K21" s="7">
        <f t="shared" si="4"/>
        <v>3</v>
      </c>
      <c r="L21" s="7">
        <f t="shared" si="4"/>
        <v>3</v>
      </c>
      <c r="M21" s="7">
        <f t="shared" si="4"/>
        <v>3</v>
      </c>
      <c r="N21" s="7">
        <f t="shared" si="4"/>
        <v>4</v>
      </c>
      <c r="O21" s="7">
        <f t="shared" si="4"/>
        <v>4</v>
      </c>
      <c r="P21" s="7">
        <f t="shared" si="4"/>
        <v>4</v>
      </c>
      <c r="Q21" s="7">
        <f t="shared" si="4"/>
        <v>4</v>
      </c>
      <c r="R21" s="7">
        <f t="shared" si="4"/>
        <v>0</v>
      </c>
      <c r="S21" s="7">
        <f t="shared" si="4"/>
        <v>0</v>
      </c>
      <c r="T21" s="1">
        <f>SUM(C21:R21)</f>
        <v>49</v>
      </c>
    </row>
    <row r="22" spans="1:21" x14ac:dyDescent="0.25">
      <c r="A22" s="12" t="s">
        <v>304</v>
      </c>
      <c r="B22" s="46">
        <f>B21*18000</f>
        <v>54000</v>
      </c>
      <c r="C22" s="46">
        <f t="shared" ref="C22:S22" si="5">C21*18000</f>
        <v>54000</v>
      </c>
      <c r="D22" s="46">
        <f t="shared" si="5"/>
        <v>54000</v>
      </c>
      <c r="E22" s="46">
        <f t="shared" si="5"/>
        <v>54000</v>
      </c>
      <c r="F22" s="46">
        <f t="shared" si="5"/>
        <v>54000</v>
      </c>
      <c r="G22" s="46">
        <f t="shared" si="5"/>
        <v>54000</v>
      </c>
      <c r="H22" s="46">
        <f t="shared" si="5"/>
        <v>54000</v>
      </c>
      <c r="I22" s="46">
        <f t="shared" si="5"/>
        <v>54000</v>
      </c>
      <c r="J22" s="46">
        <f t="shared" si="5"/>
        <v>54000</v>
      </c>
      <c r="K22" s="46">
        <f t="shared" si="5"/>
        <v>54000</v>
      </c>
      <c r="L22" s="46">
        <f t="shared" si="5"/>
        <v>54000</v>
      </c>
      <c r="M22" s="46">
        <f t="shared" si="5"/>
        <v>54000</v>
      </c>
      <c r="N22" s="46">
        <f t="shared" si="5"/>
        <v>72000</v>
      </c>
      <c r="O22" s="46">
        <f t="shared" si="5"/>
        <v>72000</v>
      </c>
      <c r="P22" s="46">
        <f t="shared" si="5"/>
        <v>72000</v>
      </c>
      <c r="Q22" s="46">
        <f t="shared" si="5"/>
        <v>72000</v>
      </c>
      <c r="R22" s="46">
        <f t="shared" si="5"/>
        <v>0</v>
      </c>
      <c r="S22" s="46">
        <f t="shared" si="5"/>
        <v>0</v>
      </c>
      <c r="T22" s="37">
        <f>SUM(B22:S22)</f>
        <v>936000</v>
      </c>
      <c r="U22" s="47">
        <f>T22/T8</f>
        <v>8.5191186862499602E-2</v>
      </c>
    </row>
    <row r="24" spans="1:21" x14ac:dyDescent="0.25">
      <c r="A24" s="5" t="s">
        <v>2</v>
      </c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1" s="43" customFormat="1" ht="15" customHeight="1" x14ac:dyDescent="0.25">
      <c r="A25" s="42" t="s">
        <v>176</v>
      </c>
      <c r="B25" s="42">
        <v>343638</v>
      </c>
      <c r="C25" s="42">
        <v>509090</v>
      </c>
      <c r="D25" s="42">
        <v>492730</v>
      </c>
      <c r="E25" s="42">
        <v>250001</v>
      </c>
      <c r="F25" s="42">
        <v>935454</v>
      </c>
      <c r="G25" s="42">
        <v>497271</v>
      </c>
      <c r="H25" s="42">
        <v>590000</v>
      </c>
      <c r="I25" s="42">
        <v>397272</v>
      </c>
      <c r="J25" s="42">
        <v>59091</v>
      </c>
      <c r="K25" s="42">
        <v>486363</v>
      </c>
      <c r="L25" s="42">
        <v>363636</v>
      </c>
      <c r="M25" s="42">
        <v>835453</v>
      </c>
      <c r="N25" s="42">
        <v>1298180</v>
      </c>
      <c r="O25" s="42">
        <v>1231816</v>
      </c>
      <c r="P25" s="42">
        <v>1903999</v>
      </c>
      <c r="Q25" s="42">
        <v>843637</v>
      </c>
      <c r="R25" s="42">
        <v>582728</v>
      </c>
      <c r="S25" s="42">
        <v>367273</v>
      </c>
      <c r="T25" s="43">
        <v>1</v>
      </c>
      <c r="U25" s="43">
        <v>6</v>
      </c>
    </row>
    <row r="26" spans="1:21" s="43" customFormat="1" x14ac:dyDescent="0.25">
      <c r="A26" s="42" t="s">
        <v>177</v>
      </c>
      <c r="B26" s="42"/>
      <c r="C26" s="42">
        <v>85455</v>
      </c>
      <c r="D26" s="42">
        <v>971455</v>
      </c>
      <c r="E26" s="42">
        <v>934546</v>
      </c>
      <c r="F26" s="42">
        <v>1373639</v>
      </c>
      <c r="G26" s="42">
        <v>246364</v>
      </c>
      <c r="H26" s="42">
        <v>380907</v>
      </c>
      <c r="I26" s="42">
        <v>990000</v>
      </c>
      <c r="J26" s="42">
        <v>125455</v>
      </c>
      <c r="K26" s="42">
        <v>516363</v>
      </c>
      <c r="L26" s="42">
        <v>438182</v>
      </c>
      <c r="M26" s="42">
        <v>872727</v>
      </c>
      <c r="N26" s="42">
        <v>1046362</v>
      </c>
      <c r="O26" s="42">
        <v>669090</v>
      </c>
      <c r="P26" s="42">
        <v>701818</v>
      </c>
      <c r="Q26" s="42">
        <v>960639</v>
      </c>
      <c r="R26" s="42">
        <v>42727</v>
      </c>
      <c r="S26" s="42"/>
    </row>
    <row r="27" spans="1:21" s="43" customFormat="1" x14ac:dyDescent="0.25">
      <c r="A27" s="44">
        <v>2</v>
      </c>
      <c r="B27" s="44">
        <f>ROUND((B26+B25)/$A$27,0)</f>
        <v>171819</v>
      </c>
      <c r="C27" s="44">
        <f t="shared" ref="C27:S27" si="6">ROUND((C26+C25)/$A$27,0)</f>
        <v>297273</v>
      </c>
      <c r="D27" s="44">
        <f t="shared" si="6"/>
        <v>732093</v>
      </c>
      <c r="E27" s="44">
        <f t="shared" si="6"/>
        <v>592274</v>
      </c>
      <c r="F27" s="44">
        <f t="shared" si="6"/>
        <v>1154547</v>
      </c>
      <c r="G27" s="44">
        <f t="shared" si="6"/>
        <v>371818</v>
      </c>
      <c r="H27" s="44">
        <f t="shared" si="6"/>
        <v>485454</v>
      </c>
      <c r="I27" s="44">
        <f t="shared" si="6"/>
        <v>693636</v>
      </c>
      <c r="J27" s="44">
        <f t="shared" si="6"/>
        <v>92273</v>
      </c>
      <c r="K27" s="44">
        <f t="shared" si="6"/>
        <v>501363</v>
      </c>
      <c r="L27" s="44">
        <f t="shared" si="6"/>
        <v>400909</v>
      </c>
      <c r="M27" s="44">
        <f t="shared" si="6"/>
        <v>854090</v>
      </c>
      <c r="N27" s="44">
        <f t="shared" si="6"/>
        <v>1172271</v>
      </c>
      <c r="O27" s="44">
        <f t="shared" si="6"/>
        <v>950453</v>
      </c>
      <c r="P27" s="44">
        <f t="shared" si="6"/>
        <v>1302909</v>
      </c>
      <c r="Q27" s="44">
        <f t="shared" si="6"/>
        <v>902138</v>
      </c>
      <c r="R27" s="44">
        <f t="shared" si="6"/>
        <v>312728</v>
      </c>
      <c r="S27" s="44">
        <f t="shared" si="6"/>
        <v>183637</v>
      </c>
    </row>
    <row r="28" spans="1:21" s="37" customFormat="1" x14ac:dyDescent="0.25">
      <c r="A28" s="45" t="s">
        <v>302</v>
      </c>
      <c r="B28" s="45">
        <f>B27</f>
        <v>171819</v>
      </c>
      <c r="C28" s="45">
        <f t="shared" ref="C28:S28" si="7">C27</f>
        <v>297273</v>
      </c>
      <c r="D28" s="45">
        <f t="shared" si="7"/>
        <v>732093</v>
      </c>
      <c r="E28" s="45">
        <f t="shared" si="7"/>
        <v>592274</v>
      </c>
      <c r="F28" s="45">
        <f t="shared" si="7"/>
        <v>1154547</v>
      </c>
      <c r="G28" s="45">
        <f t="shared" si="7"/>
        <v>371818</v>
      </c>
      <c r="H28" s="45">
        <f t="shared" si="7"/>
        <v>485454</v>
      </c>
      <c r="I28" s="45">
        <f t="shared" si="7"/>
        <v>693636</v>
      </c>
      <c r="J28" s="45">
        <f t="shared" si="7"/>
        <v>92273</v>
      </c>
      <c r="K28" s="45">
        <f t="shared" si="7"/>
        <v>501363</v>
      </c>
      <c r="L28" s="45">
        <f t="shared" si="7"/>
        <v>400909</v>
      </c>
      <c r="M28" s="45">
        <f t="shared" si="7"/>
        <v>854090</v>
      </c>
      <c r="N28" s="45">
        <f t="shared" si="7"/>
        <v>1172271</v>
      </c>
      <c r="O28" s="45">
        <f t="shared" si="7"/>
        <v>950453</v>
      </c>
      <c r="P28" s="45">
        <f t="shared" si="7"/>
        <v>1302909</v>
      </c>
      <c r="Q28" s="45">
        <f t="shared" si="7"/>
        <v>902138</v>
      </c>
      <c r="R28" s="45">
        <f t="shared" si="7"/>
        <v>312728</v>
      </c>
      <c r="S28" s="45">
        <f t="shared" si="7"/>
        <v>183637</v>
      </c>
      <c r="T28" s="37">
        <f>SUM(B28:S28)</f>
        <v>11171685</v>
      </c>
    </row>
    <row r="29" spans="1:21" x14ac:dyDescent="0.25">
      <c r="A29" s="12" t="s">
        <v>303</v>
      </c>
      <c r="B29" s="12">
        <v>2</v>
      </c>
      <c r="C29" s="12">
        <v>2</v>
      </c>
      <c r="D29" s="12">
        <v>2</v>
      </c>
      <c r="E29" s="12">
        <v>2</v>
      </c>
      <c r="F29" s="12">
        <v>3</v>
      </c>
      <c r="G29" s="12">
        <v>2</v>
      </c>
      <c r="H29" s="12">
        <v>2</v>
      </c>
      <c r="I29" s="12">
        <v>2</v>
      </c>
      <c r="J29" s="12">
        <v>2</v>
      </c>
      <c r="K29" s="12">
        <v>2</v>
      </c>
      <c r="L29" s="12">
        <v>2</v>
      </c>
      <c r="M29" s="12">
        <v>2</v>
      </c>
      <c r="N29" s="12">
        <v>3</v>
      </c>
      <c r="O29" s="12">
        <v>2</v>
      </c>
      <c r="P29" s="12">
        <v>3</v>
      </c>
      <c r="Q29" s="12">
        <v>2</v>
      </c>
      <c r="R29" s="12">
        <v>2</v>
      </c>
      <c r="S29" s="2"/>
      <c r="T29" s="37">
        <f t="shared" ref="T29:T30" si="8">SUM(B29:S29)</f>
        <v>37</v>
      </c>
    </row>
    <row r="30" spans="1:21" x14ac:dyDescent="0.25">
      <c r="A30" s="12" t="s">
        <v>304</v>
      </c>
      <c r="B30" s="46">
        <f>B29*18000</f>
        <v>36000</v>
      </c>
      <c r="C30" s="46">
        <f t="shared" ref="C30:R30" si="9">C29*18000</f>
        <v>36000</v>
      </c>
      <c r="D30" s="46">
        <f t="shared" si="9"/>
        <v>36000</v>
      </c>
      <c r="E30" s="46">
        <f t="shared" si="9"/>
        <v>36000</v>
      </c>
      <c r="F30" s="46">
        <f t="shared" si="9"/>
        <v>54000</v>
      </c>
      <c r="G30" s="46">
        <f t="shared" si="9"/>
        <v>36000</v>
      </c>
      <c r="H30" s="46">
        <f t="shared" si="9"/>
        <v>36000</v>
      </c>
      <c r="I30" s="46">
        <f t="shared" si="9"/>
        <v>36000</v>
      </c>
      <c r="J30" s="46">
        <f t="shared" si="9"/>
        <v>36000</v>
      </c>
      <c r="K30" s="46">
        <f t="shared" si="9"/>
        <v>36000</v>
      </c>
      <c r="L30" s="46">
        <f t="shared" si="9"/>
        <v>36000</v>
      </c>
      <c r="M30" s="46">
        <f t="shared" si="9"/>
        <v>36000</v>
      </c>
      <c r="N30" s="46">
        <f t="shared" si="9"/>
        <v>54000</v>
      </c>
      <c r="O30" s="46">
        <f t="shared" si="9"/>
        <v>36000</v>
      </c>
      <c r="P30" s="46">
        <f t="shared" si="9"/>
        <v>54000</v>
      </c>
      <c r="Q30" s="46">
        <f t="shared" si="9"/>
        <v>36000</v>
      </c>
      <c r="R30" s="46">
        <f t="shared" si="9"/>
        <v>36000</v>
      </c>
      <c r="S30" s="46"/>
      <c r="T30" s="37">
        <f t="shared" si="8"/>
        <v>666000</v>
      </c>
      <c r="U30" s="47">
        <f>T30/T28</f>
        <v>5.9614999885872183E-2</v>
      </c>
    </row>
    <row r="32" spans="1:21" x14ac:dyDescent="0.25">
      <c r="A32" s="13" t="s">
        <v>75</v>
      </c>
      <c r="B32" s="13"/>
    </row>
    <row r="33" spans="1:21" x14ac:dyDescent="0.25">
      <c r="A33" s="2" t="s">
        <v>85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21" x14ac:dyDescent="0.25">
      <c r="A34" s="2" t="s">
        <v>219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21" x14ac:dyDescent="0.25">
      <c r="A35" s="2" t="s">
        <v>218</v>
      </c>
      <c r="B35" s="2">
        <v>1</v>
      </c>
      <c r="C35" s="2">
        <v>1</v>
      </c>
      <c r="D35" s="2">
        <v>1</v>
      </c>
      <c r="E35" s="2">
        <v>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21" x14ac:dyDescent="0.25">
      <c r="A36" s="2" t="s">
        <v>86</v>
      </c>
      <c r="B36" s="2"/>
      <c r="C36" s="2"/>
      <c r="D36" s="2"/>
      <c r="E36" s="2"/>
      <c r="F36" s="2"/>
      <c r="G36" s="2"/>
      <c r="H36" s="2"/>
      <c r="I36" s="2"/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/>
    </row>
    <row r="37" spans="1:21" x14ac:dyDescent="0.25">
      <c r="A37" s="2" t="s">
        <v>220</v>
      </c>
      <c r="B37" s="2"/>
      <c r="C37" s="2"/>
      <c r="D37" s="2"/>
      <c r="E37" s="2"/>
      <c r="F37" s="2"/>
      <c r="G37" s="2"/>
      <c r="H37" s="2"/>
      <c r="I37" s="2"/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/>
    </row>
    <row r="38" spans="1:21" x14ac:dyDescent="0.25">
      <c r="A38" s="2" t="s">
        <v>221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/>
      <c r="S38" s="2"/>
    </row>
    <row r="39" spans="1:21" x14ac:dyDescent="0.25">
      <c r="A39" s="2" t="s">
        <v>221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>
        <v>1</v>
      </c>
      <c r="O39" s="2">
        <v>1</v>
      </c>
      <c r="P39" s="2">
        <v>1</v>
      </c>
      <c r="Q39" s="2">
        <v>1</v>
      </c>
      <c r="R39" s="2"/>
      <c r="S39" s="2"/>
    </row>
    <row r="40" spans="1:21" x14ac:dyDescent="0.25">
      <c r="A40" s="2" t="s">
        <v>175</v>
      </c>
      <c r="B40" s="2"/>
      <c r="C40" s="2"/>
      <c r="D40" s="2"/>
      <c r="E40" s="2"/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/>
      <c r="O40" s="2"/>
      <c r="P40" s="2"/>
      <c r="Q40" s="2"/>
      <c r="R40" s="2"/>
      <c r="S40" s="2"/>
    </row>
    <row r="41" spans="1:21" x14ac:dyDescent="0.25">
      <c r="A41" s="7" t="s">
        <v>303</v>
      </c>
      <c r="B41" s="7">
        <f>SUM(B33:B40)</f>
        <v>3</v>
      </c>
      <c r="C41" s="7">
        <f t="shared" ref="C41:S41" si="10">SUM(C33:C40)</f>
        <v>3</v>
      </c>
      <c r="D41" s="7">
        <f t="shared" si="10"/>
        <v>3</v>
      </c>
      <c r="E41" s="7">
        <f t="shared" si="10"/>
        <v>3</v>
      </c>
      <c r="F41" s="7">
        <f t="shared" si="10"/>
        <v>3</v>
      </c>
      <c r="G41" s="7">
        <f t="shared" si="10"/>
        <v>3</v>
      </c>
      <c r="H41" s="7">
        <f t="shared" si="10"/>
        <v>3</v>
      </c>
      <c r="I41" s="7">
        <f t="shared" si="10"/>
        <v>3</v>
      </c>
      <c r="J41" s="7">
        <f t="shared" si="10"/>
        <v>3</v>
      </c>
      <c r="K41" s="7">
        <f t="shared" si="10"/>
        <v>3</v>
      </c>
      <c r="L41" s="7">
        <f t="shared" si="10"/>
        <v>3</v>
      </c>
      <c r="M41" s="7">
        <f t="shared" si="10"/>
        <v>4</v>
      </c>
      <c r="N41" s="7">
        <f t="shared" si="10"/>
        <v>4</v>
      </c>
      <c r="O41" s="7">
        <f t="shared" si="10"/>
        <v>4</v>
      </c>
      <c r="P41" s="7">
        <f t="shared" si="10"/>
        <v>4</v>
      </c>
      <c r="Q41" s="7">
        <f t="shared" si="10"/>
        <v>4</v>
      </c>
      <c r="R41" s="7">
        <f t="shared" si="10"/>
        <v>2</v>
      </c>
      <c r="S41" s="7">
        <f t="shared" si="10"/>
        <v>0</v>
      </c>
      <c r="T41" s="1">
        <f>SUM(C41:R41)</f>
        <v>52</v>
      </c>
    </row>
    <row r="42" spans="1:21" x14ac:dyDescent="0.25">
      <c r="A42" s="12" t="s">
        <v>304</v>
      </c>
      <c r="B42" s="46">
        <f>B41*18000</f>
        <v>54000</v>
      </c>
      <c r="C42" s="46">
        <f t="shared" ref="C42:S42" si="11">C41*18000</f>
        <v>54000</v>
      </c>
      <c r="D42" s="46">
        <f t="shared" si="11"/>
        <v>54000</v>
      </c>
      <c r="E42" s="46">
        <f t="shared" si="11"/>
        <v>54000</v>
      </c>
      <c r="F42" s="46">
        <f t="shared" si="11"/>
        <v>54000</v>
      </c>
      <c r="G42" s="46">
        <f t="shared" si="11"/>
        <v>54000</v>
      </c>
      <c r="H42" s="46">
        <f t="shared" si="11"/>
        <v>54000</v>
      </c>
      <c r="I42" s="46">
        <f t="shared" si="11"/>
        <v>54000</v>
      </c>
      <c r="J42" s="46">
        <f t="shared" si="11"/>
        <v>54000</v>
      </c>
      <c r="K42" s="46">
        <f t="shared" si="11"/>
        <v>54000</v>
      </c>
      <c r="L42" s="46">
        <f t="shared" si="11"/>
        <v>54000</v>
      </c>
      <c r="M42" s="46">
        <f t="shared" si="11"/>
        <v>72000</v>
      </c>
      <c r="N42" s="46">
        <f t="shared" si="11"/>
        <v>72000</v>
      </c>
      <c r="O42" s="46">
        <f t="shared" si="11"/>
        <v>72000</v>
      </c>
      <c r="P42" s="46">
        <f t="shared" si="11"/>
        <v>72000</v>
      </c>
      <c r="Q42" s="46">
        <f t="shared" si="11"/>
        <v>72000</v>
      </c>
      <c r="R42" s="46">
        <f t="shared" si="11"/>
        <v>36000</v>
      </c>
      <c r="S42" s="46">
        <f t="shared" si="11"/>
        <v>0</v>
      </c>
      <c r="T42" s="37">
        <f>SUM(B42:S42)</f>
        <v>990000</v>
      </c>
      <c r="U42" s="47">
        <f>T42/T28</f>
        <v>8.8616891722242436E-2</v>
      </c>
    </row>
    <row r="44" spans="1:21" x14ac:dyDescent="0.25">
      <c r="A44" s="2"/>
      <c r="B44" s="2" t="s">
        <v>26</v>
      </c>
      <c r="C44" s="2" t="s">
        <v>27</v>
      </c>
    </row>
    <row r="45" spans="1:21" x14ac:dyDescent="0.25">
      <c r="A45" s="3" t="s">
        <v>0</v>
      </c>
      <c r="B45" s="2"/>
      <c r="C45" s="2"/>
      <c r="D45" s="2"/>
    </row>
    <row r="46" spans="1:21" x14ac:dyDescent="0.25">
      <c r="A46" s="2" t="s">
        <v>85</v>
      </c>
      <c r="B46" s="2" t="s">
        <v>67</v>
      </c>
      <c r="C46" s="2">
        <v>1</v>
      </c>
      <c r="D46" s="2">
        <f>C46*8</f>
        <v>8</v>
      </c>
    </row>
    <row r="47" spans="1:21" x14ac:dyDescent="0.25">
      <c r="A47" s="2" t="s">
        <v>219</v>
      </c>
      <c r="B47" s="2" t="s">
        <v>67</v>
      </c>
      <c r="C47" s="2">
        <v>1</v>
      </c>
      <c r="D47" s="2">
        <f t="shared" ref="D47:D50" si="12">C47*8</f>
        <v>8</v>
      </c>
    </row>
    <row r="48" spans="1:21" x14ac:dyDescent="0.25">
      <c r="A48" s="2" t="s">
        <v>218</v>
      </c>
      <c r="B48" s="2" t="s">
        <v>206</v>
      </c>
      <c r="C48" s="2">
        <v>1</v>
      </c>
      <c r="D48" s="2">
        <f>10-6</f>
        <v>4</v>
      </c>
      <c r="F48" s="40" t="s">
        <v>114</v>
      </c>
      <c r="G48" s="3" t="s">
        <v>67</v>
      </c>
      <c r="H48" s="3" t="s">
        <v>68</v>
      </c>
      <c r="I48" s="3" t="s">
        <v>90</v>
      </c>
    </row>
    <row r="49" spans="1:14" x14ac:dyDescent="0.25">
      <c r="A49" s="2" t="s">
        <v>86</v>
      </c>
      <c r="B49" s="2" t="s">
        <v>67</v>
      </c>
      <c r="C49" s="2">
        <v>1</v>
      </c>
      <c r="D49" s="2">
        <f t="shared" si="12"/>
        <v>8</v>
      </c>
      <c r="F49" s="11">
        <f>SUM(G49:I49)</f>
        <v>9</v>
      </c>
      <c r="G49" s="2">
        <v>5</v>
      </c>
      <c r="H49" s="2">
        <v>3</v>
      </c>
      <c r="I49" s="2">
        <v>1</v>
      </c>
    </row>
    <row r="50" spans="1:14" x14ac:dyDescent="0.25">
      <c r="A50" s="2" t="s">
        <v>220</v>
      </c>
      <c r="B50" s="2" t="s">
        <v>67</v>
      </c>
      <c r="C50" s="2">
        <v>1</v>
      </c>
      <c r="D50" s="2">
        <f t="shared" si="12"/>
        <v>8</v>
      </c>
    </row>
    <row r="51" spans="1:14" x14ac:dyDescent="0.25">
      <c r="A51" s="2" t="s">
        <v>221</v>
      </c>
      <c r="B51" s="2" t="s">
        <v>206</v>
      </c>
      <c r="C51" s="2">
        <v>1</v>
      </c>
      <c r="D51" s="2">
        <f>22-18</f>
        <v>4</v>
      </c>
    </row>
    <row r="52" spans="1:14" x14ac:dyDescent="0.25">
      <c r="A52" s="2" t="s">
        <v>221</v>
      </c>
      <c r="B52" s="2" t="s">
        <v>206</v>
      </c>
      <c r="C52" s="2">
        <v>1</v>
      </c>
      <c r="D52" s="2">
        <f>22-18</f>
        <v>4</v>
      </c>
    </row>
    <row r="53" spans="1:14" x14ac:dyDescent="0.25">
      <c r="A53" s="2" t="s">
        <v>179</v>
      </c>
      <c r="B53" s="2" t="s">
        <v>67</v>
      </c>
      <c r="C53" s="2">
        <v>1</v>
      </c>
      <c r="D53" s="2">
        <v>8</v>
      </c>
      <c r="F53" s="40" t="s">
        <v>89</v>
      </c>
      <c r="G53" s="3" t="s">
        <v>67</v>
      </c>
      <c r="H53" s="3" t="s">
        <v>68</v>
      </c>
      <c r="I53" s="3" t="s">
        <v>90</v>
      </c>
      <c r="K53" s="40" t="s">
        <v>91</v>
      </c>
      <c r="L53" s="3" t="s">
        <v>67</v>
      </c>
      <c r="M53" s="3" t="s">
        <v>68</v>
      </c>
      <c r="N53" s="3" t="s">
        <v>90</v>
      </c>
    </row>
    <row r="54" spans="1:14" x14ac:dyDescent="0.25">
      <c r="A54" s="2" t="s">
        <v>363</v>
      </c>
      <c r="B54" s="2"/>
      <c r="C54" s="2">
        <v>1</v>
      </c>
      <c r="D54" s="2"/>
      <c r="F54" s="11">
        <f>SUM(G54:I54)</f>
        <v>6</v>
      </c>
      <c r="G54" s="2">
        <v>3</v>
      </c>
      <c r="H54" s="2">
        <v>2</v>
      </c>
      <c r="I54" s="2">
        <v>1</v>
      </c>
      <c r="K54" s="11">
        <f>F54-F49</f>
        <v>-3</v>
      </c>
      <c r="L54" s="11">
        <f>G54-G49</f>
        <v>-2</v>
      </c>
      <c r="M54" s="11">
        <f>H54-H49</f>
        <v>-1</v>
      </c>
      <c r="N54" s="11">
        <f>I54-I49</f>
        <v>0</v>
      </c>
    </row>
    <row r="55" spans="1:14" x14ac:dyDescent="0.25">
      <c r="A55" s="3" t="s">
        <v>66</v>
      </c>
      <c r="B55" s="3"/>
      <c r="C55" s="3">
        <f>SUM(C46:C54)</f>
        <v>9</v>
      </c>
      <c r="D55" s="3">
        <f>SUM(D46:D54)</f>
        <v>52</v>
      </c>
    </row>
    <row r="56" spans="1:14" x14ac:dyDescent="0.25">
      <c r="A56" s="3" t="s">
        <v>2</v>
      </c>
      <c r="B56" s="2"/>
      <c r="C56" s="2"/>
      <c r="D56" s="2"/>
    </row>
    <row r="57" spans="1:14" x14ac:dyDescent="0.25">
      <c r="A57" s="2" t="s">
        <v>85</v>
      </c>
      <c r="B57" s="2" t="s">
        <v>67</v>
      </c>
      <c r="C57" s="2">
        <v>1</v>
      </c>
      <c r="D57" s="2">
        <f>C57*8</f>
        <v>8</v>
      </c>
      <c r="L57" s="1" t="s">
        <v>364</v>
      </c>
    </row>
    <row r="58" spans="1:14" x14ac:dyDescent="0.25">
      <c r="A58" s="2" t="s">
        <v>219</v>
      </c>
      <c r="B58" s="2" t="s">
        <v>67</v>
      </c>
      <c r="C58" s="2">
        <v>1</v>
      </c>
      <c r="D58" s="2">
        <f t="shared" ref="D58:D61" si="13">C58*8</f>
        <v>8</v>
      </c>
    </row>
    <row r="59" spans="1:14" x14ac:dyDescent="0.25">
      <c r="A59" s="2" t="s">
        <v>218</v>
      </c>
      <c r="B59" s="2" t="s">
        <v>206</v>
      </c>
      <c r="C59" s="2">
        <v>1</v>
      </c>
      <c r="D59" s="2">
        <v>4</v>
      </c>
    </row>
    <row r="60" spans="1:14" x14ac:dyDescent="0.25">
      <c r="A60" s="2" t="s">
        <v>86</v>
      </c>
      <c r="B60" s="2" t="s">
        <v>67</v>
      </c>
      <c r="C60" s="2">
        <v>1</v>
      </c>
      <c r="D60" s="2">
        <f t="shared" si="13"/>
        <v>8</v>
      </c>
    </row>
    <row r="61" spans="1:14" x14ac:dyDescent="0.25">
      <c r="A61" s="2" t="s">
        <v>220</v>
      </c>
      <c r="B61" s="2" t="s">
        <v>67</v>
      </c>
      <c r="C61" s="2">
        <v>1</v>
      </c>
      <c r="D61" s="2">
        <f t="shared" si="13"/>
        <v>8</v>
      </c>
    </row>
    <row r="62" spans="1:14" x14ac:dyDescent="0.25">
      <c r="A62" s="2" t="s">
        <v>221</v>
      </c>
      <c r="B62" s="2" t="s">
        <v>206</v>
      </c>
      <c r="C62" s="2">
        <v>1</v>
      </c>
      <c r="D62" s="2">
        <v>4</v>
      </c>
    </row>
    <row r="63" spans="1:14" x14ac:dyDescent="0.25">
      <c r="A63" s="2" t="s">
        <v>221</v>
      </c>
      <c r="B63" s="2" t="s">
        <v>206</v>
      </c>
      <c r="C63" s="2">
        <v>1</v>
      </c>
      <c r="D63" s="2">
        <v>4</v>
      </c>
    </row>
    <row r="64" spans="1:14" x14ac:dyDescent="0.25">
      <c r="A64" s="2" t="s">
        <v>175</v>
      </c>
      <c r="B64" s="2" t="s">
        <v>67</v>
      </c>
      <c r="C64" s="2">
        <v>1</v>
      </c>
      <c r="D64" s="2">
        <v>8</v>
      </c>
    </row>
    <row r="65" spans="1:22" x14ac:dyDescent="0.25">
      <c r="A65" s="2" t="s">
        <v>88</v>
      </c>
      <c r="B65" s="2"/>
      <c r="C65" s="2">
        <v>1</v>
      </c>
      <c r="D65" s="2"/>
    </row>
    <row r="66" spans="1:22" x14ac:dyDescent="0.25">
      <c r="A66" s="3" t="s">
        <v>66</v>
      </c>
      <c r="B66" s="3"/>
      <c r="C66" s="3">
        <f>SUM(C57:C65)</f>
        <v>9</v>
      </c>
      <c r="D66" s="3">
        <f>SUM(D57:D65)</f>
        <v>52</v>
      </c>
    </row>
    <row r="68" spans="1:22" x14ac:dyDescent="0.25">
      <c r="A68" s="2" t="s">
        <v>22</v>
      </c>
      <c r="B68" s="2"/>
      <c r="C68" s="2"/>
      <c r="E68" s="1" t="s">
        <v>64</v>
      </c>
      <c r="F68" s="1" t="s">
        <v>70</v>
      </c>
    </row>
    <row r="69" spans="1:22" x14ac:dyDescent="0.25">
      <c r="A69" s="3" t="s">
        <v>0</v>
      </c>
      <c r="B69" s="2"/>
      <c r="C69" s="2"/>
      <c r="E69" s="1" t="s">
        <v>69</v>
      </c>
      <c r="F69" s="1" t="s">
        <v>71</v>
      </c>
    </row>
    <row r="70" spans="1:22" x14ac:dyDescent="0.25">
      <c r="A70" s="2" t="s">
        <v>47</v>
      </c>
      <c r="B70" s="2">
        <f>22-6</f>
        <v>16</v>
      </c>
      <c r="C70" s="2" t="s">
        <v>24</v>
      </c>
      <c r="E70" s="1">
        <f>D55</f>
        <v>52</v>
      </c>
      <c r="F70" s="1" t="s">
        <v>24</v>
      </c>
      <c r="G70" s="1">
        <f>E70/B70</f>
        <v>3.25</v>
      </c>
      <c r="H70" s="1" t="s">
        <v>76</v>
      </c>
    </row>
    <row r="71" spans="1:22" x14ac:dyDescent="0.25">
      <c r="A71" s="3" t="s">
        <v>2</v>
      </c>
      <c r="B71" s="2"/>
      <c r="C71" s="2"/>
    </row>
    <row r="72" spans="1:22" x14ac:dyDescent="0.25">
      <c r="A72" s="2" t="s">
        <v>51</v>
      </c>
      <c r="B72" s="2">
        <f>23-6</f>
        <v>17</v>
      </c>
      <c r="C72" s="2" t="s">
        <v>24</v>
      </c>
      <c r="E72" s="1">
        <f>D66</f>
        <v>52</v>
      </c>
      <c r="F72" s="1" t="s">
        <v>24</v>
      </c>
      <c r="G72" s="1">
        <f>E72/B72</f>
        <v>3.0588235294117645</v>
      </c>
      <c r="H72" s="1" t="s">
        <v>76</v>
      </c>
    </row>
    <row r="74" spans="1:22" customFormat="1" x14ac:dyDescent="0.25">
      <c r="A74" s="48" t="s">
        <v>307</v>
      </c>
      <c r="B74" s="1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</row>
    <row r="75" spans="1:22" customFormat="1" x14ac:dyDescent="0.25">
      <c r="A75" s="48"/>
      <c r="B75" s="1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</row>
    <row r="76" spans="1:22" customFormat="1" x14ac:dyDescent="0.25">
      <c r="A76" s="50" t="s">
        <v>308</v>
      </c>
      <c r="B76" s="51" t="s">
        <v>309</v>
      </c>
      <c r="C76" s="52" t="s">
        <v>310</v>
      </c>
      <c r="D76" s="51" t="s">
        <v>311</v>
      </c>
      <c r="E76" s="51" t="s">
        <v>312</v>
      </c>
      <c r="F76" s="53" t="s">
        <v>313</v>
      </c>
      <c r="G76" s="51" t="s">
        <v>314</v>
      </c>
      <c r="H76" s="1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</row>
    <row r="77" spans="1:22" customFormat="1" x14ac:dyDescent="0.25">
      <c r="A77" s="50" t="s">
        <v>315</v>
      </c>
      <c r="B77" s="51">
        <v>1</v>
      </c>
      <c r="C77" s="51">
        <v>1</v>
      </c>
      <c r="D77" s="51">
        <v>1</v>
      </c>
      <c r="E77" s="51">
        <v>1</v>
      </c>
      <c r="F77" s="51">
        <v>1</v>
      </c>
      <c r="G77" s="51">
        <v>1</v>
      </c>
      <c r="H77" s="1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</row>
    <row r="78" spans="1:22" customFormat="1" x14ac:dyDescent="0.25">
      <c r="A78" s="50" t="s">
        <v>316</v>
      </c>
      <c r="B78" s="51">
        <v>1</v>
      </c>
      <c r="C78" s="51">
        <v>1</v>
      </c>
      <c r="D78" s="51">
        <v>1</v>
      </c>
      <c r="E78" s="51">
        <v>1</v>
      </c>
      <c r="F78" s="51">
        <v>1</v>
      </c>
      <c r="G78" s="51">
        <v>2</v>
      </c>
      <c r="H78" s="1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</row>
    <row r="79" spans="1:22" customFormat="1" x14ac:dyDescent="0.25">
      <c r="A79" s="50" t="s">
        <v>317</v>
      </c>
      <c r="B79" s="51">
        <v>1</v>
      </c>
      <c r="C79" s="51">
        <v>1</v>
      </c>
      <c r="D79" s="51">
        <v>1</v>
      </c>
      <c r="E79" s="51">
        <v>2</v>
      </c>
      <c r="F79" s="51">
        <v>2</v>
      </c>
      <c r="G79" s="51">
        <v>2</v>
      </c>
      <c r="H79" s="1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</row>
    <row r="80" spans="1:22" customFormat="1" x14ac:dyDescent="0.25">
      <c r="A80" s="50" t="s">
        <v>318</v>
      </c>
      <c r="B80" s="51">
        <v>0</v>
      </c>
      <c r="C80" s="51">
        <v>1</v>
      </c>
      <c r="D80" s="51">
        <v>1</v>
      </c>
      <c r="E80" s="51">
        <v>1</v>
      </c>
      <c r="F80" s="51">
        <v>1</v>
      </c>
      <c r="G80" s="51">
        <v>1</v>
      </c>
      <c r="H80" s="1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</row>
    <row r="81" spans="1:22" customFormat="1" x14ac:dyDescent="0.25">
      <c r="A81" s="50" t="s">
        <v>319</v>
      </c>
      <c r="B81" s="51">
        <f t="shared" ref="B81:G81" si="14">SUM(B77:B80)</f>
        <v>3</v>
      </c>
      <c r="C81" s="51">
        <f t="shared" si="14"/>
        <v>4</v>
      </c>
      <c r="D81" s="51">
        <f t="shared" si="14"/>
        <v>4</v>
      </c>
      <c r="E81" s="51">
        <f t="shared" si="14"/>
        <v>5</v>
      </c>
      <c r="F81" s="51">
        <f t="shared" si="14"/>
        <v>5</v>
      </c>
      <c r="G81" s="51">
        <f t="shared" si="14"/>
        <v>6</v>
      </c>
      <c r="H81" s="1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</row>
    <row r="82" spans="1:22" customFormat="1" x14ac:dyDescent="0.25">
      <c r="B82" s="49"/>
      <c r="C82" s="49"/>
      <c r="D82" s="49"/>
      <c r="E82" s="49"/>
      <c r="F82" s="49"/>
      <c r="G82" s="49"/>
      <c r="H82" s="1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</row>
    <row r="83" spans="1:22" customFormat="1" x14ac:dyDescent="0.25">
      <c r="A83" s="50" t="s">
        <v>320</v>
      </c>
      <c r="B83" s="54">
        <v>16</v>
      </c>
      <c r="C83" s="54">
        <v>16</v>
      </c>
      <c r="D83" s="54">
        <v>16</v>
      </c>
      <c r="E83" s="54">
        <v>16</v>
      </c>
      <c r="F83" s="54">
        <v>16</v>
      </c>
      <c r="G83" s="54">
        <v>16</v>
      </c>
      <c r="H83" s="1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</row>
    <row r="84" spans="1:22" customFormat="1" x14ac:dyDescent="0.25">
      <c r="A84" s="50" t="s">
        <v>321</v>
      </c>
      <c r="B84" s="54">
        <v>2</v>
      </c>
      <c r="C84" s="54">
        <v>2</v>
      </c>
      <c r="D84" s="54">
        <v>2</v>
      </c>
      <c r="E84" s="54">
        <v>2</v>
      </c>
      <c r="F84" s="54">
        <v>2</v>
      </c>
      <c r="G84" s="54">
        <v>2</v>
      </c>
      <c r="H84" s="1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</row>
    <row r="85" spans="1:22" customFormat="1" x14ac:dyDescent="0.25">
      <c r="A85" s="50" t="s">
        <v>322</v>
      </c>
      <c r="B85" s="55">
        <f t="shared" ref="B85:G85" si="15">SUM(B83+B84)/8</f>
        <v>2.25</v>
      </c>
      <c r="C85" s="55">
        <f t="shared" si="15"/>
        <v>2.25</v>
      </c>
      <c r="D85" s="55">
        <f t="shared" si="15"/>
        <v>2.25</v>
      </c>
      <c r="E85" s="55">
        <f t="shared" si="15"/>
        <v>2.25</v>
      </c>
      <c r="F85" s="55">
        <f t="shared" si="15"/>
        <v>2.25</v>
      </c>
      <c r="G85" s="55">
        <f t="shared" si="15"/>
        <v>2.25</v>
      </c>
      <c r="H85" s="1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</row>
    <row r="86" spans="1:22" customFormat="1" x14ac:dyDescent="0.25">
      <c r="A86" s="50" t="s">
        <v>323</v>
      </c>
      <c r="B86" s="55">
        <f>SUM(B81*B85)</f>
        <v>6.75</v>
      </c>
      <c r="C86" s="55">
        <f t="shared" ref="C86:G86" si="16">SUM(C81*C85)</f>
        <v>9</v>
      </c>
      <c r="D86" s="55">
        <f t="shared" si="16"/>
        <v>9</v>
      </c>
      <c r="E86" s="55">
        <f t="shared" si="16"/>
        <v>11.25</v>
      </c>
      <c r="F86" s="55">
        <f t="shared" si="16"/>
        <v>11.25</v>
      </c>
      <c r="G86" s="55">
        <f t="shared" si="16"/>
        <v>13.5</v>
      </c>
      <c r="H86" s="1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</row>
    <row r="87" spans="1:22" customFormat="1" x14ac:dyDescent="0.25">
      <c r="B87" s="49"/>
      <c r="C87" s="49"/>
      <c r="D87" s="49"/>
      <c r="E87" s="49"/>
      <c r="F87" s="49"/>
      <c r="G87" s="49"/>
      <c r="H87" s="1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</row>
    <row r="88" spans="1:22" customFormat="1" x14ac:dyDescent="0.25">
      <c r="A88" s="50" t="s">
        <v>324</v>
      </c>
      <c r="B88" s="55">
        <f>SUM(B86*7)/6</f>
        <v>7.875</v>
      </c>
      <c r="C88" s="55">
        <f t="shared" ref="C88:G88" si="17">SUM(C86*7)/6</f>
        <v>10.5</v>
      </c>
      <c r="D88" s="55">
        <f t="shared" si="17"/>
        <v>10.5</v>
      </c>
      <c r="E88" s="55">
        <f t="shared" si="17"/>
        <v>13.125</v>
      </c>
      <c r="F88" s="55">
        <f t="shared" si="17"/>
        <v>13.125</v>
      </c>
      <c r="G88" s="55">
        <f t="shared" si="17"/>
        <v>15.75</v>
      </c>
      <c r="H88" s="1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</row>
    <row r="89" spans="1:22" x14ac:dyDescent="0.25">
      <c r="R89" s="37"/>
    </row>
    <row r="90" spans="1:22" customFormat="1" x14ac:dyDescent="0.25">
      <c r="A90" s="50" t="s">
        <v>365</v>
      </c>
      <c r="B90" s="54">
        <v>17</v>
      </c>
      <c r="C90" s="54">
        <v>17</v>
      </c>
      <c r="D90" s="54">
        <v>17</v>
      </c>
      <c r="E90" s="54">
        <v>17</v>
      </c>
      <c r="F90" s="54">
        <v>17</v>
      </c>
      <c r="G90" s="54">
        <v>17</v>
      </c>
      <c r="H90" s="1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</row>
    <row r="91" spans="1:22" customFormat="1" x14ac:dyDescent="0.25">
      <c r="A91" s="50" t="s">
        <v>321</v>
      </c>
      <c r="B91" s="54">
        <v>2</v>
      </c>
      <c r="C91" s="54">
        <v>2</v>
      </c>
      <c r="D91" s="54">
        <v>2</v>
      </c>
      <c r="E91" s="54">
        <v>2</v>
      </c>
      <c r="F91" s="54">
        <v>2</v>
      </c>
      <c r="G91" s="54">
        <v>2</v>
      </c>
      <c r="H91" s="1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</row>
    <row r="92" spans="1:22" customFormat="1" x14ac:dyDescent="0.25">
      <c r="A92" s="50" t="s">
        <v>322</v>
      </c>
      <c r="B92" s="55">
        <f>SUM(B90+B91)/8</f>
        <v>2.375</v>
      </c>
      <c r="C92" s="55">
        <f t="shared" ref="C92" si="18">SUM(C90+C91)/8</f>
        <v>2.375</v>
      </c>
      <c r="D92" s="55">
        <f t="shared" ref="D92:G92" si="19">SUM(D90+D91)/8</f>
        <v>2.375</v>
      </c>
      <c r="E92" s="55">
        <f t="shared" si="19"/>
        <v>2.375</v>
      </c>
      <c r="F92" s="55">
        <f t="shared" si="19"/>
        <v>2.375</v>
      </c>
      <c r="G92" s="55">
        <f t="shared" si="19"/>
        <v>2.375</v>
      </c>
      <c r="H92" s="1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</row>
    <row r="93" spans="1:22" customFormat="1" x14ac:dyDescent="0.25">
      <c r="A93" s="50" t="s">
        <v>323</v>
      </c>
      <c r="B93" s="55">
        <f>B92*B81</f>
        <v>7.125</v>
      </c>
      <c r="C93" s="55">
        <f t="shared" ref="C93:G93" si="20">C92*C81</f>
        <v>9.5</v>
      </c>
      <c r="D93" s="55">
        <f t="shared" si="20"/>
        <v>9.5</v>
      </c>
      <c r="E93" s="55">
        <f t="shared" si="20"/>
        <v>11.875</v>
      </c>
      <c r="F93" s="55">
        <f t="shared" si="20"/>
        <v>11.875</v>
      </c>
      <c r="G93" s="55">
        <f t="shared" si="20"/>
        <v>14.25</v>
      </c>
      <c r="H93" s="1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</row>
    <row r="94" spans="1:22" customFormat="1" x14ac:dyDescent="0.25">
      <c r="B94" s="49"/>
      <c r="C94" s="49"/>
      <c r="D94" s="49"/>
      <c r="E94" s="49"/>
      <c r="F94" s="49"/>
      <c r="G94" s="49"/>
      <c r="H94" s="1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</row>
    <row r="95" spans="1:22" customFormat="1" x14ac:dyDescent="0.25">
      <c r="A95" s="50" t="s">
        <v>324</v>
      </c>
      <c r="B95" s="55">
        <f>SUM(B93*7)/6</f>
        <v>8.3125</v>
      </c>
      <c r="C95" s="55">
        <f t="shared" ref="C95:G95" si="21">SUM(C93*7)/6</f>
        <v>11.083333333333334</v>
      </c>
      <c r="D95" s="55">
        <f t="shared" si="21"/>
        <v>11.083333333333334</v>
      </c>
      <c r="E95" s="55">
        <f t="shared" si="21"/>
        <v>13.854166666666666</v>
      </c>
      <c r="F95" s="55">
        <f t="shared" si="21"/>
        <v>13.854166666666666</v>
      </c>
      <c r="G95" s="55">
        <f t="shared" si="21"/>
        <v>16.625</v>
      </c>
      <c r="H95" s="1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</row>
    <row r="96" spans="1:22" x14ac:dyDescent="0.25">
      <c r="R96" s="37"/>
    </row>
    <row r="97" spans="1:13" x14ac:dyDescent="0.25">
      <c r="F97" s="1" t="s">
        <v>94</v>
      </c>
      <c r="G97" s="1" t="s">
        <v>95</v>
      </c>
      <c r="H97" s="1" t="s">
        <v>99</v>
      </c>
    </row>
    <row r="98" spans="1:13" ht="25.5" x14ac:dyDescent="0.35">
      <c r="A98" s="14" t="s">
        <v>84</v>
      </c>
      <c r="B98" s="14"/>
      <c r="C98" s="15"/>
      <c r="D98" s="15"/>
      <c r="E98" s="15"/>
      <c r="F98" s="1" t="s">
        <v>104</v>
      </c>
      <c r="G98" s="1" t="s">
        <v>105</v>
      </c>
      <c r="H98" s="1" t="s">
        <v>100</v>
      </c>
    </row>
    <row r="100" spans="1:13" x14ac:dyDescent="0.25">
      <c r="A100" s="40" t="s">
        <v>80</v>
      </c>
      <c r="B100" s="40" t="s">
        <v>81</v>
      </c>
      <c r="C100" s="40" t="s">
        <v>82</v>
      </c>
      <c r="D100" s="40" t="s">
        <v>66</v>
      </c>
    </row>
    <row r="101" spans="1:13" x14ac:dyDescent="0.25">
      <c r="A101" s="3" t="s">
        <v>0</v>
      </c>
      <c r="B101" s="2"/>
      <c r="C101" s="2"/>
      <c r="D101" s="40"/>
    </row>
    <row r="102" spans="1:13" x14ac:dyDescent="0.25">
      <c r="A102" s="2" t="s">
        <v>143</v>
      </c>
      <c r="B102" s="2">
        <v>205</v>
      </c>
      <c r="C102" s="2">
        <v>60</v>
      </c>
      <c r="D102" s="40">
        <f>B102+C102</f>
        <v>265</v>
      </c>
      <c r="E102" s="1">
        <f>D102+D103</f>
        <v>370</v>
      </c>
    </row>
    <row r="103" spans="1:13" x14ac:dyDescent="0.25">
      <c r="A103" s="2" t="s">
        <v>366</v>
      </c>
      <c r="B103" s="2">
        <v>69</v>
      </c>
      <c r="C103" s="2">
        <v>36</v>
      </c>
      <c r="D103" s="40">
        <f>B103+C103</f>
        <v>105</v>
      </c>
    </row>
    <row r="104" spans="1:13" x14ac:dyDescent="0.25">
      <c r="A104" s="2" t="s">
        <v>144</v>
      </c>
      <c r="B104" s="2"/>
      <c r="C104" s="2"/>
      <c r="D104" s="40"/>
    </row>
    <row r="105" spans="1:13" x14ac:dyDescent="0.25">
      <c r="A105" s="3" t="s">
        <v>2</v>
      </c>
      <c r="B105" s="2"/>
      <c r="C105" s="2"/>
      <c r="D105" s="40"/>
    </row>
    <row r="106" spans="1:13" x14ac:dyDescent="0.25">
      <c r="A106" s="2" t="s">
        <v>143</v>
      </c>
      <c r="B106" s="2">
        <v>240</v>
      </c>
      <c r="C106" s="2">
        <v>74</v>
      </c>
      <c r="D106" s="40">
        <f>B106+C106</f>
        <v>314</v>
      </c>
      <c r="E106" s="1">
        <f>D106+D107</f>
        <v>427</v>
      </c>
    </row>
    <row r="107" spans="1:13" x14ac:dyDescent="0.25">
      <c r="A107" s="2" t="s">
        <v>366</v>
      </c>
      <c r="B107" s="2">
        <v>72</v>
      </c>
      <c r="C107" s="2">
        <v>41</v>
      </c>
      <c r="D107" s="40">
        <f>B107+C107</f>
        <v>113</v>
      </c>
    </row>
    <row r="108" spans="1:13" x14ac:dyDescent="0.25">
      <c r="A108" s="2" t="s">
        <v>144</v>
      </c>
      <c r="B108" s="2"/>
      <c r="C108" s="2"/>
      <c r="D108" s="40"/>
    </row>
    <row r="110" spans="1:13" x14ac:dyDescent="0.25">
      <c r="A110" s="40" t="s">
        <v>103</v>
      </c>
      <c r="B110" s="3" t="s">
        <v>67</v>
      </c>
      <c r="C110" s="40" t="s">
        <v>101</v>
      </c>
      <c r="D110" s="3" t="s">
        <v>90</v>
      </c>
      <c r="G110" s="40" t="s">
        <v>89</v>
      </c>
      <c r="H110" s="3" t="s">
        <v>67</v>
      </c>
      <c r="I110" s="3" t="s">
        <v>90</v>
      </c>
      <c r="K110" s="40" t="s">
        <v>102</v>
      </c>
      <c r="L110" s="3" t="s">
        <v>67</v>
      </c>
      <c r="M110" s="3" t="s">
        <v>90</v>
      </c>
    </row>
    <row r="111" spans="1:13" x14ac:dyDescent="0.25">
      <c r="A111" s="11">
        <f>SUM(B111:D111)</f>
        <v>15</v>
      </c>
      <c r="B111" s="2">
        <v>12</v>
      </c>
      <c r="C111" s="2">
        <v>2</v>
      </c>
      <c r="D111" s="2">
        <v>1</v>
      </c>
      <c r="G111" s="11">
        <f>SUM(H111:I111)</f>
        <v>13</v>
      </c>
      <c r="H111" s="2">
        <v>12</v>
      </c>
      <c r="I111" s="2">
        <v>1</v>
      </c>
      <c r="K111" s="11">
        <f>A111-G111</f>
        <v>2</v>
      </c>
      <c r="L111" s="2"/>
      <c r="M111" s="2"/>
    </row>
    <row r="113" spans="7:7" x14ac:dyDescent="0.25">
      <c r="G113" s="1" t="s">
        <v>180</v>
      </c>
    </row>
  </sheetData>
  <pageMargins left="0" right="0" top="0" bottom="0" header="0" footer="0"/>
  <pageSetup paperSize="9" scale="4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R82"/>
  <sheetViews>
    <sheetView topLeftCell="B4" workbookViewId="0">
      <selection activeCell="R23" sqref="R23"/>
    </sheetView>
  </sheetViews>
  <sheetFormatPr defaultRowHeight="15.75" x14ac:dyDescent="0.25"/>
  <cols>
    <col min="1" max="1" width="24.42578125" style="1" bestFit="1" customWidth="1"/>
    <col min="2" max="2" width="9.28515625" style="1" bestFit="1" customWidth="1"/>
    <col min="3" max="3" width="14.85546875" style="1" bestFit="1" customWidth="1"/>
    <col min="4" max="4" width="8.5703125" style="1" bestFit="1" customWidth="1"/>
    <col min="5" max="5" width="9.7109375" style="1" bestFit="1" customWidth="1"/>
    <col min="6" max="6" width="15.5703125" style="1" bestFit="1" customWidth="1"/>
    <col min="7" max="7" width="13.7109375" style="1" bestFit="1" customWidth="1"/>
    <col min="8" max="8" width="10.42578125" style="1" bestFit="1" customWidth="1"/>
    <col min="9" max="9" width="9.5703125" style="1" bestFit="1" customWidth="1"/>
    <col min="10" max="11" width="11.140625" style="1" bestFit="1" customWidth="1"/>
    <col min="12" max="17" width="9.5703125" style="1" bestFit="1" customWidth="1"/>
    <col min="18" max="16384" width="9.140625" style="1"/>
  </cols>
  <sheetData>
    <row r="2" spans="1:18" ht="25.5" x14ac:dyDescent="0.35">
      <c r="A2" s="14" t="s">
        <v>83</v>
      </c>
      <c r="B2" s="15"/>
      <c r="C2" s="15"/>
      <c r="D2" s="15"/>
      <c r="E2" s="15"/>
    </row>
    <row r="4" spans="1:18" x14ac:dyDescent="0.25">
      <c r="A4" s="2" t="s">
        <v>74</v>
      </c>
      <c r="B4" s="3" t="s">
        <v>21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</row>
    <row r="5" spans="1:18" x14ac:dyDescent="0.25">
      <c r="A5" s="5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8" x14ac:dyDescent="0.25">
      <c r="A6" s="2" t="s">
        <v>1</v>
      </c>
      <c r="B6" s="2"/>
      <c r="C6" s="2">
        <v>4</v>
      </c>
      <c r="D6" s="2">
        <v>15</v>
      </c>
      <c r="E6" s="2">
        <v>54</v>
      </c>
      <c r="F6" s="2">
        <v>69</v>
      </c>
      <c r="G6" s="2">
        <v>90</v>
      </c>
      <c r="H6" s="2">
        <v>50</v>
      </c>
      <c r="I6" s="2">
        <v>90</v>
      </c>
      <c r="J6" s="2">
        <v>110</v>
      </c>
      <c r="K6" s="2">
        <v>75</v>
      </c>
      <c r="L6" s="2">
        <v>113</v>
      </c>
      <c r="M6" s="2">
        <v>113</v>
      </c>
      <c r="N6" s="2">
        <v>109</v>
      </c>
      <c r="O6" s="2">
        <v>94</v>
      </c>
      <c r="P6" s="2">
        <v>98</v>
      </c>
      <c r="Q6" s="2">
        <v>7</v>
      </c>
    </row>
    <row r="7" spans="1:18" x14ac:dyDescent="0.25">
      <c r="A7" s="4">
        <v>5</v>
      </c>
      <c r="B7" s="4">
        <f>ROUND(B6/$A$7,0)</f>
        <v>0</v>
      </c>
      <c r="C7" s="4">
        <f t="shared" ref="C7:Q7" si="0">ROUND(C6/$A$7,0)</f>
        <v>1</v>
      </c>
      <c r="D7" s="4">
        <f t="shared" si="0"/>
        <v>3</v>
      </c>
      <c r="E7" s="4">
        <f t="shared" si="0"/>
        <v>11</v>
      </c>
      <c r="F7" s="4">
        <f t="shared" si="0"/>
        <v>14</v>
      </c>
      <c r="G7" s="4">
        <f t="shared" si="0"/>
        <v>18</v>
      </c>
      <c r="H7" s="4">
        <f t="shared" si="0"/>
        <v>10</v>
      </c>
      <c r="I7" s="4">
        <f t="shared" si="0"/>
        <v>18</v>
      </c>
      <c r="J7" s="4">
        <f t="shared" si="0"/>
        <v>22</v>
      </c>
      <c r="K7" s="4">
        <f t="shared" si="0"/>
        <v>15</v>
      </c>
      <c r="L7" s="4">
        <f t="shared" si="0"/>
        <v>23</v>
      </c>
      <c r="M7" s="4">
        <f t="shared" si="0"/>
        <v>23</v>
      </c>
      <c r="N7" s="4">
        <f t="shared" si="0"/>
        <v>22</v>
      </c>
      <c r="O7" s="4">
        <f t="shared" si="0"/>
        <v>19</v>
      </c>
      <c r="P7" s="4">
        <f t="shared" si="0"/>
        <v>20</v>
      </c>
      <c r="Q7" s="4">
        <f t="shared" si="0"/>
        <v>1</v>
      </c>
      <c r="R7" s="1">
        <f t="shared" ref="R7:R8" si="1">SUM(B7:Q7)</f>
        <v>220</v>
      </c>
    </row>
    <row r="8" spans="1:18" x14ac:dyDescent="0.25">
      <c r="A8" s="12" t="s">
        <v>60</v>
      </c>
      <c r="B8" s="12"/>
      <c r="C8" s="12">
        <v>1</v>
      </c>
      <c r="D8" s="12">
        <v>1</v>
      </c>
      <c r="E8" s="12">
        <v>2</v>
      </c>
      <c r="F8" s="12">
        <v>2</v>
      </c>
      <c r="G8" s="12">
        <v>2</v>
      </c>
      <c r="H8" s="12">
        <v>2</v>
      </c>
      <c r="I8" s="12">
        <v>2</v>
      </c>
      <c r="J8" s="12">
        <v>2</v>
      </c>
      <c r="K8" s="12">
        <v>2</v>
      </c>
      <c r="L8" s="12">
        <v>2</v>
      </c>
      <c r="M8" s="12">
        <v>2</v>
      </c>
      <c r="N8" s="12">
        <v>2</v>
      </c>
      <c r="O8" s="12">
        <v>2</v>
      </c>
      <c r="P8" s="12">
        <v>2</v>
      </c>
      <c r="Q8" s="12"/>
      <c r="R8" s="1">
        <f t="shared" si="1"/>
        <v>26</v>
      </c>
    </row>
    <row r="9" spans="1:18" x14ac:dyDescent="0.25">
      <c r="A9" s="12" t="s">
        <v>61</v>
      </c>
      <c r="B9" s="12"/>
      <c r="C9" s="12">
        <v>1</v>
      </c>
      <c r="D9" s="12">
        <v>1</v>
      </c>
      <c r="E9" s="12">
        <v>2</v>
      </c>
      <c r="F9" s="12">
        <v>2</v>
      </c>
      <c r="G9" s="12">
        <v>2</v>
      </c>
      <c r="H9" s="12">
        <v>2</v>
      </c>
      <c r="I9" s="12">
        <v>2</v>
      </c>
      <c r="J9" s="12">
        <v>2</v>
      </c>
      <c r="K9" s="12">
        <v>2</v>
      </c>
      <c r="L9" s="12">
        <v>2</v>
      </c>
      <c r="M9" s="12">
        <v>2</v>
      </c>
      <c r="N9" s="12">
        <v>2</v>
      </c>
      <c r="O9" s="12">
        <v>2</v>
      </c>
      <c r="P9" s="12">
        <v>2</v>
      </c>
      <c r="Q9" s="12"/>
      <c r="R9" s="1">
        <f>SUM(B9:Q9)</f>
        <v>26</v>
      </c>
    </row>
    <row r="11" spans="1:18" x14ac:dyDescent="0.25">
      <c r="A11" s="13" t="s">
        <v>75</v>
      </c>
    </row>
    <row r="12" spans="1:18" x14ac:dyDescent="0.25">
      <c r="A12" s="2" t="s">
        <v>62</v>
      </c>
      <c r="B12" s="2"/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/>
      <c r="L12" s="2"/>
      <c r="M12" s="2"/>
      <c r="N12" s="2"/>
      <c r="O12" s="2"/>
      <c r="P12" s="2"/>
      <c r="Q12" s="2"/>
    </row>
    <row r="13" spans="1:18" x14ac:dyDescent="0.25">
      <c r="A13" s="2" t="s">
        <v>73</v>
      </c>
      <c r="B13" s="2"/>
      <c r="C13" s="2"/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/>
      <c r="M13" s="2"/>
      <c r="N13" s="2"/>
      <c r="O13" s="2"/>
      <c r="P13" s="2"/>
      <c r="Q13" s="2"/>
    </row>
    <row r="14" spans="1:18" x14ac:dyDescent="0.25">
      <c r="A14" s="2" t="s">
        <v>63</v>
      </c>
      <c r="B14" s="2"/>
      <c r="C14" s="2"/>
      <c r="D14" s="2"/>
      <c r="E14" s="2"/>
      <c r="F14" s="2"/>
      <c r="G14" s="2"/>
      <c r="H14" s="2"/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/>
    </row>
    <row r="15" spans="1:18" x14ac:dyDescent="0.25">
      <c r="A15" s="2" t="s">
        <v>65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/>
    </row>
    <row r="16" spans="1:18" x14ac:dyDescent="0.25">
      <c r="A16" s="2" t="s">
        <v>66</v>
      </c>
      <c r="B16" s="2">
        <f t="shared" ref="B16:Q16" si="2">SUM(B12:B15)</f>
        <v>0</v>
      </c>
      <c r="C16" s="2">
        <f t="shared" si="2"/>
        <v>1</v>
      </c>
      <c r="D16" s="2">
        <f t="shared" si="2"/>
        <v>2</v>
      </c>
      <c r="E16" s="2">
        <f t="shared" si="2"/>
        <v>2</v>
      </c>
      <c r="F16" s="2">
        <f t="shared" si="2"/>
        <v>2</v>
      </c>
      <c r="G16" s="2">
        <f t="shared" si="2"/>
        <v>2</v>
      </c>
      <c r="H16" s="2">
        <f t="shared" si="2"/>
        <v>2</v>
      </c>
      <c r="I16" s="2">
        <f t="shared" si="2"/>
        <v>3</v>
      </c>
      <c r="J16" s="2">
        <f t="shared" si="2"/>
        <v>3</v>
      </c>
      <c r="K16" s="2">
        <f t="shared" si="2"/>
        <v>2</v>
      </c>
      <c r="L16" s="2">
        <f t="shared" si="2"/>
        <v>2</v>
      </c>
      <c r="M16" s="2">
        <f t="shared" si="2"/>
        <v>2</v>
      </c>
      <c r="N16" s="2">
        <f t="shared" si="2"/>
        <v>2</v>
      </c>
      <c r="O16" s="2">
        <f t="shared" si="2"/>
        <v>2</v>
      </c>
      <c r="P16" s="2">
        <f t="shared" si="2"/>
        <v>2</v>
      </c>
      <c r="Q16" s="2">
        <f t="shared" si="2"/>
        <v>0</v>
      </c>
      <c r="R16" s="1">
        <f>SUM(B16:Q16)</f>
        <v>29</v>
      </c>
    </row>
    <row r="18" spans="1:18" x14ac:dyDescent="0.25">
      <c r="A18" s="2" t="s">
        <v>74</v>
      </c>
      <c r="B18" s="3" t="s">
        <v>21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  <c r="P18" s="3" t="s">
        <v>17</v>
      </c>
      <c r="Q18" s="3" t="s">
        <v>18</v>
      </c>
    </row>
    <row r="19" spans="1:18" x14ac:dyDescent="0.25">
      <c r="A19" s="5" t="s">
        <v>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8" x14ac:dyDescent="0.25">
      <c r="A20" s="2" t="s">
        <v>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8" x14ac:dyDescent="0.25">
      <c r="A21" s="2" t="s">
        <v>19</v>
      </c>
      <c r="B21" s="2"/>
      <c r="C21" s="2">
        <v>6</v>
      </c>
      <c r="D21" s="2">
        <v>9</v>
      </c>
      <c r="E21" s="2">
        <v>17</v>
      </c>
      <c r="F21" s="2">
        <v>31</v>
      </c>
      <c r="G21" s="2">
        <v>34</v>
      </c>
      <c r="H21" s="2">
        <v>25</v>
      </c>
      <c r="I21" s="2">
        <v>26</v>
      </c>
      <c r="J21" s="2">
        <v>37</v>
      </c>
      <c r="K21" s="2">
        <v>30</v>
      </c>
      <c r="L21" s="2">
        <v>43</v>
      </c>
      <c r="M21" s="2">
        <v>37</v>
      </c>
      <c r="N21" s="2">
        <v>31</v>
      </c>
      <c r="O21" s="2">
        <v>41</v>
      </c>
      <c r="P21" s="2">
        <v>25</v>
      </c>
      <c r="Q21" s="2"/>
    </row>
    <row r="22" spans="1:18" x14ac:dyDescent="0.25">
      <c r="A22" s="2" t="s">
        <v>20</v>
      </c>
      <c r="B22" s="2">
        <v>1</v>
      </c>
      <c r="C22" s="2"/>
      <c r="D22" s="2">
        <v>6</v>
      </c>
      <c r="E22" s="2">
        <v>15</v>
      </c>
      <c r="F22" s="2">
        <v>17</v>
      </c>
      <c r="G22" s="2">
        <v>28</v>
      </c>
      <c r="H22" s="2">
        <v>15</v>
      </c>
      <c r="I22" s="2">
        <v>13</v>
      </c>
      <c r="J22" s="2">
        <v>24</v>
      </c>
      <c r="K22" s="2">
        <v>19</v>
      </c>
      <c r="L22" s="2">
        <v>31</v>
      </c>
      <c r="M22" s="2">
        <v>28</v>
      </c>
      <c r="N22" s="2">
        <v>34</v>
      </c>
      <c r="O22" s="2">
        <v>46</v>
      </c>
      <c r="P22" s="2">
        <v>34</v>
      </c>
      <c r="Q22" s="2"/>
    </row>
    <row r="23" spans="1:18" x14ac:dyDescent="0.25">
      <c r="A23" s="4">
        <v>2</v>
      </c>
      <c r="B23" s="4">
        <f>ROUND((B21+B22)/$A$23,0)</f>
        <v>1</v>
      </c>
      <c r="C23" s="4">
        <f t="shared" ref="C23:Q23" si="3">ROUND((C21+C22)/$A$23,0)</f>
        <v>3</v>
      </c>
      <c r="D23" s="4">
        <f t="shared" si="3"/>
        <v>8</v>
      </c>
      <c r="E23" s="4">
        <f t="shared" si="3"/>
        <v>16</v>
      </c>
      <c r="F23" s="4">
        <f t="shared" si="3"/>
        <v>24</v>
      </c>
      <c r="G23" s="4">
        <f t="shared" si="3"/>
        <v>31</v>
      </c>
      <c r="H23" s="4">
        <f t="shared" si="3"/>
        <v>20</v>
      </c>
      <c r="I23" s="4">
        <f t="shared" si="3"/>
        <v>20</v>
      </c>
      <c r="J23" s="4">
        <f t="shared" si="3"/>
        <v>31</v>
      </c>
      <c r="K23" s="4">
        <f t="shared" si="3"/>
        <v>25</v>
      </c>
      <c r="L23" s="4">
        <f t="shared" si="3"/>
        <v>37</v>
      </c>
      <c r="M23" s="4">
        <f t="shared" si="3"/>
        <v>33</v>
      </c>
      <c r="N23" s="4">
        <f t="shared" si="3"/>
        <v>33</v>
      </c>
      <c r="O23" s="4">
        <f t="shared" si="3"/>
        <v>44</v>
      </c>
      <c r="P23" s="4">
        <f t="shared" si="3"/>
        <v>30</v>
      </c>
      <c r="Q23" s="4">
        <f t="shared" si="3"/>
        <v>0</v>
      </c>
      <c r="R23" s="1">
        <f t="shared" ref="R23:R24" si="4">SUM(B23:Q23)</f>
        <v>356</v>
      </c>
    </row>
    <row r="24" spans="1:18" x14ac:dyDescent="0.25">
      <c r="A24" s="12" t="s">
        <v>60</v>
      </c>
      <c r="B24" s="12"/>
      <c r="C24" s="12">
        <v>1</v>
      </c>
      <c r="D24" s="12">
        <v>2</v>
      </c>
      <c r="E24" s="12">
        <v>2</v>
      </c>
      <c r="F24" s="12">
        <v>2</v>
      </c>
      <c r="G24" s="12">
        <v>3</v>
      </c>
      <c r="H24" s="12">
        <v>2</v>
      </c>
      <c r="I24" s="12">
        <v>2</v>
      </c>
      <c r="J24" s="12">
        <v>3</v>
      </c>
      <c r="K24" s="12">
        <v>2</v>
      </c>
      <c r="L24" s="12">
        <v>4</v>
      </c>
      <c r="M24" s="12">
        <v>3</v>
      </c>
      <c r="N24" s="12">
        <v>3</v>
      </c>
      <c r="O24" s="12">
        <v>4</v>
      </c>
      <c r="P24" s="12">
        <v>3</v>
      </c>
      <c r="Q24" s="12"/>
      <c r="R24" s="1">
        <f t="shared" si="4"/>
        <v>36</v>
      </c>
    </row>
    <row r="25" spans="1:18" x14ac:dyDescent="0.25">
      <c r="A25" s="12" t="s">
        <v>61</v>
      </c>
      <c r="B25" s="12"/>
      <c r="C25" s="12">
        <v>1</v>
      </c>
      <c r="D25" s="12">
        <v>2</v>
      </c>
      <c r="E25" s="12">
        <v>2</v>
      </c>
      <c r="F25" s="12">
        <v>2</v>
      </c>
      <c r="G25" s="12">
        <v>3</v>
      </c>
      <c r="H25" s="12">
        <v>2</v>
      </c>
      <c r="I25" s="12">
        <v>2</v>
      </c>
      <c r="J25" s="12">
        <v>3</v>
      </c>
      <c r="K25" s="12">
        <v>2</v>
      </c>
      <c r="L25" s="12">
        <v>4</v>
      </c>
      <c r="M25" s="12">
        <v>3</v>
      </c>
      <c r="N25" s="12">
        <v>3</v>
      </c>
      <c r="O25" s="12">
        <v>4</v>
      </c>
      <c r="P25" s="12">
        <v>3</v>
      </c>
      <c r="Q25" s="12"/>
      <c r="R25" s="1">
        <f>SUM(B25:Q25)</f>
        <v>36</v>
      </c>
    </row>
    <row r="27" spans="1:18" x14ac:dyDescent="0.25">
      <c r="A27" s="13" t="s">
        <v>75</v>
      </c>
    </row>
    <row r="28" spans="1:18" x14ac:dyDescent="0.25">
      <c r="A28" s="2" t="s">
        <v>78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/>
      <c r="K28" s="2"/>
      <c r="L28" s="2"/>
      <c r="M28" s="2"/>
      <c r="N28" s="2"/>
      <c r="O28" s="2"/>
      <c r="P28" s="2"/>
      <c r="Q28" s="2"/>
    </row>
    <row r="29" spans="1:18" x14ac:dyDescent="0.25">
      <c r="A29" s="2" t="s">
        <v>79</v>
      </c>
      <c r="B29" s="2"/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/>
      <c r="L29" s="2"/>
      <c r="M29" s="2"/>
      <c r="N29" s="2"/>
      <c r="O29" s="2"/>
      <c r="P29" s="2"/>
      <c r="Q29" s="2"/>
    </row>
    <row r="30" spans="1:18" x14ac:dyDescent="0.25">
      <c r="A30" s="2" t="s">
        <v>77</v>
      </c>
      <c r="B30" s="2"/>
      <c r="C30" s="2"/>
      <c r="D30" s="2"/>
      <c r="E30" s="2"/>
      <c r="F30" s="2"/>
      <c r="G30" s="2"/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/>
      <c r="Q30" s="2"/>
    </row>
    <row r="31" spans="1:18" x14ac:dyDescent="0.25">
      <c r="A31" s="2" t="s">
        <v>63</v>
      </c>
      <c r="B31" s="2"/>
      <c r="C31" s="2"/>
      <c r="D31" s="2"/>
      <c r="E31" s="2"/>
      <c r="F31" s="2"/>
      <c r="G31" s="2"/>
      <c r="H31" s="2"/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/>
    </row>
    <row r="32" spans="1:18" x14ac:dyDescent="0.25">
      <c r="A32" s="2" t="s">
        <v>65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/>
    </row>
    <row r="33" spans="1:18" x14ac:dyDescent="0.25">
      <c r="A33" s="2" t="s">
        <v>65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/>
    </row>
    <row r="34" spans="1:18" x14ac:dyDescent="0.25">
      <c r="A34" s="2" t="s">
        <v>66</v>
      </c>
      <c r="B34" s="2">
        <f>SUM(B28:B33)</f>
        <v>1</v>
      </c>
      <c r="C34" s="2">
        <f t="shared" ref="C34:Q34" si="5">SUM(C28:C33)</f>
        <v>2</v>
      </c>
      <c r="D34" s="2">
        <f t="shared" si="5"/>
        <v>2</v>
      </c>
      <c r="E34" s="2">
        <f t="shared" si="5"/>
        <v>2</v>
      </c>
      <c r="F34" s="2">
        <f t="shared" si="5"/>
        <v>2</v>
      </c>
      <c r="G34" s="2">
        <f t="shared" si="5"/>
        <v>2</v>
      </c>
      <c r="H34" s="2">
        <f t="shared" si="5"/>
        <v>3</v>
      </c>
      <c r="I34" s="2">
        <f t="shared" si="5"/>
        <v>4</v>
      </c>
      <c r="J34" s="2">
        <f t="shared" si="5"/>
        <v>3</v>
      </c>
      <c r="K34" s="2">
        <f t="shared" si="5"/>
        <v>2</v>
      </c>
      <c r="L34" s="2">
        <f t="shared" si="5"/>
        <v>4</v>
      </c>
      <c r="M34" s="2">
        <f t="shared" si="5"/>
        <v>4</v>
      </c>
      <c r="N34" s="2">
        <f t="shared" si="5"/>
        <v>4</v>
      </c>
      <c r="O34" s="2">
        <f t="shared" si="5"/>
        <v>4</v>
      </c>
      <c r="P34" s="2">
        <f t="shared" si="5"/>
        <v>3</v>
      </c>
      <c r="Q34" s="2">
        <f t="shared" si="5"/>
        <v>0</v>
      </c>
      <c r="R34" s="1">
        <f>SUM(B34:Q34)</f>
        <v>42</v>
      </c>
    </row>
    <row r="36" spans="1:18" x14ac:dyDescent="0.25">
      <c r="A36" s="2" t="s">
        <v>22</v>
      </c>
      <c r="B36" s="2"/>
      <c r="C36" s="2"/>
      <c r="E36" s="1" t="s">
        <v>64</v>
      </c>
      <c r="F36" s="1" t="s">
        <v>70</v>
      </c>
    </row>
    <row r="37" spans="1:18" x14ac:dyDescent="0.25">
      <c r="A37" s="3" t="s">
        <v>0</v>
      </c>
      <c r="B37" s="2"/>
      <c r="C37" s="2"/>
      <c r="E37" s="1" t="s">
        <v>69</v>
      </c>
      <c r="F37" s="1" t="s">
        <v>71</v>
      </c>
    </row>
    <row r="38" spans="1:18" x14ac:dyDescent="0.25">
      <c r="A38" s="2" t="s">
        <v>23</v>
      </c>
      <c r="B38" s="2">
        <v>12</v>
      </c>
      <c r="C38" s="2" t="s">
        <v>24</v>
      </c>
      <c r="E38" s="1">
        <f>D61</f>
        <v>37</v>
      </c>
      <c r="F38" s="1" t="s">
        <v>24</v>
      </c>
      <c r="G38" s="1">
        <f>E38/B38</f>
        <v>3.0833333333333335</v>
      </c>
      <c r="H38" s="1" t="s">
        <v>76</v>
      </c>
    </row>
    <row r="39" spans="1:18" x14ac:dyDescent="0.25">
      <c r="A39" s="3" t="s">
        <v>2</v>
      </c>
      <c r="B39" s="2"/>
      <c r="C39" s="2"/>
    </row>
    <row r="40" spans="1:18" x14ac:dyDescent="0.25">
      <c r="A40" s="2" t="s">
        <v>25</v>
      </c>
      <c r="B40" s="2">
        <f>22-9</f>
        <v>13</v>
      </c>
      <c r="C40" s="2" t="s">
        <v>24</v>
      </c>
      <c r="E40" s="1">
        <f>D71</f>
        <v>42</v>
      </c>
      <c r="F40" s="1" t="str">
        <f>F38</f>
        <v>H</v>
      </c>
      <c r="G40" s="1">
        <f>E40/B40</f>
        <v>3.2307692307692308</v>
      </c>
      <c r="H40" s="1" t="s">
        <v>76</v>
      </c>
    </row>
    <row r="53" spans="1:14" x14ac:dyDescent="0.25">
      <c r="A53" s="2" t="s">
        <v>72</v>
      </c>
      <c r="B53" s="2"/>
      <c r="C53" s="2" t="s">
        <v>26</v>
      </c>
      <c r="D53" s="2" t="s">
        <v>27</v>
      </c>
    </row>
    <row r="54" spans="1:14" x14ac:dyDescent="0.25">
      <c r="A54" s="3" t="s">
        <v>0</v>
      </c>
      <c r="B54" s="2"/>
      <c r="C54" s="2"/>
      <c r="D54" s="2"/>
    </row>
    <row r="55" spans="1:14" x14ac:dyDescent="0.25">
      <c r="A55" s="2" t="s">
        <v>62</v>
      </c>
      <c r="B55" s="2" t="s">
        <v>67</v>
      </c>
      <c r="C55" s="2">
        <v>1</v>
      </c>
      <c r="D55" s="2">
        <f>C55*8</f>
        <v>8</v>
      </c>
    </row>
    <row r="56" spans="1:14" x14ac:dyDescent="0.25">
      <c r="A56" s="2" t="s">
        <v>63</v>
      </c>
      <c r="B56" s="2" t="s">
        <v>67</v>
      </c>
      <c r="C56" s="2">
        <v>1</v>
      </c>
      <c r="D56" s="2">
        <f>C56*8</f>
        <v>8</v>
      </c>
    </row>
    <row r="57" spans="1:14" x14ac:dyDescent="0.25">
      <c r="A57" s="2" t="s">
        <v>73</v>
      </c>
      <c r="B57" s="2" t="s">
        <v>67</v>
      </c>
      <c r="C57" s="2">
        <v>1</v>
      </c>
      <c r="D57" s="2">
        <v>8</v>
      </c>
      <c r="F57" s="8" t="s">
        <v>114</v>
      </c>
      <c r="G57" s="3" t="s">
        <v>67</v>
      </c>
      <c r="H57" s="3" t="s">
        <v>68</v>
      </c>
      <c r="I57" s="3" t="s">
        <v>90</v>
      </c>
    </row>
    <row r="58" spans="1:14" x14ac:dyDescent="0.25">
      <c r="A58" s="2" t="s">
        <v>65</v>
      </c>
      <c r="B58" s="2" t="s">
        <v>68</v>
      </c>
      <c r="C58" s="2">
        <v>1</v>
      </c>
      <c r="D58" s="2">
        <f>22.5-17.5</f>
        <v>5</v>
      </c>
      <c r="F58" s="11">
        <f>SUM(G58:I58)</f>
        <v>7</v>
      </c>
      <c r="G58" s="2">
        <v>4</v>
      </c>
      <c r="H58" s="2">
        <v>2</v>
      </c>
      <c r="I58" s="2">
        <v>1</v>
      </c>
    </row>
    <row r="59" spans="1:14" x14ac:dyDescent="0.25">
      <c r="A59" s="2" t="s">
        <v>87</v>
      </c>
      <c r="B59" s="2" t="s">
        <v>67</v>
      </c>
      <c r="C59" s="2">
        <v>1</v>
      </c>
      <c r="D59" s="2"/>
    </row>
    <row r="60" spans="1:14" x14ac:dyDescent="0.25">
      <c r="A60" s="2" t="s">
        <v>88</v>
      </c>
      <c r="B60" s="2"/>
      <c r="C60" s="2">
        <v>1</v>
      </c>
      <c r="D60" s="2">
        <v>8</v>
      </c>
      <c r="F60" s="8" t="s">
        <v>89</v>
      </c>
      <c r="G60" s="3" t="s">
        <v>67</v>
      </c>
      <c r="H60" s="3" t="s">
        <v>68</v>
      </c>
      <c r="I60" s="3" t="s">
        <v>90</v>
      </c>
      <c r="K60" s="8" t="s">
        <v>91</v>
      </c>
      <c r="L60" s="3" t="s">
        <v>67</v>
      </c>
      <c r="M60" s="3" t="s">
        <v>68</v>
      </c>
      <c r="N60" s="3" t="s">
        <v>90</v>
      </c>
    </row>
    <row r="61" spans="1:14" x14ac:dyDescent="0.25">
      <c r="A61" s="3" t="s">
        <v>66</v>
      </c>
      <c r="B61" s="3"/>
      <c r="C61" s="3">
        <f>SUM(C55:C60)</f>
        <v>6</v>
      </c>
      <c r="D61" s="3">
        <f>SUM(D55:D60)</f>
        <v>37</v>
      </c>
      <c r="F61" s="11">
        <f>SUM(G61:I61)</f>
        <v>5</v>
      </c>
      <c r="G61" s="2">
        <v>4</v>
      </c>
      <c r="H61" s="2">
        <v>0</v>
      </c>
      <c r="I61" s="2">
        <v>1</v>
      </c>
      <c r="K61" s="11">
        <f>F58-F61</f>
        <v>2</v>
      </c>
      <c r="L61" s="11">
        <f t="shared" ref="L61:N61" si="6">G58-G61</f>
        <v>0</v>
      </c>
      <c r="M61" s="11">
        <f t="shared" si="6"/>
        <v>2</v>
      </c>
      <c r="N61" s="11">
        <f t="shared" si="6"/>
        <v>0</v>
      </c>
    </row>
    <row r="62" spans="1:14" x14ac:dyDescent="0.25">
      <c r="A62" s="3" t="s">
        <v>2</v>
      </c>
      <c r="B62" s="2"/>
      <c r="C62" s="2"/>
      <c r="D62" s="2"/>
    </row>
    <row r="63" spans="1:14" x14ac:dyDescent="0.25">
      <c r="A63" s="2" t="s">
        <v>78</v>
      </c>
      <c r="B63" s="2" t="s">
        <v>67</v>
      </c>
      <c r="C63" s="2">
        <v>1</v>
      </c>
      <c r="D63" s="2">
        <f>C63*8</f>
        <v>8</v>
      </c>
    </row>
    <row r="64" spans="1:14" x14ac:dyDescent="0.25">
      <c r="A64" s="2" t="s">
        <v>79</v>
      </c>
      <c r="B64" s="2" t="s">
        <v>67</v>
      </c>
      <c r="C64" s="2">
        <v>1</v>
      </c>
      <c r="D64" s="2">
        <f t="shared" ref="D64:D65" si="7">C64*8</f>
        <v>8</v>
      </c>
    </row>
    <row r="65" spans="1:12" x14ac:dyDescent="0.25">
      <c r="A65" s="2" t="s">
        <v>77</v>
      </c>
      <c r="B65" s="2" t="s">
        <v>67</v>
      </c>
      <c r="C65" s="2">
        <v>1</v>
      </c>
      <c r="D65" s="2">
        <f t="shared" si="7"/>
        <v>8</v>
      </c>
    </row>
    <row r="66" spans="1:12" x14ac:dyDescent="0.25">
      <c r="A66" s="2" t="s">
        <v>63</v>
      </c>
      <c r="B66" s="2" t="s">
        <v>67</v>
      </c>
      <c r="C66" s="2">
        <v>1</v>
      </c>
      <c r="D66" s="2">
        <f>C66*8</f>
        <v>8</v>
      </c>
    </row>
    <row r="67" spans="1:12" x14ac:dyDescent="0.25">
      <c r="A67" s="2" t="s">
        <v>65</v>
      </c>
      <c r="B67" s="2" t="s">
        <v>68</v>
      </c>
      <c r="C67" s="2">
        <v>1</v>
      </c>
      <c r="D67" s="2">
        <v>5</v>
      </c>
    </row>
    <row r="68" spans="1:12" x14ac:dyDescent="0.25">
      <c r="A68" s="2" t="s">
        <v>65</v>
      </c>
      <c r="B68" s="2" t="s">
        <v>68</v>
      </c>
      <c r="C68" s="2">
        <v>1</v>
      </c>
      <c r="D68" s="2">
        <v>5</v>
      </c>
    </row>
    <row r="69" spans="1:12" x14ac:dyDescent="0.25">
      <c r="A69" s="2" t="s">
        <v>87</v>
      </c>
      <c r="B69" s="2"/>
      <c r="C69" s="2">
        <v>0</v>
      </c>
      <c r="D69" s="2"/>
    </row>
    <row r="70" spans="1:12" x14ac:dyDescent="0.25">
      <c r="A70" s="2" t="s">
        <v>88</v>
      </c>
      <c r="B70" s="2"/>
      <c r="C70" s="2">
        <v>1</v>
      </c>
      <c r="D70" s="2"/>
    </row>
    <row r="71" spans="1:12" x14ac:dyDescent="0.25">
      <c r="A71" s="3" t="s">
        <v>66</v>
      </c>
      <c r="B71" s="3"/>
      <c r="C71" s="3">
        <f>SUM(C63:C70)</f>
        <v>7</v>
      </c>
      <c r="D71" s="3">
        <f>SUM(D63:D70)</f>
        <v>42</v>
      </c>
    </row>
    <row r="72" spans="1:12" x14ac:dyDescent="0.25">
      <c r="F72" s="1" t="s">
        <v>106</v>
      </c>
      <c r="G72" s="1" t="s">
        <v>95</v>
      </c>
      <c r="H72" s="1" t="s">
        <v>99</v>
      </c>
    </row>
    <row r="73" spans="1:12" ht="25.5" x14ac:dyDescent="0.35">
      <c r="A73" s="14" t="s">
        <v>84</v>
      </c>
      <c r="B73" s="15"/>
      <c r="C73" s="15"/>
      <c r="D73" s="15"/>
      <c r="E73" s="15"/>
      <c r="F73" s="1" t="s">
        <v>104</v>
      </c>
      <c r="G73" s="1" t="s">
        <v>105</v>
      </c>
      <c r="H73" s="1" t="s">
        <v>100</v>
      </c>
    </row>
    <row r="75" spans="1:12" x14ac:dyDescent="0.25">
      <c r="A75" s="8" t="s">
        <v>80</v>
      </c>
      <c r="B75" s="8" t="s">
        <v>81</v>
      </c>
      <c r="C75" s="8" t="s">
        <v>82</v>
      </c>
      <c r="D75" s="8" t="s">
        <v>66</v>
      </c>
    </row>
    <row r="76" spans="1:12" x14ac:dyDescent="0.25">
      <c r="A76" s="3" t="s">
        <v>0</v>
      </c>
      <c r="B76" s="2">
        <v>221</v>
      </c>
      <c r="C76" s="2">
        <v>76</v>
      </c>
      <c r="D76" s="8">
        <f>B76+C76</f>
        <v>297</v>
      </c>
    </row>
    <row r="77" spans="1:12" x14ac:dyDescent="0.25">
      <c r="A77" s="3" t="s">
        <v>2</v>
      </c>
      <c r="B77" s="2">
        <v>843</v>
      </c>
      <c r="C77" s="2">
        <v>114</v>
      </c>
      <c r="D77" s="8">
        <f>B77+C77</f>
        <v>957</v>
      </c>
    </row>
    <row r="79" spans="1:12" x14ac:dyDescent="0.25">
      <c r="A79" s="8" t="s">
        <v>103</v>
      </c>
      <c r="B79" s="3" t="s">
        <v>67</v>
      </c>
      <c r="C79" s="8" t="s">
        <v>101</v>
      </c>
      <c r="D79" s="3" t="s">
        <v>90</v>
      </c>
      <c r="F79" s="8" t="s">
        <v>89</v>
      </c>
      <c r="G79" s="3" t="s">
        <v>67</v>
      </c>
      <c r="H79" s="3" t="s">
        <v>90</v>
      </c>
      <c r="J79" s="8" t="s">
        <v>102</v>
      </c>
      <c r="K79" s="3" t="s">
        <v>67</v>
      </c>
      <c r="L79" s="3" t="s">
        <v>90</v>
      </c>
    </row>
    <row r="80" spans="1:12" x14ac:dyDescent="0.25">
      <c r="A80" s="11">
        <f>SUM(B80:D80)</f>
        <v>4</v>
      </c>
      <c r="B80" s="2">
        <v>2</v>
      </c>
      <c r="C80" s="2">
        <v>1</v>
      </c>
      <c r="D80" s="2">
        <v>1</v>
      </c>
      <c r="F80" s="11">
        <f>SUM(G80:H80)</f>
        <v>4</v>
      </c>
      <c r="G80" s="2">
        <v>3</v>
      </c>
      <c r="H80" s="2">
        <v>1</v>
      </c>
      <c r="J80" s="11">
        <f>SUM(K80:N80)</f>
        <v>0</v>
      </c>
      <c r="K80" s="2"/>
      <c r="L80" s="2"/>
    </row>
    <row r="82" spans="1:1" x14ac:dyDescent="0.25">
      <c r="A82" s="1" t="s">
        <v>107</v>
      </c>
    </row>
  </sheetData>
  <pageMargins left="0" right="0" top="0" bottom="0" header="0" footer="0"/>
  <pageSetup paperSize="9" scale="7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V104"/>
  <sheetViews>
    <sheetView topLeftCell="A88" workbookViewId="0">
      <selection activeCell="D99" sqref="D99"/>
    </sheetView>
  </sheetViews>
  <sheetFormatPr defaultRowHeight="15.75" x14ac:dyDescent="0.25"/>
  <cols>
    <col min="1" max="1" width="31.7109375" style="1" customWidth="1"/>
    <col min="2" max="2" width="12.7109375" style="1" bestFit="1" customWidth="1"/>
    <col min="3" max="3" width="15.42578125" style="1" bestFit="1" customWidth="1"/>
    <col min="4" max="4" width="15.28515625" style="1" bestFit="1" customWidth="1"/>
    <col min="5" max="16" width="17" style="1" bestFit="1" customWidth="1"/>
    <col min="17" max="17" width="15.28515625" style="1" bestFit="1" customWidth="1"/>
    <col min="18" max="18" width="15.140625" style="1" bestFit="1" customWidth="1"/>
    <col min="19" max="16384" width="9.140625" style="1"/>
  </cols>
  <sheetData>
    <row r="2" spans="1:19" ht="25.5" x14ac:dyDescent="0.35">
      <c r="A2" s="14" t="s">
        <v>83</v>
      </c>
      <c r="B2" s="15"/>
      <c r="C2" s="15"/>
      <c r="D2" s="15"/>
      <c r="E2" s="15"/>
      <c r="F2" s="1" t="s">
        <v>43</v>
      </c>
    </row>
    <row r="4" spans="1:19" x14ac:dyDescent="0.25">
      <c r="A4" s="2" t="s">
        <v>74</v>
      </c>
      <c r="B4" s="3" t="s">
        <v>21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</row>
    <row r="5" spans="1:19" x14ac:dyDescent="0.25">
      <c r="A5" s="5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s="43" customFormat="1" x14ac:dyDescent="0.25">
      <c r="A6" s="42" t="s">
        <v>1</v>
      </c>
      <c r="B6" s="42"/>
      <c r="C6" s="42">
        <v>102728</v>
      </c>
      <c r="D6" s="42">
        <v>860094</v>
      </c>
      <c r="E6" s="42">
        <v>3540917</v>
      </c>
      <c r="F6" s="42">
        <v>5431193</v>
      </c>
      <c r="G6" s="42">
        <v>7166370</v>
      </c>
      <c r="H6" s="42">
        <v>3515183</v>
      </c>
      <c r="I6" s="42">
        <v>7139269</v>
      </c>
      <c r="J6" s="42">
        <v>8311270</v>
      </c>
      <c r="K6" s="42">
        <v>4810186</v>
      </c>
      <c r="L6" s="42">
        <v>8611585</v>
      </c>
      <c r="M6" s="42">
        <v>8911552</v>
      </c>
      <c r="N6" s="42">
        <v>7908002</v>
      </c>
      <c r="O6" s="42">
        <v>6965089</v>
      </c>
      <c r="P6" s="42">
        <v>6251093</v>
      </c>
      <c r="Q6" s="42">
        <v>376364</v>
      </c>
    </row>
    <row r="7" spans="1:19" s="43" customFormat="1" x14ac:dyDescent="0.25">
      <c r="A7" s="44">
        <v>5</v>
      </c>
      <c r="B7" s="44">
        <f>ROUND(B6/$A$7,0)</f>
        <v>0</v>
      </c>
      <c r="C7" s="44">
        <f t="shared" ref="C7:Q7" si="0">ROUND(C6/$A$7,0)</f>
        <v>20546</v>
      </c>
      <c r="D7" s="44">
        <f t="shared" si="0"/>
        <v>172019</v>
      </c>
      <c r="E7" s="44">
        <f t="shared" si="0"/>
        <v>708183</v>
      </c>
      <c r="F7" s="44">
        <f t="shared" si="0"/>
        <v>1086239</v>
      </c>
      <c r="G7" s="44">
        <f t="shared" si="0"/>
        <v>1433274</v>
      </c>
      <c r="H7" s="44">
        <f t="shared" si="0"/>
        <v>703037</v>
      </c>
      <c r="I7" s="44">
        <f t="shared" si="0"/>
        <v>1427854</v>
      </c>
      <c r="J7" s="44">
        <f t="shared" si="0"/>
        <v>1662254</v>
      </c>
      <c r="K7" s="44">
        <f t="shared" si="0"/>
        <v>962037</v>
      </c>
      <c r="L7" s="44">
        <f t="shared" si="0"/>
        <v>1722317</v>
      </c>
      <c r="M7" s="44">
        <f t="shared" si="0"/>
        <v>1782310</v>
      </c>
      <c r="N7" s="44">
        <f t="shared" si="0"/>
        <v>1581600</v>
      </c>
      <c r="O7" s="44">
        <f t="shared" si="0"/>
        <v>1393018</v>
      </c>
      <c r="P7" s="44">
        <f t="shared" si="0"/>
        <v>1250219</v>
      </c>
      <c r="Q7" s="44">
        <f t="shared" si="0"/>
        <v>75273</v>
      </c>
    </row>
    <row r="8" spans="1:19" s="37" customFormat="1" x14ac:dyDescent="0.25">
      <c r="A8" s="45" t="s">
        <v>302</v>
      </c>
      <c r="B8" s="45">
        <f>B7</f>
        <v>0</v>
      </c>
      <c r="C8" s="45">
        <f t="shared" ref="C8:Q8" si="1">C7</f>
        <v>20546</v>
      </c>
      <c r="D8" s="45">
        <f t="shared" si="1"/>
        <v>172019</v>
      </c>
      <c r="E8" s="45">
        <f t="shared" si="1"/>
        <v>708183</v>
      </c>
      <c r="F8" s="45">
        <f t="shared" si="1"/>
        <v>1086239</v>
      </c>
      <c r="G8" s="45">
        <f t="shared" si="1"/>
        <v>1433274</v>
      </c>
      <c r="H8" s="45">
        <f t="shared" si="1"/>
        <v>703037</v>
      </c>
      <c r="I8" s="45">
        <f t="shared" si="1"/>
        <v>1427854</v>
      </c>
      <c r="J8" s="45">
        <f t="shared" si="1"/>
        <v>1662254</v>
      </c>
      <c r="K8" s="45">
        <f t="shared" si="1"/>
        <v>962037</v>
      </c>
      <c r="L8" s="45">
        <f t="shared" si="1"/>
        <v>1722317</v>
      </c>
      <c r="M8" s="45">
        <f t="shared" si="1"/>
        <v>1782310</v>
      </c>
      <c r="N8" s="45">
        <f t="shared" si="1"/>
        <v>1581600</v>
      </c>
      <c r="O8" s="45">
        <f t="shared" si="1"/>
        <v>1393018</v>
      </c>
      <c r="P8" s="45">
        <f t="shared" si="1"/>
        <v>1250219</v>
      </c>
      <c r="Q8" s="45">
        <f t="shared" si="1"/>
        <v>75273</v>
      </c>
      <c r="R8" s="37">
        <f t="shared" ref="R8:R9" si="2">SUM(B8:Q8)</f>
        <v>15980180</v>
      </c>
    </row>
    <row r="9" spans="1:19" x14ac:dyDescent="0.25">
      <c r="A9" s="12" t="s">
        <v>303</v>
      </c>
      <c r="B9" s="12"/>
      <c r="C9" s="12">
        <v>2</v>
      </c>
      <c r="D9" s="12">
        <v>2</v>
      </c>
      <c r="E9" s="12">
        <v>2</v>
      </c>
      <c r="F9" s="12">
        <v>3</v>
      </c>
      <c r="G9" s="12">
        <v>3</v>
      </c>
      <c r="H9" s="12">
        <v>2</v>
      </c>
      <c r="I9" s="12">
        <v>3</v>
      </c>
      <c r="J9" s="12">
        <v>3</v>
      </c>
      <c r="K9" s="12">
        <v>3</v>
      </c>
      <c r="L9" s="12">
        <v>3</v>
      </c>
      <c r="M9" s="12">
        <v>3</v>
      </c>
      <c r="N9" s="12">
        <v>3</v>
      </c>
      <c r="O9" s="12">
        <v>3</v>
      </c>
      <c r="P9" s="12">
        <v>3</v>
      </c>
      <c r="Q9" s="12"/>
      <c r="R9" s="37">
        <f t="shared" si="2"/>
        <v>38</v>
      </c>
    </row>
    <row r="10" spans="1:19" x14ac:dyDescent="0.25">
      <c r="A10" s="12" t="s">
        <v>304</v>
      </c>
      <c r="B10" s="46"/>
      <c r="C10" s="46">
        <f t="shared" ref="C10:Q10" si="3">C9*18000</f>
        <v>36000</v>
      </c>
      <c r="D10" s="46">
        <f t="shared" si="3"/>
        <v>36000</v>
      </c>
      <c r="E10" s="46">
        <f t="shared" si="3"/>
        <v>36000</v>
      </c>
      <c r="F10" s="46">
        <f t="shared" si="3"/>
        <v>54000</v>
      </c>
      <c r="G10" s="46">
        <f t="shared" si="3"/>
        <v>54000</v>
      </c>
      <c r="H10" s="46">
        <f t="shared" si="3"/>
        <v>36000</v>
      </c>
      <c r="I10" s="46">
        <f t="shared" si="3"/>
        <v>54000</v>
      </c>
      <c r="J10" s="46">
        <f t="shared" si="3"/>
        <v>54000</v>
      </c>
      <c r="K10" s="46">
        <f t="shared" si="3"/>
        <v>54000</v>
      </c>
      <c r="L10" s="46">
        <f t="shared" si="3"/>
        <v>54000</v>
      </c>
      <c r="M10" s="46">
        <f t="shared" si="3"/>
        <v>54000</v>
      </c>
      <c r="N10" s="46">
        <f t="shared" si="3"/>
        <v>54000</v>
      </c>
      <c r="O10" s="46">
        <f t="shared" si="3"/>
        <v>54000</v>
      </c>
      <c r="P10" s="46">
        <f t="shared" si="3"/>
        <v>54000</v>
      </c>
      <c r="Q10" s="46">
        <f t="shared" si="3"/>
        <v>0</v>
      </c>
      <c r="R10" s="37">
        <f>SUM(B10:Q10)</f>
        <v>684000</v>
      </c>
      <c r="S10" s="47">
        <f>R10/R8</f>
        <v>4.2803022243804514E-2</v>
      </c>
    </row>
    <row r="12" spans="1:19" x14ac:dyDescent="0.25">
      <c r="A12" s="13" t="s">
        <v>75</v>
      </c>
    </row>
    <row r="13" spans="1:19" x14ac:dyDescent="0.25">
      <c r="A13" s="2" t="s">
        <v>62</v>
      </c>
      <c r="B13" s="2"/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  <c r="O13" s="2"/>
      <c r="P13" s="2"/>
      <c r="Q13" s="2"/>
    </row>
    <row r="14" spans="1:19" x14ac:dyDescent="0.25">
      <c r="A14" s="2" t="s">
        <v>62</v>
      </c>
      <c r="B14" s="2"/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/>
      <c r="L14" s="2"/>
      <c r="M14" s="2"/>
      <c r="N14" s="2"/>
      <c r="O14" s="2"/>
      <c r="P14" s="2"/>
      <c r="Q14" s="2"/>
    </row>
    <row r="15" spans="1:19" x14ac:dyDescent="0.25">
      <c r="A15" s="2" t="s">
        <v>369</v>
      </c>
      <c r="B15" s="2"/>
      <c r="C15" s="2"/>
      <c r="D15" s="2"/>
      <c r="E15" s="2"/>
      <c r="F15" s="2">
        <v>1</v>
      </c>
      <c r="G15" s="2">
        <v>1</v>
      </c>
      <c r="H15" s="2">
        <v>1</v>
      </c>
      <c r="I15" s="2">
        <v>1</v>
      </c>
      <c r="J15" s="2"/>
      <c r="K15" s="2"/>
      <c r="L15" s="2"/>
      <c r="M15" s="2"/>
      <c r="N15" s="2"/>
      <c r="O15" s="2"/>
      <c r="P15" s="2"/>
      <c r="Q15" s="2"/>
    </row>
    <row r="16" spans="1:19" x14ac:dyDescent="0.25">
      <c r="A16" s="2" t="s">
        <v>63</v>
      </c>
      <c r="B16" s="2"/>
      <c r="C16" s="2"/>
      <c r="D16" s="2"/>
      <c r="E16" s="2"/>
      <c r="F16" s="2"/>
      <c r="G16" s="2"/>
      <c r="H16" s="2"/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/>
    </row>
    <row r="17" spans="1:19" x14ac:dyDescent="0.25">
      <c r="A17" s="2" t="s">
        <v>63</v>
      </c>
      <c r="B17" s="2"/>
      <c r="C17" s="2"/>
      <c r="D17" s="2"/>
      <c r="E17" s="2"/>
      <c r="F17" s="2"/>
      <c r="G17" s="2"/>
      <c r="H17" s="2"/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/>
    </row>
    <row r="18" spans="1:19" x14ac:dyDescent="0.25">
      <c r="A18" s="2" t="s">
        <v>370</v>
      </c>
      <c r="B18" s="2"/>
      <c r="C18" s="2"/>
      <c r="D18" s="2"/>
      <c r="E18" s="2"/>
      <c r="F18" s="2"/>
      <c r="G18" s="2"/>
      <c r="H18" s="2"/>
      <c r="I18" s="2"/>
      <c r="J18" s="2"/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/>
    </row>
    <row r="19" spans="1:19" x14ac:dyDescent="0.25">
      <c r="A19" s="7" t="s">
        <v>303</v>
      </c>
      <c r="B19" s="7">
        <f>SUM(B13:B18)</f>
        <v>0</v>
      </c>
      <c r="C19" s="7">
        <f t="shared" ref="C19:Q19" si="4">SUM(C13:C18)</f>
        <v>2</v>
      </c>
      <c r="D19" s="7">
        <f t="shared" si="4"/>
        <v>2</v>
      </c>
      <c r="E19" s="7">
        <f t="shared" si="4"/>
        <v>2</v>
      </c>
      <c r="F19" s="7">
        <f t="shared" si="4"/>
        <v>3</v>
      </c>
      <c r="G19" s="7">
        <f t="shared" si="4"/>
        <v>3</v>
      </c>
      <c r="H19" s="7">
        <f t="shared" si="4"/>
        <v>3</v>
      </c>
      <c r="I19" s="7">
        <f t="shared" si="4"/>
        <v>5</v>
      </c>
      <c r="J19" s="7">
        <f t="shared" si="4"/>
        <v>4</v>
      </c>
      <c r="K19" s="7">
        <f t="shared" si="4"/>
        <v>3</v>
      </c>
      <c r="L19" s="7">
        <f t="shared" si="4"/>
        <v>3</v>
      </c>
      <c r="M19" s="7">
        <f t="shared" si="4"/>
        <v>3</v>
      </c>
      <c r="N19" s="7">
        <f t="shared" si="4"/>
        <v>3</v>
      </c>
      <c r="O19" s="7">
        <f t="shared" si="4"/>
        <v>3</v>
      </c>
      <c r="P19" s="7">
        <f t="shared" si="4"/>
        <v>3</v>
      </c>
      <c r="Q19" s="7">
        <f t="shared" si="4"/>
        <v>0</v>
      </c>
      <c r="R19" s="1">
        <f>SUM(B19:Q19)</f>
        <v>42</v>
      </c>
    </row>
    <row r="20" spans="1:19" x14ac:dyDescent="0.25">
      <c r="A20" s="12" t="s">
        <v>304</v>
      </c>
      <c r="B20" s="46">
        <f>B19*18000</f>
        <v>0</v>
      </c>
      <c r="C20" s="46">
        <f t="shared" ref="C20:Q20" si="5">C19*18000</f>
        <v>36000</v>
      </c>
      <c r="D20" s="46">
        <f t="shared" si="5"/>
        <v>36000</v>
      </c>
      <c r="E20" s="46">
        <f t="shared" si="5"/>
        <v>36000</v>
      </c>
      <c r="F20" s="46">
        <f t="shared" si="5"/>
        <v>54000</v>
      </c>
      <c r="G20" s="46">
        <f t="shared" si="5"/>
        <v>54000</v>
      </c>
      <c r="H20" s="46">
        <f t="shared" si="5"/>
        <v>54000</v>
      </c>
      <c r="I20" s="46">
        <f t="shared" si="5"/>
        <v>90000</v>
      </c>
      <c r="J20" s="46">
        <f t="shared" si="5"/>
        <v>72000</v>
      </c>
      <c r="K20" s="46">
        <f t="shared" si="5"/>
        <v>54000</v>
      </c>
      <c r="L20" s="46">
        <f t="shared" si="5"/>
        <v>54000</v>
      </c>
      <c r="M20" s="46">
        <f t="shared" si="5"/>
        <v>54000</v>
      </c>
      <c r="N20" s="46">
        <f t="shared" si="5"/>
        <v>54000</v>
      </c>
      <c r="O20" s="46">
        <f t="shared" si="5"/>
        <v>54000</v>
      </c>
      <c r="P20" s="46">
        <f t="shared" si="5"/>
        <v>54000</v>
      </c>
      <c r="Q20" s="46">
        <f t="shared" si="5"/>
        <v>0</v>
      </c>
      <c r="R20" s="43">
        <f>SUM(B20:Q20)</f>
        <v>756000</v>
      </c>
      <c r="S20" s="47">
        <f>R20/R8</f>
        <v>4.7308603532626038E-2</v>
      </c>
    </row>
    <row r="22" spans="1:19" x14ac:dyDescent="0.25">
      <c r="A22" s="2" t="s">
        <v>74</v>
      </c>
      <c r="B22" s="3" t="s">
        <v>21</v>
      </c>
      <c r="C22" s="3" t="s">
        <v>4</v>
      </c>
      <c r="D22" s="3" t="s">
        <v>5</v>
      </c>
      <c r="E22" s="3" t="s">
        <v>6</v>
      </c>
      <c r="F22" s="3" t="s">
        <v>7</v>
      </c>
      <c r="G22" s="3" t="s">
        <v>8</v>
      </c>
      <c r="H22" s="3" t="s">
        <v>9</v>
      </c>
      <c r="I22" s="3" t="s">
        <v>10</v>
      </c>
      <c r="J22" s="3" t="s">
        <v>11</v>
      </c>
      <c r="K22" s="3" t="s">
        <v>12</v>
      </c>
      <c r="L22" s="3" t="s">
        <v>13</v>
      </c>
      <c r="M22" s="3" t="s">
        <v>14</v>
      </c>
      <c r="N22" s="3" t="s">
        <v>15</v>
      </c>
      <c r="O22" s="3" t="s">
        <v>16</v>
      </c>
      <c r="P22" s="3" t="s">
        <v>17</v>
      </c>
      <c r="Q22" s="3" t="s">
        <v>18</v>
      </c>
    </row>
    <row r="23" spans="1:19" x14ac:dyDescent="0.25">
      <c r="A23" s="5" t="s">
        <v>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9" x14ac:dyDescent="0.25">
      <c r="A24" s="2" t="s">
        <v>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9" s="43" customFormat="1" x14ac:dyDescent="0.25">
      <c r="A25" s="42" t="s">
        <v>19</v>
      </c>
      <c r="B25" s="42"/>
      <c r="C25" s="42">
        <v>232727</v>
      </c>
      <c r="D25" s="42">
        <v>1493636</v>
      </c>
      <c r="E25" s="42">
        <v>1199999</v>
      </c>
      <c r="F25" s="42">
        <v>2803634</v>
      </c>
      <c r="G25" s="42">
        <v>2059001</v>
      </c>
      <c r="H25" s="42">
        <v>1916543</v>
      </c>
      <c r="I25" s="42">
        <v>1871091</v>
      </c>
      <c r="J25" s="42">
        <v>3389999</v>
      </c>
      <c r="K25" s="42">
        <v>2294907</v>
      </c>
      <c r="L25" s="42">
        <v>4379817</v>
      </c>
      <c r="M25" s="42">
        <v>3342543</v>
      </c>
      <c r="N25" s="42">
        <v>2427277</v>
      </c>
      <c r="O25" s="42">
        <v>1915454</v>
      </c>
      <c r="P25" s="42">
        <v>1234546</v>
      </c>
      <c r="Q25" s="42">
        <v>0</v>
      </c>
    </row>
    <row r="26" spans="1:19" s="43" customFormat="1" x14ac:dyDescent="0.25">
      <c r="A26" s="42" t="s">
        <v>20</v>
      </c>
      <c r="B26" s="42">
        <v>218182</v>
      </c>
      <c r="C26" s="42">
        <v>0</v>
      </c>
      <c r="D26" s="42">
        <v>166364</v>
      </c>
      <c r="E26" s="42">
        <v>1309999</v>
      </c>
      <c r="F26" s="42">
        <v>692185</v>
      </c>
      <c r="G26" s="42">
        <v>2094271</v>
      </c>
      <c r="H26" s="42">
        <v>1148184</v>
      </c>
      <c r="I26" s="42">
        <v>1015639</v>
      </c>
      <c r="J26" s="42">
        <v>2150455</v>
      </c>
      <c r="K26" s="42">
        <v>1621451</v>
      </c>
      <c r="L26" s="42">
        <v>1824910</v>
      </c>
      <c r="M26" s="42">
        <v>1870551</v>
      </c>
      <c r="N26" s="42">
        <v>1903634</v>
      </c>
      <c r="O26" s="42">
        <v>3418185</v>
      </c>
      <c r="P26" s="42">
        <v>2964548</v>
      </c>
      <c r="Q26" s="42">
        <v>107273</v>
      </c>
    </row>
    <row r="27" spans="1:19" s="43" customFormat="1" x14ac:dyDescent="0.25">
      <c r="A27" s="44">
        <v>2</v>
      </c>
      <c r="B27" s="44">
        <f>ROUND((B25+B26)/$A$27,0)</f>
        <v>109091</v>
      </c>
      <c r="C27" s="44">
        <f t="shared" ref="C27:Q27" si="6">ROUND((C25+C26)/$A$27,0)</f>
        <v>116364</v>
      </c>
      <c r="D27" s="44">
        <f t="shared" si="6"/>
        <v>830000</v>
      </c>
      <c r="E27" s="44">
        <f t="shared" si="6"/>
        <v>1254999</v>
      </c>
      <c r="F27" s="44">
        <f t="shared" si="6"/>
        <v>1747910</v>
      </c>
      <c r="G27" s="44">
        <f t="shared" si="6"/>
        <v>2076636</v>
      </c>
      <c r="H27" s="44">
        <f t="shared" si="6"/>
        <v>1532364</v>
      </c>
      <c r="I27" s="44">
        <f t="shared" si="6"/>
        <v>1443365</v>
      </c>
      <c r="J27" s="44">
        <f t="shared" si="6"/>
        <v>2770227</v>
      </c>
      <c r="K27" s="44">
        <f t="shared" si="6"/>
        <v>1958179</v>
      </c>
      <c r="L27" s="44">
        <f t="shared" si="6"/>
        <v>3102364</v>
      </c>
      <c r="M27" s="44">
        <f t="shared" si="6"/>
        <v>2606547</v>
      </c>
      <c r="N27" s="44">
        <f t="shared" si="6"/>
        <v>2165456</v>
      </c>
      <c r="O27" s="44">
        <f t="shared" si="6"/>
        <v>2666820</v>
      </c>
      <c r="P27" s="44">
        <f t="shared" si="6"/>
        <v>2099547</v>
      </c>
      <c r="Q27" s="44">
        <f t="shared" si="6"/>
        <v>53637</v>
      </c>
    </row>
    <row r="28" spans="1:19" s="37" customFormat="1" x14ac:dyDescent="0.25">
      <c r="A28" s="45" t="s">
        <v>302</v>
      </c>
      <c r="B28" s="45">
        <f>B27</f>
        <v>109091</v>
      </c>
      <c r="C28" s="45">
        <f t="shared" ref="C28:Q28" si="7">C27</f>
        <v>116364</v>
      </c>
      <c r="D28" s="45">
        <f t="shared" si="7"/>
        <v>830000</v>
      </c>
      <c r="E28" s="45">
        <f t="shared" si="7"/>
        <v>1254999</v>
      </c>
      <c r="F28" s="45">
        <f t="shared" si="7"/>
        <v>1747910</v>
      </c>
      <c r="G28" s="45">
        <f t="shared" si="7"/>
        <v>2076636</v>
      </c>
      <c r="H28" s="45">
        <f t="shared" si="7"/>
        <v>1532364</v>
      </c>
      <c r="I28" s="45">
        <f t="shared" si="7"/>
        <v>1443365</v>
      </c>
      <c r="J28" s="45">
        <f t="shared" si="7"/>
        <v>2770227</v>
      </c>
      <c r="K28" s="45">
        <f t="shared" si="7"/>
        <v>1958179</v>
      </c>
      <c r="L28" s="45">
        <f t="shared" si="7"/>
        <v>3102364</v>
      </c>
      <c r="M28" s="45">
        <f t="shared" si="7"/>
        <v>2606547</v>
      </c>
      <c r="N28" s="45">
        <f t="shared" si="7"/>
        <v>2165456</v>
      </c>
      <c r="O28" s="45">
        <f t="shared" si="7"/>
        <v>2666820</v>
      </c>
      <c r="P28" s="45">
        <f t="shared" si="7"/>
        <v>2099547</v>
      </c>
      <c r="Q28" s="45">
        <f t="shared" si="7"/>
        <v>53637</v>
      </c>
      <c r="R28" s="37">
        <f>SUM(B28:Q28)</f>
        <v>26533506</v>
      </c>
    </row>
    <row r="29" spans="1:19" x14ac:dyDescent="0.25">
      <c r="A29" s="12" t="s">
        <v>303</v>
      </c>
      <c r="B29" s="12">
        <v>2</v>
      </c>
      <c r="C29" s="12">
        <v>2</v>
      </c>
      <c r="D29" s="12">
        <v>2</v>
      </c>
      <c r="E29" s="12">
        <v>3</v>
      </c>
      <c r="F29" s="12">
        <v>3</v>
      </c>
      <c r="G29" s="12">
        <v>3</v>
      </c>
      <c r="H29" s="12">
        <v>3</v>
      </c>
      <c r="I29" s="12">
        <v>3</v>
      </c>
      <c r="J29" s="12">
        <v>3</v>
      </c>
      <c r="K29" s="12">
        <v>3</v>
      </c>
      <c r="L29" s="12">
        <v>4</v>
      </c>
      <c r="M29" s="12">
        <v>3</v>
      </c>
      <c r="N29" s="12">
        <v>3</v>
      </c>
      <c r="O29" s="12">
        <v>4</v>
      </c>
      <c r="P29" s="12">
        <v>3</v>
      </c>
      <c r="Q29" s="12"/>
      <c r="R29" s="43">
        <f>SUM(B29:Q29)</f>
        <v>44</v>
      </c>
    </row>
    <row r="30" spans="1:19" x14ac:dyDescent="0.25">
      <c r="A30" s="12" t="s">
        <v>304</v>
      </c>
      <c r="B30" s="46">
        <f t="shared" ref="B30:P30" si="8">B29*18000</f>
        <v>36000</v>
      </c>
      <c r="C30" s="46">
        <f t="shared" si="8"/>
        <v>36000</v>
      </c>
      <c r="D30" s="46">
        <f t="shared" si="8"/>
        <v>36000</v>
      </c>
      <c r="E30" s="46">
        <f t="shared" si="8"/>
        <v>54000</v>
      </c>
      <c r="F30" s="46">
        <f t="shared" si="8"/>
        <v>54000</v>
      </c>
      <c r="G30" s="46">
        <f t="shared" si="8"/>
        <v>54000</v>
      </c>
      <c r="H30" s="46">
        <f t="shared" si="8"/>
        <v>54000</v>
      </c>
      <c r="I30" s="46">
        <f t="shared" si="8"/>
        <v>54000</v>
      </c>
      <c r="J30" s="46">
        <f t="shared" si="8"/>
        <v>54000</v>
      </c>
      <c r="K30" s="46">
        <f t="shared" si="8"/>
        <v>54000</v>
      </c>
      <c r="L30" s="46">
        <f t="shared" si="8"/>
        <v>72000</v>
      </c>
      <c r="M30" s="46">
        <f t="shared" si="8"/>
        <v>54000</v>
      </c>
      <c r="N30" s="46">
        <f t="shared" si="8"/>
        <v>54000</v>
      </c>
      <c r="O30" s="46">
        <f t="shared" si="8"/>
        <v>72000</v>
      </c>
      <c r="P30" s="46">
        <f t="shared" si="8"/>
        <v>54000</v>
      </c>
      <c r="Q30" s="12"/>
      <c r="R30" s="43">
        <f>SUM(B30:Q30)</f>
        <v>792000</v>
      </c>
      <c r="S30" s="47">
        <f>R30/R28</f>
        <v>2.9849051987325008E-2</v>
      </c>
    </row>
    <row r="32" spans="1:19" x14ac:dyDescent="0.25">
      <c r="A32" s="13" t="s">
        <v>75</v>
      </c>
    </row>
    <row r="33" spans="1:19" x14ac:dyDescent="0.25">
      <c r="A33" s="2" t="s">
        <v>78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/>
      <c r="K33" s="2"/>
      <c r="L33" s="2"/>
      <c r="M33" s="2"/>
      <c r="N33" s="2"/>
      <c r="O33" s="2"/>
      <c r="P33" s="2"/>
      <c r="Q33" s="2"/>
    </row>
    <row r="34" spans="1:19" x14ac:dyDescent="0.25">
      <c r="A34" s="2" t="s">
        <v>78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/>
      <c r="K34" s="2"/>
      <c r="L34" s="2"/>
      <c r="M34" s="2"/>
      <c r="N34" s="2"/>
      <c r="O34" s="2"/>
      <c r="P34" s="2"/>
      <c r="Q34" s="2"/>
    </row>
    <row r="35" spans="1:19" x14ac:dyDescent="0.25">
      <c r="A35" s="2" t="s">
        <v>116</v>
      </c>
      <c r="B35" s="2"/>
      <c r="C35" s="2"/>
      <c r="D35" s="2"/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/>
      <c r="N35" s="2"/>
      <c r="O35" s="2"/>
      <c r="P35" s="2"/>
      <c r="Q35" s="2"/>
    </row>
    <row r="36" spans="1:19" x14ac:dyDescent="0.25">
      <c r="A36" s="2" t="s">
        <v>63</v>
      </c>
      <c r="B36" s="2"/>
      <c r="C36" s="2"/>
      <c r="D36" s="2"/>
      <c r="E36" s="2"/>
      <c r="F36" s="2"/>
      <c r="G36" s="2"/>
      <c r="H36" s="2"/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/>
      <c r="Q36" s="2"/>
    </row>
    <row r="37" spans="1:19" x14ac:dyDescent="0.25">
      <c r="A37" s="2" t="s">
        <v>63</v>
      </c>
      <c r="B37" s="2"/>
      <c r="C37" s="2"/>
      <c r="D37" s="2"/>
      <c r="E37" s="2"/>
      <c r="F37" s="2"/>
      <c r="G37" s="2"/>
      <c r="H37" s="2"/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/>
    </row>
    <row r="38" spans="1:19" x14ac:dyDescent="0.25">
      <c r="A38" s="2" t="s">
        <v>371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/>
    </row>
    <row r="39" spans="1:19" x14ac:dyDescent="0.25">
      <c r="A39" s="2" t="s">
        <v>65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v>1</v>
      </c>
      <c r="N39" s="2">
        <v>1</v>
      </c>
      <c r="O39" s="2">
        <v>1</v>
      </c>
      <c r="P39" s="2">
        <v>1</v>
      </c>
      <c r="Q39" s="2"/>
    </row>
    <row r="40" spans="1:19" x14ac:dyDescent="0.25">
      <c r="A40" s="7" t="s">
        <v>302</v>
      </c>
      <c r="B40" s="7">
        <f t="shared" ref="B40:Q40" si="9">SUM(B33:B39)</f>
        <v>2</v>
      </c>
      <c r="C40" s="7">
        <f t="shared" si="9"/>
        <v>2</v>
      </c>
      <c r="D40" s="7">
        <f t="shared" si="9"/>
        <v>2</v>
      </c>
      <c r="E40" s="7">
        <f t="shared" si="9"/>
        <v>3</v>
      </c>
      <c r="F40" s="7">
        <f t="shared" si="9"/>
        <v>3</v>
      </c>
      <c r="G40" s="7">
        <f t="shared" si="9"/>
        <v>3</v>
      </c>
      <c r="H40" s="7">
        <f t="shared" si="9"/>
        <v>3</v>
      </c>
      <c r="I40" s="7">
        <f t="shared" si="9"/>
        <v>5</v>
      </c>
      <c r="J40" s="7">
        <f t="shared" si="9"/>
        <v>3</v>
      </c>
      <c r="K40" s="7">
        <f t="shared" si="9"/>
        <v>3</v>
      </c>
      <c r="L40" s="7">
        <f t="shared" si="9"/>
        <v>4</v>
      </c>
      <c r="M40" s="7">
        <f t="shared" si="9"/>
        <v>4</v>
      </c>
      <c r="N40" s="7">
        <f t="shared" si="9"/>
        <v>4</v>
      </c>
      <c r="O40" s="7">
        <f t="shared" si="9"/>
        <v>4</v>
      </c>
      <c r="P40" s="7">
        <f t="shared" si="9"/>
        <v>3</v>
      </c>
      <c r="Q40" s="7">
        <f t="shared" si="9"/>
        <v>0</v>
      </c>
      <c r="R40" s="1">
        <f>SUM(B40:Q40)</f>
        <v>48</v>
      </c>
    </row>
    <row r="41" spans="1:19" x14ac:dyDescent="0.25">
      <c r="A41" s="12" t="s">
        <v>304</v>
      </c>
      <c r="B41" s="46">
        <f>B40*18000</f>
        <v>36000</v>
      </c>
      <c r="C41" s="46">
        <f t="shared" ref="C41:Q41" si="10">C40*18000</f>
        <v>36000</v>
      </c>
      <c r="D41" s="46">
        <f t="shared" si="10"/>
        <v>36000</v>
      </c>
      <c r="E41" s="46">
        <f t="shared" si="10"/>
        <v>54000</v>
      </c>
      <c r="F41" s="46">
        <f t="shared" si="10"/>
        <v>54000</v>
      </c>
      <c r="G41" s="46">
        <f t="shared" si="10"/>
        <v>54000</v>
      </c>
      <c r="H41" s="46">
        <f t="shared" si="10"/>
        <v>54000</v>
      </c>
      <c r="I41" s="46">
        <f t="shared" si="10"/>
        <v>90000</v>
      </c>
      <c r="J41" s="46">
        <f t="shared" si="10"/>
        <v>54000</v>
      </c>
      <c r="K41" s="46">
        <f t="shared" si="10"/>
        <v>54000</v>
      </c>
      <c r="L41" s="46">
        <f t="shared" si="10"/>
        <v>72000</v>
      </c>
      <c r="M41" s="46">
        <f t="shared" si="10"/>
        <v>72000</v>
      </c>
      <c r="N41" s="46">
        <f t="shared" si="10"/>
        <v>72000</v>
      </c>
      <c r="O41" s="46">
        <f t="shared" si="10"/>
        <v>72000</v>
      </c>
      <c r="P41" s="46">
        <f t="shared" si="10"/>
        <v>54000</v>
      </c>
      <c r="Q41" s="46">
        <f t="shared" si="10"/>
        <v>0</v>
      </c>
      <c r="R41" s="43">
        <f>SUM(B41:Q41)</f>
        <v>864000</v>
      </c>
      <c r="S41" s="47">
        <f>R41/R28</f>
        <v>3.2562602167990916E-2</v>
      </c>
    </row>
    <row r="43" spans="1:19" x14ac:dyDescent="0.25">
      <c r="A43" s="2" t="s">
        <v>72</v>
      </c>
      <c r="B43" s="2"/>
      <c r="C43" s="2" t="s">
        <v>26</v>
      </c>
      <c r="D43" s="2" t="s">
        <v>27</v>
      </c>
    </row>
    <row r="44" spans="1:19" x14ac:dyDescent="0.25">
      <c r="A44" s="3" t="s">
        <v>0</v>
      </c>
      <c r="B44" s="2"/>
      <c r="C44" s="2"/>
      <c r="D44" s="2"/>
    </row>
    <row r="45" spans="1:19" x14ac:dyDescent="0.25">
      <c r="A45" s="2" t="s">
        <v>62</v>
      </c>
      <c r="B45" s="2" t="s">
        <v>67</v>
      </c>
      <c r="C45" s="2">
        <v>1</v>
      </c>
      <c r="D45" s="2">
        <f>C45*8</f>
        <v>8</v>
      </c>
    </row>
    <row r="46" spans="1:19" x14ac:dyDescent="0.25">
      <c r="A46" s="2" t="s">
        <v>62</v>
      </c>
      <c r="B46" s="2" t="s">
        <v>67</v>
      </c>
      <c r="C46" s="2">
        <v>1</v>
      </c>
      <c r="D46" s="2">
        <f>C46*8</f>
        <v>8</v>
      </c>
    </row>
    <row r="47" spans="1:19" x14ac:dyDescent="0.25">
      <c r="A47" s="2" t="s">
        <v>369</v>
      </c>
      <c r="B47" s="2" t="s">
        <v>68</v>
      </c>
      <c r="C47" s="2">
        <v>1</v>
      </c>
      <c r="D47" s="2">
        <f>15-11</f>
        <v>4</v>
      </c>
      <c r="F47" s="40" t="s">
        <v>114</v>
      </c>
      <c r="G47" s="3" t="s">
        <v>67</v>
      </c>
      <c r="H47" s="3" t="s">
        <v>68</v>
      </c>
      <c r="I47" s="3" t="s">
        <v>90</v>
      </c>
    </row>
    <row r="48" spans="1:19" x14ac:dyDescent="0.25">
      <c r="A48" s="2" t="s">
        <v>63</v>
      </c>
      <c r="B48" s="2" t="s">
        <v>67</v>
      </c>
      <c r="C48" s="2">
        <v>1</v>
      </c>
      <c r="D48" s="2">
        <v>8</v>
      </c>
      <c r="F48" s="11">
        <f>SUM(G48:I48)</f>
        <v>8</v>
      </c>
      <c r="G48" s="2">
        <v>5</v>
      </c>
      <c r="H48" s="2">
        <v>2</v>
      </c>
      <c r="I48" s="2">
        <v>1</v>
      </c>
    </row>
    <row r="49" spans="1:14" x14ac:dyDescent="0.25">
      <c r="A49" s="2" t="s">
        <v>63</v>
      </c>
      <c r="B49" s="2" t="s">
        <v>67</v>
      </c>
      <c r="C49" s="2">
        <v>1</v>
      </c>
      <c r="D49" s="2">
        <v>8</v>
      </c>
      <c r="F49" s="21"/>
      <c r="G49" s="22"/>
      <c r="H49" s="22"/>
      <c r="I49" s="22"/>
    </row>
    <row r="50" spans="1:14" x14ac:dyDescent="0.25">
      <c r="A50" s="2" t="s">
        <v>125</v>
      </c>
      <c r="B50" s="2" t="s">
        <v>68</v>
      </c>
      <c r="C50" s="2">
        <v>1</v>
      </c>
      <c r="D50" s="2">
        <f>22-16</f>
        <v>6</v>
      </c>
      <c r="F50" s="21"/>
      <c r="G50" s="22"/>
      <c r="H50" s="22"/>
      <c r="I50" s="22"/>
    </row>
    <row r="51" spans="1:14" x14ac:dyDescent="0.25">
      <c r="A51" s="2" t="s">
        <v>87</v>
      </c>
      <c r="B51" s="2" t="s">
        <v>67</v>
      </c>
      <c r="C51" s="2">
        <v>1</v>
      </c>
      <c r="D51" s="2"/>
    </row>
    <row r="52" spans="1:14" x14ac:dyDescent="0.25">
      <c r="A52" s="2" t="s">
        <v>88</v>
      </c>
      <c r="B52" s="2"/>
      <c r="C52" s="2">
        <v>1</v>
      </c>
      <c r="D52" s="2"/>
      <c r="F52" s="40" t="s">
        <v>89</v>
      </c>
      <c r="G52" s="3" t="s">
        <v>67</v>
      </c>
      <c r="H52" s="3" t="s">
        <v>68</v>
      </c>
      <c r="I52" s="3" t="s">
        <v>90</v>
      </c>
      <c r="K52" s="40" t="s">
        <v>91</v>
      </c>
      <c r="L52" s="3" t="s">
        <v>67</v>
      </c>
      <c r="M52" s="3" t="s">
        <v>68</v>
      </c>
      <c r="N52" s="3" t="s">
        <v>90</v>
      </c>
    </row>
    <row r="53" spans="1:14" x14ac:dyDescent="0.25">
      <c r="A53" s="3" t="s">
        <v>66</v>
      </c>
      <c r="B53" s="3"/>
      <c r="C53" s="3">
        <f>SUM(C45:C52)</f>
        <v>8</v>
      </c>
      <c r="D53" s="3">
        <f>SUM(D45:D52)</f>
        <v>42</v>
      </c>
      <c r="F53" s="11">
        <f>SUM(G53:I53)</f>
        <v>5</v>
      </c>
      <c r="G53" s="2">
        <v>4</v>
      </c>
      <c r="H53" s="2">
        <v>0</v>
      </c>
      <c r="I53" s="2">
        <v>1</v>
      </c>
      <c r="K53" s="11">
        <f>F48-F53</f>
        <v>3</v>
      </c>
      <c r="L53" s="11">
        <f>G48-G53</f>
        <v>1</v>
      </c>
      <c r="M53" s="11">
        <f>H48-H53</f>
        <v>2</v>
      </c>
      <c r="N53" s="11">
        <f>I48-I53</f>
        <v>0</v>
      </c>
    </row>
    <row r="54" spans="1:14" x14ac:dyDescent="0.25">
      <c r="A54" s="3" t="s">
        <v>2</v>
      </c>
      <c r="B54" s="2"/>
      <c r="C54" s="2"/>
      <c r="D54" s="2"/>
    </row>
    <row r="55" spans="1:14" x14ac:dyDescent="0.25">
      <c r="A55" s="2" t="s">
        <v>78</v>
      </c>
      <c r="B55" s="2" t="s">
        <v>67</v>
      </c>
      <c r="C55" s="2">
        <v>1</v>
      </c>
      <c r="D55" s="2">
        <f>C55*8</f>
        <v>8</v>
      </c>
      <c r="L55" s="1" t="s">
        <v>372</v>
      </c>
    </row>
    <row r="56" spans="1:14" x14ac:dyDescent="0.25">
      <c r="A56" s="2" t="s">
        <v>78</v>
      </c>
      <c r="B56" s="2" t="s">
        <v>67</v>
      </c>
      <c r="C56" s="2">
        <v>1</v>
      </c>
      <c r="D56" s="2">
        <f t="shared" ref="D56:D57" si="11">C56*8</f>
        <v>8</v>
      </c>
    </row>
    <row r="57" spans="1:14" x14ac:dyDescent="0.25">
      <c r="A57" s="2" t="s">
        <v>116</v>
      </c>
      <c r="B57" s="2" t="s">
        <v>67</v>
      </c>
      <c r="C57" s="2">
        <v>1</v>
      </c>
      <c r="D57" s="2">
        <f t="shared" si="11"/>
        <v>8</v>
      </c>
    </row>
    <row r="58" spans="1:14" x14ac:dyDescent="0.25">
      <c r="A58" s="2" t="s">
        <v>63</v>
      </c>
      <c r="B58" s="2" t="s">
        <v>67</v>
      </c>
      <c r="C58" s="2">
        <v>1</v>
      </c>
      <c r="D58" s="2">
        <f>C58*8</f>
        <v>8</v>
      </c>
    </row>
    <row r="59" spans="1:14" x14ac:dyDescent="0.25">
      <c r="A59" s="2" t="s">
        <v>63</v>
      </c>
      <c r="B59" s="2" t="s">
        <v>67</v>
      </c>
      <c r="C59" s="2">
        <v>1</v>
      </c>
      <c r="D59" s="2">
        <f>C59*8</f>
        <v>8</v>
      </c>
    </row>
    <row r="60" spans="1:14" x14ac:dyDescent="0.25">
      <c r="A60" s="2" t="s">
        <v>371</v>
      </c>
      <c r="B60" s="2" t="s">
        <v>68</v>
      </c>
      <c r="C60" s="2">
        <v>1</v>
      </c>
      <c r="D60" s="2">
        <f>19-15</f>
        <v>4</v>
      </c>
    </row>
    <row r="61" spans="1:14" x14ac:dyDescent="0.25">
      <c r="A61" s="2" t="s">
        <v>65</v>
      </c>
      <c r="B61" s="2" t="s">
        <v>68</v>
      </c>
      <c r="C61" s="2">
        <v>1</v>
      </c>
      <c r="D61" s="2">
        <f>22-17</f>
        <v>5</v>
      </c>
    </row>
    <row r="62" spans="1:14" x14ac:dyDescent="0.25">
      <c r="A62" s="2" t="s">
        <v>88</v>
      </c>
      <c r="B62" s="2"/>
      <c r="C62" s="2">
        <v>1</v>
      </c>
      <c r="D62" s="2"/>
    </row>
    <row r="63" spans="1:14" x14ac:dyDescent="0.25">
      <c r="A63" s="3" t="s">
        <v>66</v>
      </c>
      <c r="B63" s="3"/>
      <c r="C63" s="3">
        <f>SUM(C55:C62)</f>
        <v>8</v>
      </c>
      <c r="D63" s="3">
        <f>SUM(D55:D62)</f>
        <v>49</v>
      </c>
    </row>
    <row r="65" spans="1:22" x14ac:dyDescent="0.25">
      <c r="A65" s="2" t="s">
        <v>22</v>
      </c>
      <c r="B65" s="2"/>
      <c r="C65" s="2"/>
      <c r="E65" s="1" t="s">
        <v>64</v>
      </c>
      <c r="F65" s="1" t="s">
        <v>70</v>
      </c>
    </row>
    <row r="66" spans="1:22" x14ac:dyDescent="0.25">
      <c r="A66" s="3" t="s">
        <v>0</v>
      </c>
      <c r="B66" s="2"/>
      <c r="C66" s="2"/>
      <c r="E66" s="1" t="s">
        <v>69</v>
      </c>
      <c r="F66" s="1" t="s">
        <v>71</v>
      </c>
    </row>
    <row r="67" spans="1:22" x14ac:dyDescent="0.25">
      <c r="A67" s="2" t="s">
        <v>23</v>
      </c>
      <c r="B67" s="2">
        <v>12</v>
      </c>
      <c r="C67" s="2" t="s">
        <v>24</v>
      </c>
      <c r="E67" s="1">
        <f>D53</f>
        <v>42</v>
      </c>
      <c r="F67" s="1" t="s">
        <v>24</v>
      </c>
      <c r="G67" s="1">
        <f>E67/B67</f>
        <v>3.5</v>
      </c>
      <c r="H67" s="1" t="s">
        <v>76</v>
      </c>
    </row>
    <row r="68" spans="1:22" x14ac:dyDescent="0.25">
      <c r="A68" s="3" t="s">
        <v>2</v>
      </c>
      <c r="B68" s="2"/>
      <c r="C68" s="2"/>
    </row>
    <row r="69" spans="1:22" x14ac:dyDescent="0.25">
      <c r="A69" s="2" t="s">
        <v>25</v>
      </c>
      <c r="B69" s="2">
        <f>22-9</f>
        <v>13</v>
      </c>
      <c r="C69" s="2" t="s">
        <v>24</v>
      </c>
      <c r="E69" s="1">
        <f>D63</f>
        <v>49</v>
      </c>
      <c r="F69" s="1" t="str">
        <f>F67</f>
        <v>H</v>
      </c>
      <c r="G69" s="1">
        <f>E69/B69</f>
        <v>3.7692307692307692</v>
      </c>
      <c r="H69" s="1" t="s">
        <v>76</v>
      </c>
    </row>
    <row r="71" spans="1:22" customFormat="1" x14ac:dyDescent="0.25">
      <c r="A71" s="48" t="s">
        <v>307</v>
      </c>
      <c r="B71" s="1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</row>
    <row r="72" spans="1:22" customFormat="1" x14ac:dyDescent="0.25">
      <c r="A72" s="48"/>
      <c r="B72" s="1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</row>
    <row r="73" spans="1:22" customFormat="1" x14ac:dyDescent="0.25">
      <c r="A73" s="50" t="s">
        <v>308</v>
      </c>
      <c r="B73" s="51" t="s">
        <v>309</v>
      </c>
      <c r="C73" s="52" t="s">
        <v>310</v>
      </c>
      <c r="D73" s="51" t="s">
        <v>311</v>
      </c>
      <c r="E73" s="51" t="s">
        <v>312</v>
      </c>
      <c r="F73" s="53" t="s">
        <v>313</v>
      </c>
      <c r="G73" s="51" t="s">
        <v>314</v>
      </c>
      <c r="H73" s="1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</row>
    <row r="74" spans="1:22" customFormat="1" x14ac:dyDescent="0.25">
      <c r="A74" s="50" t="s">
        <v>315</v>
      </c>
      <c r="B74" s="51">
        <v>1</v>
      </c>
      <c r="C74" s="51">
        <v>1</v>
      </c>
      <c r="D74" s="51">
        <v>1</v>
      </c>
      <c r="E74" s="51">
        <v>1</v>
      </c>
      <c r="F74" s="51">
        <v>1</v>
      </c>
      <c r="G74" s="51">
        <v>1</v>
      </c>
      <c r="H74" s="1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</row>
    <row r="75" spans="1:22" customFormat="1" x14ac:dyDescent="0.25">
      <c r="A75" s="50" t="s">
        <v>316</v>
      </c>
      <c r="B75" s="51">
        <v>1</v>
      </c>
      <c r="C75" s="51">
        <v>1</v>
      </c>
      <c r="D75" s="51">
        <v>1</v>
      </c>
      <c r="E75" s="51">
        <v>1</v>
      </c>
      <c r="F75" s="51">
        <v>1</v>
      </c>
      <c r="G75" s="51">
        <v>2</v>
      </c>
      <c r="H75" s="1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</row>
    <row r="76" spans="1:22" customFormat="1" x14ac:dyDescent="0.25">
      <c r="A76" s="50" t="s">
        <v>317</v>
      </c>
      <c r="B76" s="51">
        <v>1</v>
      </c>
      <c r="C76" s="51">
        <v>1</v>
      </c>
      <c r="D76" s="51">
        <v>1</v>
      </c>
      <c r="E76" s="51">
        <v>2</v>
      </c>
      <c r="F76" s="51">
        <v>2</v>
      </c>
      <c r="G76" s="51">
        <v>2</v>
      </c>
      <c r="H76" s="1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</row>
    <row r="77" spans="1:22" customFormat="1" x14ac:dyDescent="0.25">
      <c r="A77" s="50" t="s">
        <v>318</v>
      </c>
      <c r="B77" s="51">
        <v>0</v>
      </c>
      <c r="C77" s="51">
        <v>1</v>
      </c>
      <c r="D77" s="51">
        <v>1</v>
      </c>
      <c r="E77" s="51">
        <v>1</v>
      </c>
      <c r="F77" s="51">
        <v>1</v>
      </c>
      <c r="G77" s="51">
        <v>1</v>
      </c>
      <c r="H77" s="1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</row>
    <row r="78" spans="1:22" customFormat="1" x14ac:dyDescent="0.25">
      <c r="A78" s="50" t="s">
        <v>319</v>
      </c>
      <c r="B78" s="51">
        <f t="shared" ref="B78:G78" si="12">SUM(B74:B77)</f>
        <v>3</v>
      </c>
      <c r="C78" s="51">
        <f t="shared" si="12"/>
        <v>4</v>
      </c>
      <c r="D78" s="51">
        <f t="shared" si="12"/>
        <v>4</v>
      </c>
      <c r="E78" s="51">
        <f t="shared" si="12"/>
        <v>5</v>
      </c>
      <c r="F78" s="51">
        <f t="shared" si="12"/>
        <v>5</v>
      </c>
      <c r="G78" s="51">
        <f t="shared" si="12"/>
        <v>6</v>
      </c>
      <c r="H78" s="1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</row>
    <row r="79" spans="1:22" customFormat="1" x14ac:dyDescent="0.25">
      <c r="B79" s="49"/>
      <c r="C79" s="49"/>
      <c r="D79" s="49"/>
      <c r="E79" s="49"/>
      <c r="F79" s="49"/>
      <c r="G79" s="49"/>
      <c r="H79" s="1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</row>
    <row r="80" spans="1:22" customFormat="1" x14ac:dyDescent="0.25">
      <c r="A80" s="50" t="s">
        <v>320</v>
      </c>
      <c r="B80" s="54">
        <f>22-10</f>
        <v>12</v>
      </c>
      <c r="C80" s="54">
        <f t="shared" ref="C80:G80" si="13">22-10</f>
        <v>12</v>
      </c>
      <c r="D80" s="54">
        <f t="shared" si="13"/>
        <v>12</v>
      </c>
      <c r="E80" s="54">
        <f t="shared" si="13"/>
        <v>12</v>
      </c>
      <c r="F80" s="54">
        <f t="shared" si="13"/>
        <v>12</v>
      </c>
      <c r="G80" s="54">
        <f t="shared" si="13"/>
        <v>12</v>
      </c>
      <c r="H80" s="1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</row>
    <row r="81" spans="1:22" customFormat="1" x14ac:dyDescent="0.25">
      <c r="A81" s="50" t="s">
        <v>321</v>
      </c>
      <c r="B81" s="54">
        <v>2</v>
      </c>
      <c r="C81" s="54">
        <v>2</v>
      </c>
      <c r="D81" s="54">
        <v>2</v>
      </c>
      <c r="E81" s="54">
        <v>2</v>
      </c>
      <c r="F81" s="54">
        <v>2</v>
      </c>
      <c r="G81" s="54">
        <v>2</v>
      </c>
      <c r="H81" s="1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</row>
    <row r="82" spans="1:22" customFormat="1" x14ac:dyDescent="0.25">
      <c r="A82" s="50" t="s">
        <v>322</v>
      </c>
      <c r="B82" s="55">
        <f t="shared" ref="B82:G82" si="14">SUM(B80+B81)/8</f>
        <v>1.75</v>
      </c>
      <c r="C82" s="55">
        <f t="shared" si="14"/>
        <v>1.75</v>
      </c>
      <c r="D82" s="55">
        <f t="shared" si="14"/>
        <v>1.75</v>
      </c>
      <c r="E82" s="55">
        <f t="shared" si="14"/>
        <v>1.75</v>
      </c>
      <c r="F82" s="55">
        <f t="shared" si="14"/>
        <v>1.75</v>
      </c>
      <c r="G82" s="55">
        <f t="shared" si="14"/>
        <v>1.75</v>
      </c>
      <c r="H82" s="1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</row>
    <row r="83" spans="1:22" customFormat="1" x14ac:dyDescent="0.25">
      <c r="A83" s="50" t="s">
        <v>323</v>
      </c>
      <c r="B83" s="55">
        <f>SUM(B78*B82)</f>
        <v>5.25</v>
      </c>
      <c r="C83" s="55">
        <f t="shared" ref="C83:G83" si="15">SUM(C78*C82)</f>
        <v>7</v>
      </c>
      <c r="D83" s="55">
        <f t="shared" si="15"/>
        <v>7</v>
      </c>
      <c r="E83" s="55">
        <f t="shared" si="15"/>
        <v>8.75</v>
      </c>
      <c r="F83" s="55">
        <f t="shared" si="15"/>
        <v>8.75</v>
      </c>
      <c r="G83" s="55">
        <f t="shared" si="15"/>
        <v>10.5</v>
      </c>
      <c r="H83" s="1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</row>
    <row r="84" spans="1:22" customFormat="1" x14ac:dyDescent="0.25">
      <c r="B84" s="49"/>
      <c r="C84" s="49"/>
      <c r="D84" s="49"/>
      <c r="E84" s="49"/>
      <c r="F84" s="49"/>
      <c r="G84" s="49"/>
      <c r="H84" s="1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</row>
    <row r="85" spans="1:22" customFormat="1" x14ac:dyDescent="0.25">
      <c r="A85" s="50" t="s">
        <v>324</v>
      </c>
      <c r="B85" s="55">
        <f>SUM(B83*7)/6</f>
        <v>6.125</v>
      </c>
      <c r="C85" s="55">
        <f t="shared" ref="C85:G85" si="16">SUM(C83*7)/6</f>
        <v>8.1666666666666661</v>
      </c>
      <c r="D85" s="55">
        <f t="shared" si="16"/>
        <v>8.1666666666666661</v>
      </c>
      <c r="E85" s="55">
        <f t="shared" si="16"/>
        <v>10.208333333333334</v>
      </c>
      <c r="F85" s="55">
        <f t="shared" si="16"/>
        <v>10.208333333333334</v>
      </c>
      <c r="G85" s="55">
        <f t="shared" si="16"/>
        <v>12.25</v>
      </c>
      <c r="H85" s="1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</row>
    <row r="86" spans="1:22" x14ac:dyDescent="0.25">
      <c r="R86" s="37"/>
    </row>
    <row r="87" spans="1:22" customFormat="1" x14ac:dyDescent="0.25">
      <c r="A87" s="50" t="s">
        <v>365</v>
      </c>
      <c r="B87" s="54">
        <f>22-9</f>
        <v>13</v>
      </c>
      <c r="C87" s="54">
        <f t="shared" ref="C87:G87" si="17">22-9</f>
        <v>13</v>
      </c>
      <c r="D87" s="54">
        <f t="shared" si="17"/>
        <v>13</v>
      </c>
      <c r="E87" s="54">
        <f t="shared" si="17"/>
        <v>13</v>
      </c>
      <c r="F87" s="54">
        <f t="shared" si="17"/>
        <v>13</v>
      </c>
      <c r="G87" s="54">
        <f t="shared" si="17"/>
        <v>13</v>
      </c>
      <c r="H87" s="1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</row>
    <row r="88" spans="1:22" customFormat="1" x14ac:dyDescent="0.25">
      <c r="A88" s="50" t="s">
        <v>321</v>
      </c>
      <c r="B88" s="54">
        <v>2</v>
      </c>
      <c r="C88" s="54">
        <v>2</v>
      </c>
      <c r="D88" s="54">
        <v>2</v>
      </c>
      <c r="E88" s="54">
        <v>2</v>
      </c>
      <c r="F88" s="54">
        <v>2</v>
      </c>
      <c r="G88" s="54">
        <v>2</v>
      </c>
      <c r="H88" s="1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</row>
    <row r="89" spans="1:22" customFormat="1" x14ac:dyDescent="0.25">
      <c r="A89" s="50" t="s">
        <v>322</v>
      </c>
      <c r="B89" s="55">
        <f>SUM(B87+B88)/8</f>
        <v>1.875</v>
      </c>
      <c r="C89" s="55">
        <f t="shared" ref="C89" si="18">SUM(C87+C88)/8</f>
        <v>1.875</v>
      </c>
      <c r="D89" s="55">
        <f t="shared" ref="D89:G89" si="19">SUM(D87+D88)/8</f>
        <v>1.875</v>
      </c>
      <c r="E89" s="55">
        <f t="shared" si="19"/>
        <v>1.875</v>
      </c>
      <c r="F89" s="55">
        <f t="shared" si="19"/>
        <v>1.875</v>
      </c>
      <c r="G89" s="55">
        <f t="shared" si="19"/>
        <v>1.875</v>
      </c>
      <c r="H89" s="1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</row>
    <row r="90" spans="1:22" customFormat="1" x14ac:dyDescent="0.25">
      <c r="A90" s="50" t="s">
        <v>323</v>
      </c>
      <c r="B90" s="55">
        <f>B89*B78</f>
        <v>5.625</v>
      </c>
      <c r="C90" s="55">
        <f t="shared" ref="C90:G90" si="20">C89*C78</f>
        <v>7.5</v>
      </c>
      <c r="D90" s="55">
        <f t="shared" si="20"/>
        <v>7.5</v>
      </c>
      <c r="E90" s="55">
        <f t="shared" si="20"/>
        <v>9.375</v>
      </c>
      <c r="F90" s="55">
        <f t="shared" si="20"/>
        <v>9.375</v>
      </c>
      <c r="G90" s="55">
        <f t="shared" si="20"/>
        <v>11.25</v>
      </c>
      <c r="H90" s="1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</row>
    <row r="91" spans="1:22" customFormat="1" x14ac:dyDescent="0.25">
      <c r="B91" s="49"/>
      <c r="C91" s="49"/>
      <c r="D91" s="49"/>
      <c r="E91" s="49"/>
      <c r="F91" s="49"/>
      <c r="G91" s="49"/>
      <c r="H91" s="1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</row>
    <row r="92" spans="1:22" customFormat="1" x14ac:dyDescent="0.25">
      <c r="A92" s="50" t="s">
        <v>324</v>
      </c>
      <c r="B92" s="55">
        <f>SUM(B90*7)/6</f>
        <v>6.5625</v>
      </c>
      <c r="C92" s="55">
        <f t="shared" ref="C92:G92" si="21">SUM(C90*7)/6</f>
        <v>8.75</v>
      </c>
      <c r="D92" s="55">
        <f t="shared" si="21"/>
        <v>8.75</v>
      </c>
      <c r="E92" s="55">
        <f t="shared" si="21"/>
        <v>10.9375</v>
      </c>
      <c r="F92" s="55">
        <f t="shared" si="21"/>
        <v>10.9375</v>
      </c>
      <c r="G92" s="55">
        <f t="shared" si="21"/>
        <v>13.125</v>
      </c>
      <c r="H92" s="1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</row>
    <row r="93" spans="1:22" x14ac:dyDescent="0.25">
      <c r="R93" s="37"/>
    </row>
    <row r="94" spans="1:22" x14ac:dyDescent="0.25">
      <c r="F94" s="1" t="s">
        <v>106</v>
      </c>
      <c r="G94" s="1" t="s">
        <v>95</v>
      </c>
      <c r="H94" s="1" t="s">
        <v>99</v>
      </c>
    </row>
    <row r="95" spans="1:22" ht="25.5" x14ac:dyDescent="0.35">
      <c r="A95" s="14" t="s">
        <v>84</v>
      </c>
      <c r="B95" s="15"/>
      <c r="C95" s="15"/>
      <c r="D95" s="15"/>
      <c r="E95" s="15"/>
      <c r="F95" s="1" t="s">
        <v>104</v>
      </c>
      <c r="G95" s="1" t="s">
        <v>105</v>
      </c>
      <c r="H95" s="1" t="s">
        <v>100</v>
      </c>
    </row>
    <row r="97" spans="1:12" x14ac:dyDescent="0.25">
      <c r="A97" s="40" t="s">
        <v>80</v>
      </c>
      <c r="B97" s="40" t="s">
        <v>81</v>
      </c>
      <c r="C97" s="40" t="s">
        <v>82</v>
      </c>
      <c r="D97" s="40" t="s">
        <v>66</v>
      </c>
    </row>
    <row r="98" spans="1:12" x14ac:dyDescent="0.25">
      <c r="A98" s="3" t="s">
        <v>0</v>
      </c>
      <c r="B98" s="2">
        <v>221</v>
      </c>
      <c r="C98" s="2">
        <v>76</v>
      </c>
      <c r="D98" s="40">
        <f>B98+C98</f>
        <v>297</v>
      </c>
    </row>
    <row r="99" spans="1:12" x14ac:dyDescent="0.25">
      <c r="A99" s="3" t="s">
        <v>2</v>
      </c>
      <c r="B99" s="2">
        <v>843</v>
      </c>
      <c r="C99" s="2">
        <v>114</v>
      </c>
      <c r="D99" s="40">
        <f>B99+C99</f>
        <v>957</v>
      </c>
    </row>
    <row r="101" spans="1:12" x14ac:dyDescent="0.25">
      <c r="A101" s="40" t="s">
        <v>103</v>
      </c>
      <c r="B101" s="3" t="s">
        <v>67</v>
      </c>
      <c r="C101" s="40" t="s">
        <v>101</v>
      </c>
      <c r="D101" s="3" t="s">
        <v>90</v>
      </c>
      <c r="F101" s="40" t="s">
        <v>89</v>
      </c>
      <c r="G101" s="3" t="s">
        <v>67</v>
      </c>
      <c r="H101" s="3" t="s">
        <v>90</v>
      </c>
      <c r="J101" s="40" t="s">
        <v>102</v>
      </c>
      <c r="K101" s="3" t="s">
        <v>67</v>
      </c>
      <c r="L101" s="3" t="s">
        <v>90</v>
      </c>
    </row>
    <row r="102" spans="1:12" x14ac:dyDescent="0.25">
      <c r="A102" s="11">
        <f>SUM(B102:D102)</f>
        <v>4</v>
      </c>
      <c r="B102" s="2">
        <v>2</v>
      </c>
      <c r="C102" s="2">
        <v>1</v>
      </c>
      <c r="D102" s="2">
        <v>1</v>
      </c>
      <c r="F102" s="11">
        <f>SUM(G102:H102)</f>
        <v>4</v>
      </c>
      <c r="G102" s="2">
        <v>3</v>
      </c>
      <c r="H102" s="2">
        <v>1</v>
      </c>
      <c r="J102" s="11">
        <f>SUM(K102:N102)</f>
        <v>0</v>
      </c>
      <c r="K102" s="2"/>
      <c r="L102" s="2"/>
    </row>
    <row r="104" spans="1:12" x14ac:dyDescent="0.25">
      <c r="A104" s="1" t="s">
        <v>107</v>
      </c>
    </row>
  </sheetData>
  <pageMargins left="0" right="0" top="0" bottom="0" header="0" footer="0"/>
  <pageSetup paperSize="9" scale="4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S87"/>
  <sheetViews>
    <sheetView topLeftCell="C7" workbookViewId="0">
      <selection activeCell="S39" sqref="S39"/>
    </sheetView>
  </sheetViews>
  <sheetFormatPr defaultRowHeight="15.75" x14ac:dyDescent="0.25"/>
  <cols>
    <col min="1" max="1" width="33.42578125" style="1" bestFit="1" customWidth="1"/>
    <col min="2" max="2" width="14.85546875" style="1" bestFit="1" customWidth="1"/>
    <col min="3" max="3" width="9.28515625" style="1" bestFit="1" customWidth="1"/>
    <col min="4" max="4" width="7.42578125" style="1" bestFit="1" customWidth="1"/>
    <col min="5" max="5" width="9.7109375" style="1" bestFit="1" customWidth="1"/>
    <col min="6" max="6" width="15.5703125" style="1" bestFit="1" customWidth="1"/>
    <col min="7" max="7" width="13.7109375" style="1" bestFit="1" customWidth="1"/>
    <col min="8" max="8" width="13.28515625" style="1" bestFit="1" customWidth="1"/>
    <col min="9" max="9" width="9.5703125" style="1" bestFit="1" customWidth="1"/>
    <col min="10" max="11" width="11.140625" style="1" bestFit="1" customWidth="1"/>
    <col min="12" max="18" width="9.5703125" style="1" bestFit="1" customWidth="1"/>
    <col min="19" max="16384" width="9.140625" style="1"/>
  </cols>
  <sheetData>
    <row r="2" spans="1:19" ht="25.5" x14ac:dyDescent="0.35">
      <c r="A2" s="14" t="s">
        <v>83</v>
      </c>
      <c r="B2" s="15"/>
      <c r="C2" s="15"/>
      <c r="D2" s="15"/>
      <c r="E2" s="15"/>
    </row>
    <row r="4" spans="1:19" x14ac:dyDescent="0.25">
      <c r="A4" s="2"/>
      <c r="B4" s="3" t="s">
        <v>29</v>
      </c>
      <c r="C4" s="3" t="s">
        <v>21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</row>
    <row r="5" spans="1:19" x14ac:dyDescent="0.25">
      <c r="A5" s="5" t="s">
        <v>0</v>
      </c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9" x14ac:dyDescent="0.25">
      <c r="A6" s="2" t="s">
        <v>28</v>
      </c>
      <c r="B6" s="2">
        <v>32</v>
      </c>
      <c r="C6" s="2">
        <v>115</v>
      </c>
      <c r="D6" s="2">
        <v>102</v>
      </c>
      <c r="E6" s="2">
        <v>73</v>
      </c>
      <c r="F6" s="2">
        <v>56</v>
      </c>
      <c r="G6" s="2">
        <v>39</v>
      </c>
      <c r="H6" s="2">
        <v>66</v>
      </c>
      <c r="I6" s="2">
        <v>55</v>
      </c>
      <c r="J6" s="2">
        <v>45</v>
      </c>
      <c r="K6" s="2">
        <v>67</v>
      </c>
      <c r="L6" s="2">
        <v>80</v>
      </c>
      <c r="M6" s="2">
        <v>99</v>
      </c>
      <c r="N6" s="2">
        <v>90</v>
      </c>
      <c r="O6" s="2">
        <v>93</v>
      </c>
      <c r="P6" s="2">
        <v>68</v>
      </c>
      <c r="Q6" s="2">
        <v>69</v>
      </c>
      <c r="R6" s="2">
        <v>7</v>
      </c>
    </row>
    <row r="7" spans="1:19" x14ac:dyDescent="0.25">
      <c r="A7" s="4">
        <v>5</v>
      </c>
      <c r="B7" s="4">
        <f>ROUND(B6/$A$7,0)</f>
        <v>6</v>
      </c>
      <c r="C7" s="4">
        <f>ROUND(C6/$A$7,0)</f>
        <v>23</v>
      </c>
      <c r="D7" s="4">
        <f t="shared" ref="D7:R7" si="0">ROUND(D6/$A$7,0)</f>
        <v>20</v>
      </c>
      <c r="E7" s="4">
        <f t="shared" si="0"/>
        <v>15</v>
      </c>
      <c r="F7" s="4">
        <f t="shared" si="0"/>
        <v>11</v>
      </c>
      <c r="G7" s="4">
        <f t="shared" si="0"/>
        <v>8</v>
      </c>
      <c r="H7" s="4">
        <f t="shared" si="0"/>
        <v>13</v>
      </c>
      <c r="I7" s="4">
        <f t="shared" si="0"/>
        <v>11</v>
      </c>
      <c r="J7" s="4">
        <f t="shared" si="0"/>
        <v>9</v>
      </c>
      <c r="K7" s="4">
        <f t="shared" si="0"/>
        <v>13</v>
      </c>
      <c r="L7" s="4">
        <f t="shared" si="0"/>
        <v>16</v>
      </c>
      <c r="M7" s="4">
        <f t="shared" si="0"/>
        <v>20</v>
      </c>
      <c r="N7" s="4">
        <f t="shared" si="0"/>
        <v>18</v>
      </c>
      <c r="O7" s="4">
        <f t="shared" si="0"/>
        <v>19</v>
      </c>
      <c r="P7" s="4">
        <f t="shared" si="0"/>
        <v>14</v>
      </c>
      <c r="Q7" s="4">
        <f t="shared" si="0"/>
        <v>14</v>
      </c>
      <c r="R7" s="4">
        <f t="shared" si="0"/>
        <v>1</v>
      </c>
    </row>
    <row r="8" spans="1:19" x14ac:dyDescent="0.25">
      <c r="A8" s="2" t="s">
        <v>31</v>
      </c>
      <c r="B8" s="2">
        <v>26</v>
      </c>
      <c r="C8" s="2">
        <v>117</v>
      </c>
      <c r="D8" s="2">
        <v>131</v>
      </c>
      <c r="E8" s="2">
        <v>81</v>
      </c>
      <c r="F8" s="2">
        <v>70</v>
      </c>
      <c r="G8" s="2">
        <v>42</v>
      </c>
      <c r="H8" s="2">
        <v>49</v>
      </c>
      <c r="I8" s="2">
        <v>38</v>
      </c>
      <c r="J8" s="2">
        <v>41</v>
      </c>
      <c r="K8" s="2">
        <v>44</v>
      </c>
      <c r="L8" s="2">
        <v>72</v>
      </c>
      <c r="M8" s="2">
        <v>92</v>
      </c>
      <c r="N8" s="2">
        <v>92</v>
      </c>
      <c r="O8" s="2">
        <v>107</v>
      </c>
      <c r="P8" s="2">
        <v>76</v>
      </c>
      <c r="Q8" s="2">
        <v>45</v>
      </c>
      <c r="R8" s="2">
        <v>4</v>
      </c>
    </row>
    <row r="9" spans="1:19" x14ac:dyDescent="0.25">
      <c r="A9" s="4">
        <v>5</v>
      </c>
      <c r="B9" s="4">
        <f>ROUND(B8/$A$7,0)</f>
        <v>5</v>
      </c>
      <c r="C9" s="4">
        <f>ROUND(C8/$A$7,0)</f>
        <v>23</v>
      </c>
      <c r="D9" s="4">
        <f t="shared" ref="D9" si="1">ROUND(D8/$A$7,0)</f>
        <v>26</v>
      </c>
      <c r="E9" s="4">
        <f t="shared" ref="E9" si="2">ROUND(E8/$A$7,0)</f>
        <v>16</v>
      </c>
      <c r="F9" s="4">
        <f t="shared" ref="F9" si="3">ROUND(F8/$A$7,0)</f>
        <v>14</v>
      </c>
      <c r="G9" s="4">
        <f t="shared" ref="G9" si="4">ROUND(G8/$A$7,0)</f>
        <v>8</v>
      </c>
      <c r="H9" s="4">
        <f t="shared" ref="H9" si="5">ROUND(H8/$A$7,0)</f>
        <v>10</v>
      </c>
      <c r="I9" s="4">
        <f t="shared" ref="I9" si="6">ROUND(I8/$A$7,0)</f>
        <v>8</v>
      </c>
      <c r="J9" s="4">
        <f t="shared" ref="J9" si="7">ROUND(J8/$A$7,0)</f>
        <v>8</v>
      </c>
      <c r="K9" s="4">
        <f t="shared" ref="K9" si="8">ROUND(K8/$A$7,0)</f>
        <v>9</v>
      </c>
      <c r="L9" s="4">
        <f t="shared" ref="L9" si="9">ROUND(L8/$A$7,0)</f>
        <v>14</v>
      </c>
      <c r="M9" s="4">
        <f t="shared" ref="M9" si="10">ROUND(M8/$A$7,0)</f>
        <v>18</v>
      </c>
      <c r="N9" s="4">
        <f t="shared" ref="N9" si="11">ROUND(N8/$A$7,0)</f>
        <v>18</v>
      </c>
      <c r="O9" s="4">
        <f t="shared" ref="O9" si="12">ROUND(O8/$A$7,0)</f>
        <v>21</v>
      </c>
      <c r="P9" s="4">
        <f t="shared" ref="P9" si="13">ROUND(P8/$A$7,0)</f>
        <v>15</v>
      </c>
      <c r="Q9" s="4">
        <f t="shared" ref="Q9" si="14">ROUND(Q8/$A$7,0)</f>
        <v>9</v>
      </c>
      <c r="R9" s="4">
        <f t="shared" ref="R9" si="15">ROUND(R8/$A$7,0)</f>
        <v>1</v>
      </c>
    </row>
    <row r="10" spans="1:19" x14ac:dyDescent="0.25">
      <c r="A10" s="2" t="s">
        <v>33</v>
      </c>
      <c r="B10" s="2">
        <v>28</v>
      </c>
      <c r="C10" s="2">
        <v>84</v>
      </c>
      <c r="D10" s="2">
        <v>139</v>
      </c>
      <c r="E10" s="2">
        <v>80</v>
      </c>
      <c r="F10" s="2">
        <v>68</v>
      </c>
      <c r="G10" s="2">
        <v>40</v>
      </c>
      <c r="H10" s="2">
        <v>49</v>
      </c>
      <c r="I10" s="2">
        <v>31</v>
      </c>
      <c r="J10" s="2">
        <v>49</v>
      </c>
      <c r="K10" s="2">
        <v>71</v>
      </c>
      <c r="L10" s="2">
        <v>81</v>
      </c>
      <c r="M10" s="2">
        <v>123</v>
      </c>
      <c r="N10" s="2">
        <v>83</v>
      </c>
      <c r="O10" s="2">
        <v>96</v>
      </c>
      <c r="P10" s="2">
        <v>84</v>
      </c>
      <c r="Q10" s="2">
        <v>56</v>
      </c>
      <c r="R10" s="2">
        <v>6</v>
      </c>
    </row>
    <row r="11" spans="1:19" x14ac:dyDescent="0.25">
      <c r="A11" s="4">
        <v>5</v>
      </c>
      <c r="B11" s="4">
        <f>ROUND(B10/$A$7,0)</f>
        <v>6</v>
      </c>
      <c r="C11" s="4">
        <f>ROUND(C10/$A$7,0)</f>
        <v>17</v>
      </c>
      <c r="D11" s="4">
        <f t="shared" ref="D11" si="16">ROUND(D10/$A$7,0)</f>
        <v>28</v>
      </c>
      <c r="E11" s="4">
        <f t="shared" ref="E11" si="17">ROUND(E10/$A$7,0)</f>
        <v>16</v>
      </c>
      <c r="F11" s="4">
        <f t="shared" ref="F11" si="18">ROUND(F10/$A$7,0)</f>
        <v>14</v>
      </c>
      <c r="G11" s="4">
        <f t="shared" ref="G11" si="19">ROUND(G10/$A$7,0)</f>
        <v>8</v>
      </c>
      <c r="H11" s="4">
        <f t="shared" ref="H11" si="20">ROUND(H10/$A$7,0)</f>
        <v>10</v>
      </c>
      <c r="I11" s="4">
        <f t="shared" ref="I11" si="21">ROUND(I10/$A$7,0)</f>
        <v>6</v>
      </c>
      <c r="J11" s="4">
        <f t="shared" ref="J11" si="22">ROUND(J10/$A$7,0)</f>
        <v>10</v>
      </c>
      <c r="K11" s="4">
        <f t="shared" ref="K11" si="23">ROUND(K10/$A$7,0)</f>
        <v>14</v>
      </c>
      <c r="L11" s="4">
        <f t="shared" ref="L11" si="24">ROUND(L10/$A$7,0)</f>
        <v>16</v>
      </c>
      <c r="M11" s="4">
        <f t="shared" ref="M11" si="25">ROUND(M10/$A$7,0)</f>
        <v>25</v>
      </c>
      <c r="N11" s="4">
        <f t="shared" ref="N11" si="26">ROUND(N10/$A$7,0)</f>
        <v>17</v>
      </c>
      <c r="O11" s="4">
        <f t="shared" ref="O11" si="27">ROUND(O10/$A$7,0)</f>
        <v>19</v>
      </c>
      <c r="P11" s="4">
        <f t="shared" ref="P11" si="28">ROUND(P10/$A$7,0)</f>
        <v>17</v>
      </c>
      <c r="Q11" s="4">
        <f t="shared" ref="Q11" si="29">ROUND(Q10/$A$7,0)</f>
        <v>11</v>
      </c>
      <c r="R11" s="4">
        <f t="shared" ref="R11" si="30">ROUND(R10/$A$7,0)</f>
        <v>1</v>
      </c>
    </row>
    <row r="12" spans="1:19" x14ac:dyDescent="0.25">
      <c r="A12" s="2" t="s">
        <v>35</v>
      </c>
      <c r="B12" s="2">
        <v>38</v>
      </c>
      <c r="C12" s="2">
        <v>109</v>
      </c>
      <c r="D12" s="2">
        <v>151</v>
      </c>
      <c r="E12" s="2">
        <v>94</v>
      </c>
      <c r="F12" s="2">
        <v>49</v>
      </c>
      <c r="G12" s="2">
        <v>41</v>
      </c>
      <c r="H12" s="2">
        <v>50</v>
      </c>
      <c r="I12" s="2">
        <v>22</v>
      </c>
      <c r="J12" s="2">
        <v>47</v>
      </c>
      <c r="K12" s="2">
        <v>73</v>
      </c>
      <c r="L12" s="2">
        <v>75</v>
      </c>
      <c r="M12" s="2">
        <v>101</v>
      </c>
      <c r="N12" s="2">
        <v>109</v>
      </c>
      <c r="O12" s="2">
        <v>99</v>
      </c>
      <c r="P12" s="2">
        <v>96</v>
      </c>
      <c r="Q12" s="2">
        <v>53</v>
      </c>
      <c r="R12" s="2">
        <v>4</v>
      </c>
    </row>
    <row r="13" spans="1:19" x14ac:dyDescent="0.25">
      <c r="A13" s="4">
        <v>5</v>
      </c>
      <c r="B13" s="4">
        <f>ROUND(B12/$A$7,0)</f>
        <v>8</v>
      </c>
      <c r="C13" s="4">
        <f>ROUND(C12/$A$7,0)</f>
        <v>22</v>
      </c>
      <c r="D13" s="4">
        <f t="shared" ref="D13" si="31">ROUND(D12/$A$7,0)</f>
        <v>30</v>
      </c>
      <c r="E13" s="4">
        <f t="shared" ref="E13" si="32">ROUND(E12/$A$7,0)</f>
        <v>19</v>
      </c>
      <c r="F13" s="4">
        <f t="shared" ref="F13" si="33">ROUND(F12/$A$7,0)</f>
        <v>10</v>
      </c>
      <c r="G13" s="4">
        <f t="shared" ref="G13" si="34">ROUND(G12/$A$7,0)</f>
        <v>8</v>
      </c>
      <c r="H13" s="4">
        <f t="shared" ref="H13" si="35">ROUND(H12/$A$7,0)</f>
        <v>10</v>
      </c>
      <c r="I13" s="4">
        <f t="shared" ref="I13" si="36">ROUND(I12/$A$7,0)</f>
        <v>4</v>
      </c>
      <c r="J13" s="4">
        <f t="shared" ref="J13" si="37">ROUND(J12/$A$7,0)</f>
        <v>9</v>
      </c>
      <c r="K13" s="4">
        <f t="shared" ref="K13" si="38">ROUND(K12/$A$7,0)</f>
        <v>15</v>
      </c>
      <c r="L13" s="4">
        <f t="shared" ref="L13" si="39">ROUND(L12/$A$7,0)</f>
        <v>15</v>
      </c>
      <c r="M13" s="4">
        <f t="shared" ref="M13" si="40">ROUND(M12/$A$7,0)</f>
        <v>20</v>
      </c>
      <c r="N13" s="4">
        <f t="shared" ref="N13" si="41">ROUND(N12/$A$7,0)</f>
        <v>22</v>
      </c>
      <c r="O13" s="4">
        <f t="shared" ref="O13" si="42">ROUND(O12/$A$7,0)</f>
        <v>20</v>
      </c>
      <c r="P13" s="4">
        <f t="shared" ref="P13" si="43">ROUND(P12/$A$7,0)</f>
        <v>19</v>
      </c>
      <c r="Q13" s="4">
        <f t="shared" ref="Q13" si="44">ROUND(Q12/$A$7,0)</f>
        <v>11</v>
      </c>
      <c r="R13" s="4">
        <f t="shared" ref="R13" si="45">ROUND(R12/$A$7,0)</f>
        <v>1</v>
      </c>
    </row>
    <row r="14" spans="1:19" x14ac:dyDescent="0.25">
      <c r="A14" s="2" t="s">
        <v>37</v>
      </c>
      <c r="B14" s="2">
        <v>19</v>
      </c>
      <c r="C14" s="2">
        <v>80</v>
      </c>
      <c r="D14" s="2">
        <v>123</v>
      </c>
      <c r="E14" s="2">
        <v>96</v>
      </c>
      <c r="F14" s="2">
        <v>73</v>
      </c>
      <c r="G14" s="2">
        <v>79</v>
      </c>
      <c r="H14" s="2">
        <v>59</v>
      </c>
      <c r="I14" s="2">
        <v>46</v>
      </c>
      <c r="J14" s="2">
        <v>42</v>
      </c>
      <c r="K14" s="2">
        <v>74</v>
      </c>
      <c r="L14" s="2">
        <v>83</v>
      </c>
      <c r="M14" s="2">
        <v>132</v>
      </c>
      <c r="N14" s="2">
        <v>102</v>
      </c>
      <c r="O14" s="2">
        <v>99</v>
      </c>
      <c r="P14" s="2">
        <v>104</v>
      </c>
      <c r="Q14" s="2">
        <v>58</v>
      </c>
      <c r="R14" s="2">
        <v>11</v>
      </c>
    </row>
    <row r="15" spans="1:19" x14ac:dyDescent="0.25">
      <c r="A15" s="4">
        <v>5</v>
      </c>
      <c r="B15" s="4">
        <f>ROUND(B14/$A$7,0)</f>
        <v>4</v>
      </c>
      <c r="C15" s="4">
        <f>ROUND(C14/$A$7,0)</f>
        <v>16</v>
      </c>
      <c r="D15" s="4">
        <f t="shared" ref="D15" si="46">ROUND(D14/$A$7,0)</f>
        <v>25</v>
      </c>
      <c r="E15" s="4">
        <f t="shared" ref="E15" si="47">ROUND(E14/$A$7,0)</f>
        <v>19</v>
      </c>
      <c r="F15" s="4">
        <f t="shared" ref="F15" si="48">ROUND(F14/$A$7,0)</f>
        <v>15</v>
      </c>
      <c r="G15" s="4">
        <f t="shared" ref="G15" si="49">ROUND(G14/$A$7,0)</f>
        <v>16</v>
      </c>
      <c r="H15" s="4">
        <f t="shared" ref="H15" si="50">ROUND(H14/$A$7,0)</f>
        <v>12</v>
      </c>
      <c r="I15" s="4">
        <f t="shared" ref="I15" si="51">ROUND(I14/$A$7,0)</f>
        <v>9</v>
      </c>
      <c r="J15" s="4">
        <f t="shared" ref="J15" si="52">ROUND(J14/$A$7,0)</f>
        <v>8</v>
      </c>
      <c r="K15" s="4">
        <f t="shared" ref="K15" si="53">ROUND(K14/$A$7,0)</f>
        <v>15</v>
      </c>
      <c r="L15" s="4">
        <f t="shared" ref="L15" si="54">ROUND(L14/$A$7,0)</f>
        <v>17</v>
      </c>
      <c r="M15" s="4">
        <f t="shared" ref="M15" si="55">ROUND(M14/$A$7,0)</f>
        <v>26</v>
      </c>
      <c r="N15" s="4">
        <f t="shared" ref="N15" si="56">ROUND(N14/$A$7,0)</f>
        <v>20</v>
      </c>
      <c r="O15" s="4">
        <f t="shared" ref="O15" si="57">ROUND(O14/$A$7,0)</f>
        <v>20</v>
      </c>
      <c r="P15" s="4">
        <f t="shared" ref="P15" si="58">ROUND(P14/$A$7,0)</f>
        <v>21</v>
      </c>
      <c r="Q15" s="4">
        <f t="shared" ref="Q15" si="59">ROUND(Q14/$A$7,0)</f>
        <v>12</v>
      </c>
      <c r="R15" s="4">
        <f t="shared" ref="R15" si="60">ROUND(R14/$A$7,0)</f>
        <v>2</v>
      </c>
    </row>
    <row r="16" spans="1:19" x14ac:dyDescent="0.25">
      <c r="A16" s="7" t="s">
        <v>40</v>
      </c>
      <c r="B16" s="7">
        <f>ROUND((B7+B9+B11+B13+B15)/5,0)</f>
        <v>6</v>
      </c>
      <c r="C16" s="7">
        <f t="shared" ref="C16:R16" si="61">ROUND((C7+C9+C11+C13+C15)/5,0)</f>
        <v>20</v>
      </c>
      <c r="D16" s="7">
        <f t="shared" si="61"/>
        <v>26</v>
      </c>
      <c r="E16" s="7">
        <f t="shared" si="61"/>
        <v>17</v>
      </c>
      <c r="F16" s="7">
        <f t="shared" si="61"/>
        <v>13</v>
      </c>
      <c r="G16" s="7">
        <f t="shared" si="61"/>
        <v>10</v>
      </c>
      <c r="H16" s="7">
        <f t="shared" si="61"/>
        <v>11</v>
      </c>
      <c r="I16" s="7">
        <f t="shared" si="61"/>
        <v>8</v>
      </c>
      <c r="J16" s="7">
        <f t="shared" si="61"/>
        <v>9</v>
      </c>
      <c r="K16" s="7">
        <f t="shared" si="61"/>
        <v>13</v>
      </c>
      <c r="L16" s="7">
        <f t="shared" si="61"/>
        <v>16</v>
      </c>
      <c r="M16" s="7">
        <f t="shared" si="61"/>
        <v>22</v>
      </c>
      <c r="N16" s="7">
        <f t="shared" si="61"/>
        <v>19</v>
      </c>
      <c r="O16" s="7">
        <f t="shared" si="61"/>
        <v>20</v>
      </c>
      <c r="P16" s="7">
        <f t="shared" si="61"/>
        <v>17</v>
      </c>
      <c r="Q16" s="7">
        <f t="shared" si="61"/>
        <v>11</v>
      </c>
      <c r="R16" s="7">
        <f t="shared" si="61"/>
        <v>1</v>
      </c>
      <c r="S16" s="1">
        <f t="shared" ref="S16:S17" si="62">SUM(B16:R16)</f>
        <v>239</v>
      </c>
    </row>
    <row r="17" spans="1:19" x14ac:dyDescent="0.25">
      <c r="A17" s="12" t="s">
        <v>60</v>
      </c>
      <c r="B17" s="12">
        <v>2</v>
      </c>
      <c r="C17" s="12">
        <v>2</v>
      </c>
      <c r="D17" s="12">
        <v>3</v>
      </c>
      <c r="E17" s="12">
        <v>2</v>
      </c>
      <c r="F17" s="12">
        <v>2</v>
      </c>
      <c r="G17" s="12">
        <v>2</v>
      </c>
      <c r="H17" s="12">
        <v>2</v>
      </c>
      <c r="I17" s="12">
        <v>2</v>
      </c>
      <c r="J17" s="12">
        <v>2</v>
      </c>
      <c r="K17" s="12">
        <v>2</v>
      </c>
      <c r="L17" s="12">
        <v>2</v>
      </c>
      <c r="M17" s="12">
        <v>2</v>
      </c>
      <c r="N17" s="12">
        <v>2</v>
      </c>
      <c r="O17" s="12">
        <v>2</v>
      </c>
      <c r="P17" s="12">
        <v>2</v>
      </c>
      <c r="Q17" s="12">
        <v>2</v>
      </c>
      <c r="R17" s="2"/>
      <c r="S17" s="1">
        <f t="shared" si="62"/>
        <v>33</v>
      </c>
    </row>
    <row r="18" spans="1:19" x14ac:dyDescent="0.25">
      <c r="A18" s="12" t="s">
        <v>61</v>
      </c>
      <c r="B18" s="12">
        <v>2</v>
      </c>
      <c r="C18" s="12">
        <v>2</v>
      </c>
      <c r="D18" s="12">
        <v>3</v>
      </c>
      <c r="E18" s="12">
        <v>2</v>
      </c>
      <c r="F18" s="12">
        <v>2</v>
      </c>
      <c r="G18" s="12">
        <v>2</v>
      </c>
      <c r="H18" s="12">
        <v>2</v>
      </c>
      <c r="I18" s="12">
        <v>2</v>
      </c>
      <c r="J18" s="12">
        <v>2</v>
      </c>
      <c r="K18" s="12">
        <v>2</v>
      </c>
      <c r="L18" s="12">
        <v>2</v>
      </c>
      <c r="M18" s="12">
        <v>2</v>
      </c>
      <c r="N18" s="12">
        <v>2</v>
      </c>
      <c r="O18" s="12">
        <v>2</v>
      </c>
      <c r="P18" s="12">
        <v>2</v>
      </c>
      <c r="Q18" s="12">
        <v>2</v>
      </c>
      <c r="R18" s="2"/>
      <c r="S18" s="1">
        <f>SUM(B18:R18)</f>
        <v>33</v>
      </c>
    </row>
    <row r="20" spans="1:19" x14ac:dyDescent="0.25">
      <c r="A20" s="13" t="s">
        <v>75</v>
      </c>
    </row>
    <row r="21" spans="1:19" x14ac:dyDescent="0.25">
      <c r="A21" s="2" t="s">
        <v>85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/>
      <c r="K21" s="2"/>
      <c r="L21" s="2"/>
      <c r="M21" s="2"/>
      <c r="N21" s="2"/>
      <c r="O21" s="2"/>
      <c r="P21" s="2"/>
      <c r="Q21" s="2"/>
      <c r="R21" s="2"/>
    </row>
    <row r="22" spans="1:19" x14ac:dyDescent="0.25">
      <c r="A22" s="2" t="s">
        <v>85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/>
      <c r="K22" s="2"/>
      <c r="L22" s="2"/>
      <c r="M22" s="2"/>
      <c r="N22" s="2"/>
      <c r="O22" s="2"/>
      <c r="P22" s="2"/>
      <c r="Q22" s="2"/>
      <c r="R22" s="2"/>
    </row>
    <row r="23" spans="1:19" x14ac:dyDescent="0.25">
      <c r="A23" s="2" t="s">
        <v>86</v>
      </c>
      <c r="B23" s="2"/>
      <c r="C23" s="2"/>
      <c r="D23" s="2"/>
      <c r="E23" s="2"/>
      <c r="F23" s="2"/>
      <c r="G23" s="2"/>
      <c r="H23" s="2"/>
      <c r="I23" s="2"/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/>
    </row>
    <row r="24" spans="1:19" x14ac:dyDescent="0.25">
      <c r="A24" s="2" t="s">
        <v>86</v>
      </c>
      <c r="B24" s="2"/>
      <c r="C24" s="2"/>
      <c r="D24" s="2"/>
      <c r="E24" s="2"/>
      <c r="F24" s="2"/>
      <c r="G24" s="2"/>
      <c r="H24" s="2"/>
      <c r="I24" s="2"/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/>
    </row>
    <row r="25" spans="1:19" x14ac:dyDescent="0.25">
      <c r="A25" s="2" t="s">
        <v>159</v>
      </c>
      <c r="B25" s="2"/>
      <c r="C25" s="2"/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/>
      <c r="M25" s="2"/>
      <c r="N25" s="2"/>
      <c r="O25" s="2"/>
      <c r="P25" s="2"/>
      <c r="Q25" s="2"/>
      <c r="R25" s="2"/>
    </row>
    <row r="26" spans="1:19" x14ac:dyDescent="0.25">
      <c r="A26" s="2" t="s">
        <v>66</v>
      </c>
      <c r="B26" s="2">
        <f>SUM(B21:B25)</f>
        <v>2</v>
      </c>
      <c r="C26" s="2">
        <f t="shared" ref="C26:R26" si="63">SUM(C21:C25)</f>
        <v>2</v>
      </c>
      <c r="D26" s="2">
        <f t="shared" si="63"/>
        <v>3</v>
      </c>
      <c r="E26" s="2">
        <f t="shared" si="63"/>
        <v>3</v>
      </c>
      <c r="F26" s="2">
        <f t="shared" si="63"/>
        <v>3</v>
      </c>
      <c r="G26" s="2">
        <f t="shared" si="63"/>
        <v>3</v>
      </c>
      <c r="H26" s="2">
        <f t="shared" si="63"/>
        <v>3</v>
      </c>
      <c r="I26" s="2">
        <f t="shared" si="63"/>
        <v>3</v>
      </c>
      <c r="J26" s="2">
        <f t="shared" si="63"/>
        <v>3</v>
      </c>
      <c r="K26" s="2">
        <f t="shared" si="63"/>
        <v>3</v>
      </c>
      <c r="L26" s="2">
        <f t="shared" si="63"/>
        <v>2</v>
      </c>
      <c r="M26" s="2">
        <f t="shared" si="63"/>
        <v>2</v>
      </c>
      <c r="N26" s="2">
        <f t="shared" si="63"/>
        <v>2</v>
      </c>
      <c r="O26" s="2">
        <f t="shared" si="63"/>
        <v>2</v>
      </c>
      <c r="P26" s="2">
        <f t="shared" si="63"/>
        <v>2</v>
      </c>
      <c r="Q26" s="2">
        <f t="shared" si="63"/>
        <v>2</v>
      </c>
      <c r="R26" s="2">
        <f t="shared" si="63"/>
        <v>0</v>
      </c>
      <c r="S26" s="1">
        <f>SUM(B26:R26)</f>
        <v>40</v>
      </c>
    </row>
    <row r="28" spans="1:19" x14ac:dyDescent="0.25">
      <c r="A28" s="5" t="s">
        <v>2</v>
      </c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9" x14ac:dyDescent="0.25">
      <c r="A29" s="2" t="s">
        <v>30</v>
      </c>
      <c r="B29" s="2">
        <v>2</v>
      </c>
      <c r="C29" s="2">
        <v>37</v>
      </c>
      <c r="D29" s="2">
        <v>51</v>
      </c>
      <c r="E29" s="2">
        <v>65</v>
      </c>
      <c r="F29" s="2">
        <v>34</v>
      </c>
      <c r="G29" s="2">
        <v>32</v>
      </c>
      <c r="H29" s="2">
        <v>35</v>
      </c>
      <c r="I29" s="2">
        <v>24</v>
      </c>
      <c r="J29" s="2">
        <v>17</v>
      </c>
      <c r="K29" s="2">
        <v>31</v>
      </c>
      <c r="L29" s="2">
        <v>24</v>
      </c>
      <c r="M29" s="2">
        <v>41</v>
      </c>
      <c r="N29" s="2">
        <v>28</v>
      </c>
      <c r="O29" s="2">
        <v>47</v>
      </c>
      <c r="P29" s="2">
        <v>31</v>
      </c>
      <c r="Q29" s="2">
        <v>39</v>
      </c>
      <c r="R29" s="2">
        <v>3</v>
      </c>
    </row>
    <row r="30" spans="1:19" x14ac:dyDescent="0.25">
      <c r="A30" s="4">
        <v>2</v>
      </c>
      <c r="B30" s="4">
        <f>ROUND((B29)/$A$30,0)</f>
        <v>1</v>
      </c>
      <c r="C30" s="4">
        <f t="shared" ref="C30:R30" si="64">ROUND((C29)/$A$30,0)</f>
        <v>19</v>
      </c>
      <c r="D30" s="4">
        <f t="shared" si="64"/>
        <v>26</v>
      </c>
      <c r="E30" s="4">
        <f t="shared" si="64"/>
        <v>33</v>
      </c>
      <c r="F30" s="4">
        <f t="shared" si="64"/>
        <v>17</v>
      </c>
      <c r="G30" s="4">
        <f t="shared" si="64"/>
        <v>16</v>
      </c>
      <c r="H30" s="4">
        <f t="shared" si="64"/>
        <v>18</v>
      </c>
      <c r="I30" s="4">
        <f t="shared" si="64"/>
        <v>12</v>
      </c>
      <c r="J30" s="4">
        <f t="shared" si="64"/>
        <v>9</v>
      </c>
      <c r="K30" s="4">
        <f t="shared" si="64"/>
        <v>16</v>
      </c>
      <c r="L30" s="4">
        <f t="shared" si="64"/>
        <v>12</v>
      </c>
      <c r="M30" s="4">
        <f t="shared" si="64"/>
        <v>21</v>
      </c>
      <c r="N30" s="4">
        <f t="shared" si="64"/>
        <v>14</v>
      </c>
      <c r="O30" s="4">
        <f t="shared" si="64"/>
        <v>24</v>
      </c>
      <c r="P30" s="4">
        <f t="shared" si="64"/>
        <v>16</v>
      </c>
      <c r="Q30" s="4">
        <f t="shared" si="64"/>
        <v>20</v>
      </c>
      <c r="R30" s="4">
        <f t="shared" si="64"/>
        <v>2</v>
      </c>
    </row>
    <row r="31" spans="1:19" x14ac:dyDescent="0.25">
      <c r="A31" s="2" t="s">
        <v>32</v>
      </c>
      <c r="B31" s="2">
        <v>2</v>
      </c>
      <c r="C31" s="2">
        <v>28</v>
      </c>
      <c r="D31" s="2">
        <v>54</v>
      </c>
      <c r="E31" s="2">
        <v>59</v>
      </c>
      <c r="F31" s="2">
        <v>46</v>
      </c>
      <c r="G31" s="2">
        <v>27</v>
      </c>
      <c r="H31" s="2">
        <v>22</v>
      </c>
      <c r="I31" s="2">
        <v>36</v>
      </c>
      <c r="J31" s="2">
        <v>21</v>
      </c>
      <c r="K31" s="2">
        <v>20</v>
      </c>
      <c r="L31" s="2">
        <v>28</v>
      </c>
      <c r="M31" s="2">
        <v>31</v>
      </c>
      <c r="N31" s="2">
        <v>42</v>
      </c>
      <c r="O31" s="2">
        <v>39</v>
      </c>
      <c r="P31" s="2">
        <v>33</v>
      </c>
      <c r="Q31" s="2">
        <v>28</v>
      </c>
      <c r="R31" s="2">
        <v>3</v>
      </c>
    </row>
    <row r="32" spans="1:19" x14ac:dyDescent="0.25">
      <c r="A32" s="4">
        <v>2</v>
      </c>
      <c r="B32" s="4">
        <f t="shared" ref="B32:C32" si="65">ROUND((B31)/$A$30,0)</f>
        <v>1</v>
      </c>
      <c r="C32" s="4">
        <f t="shared" si="65"/>
        <v>14</v>
      </c>
      <c r="D32" s="4">
        <f t="shared" ref="D32" si="66">ROUND((D31)/$A$30,0)</f>
        <v>27</v>
      </c>
      <c r="E32" s="4">
        <f t="shared" ref="E32" si="67">ROUND((E31)/$A$30,0)</f>
        <v>30</v>
      </c>
      <c r="F32" s="4">
        <f t="shared" ref="F32" si="68">ROUND((F31)/$A$30,0)</f>
        <v>23</v>
      </c>
      <c r="G32" s="4">
        <f t="shared" ref="G32" si="69">ROUND((G31)/$A$30,0)</f>
        <v>14</v>
      </c>
      <c r="H32" s="4">
        <f t="shared" ref="H32" si="70">ROUND((H31)/$A$30,0)</f>
        <v>11</v>
      </c>
      <c r="I32" s="4">
        <f t="shared" ref="I32" si="71">ROUND((I31)/$A$30,0)</f>
        <v>18</v>
      </c>
      <c r="J32" s="4">
        <f t="shared" ref="J32" si="72">ROUND((J31)/$A$30,0)</f>
        <v>11</v>
      </c>
      <c r="K32" s="4">
        <f t="shared" ref="K32" si="73">ROUND((K31)/$A$30,0)</f>
        <v>10</v>
      </c>
      <c r="L32" s="4">
        <f t="shared" ref="L32" si="74">ROUND((L31)/$A$30,0)</f>
        <v>14</v>
      </c>
      <c r="M32" s="4">
        <f t="shared" ref="M32" si="75">ROUND((M31)/$A$30,0)</f>
        <v>16</v>
      </c>
      <c r="N32" s="4">
        <f t="shared" ref="N32" si="76">ROUND((N31)/$A$30,0)</f>
        <v>21</v>
      </c>
      <c r="O32" s="4">
        <f t="shared" ref="O32" si="77">ROUND((O31)/$A$30,0)</f>
        <v>20</v>
      </c>
      <c r="P32" s="4">
        <f t="shared" ref="P32" si="78">ROUND((P31)/$A$30,0)</f>
        <v>17</v>
      </c>
      <c r="Q32" s="4">
        <f t="shared" ref="Q32" si="79">ROUND((Q31)/$A$30,0)</f>
        <v>14</v>
      </c>
      <c r="R32" s="4">
        <f t="shared" ref="R32" si="80">ROUND((R31)/$A$30,0)</f>
        <v>2</v>
      </c>
    </row>
    <row r="33" spans="1:19" x14ac:dyDescent="0.25">
      <c r="A33" s="2" t="s">
        <v>34</v>
      </c>
      <c r="B33" s="2">
        <v>5</v>
      </c>
      <c r="C33" s="2">
        <v>31</v>
      </c>
      <c r="D33" s="2">
        <v>65</v>
      </c>
      <c r="E33" s="2">
        <v>60</v>
      </c>
      <c r="F33" s="2">
        <v>46</v>
      </c>
      <c r="G33" s="2">
        <v>28</v>
      </c>
      <c r="H33" s="2">
        <v>20</v>
      </c>
      <c r="I33" s="2">
        <v>22</v>
      </c>
      <c r="J33" s="2">
        <v>14</v>
      </c>
      <c r="K33" s="2">
        <v>29</v>
      </c>
      <c r="L33" s="2">
        <v>32</v>
      </c>
      <c r="M33" s="2">
        <v>36</v>
      </c>
      <c r="N33" s="2">
        <v>45</v>
      </c>
      <c r="O33" s="2">
        <v>48</v>
      </c>
      <c r="P33" s="2">
        <v>42</v>
      </c>
      <c r="Q33" s="2">
        <v>33</v>
      </c>
      <c r="R33" s="2">
        <v>2</v>
      </c>
    </row>
    <row r="34" spans="1:19" x14ac:dyDescent="0.25">
      <c r="A34" s="4">
        <v>2</v>
      </c>
      <c r="B34" s="4">
        <f>ROUND((B33)/$A$30,0)</f>
        <v>3</v>
      </c>
      <c r="C34" s="4">
        <f t="shared" ref="C34" si="81">ROUND((C33)/$A$30,0)</f>
        <v>16</v>
      </c>
      <c r="D34" s="4">
        <f t="shared" ref="D34" si="82">ROUND((D33)/$A$30,0)</f>
        <v>33</v>
      </c>
      <c r="E34" s="4">
        <f t="shared" ref="E34" si="83">ROUND((E33)/$A$30,0)</f>
        <v>30</v>
      </c>
      <c r="F34" s="4">
        <f t="shared" ref="F34" si="84">ROUND((F33)/$A$30,0)</f>
        <v>23</v>
      </c>
      <c r="G34" s="4">
        <f t="shared" ref="G34" si="85">ROUND((G33)/$A$30,0)</f>
        <v>14</v>
      </c>
      <c r="H34" s="4">
        <f t="shared" ref="H34" si="86">ROUND((H33)/$A$30,0)</f>
        <v>10</v>
      </c>
      <c r="I34" s="4">
        <f t="shared" ref="I34" si="87">ROUND((I33)/$A$30,0)</f>
        <v>11</v>
      </c>
      <c r="J34" s="4">
        <f t="shared" ref="J34" si="88">ROUND((J33)/$A$30,0)</f>
        <v>7</v>
      </c>
      <c r="K34" s="4">
        <f t="shared" ref="K34" si="89">ROUND((K33)/$A$30,0)</f>
        <v>15</v>
      </c>
      <c r="L34" s="4">
        <f t="shared" ref="L34" si="90">ROUND((L33)/$A$30,0)</f>
        <v>16</v>
      </c>
      <c r="M34" s="4">
        <f t="shared" ref="M34" si="91">ROUND((M33)/$A$30,0)</f>
        <v>18</v>
      </c>
      <c r="N34" s="4">
        <f t="shared" ref="N34" si="92">ROUND((N33)/$A$30,0)</f>
        <v>23</v>
      </c>
      <c r="O34" s="4">
        <f t="shared" ref="O34" si="93">ROUND((O33)/$A$30,0)</f>
        <v>24</v>
      </c>
      <c r="P34" s="4">
        <f t="shared" ref="P34" si="94">ROUND((P33)/$A$30,0)</f>
        <v>21</v>
      </c>
      <c r="Q34" s="4">
        <f t="shared" ref="Q34" si="95">ROUND((Q33)/$A$30,0)</f>
        <v>17</v>
      </c>
      <c r="R34" s="4">
        <f t="shared" ref="R34" si="96">ROUND((R33)/$A$30,0)</f>
        <v>1</v>
      </c>
    </row>
    <row r="35" spans="1:19" x14ac:dyDescent="0.25">
      <c r="A35" s="2" t="s">
        <v>36</v>
      </c>
      <c r="B35" s="2">
        <v>2</v>
      </c>
      <c r="C35" s="2">
        <v>29</v>
      </c>
      <c r="D35" s="2">
        <v>66</v>
      </c>
      <c r="E35" s="2">
        <v>66</v>
      </c>
      <c r="F35" s="2">
        <v>42</v>
      </c>
      <c r="G35" s="2">
        <v>30</v>
      </c>
      <c r="H35" s="2">
        <v>19</v>
      </c>
      <c r="I35" s="2">
        <v>20</v>
      </c>
      <c r="J35" s="2">
        <v>22</v>
      </c>
      <c r="K35" s="2">
        <v>32</v>
      </c>
      <c r="L35" s="2">
        <v>24</v>
      </c>
      <c r="M35" s="2">
        <v>52</v>
      </c>
      <c r="N35" s="2">
        <v>47</v>
      </c>
      <c r="O35" s="2">
        <v>50</v>
      </c>
      <c r="P35" s="2">
        <v>49</v>
      </c>
      <c r="Q35" s="2">
        <v>39</v>
      </c>
      <c r="R35" s="2">
        <v>3</v>
      </c>
    </row>
    <row r="36" spans="1:19" x14ac:dyDescent="0.25">
      <c r="A36" s="4">
        <v>2</v>
      </c>
      <c r="B36" s="4">
        <f>ROUND((B35)/$A$30,0)</f>
        <v>1</v>
      </c>
      <c r="C36" s="4">
        <f t="shared" ref="C36" si="97">ROUND((C35)/$A$30,0)</f>
        <v>15</v>
      </c>
      <c r="D36" s="4">
        <f t="shared" ref="D36" si="98">ROUND((D35)/$A$30,0)</f>
        <v>33</v>
      </c>
      <c r="E36" s="4">
        <f t="shared" ref="E36" si="99">ROUND((E35)/$A$30,0)</f>
        <v>33</v>
      </c>
      <c r="F36" s="4">
        <f t="shared" ref="F36" si="100">ROUND((F35)/$A$30,0)</f>
        <v>21</v>
      </c>
      <c r="G36" s="4">
        <f t="shared" ref="G36" si="101">ROUND((G35)/$A$30,0)</f>
        <v>15</v>
      </c>
      <c r="H36" s="4">
        <f t="shared" ref="H36" si="102">ROUND((H35)/$A$30,0)</f>
        <v>10</v>
      </c>
      <c r="I36" s="4">
        <f t="shared" ref="I36" si="103">ROUND((I35)/$A$30,0)</f>
        <v>10</v>
      </c>
      <c r="J36" s="4">
        <f t="shared" ref="J36" si="104">ROUND((J35)/$A$30,0)</f>
        <v>11</v>
      </c>
      <c r="K36" s="4">
        <f t="shared" ref="K36" si="105">ROUND((K35)/$A$30,0)</f>
        <v>16</v>
      </c>
      <c r="L36" s="4">
        <f t="shared" ref="L36" si="106">ROUND((L35)/$A$30,0)</f>
        <v>12</v>
      </c>
      <c r="M36" s="4">
        <f t="shared" ref="M36" si="107">ROUND((M35)/$A$30,0)</f>
        <v>26</v>
      </c>
      <c r="N36" s="4">
        <f t="shared" ref="N36" si="108">ROUND((N35)/$A$30,0)</f>
        <v>24</v>
      </c>
      <c r="O36" s="4">
        <f t="shared" ref="O36" si="109">ROUND((O35)/$A$30,0)</f>
        <v>25</v>
      </c>
      <c r="P36" s="4">
        <f t="shared" ref="P36" si="110">ROUND((P35)/$A$30,0)</f>
        <v>25</v>
      </c>
      <c r="Q36" s="4">
        <f t="shared" ref="Q36" si="111">ROUND((Q35)/$A$30,0)</f>
        <v>20</v>
      </c>
      <c r="R36" s="4">
        <f t="shared" ref="R36" si="112">ROUND((R35)/$A$30,0)</f>
        <v>2</v>
      </c>
    </row>
    <row r="37" spans="1:19" x14ac:dyDescent="0.25">
      <c r="A37" s="2" t="s">
        <v>38</v>
      </c>
      <c r="B37" s="2">
        <v>2</v>
      </c>
      <c r="C37" s="2">
        <v>21</v>
      </c>
      <c r="D37" s="2">
        <v>21</v>
      </c>
      <c r="E37" s="2">
        <v>34</v>
      </c>
      <c r="F37" s="2">
        <v>24</v>
      </c>
      <c r="G37" s="2">
        <v>8</v>
      </c>
      <c r="H37" s="2">
        <v>15</v>
      </c>
      <c r="I37" s="2">
        <v>11</v>
      </c>
      <c r="J37" s="2">
        <v>12</v>
      </c>
      <c r="K37" s="2">
        <v>14</v>
      </c>
      <c r="L37" s="2">
        <v>14</v>
      </c>
      <c r="M37" s="2">
        <v>23</v>
      </c>
      <c r="N37" s="2">
        <v>12</v>
      </c>
      <c r="O37" s="2">
        <v>25</v>
      </c>
      <c r="P37" s="2">
        <v>29</v>
      </c>
      <c r="Q37" s="2">
        <v>16</v>
      </c>
      <c r="R37" s="2">
        <v>3</v>
      </c>
    </row>
    <row r="38" spans="1:19" x14ac:dyDescent="0.25">
      <c r="A38" s="2" t="s">
        <v>39</v>
      </c>
      <c r="B38" s="2"/>
      <c r="C38" s="2">
        <v>12</v>
      </c>
      <c r="D38" s="2">
        <v>18</v>
      </c>
      <c r="E38" s="2">
        <v>34</v>
      </c>
      <c r="F38" s="2">
        <v>23</v>
      </c>
      <c r="G38" s="2">
        <v>14</v>
      </c>
      <c r="H38" s="2">
        <v>14</v>
      </c>
      <c r="I38" s="2">
        <v>11</v>
      </c>
      <c r="J38" s="2">
        <v>8</v>
      </c>
      <c r="K38" s="2">
        <v>22</v>
      </c>
      <c r="L38" s="2">
        <v>17</v>
      </c>
      <c r="M38" s="2">
        <v>19</v>
      </c>
      <c r="N38" s="2">
        <v>23</v>
      </c>
      <c r="O38" s="2">
        <v>23</v>
      </c>
      <c r="P38" s="2">
        <v>20</v>
      </c>
      <c r="Q38" s="2">
        <v>15</v>
      </c>
      <c r="R38" s="2"/>
    </row>
    <row r="39" spans="1:19" x14ac:dyDescent="0.25">
      <c r="A39" s="7" t="s">
        <v>40</v>
      </c>
      <c r="B39" s="7">
        <f>ROUND((B38+B37+B36+B34+B32+B30)/6,0)</f>
        <v>1</v>
      </c>
      <c r="C39" s="7">
        <f t="shared" ref="C39:R39" si="113">ROUND((C38+C37+C36+C34+C32+C30)/6,0)</f>
        <v>16</v>
      </c>
      <c r="D39" s="7">
        <f t="shared" si="113"/>
        <v>26</v>
      </c>
      <c r="E39" s="7">
        <f t="shared" si="113"/>
        <v>32</v>
      </c>
      <c r="F39" s="7">
        <f t="shared" si="113"/>
        <v>22</v>
      </c>
      <c r="G39" s="7">
        <f t="shared" si="113"/>
        <v>14</v>
      </c>
      <c r="H39" s="7">
        <f t="shared" si="113"/>
        <v>13</v>
      </c>
      <c r="I39" s="7">
        <f t="shared" si="113"/>
        <v>12</v>
      </c>
      <c r="J39" s="7">
        <f t="shared" si="113"/>
        <v>10</v>
      </c>
      <c r="K39" s="7">
        <f t="shared" si="113"/>
        <v>16</v>
      </c>
      <c r="L39" s="7">
        <f t="shared" si="113"/>
        <v>14</v>
      </c>
      <c r="M39" s="7">
        <f t="shared" si="113"/>
        <v>21</v>
      </c>
      <c r="N39" s="7">
        <f t="shared" si="113"/>
        <v>20</v>
      </c>
      <c r="O39" s="7">
        <f t="shared" si="113"/>
        <v>24</v>
      </c>
      <c r="P39" s="7">
        <f t="shared" si="113"/>
        <v>21</v>
      </c>
      <c r="Q39" s="7">
        <f t="shared" si="113"/>
        <v>17</v>
      </c>
      <c r="R39" s="7">
        <f t="shared" si="113"/>
        <v>2</v>
      </c>
      <c r="S39" s="1">
        <f t="shared" ref="S39:S40" si="114">SUM(B39:R39)</f>
        <v>281</v>
      </c>
    </row>
    <row r="40" spans="1:19" x14ac:dyDescent="0.25">
      <c r="A40" s="12" t="s">
        <v>60</v>
      </c>
      <c r="B40" s="12">
        <v>1</v>
      </c>
      <c r="C40" s="12">
        <v>2</v>
      </c>
      <c r="D40" s="12">
        <v>3</v>
      </c>
      <c r="E40" s="12">
        <v>3</v>
      </c>
      <c r="F40" s="12">
        <v>2</v>
      </c>
      <c r="G40" s="12">
        <v>2</v>
      </c>
      <c r="H40" s="12">
        <v>2</v>
      </c>
      <c r="I40" s="12">
        <v>2</v>
      </c>
      <c r="J40" s="12">
        <v>2</v>
      </c>
      <c r="K40" s="12">
        <v>2</v>
      </c>
      <c r="L40" s="12">
        <v>2</v>
      </c>
      <c r="M40" s="12">
        <v>2</v>
      </c>
      <c r="N40" s="12">
        <v>2</v>
      </c>
      <c r="O40" s="12">
        <v>2</v>
      </c>
      <c r="P40" s="12">
        <v>2</v>
      </c>
      <c r="Q40" s="12">
        <v>2</v>
      </c>
      <c r="R40" s="2"/>
      <c r="S40" s="1">
        <f t="shared" si="114"/>
        <v>33</v>
      </c>
    </row>
    <row r="41" spans="1:19" x14ac:dyDescent="0.25">
      <c r="A41" s="12" t="s">
        <v>61</v>
      </c>
      <c r="B41" s="12">
        <v>1</v>
      </c>
      <c r="C41" s="12">
        <v>2</v>
      </c>
      <c r="D41" s="12">
        <v>3</v>
      </c>
      <c r="E41" s="12">
        <v>3</v>
      </c>
      <c r="F41" s="12">
        <v>2</v>
      </c>
      <c r="G41" s="12">
        <v>2</v>
      </c>
      <c r="H41" s="12">
        <v>2</v>
      </c>
      <c r="I41" s="12">
        <v>2</v>
      </c>
      <c r="J41" s="12">
        <v>2</v>
      </c>
      <c r="K41" s="12">
        <v>2</v>
      </c>
      <c r="L41" s="12">
        <v>2</v>
      </c>
      <c r="M41" s="12">
        <v>2</v>
      </c>
      <c r="N41" s="12">
        <v>2</v>
      </c>
      <c r="O41" s="12">
        <v>2</v>
      </c>
      <c r="P41" s="12">
        <v>2</v>
      </c>
      <c r="Q41" s="12">
        <v>2</v>
      </c>
      <c r="R41" s="2"/>
      <c r="S41" s="1">
        <f>SUM(B41:R41)</f>
        <v>33</v>
      </c>
    </row>
    <row r="43" spans="1:19" x14ac:dyDescent="0.25">
      <c r="A43" s="13" t="s">
        <v>75</v>
      </c>
    </row>
    <row r="44" spans="1:19" x14ac:dyDescent="0.25">
      <c r="A44" s="2" t="s">
        <v>85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/>
      <c r="K44" s="2"/>
      <c r="L44" s="2"/>
      <c r="M44" s="2"/>
      <c r="N44" s="2"/>
      <c r="O44" s="2"/>
      <c r="P44" s="2"/>
      <c r="Q44" s="2"/>
      <c r="R44" s="2"/>
    </row>
    <row r="45" spans="1:19" x14ac:dyDescent="0.25">
      <c r="A45" s="2" t="s">
        <v>78</v>
      </c>
      <c r="B45" s="2"/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/>
      <c r="L45" s="2"/>
      <c r="M45" s="2"/>
      <c r="N45" s="2"/>
      <c r="O45" s="2"/>
      <c r="P45" s="2"/>
      <c r="Q45" s="2"/>
      <c r="R45" s="2"/>
    </row>
    <row r="46" spans="1:19" x14ac:dyDescent="0.25">
      <c r="A46" s="2" t="s">
        <v>86</v>
      </c>
      <c r="B46" s="2"/>
      <c r="C46" s="2"/>
      <c r="D46" s="2"/>
      <c r="E46" s="2"/>
      <c r="F46" s="2"/>
      <c r="G46" s="2"/>
      <c r="H46" s="2"/>
      <c r="I46" s="2"/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/>
    </row>
    <row r="47" spans="1:19" x14ac:dyDescent="0.25">
      <c r="A47" s="2" t="s">
        <v>86</v>
      </c>
      <c r="B47" s="2"/>
      <c r="C47" s="2"/>
      <c r="D47" s="2"/>
      <c r="E47" s="2"/>
      <c r="F47" s="2"/>
      <c r="G47" s="2"/>
      <c r="H47" s="2"/>
      <c r="I47" s="2"/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/>
    </row>
    <row r="48" spans="1:19" x14ac:dyDescent="0.25">
      <c r="A48" s="2" t="s">
        <v>159</v>
      </c>
      <c r="B48" s="2"/>
      <c r="C48" s="2"/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/>
      <c r="M48" s="2"/>
      <c r="N48" s="2"/>
      <c r="O48" s="2"/>
      <c r="P48" s="2"/>
      <c r="Q48" s="2"/>
      <c r="R48" s="2"/>
    </row>
    <row r="49" spans="1:19" x14ac:dyDescent="0.25">
      <c r="A49" s="2" t="s">
        <v>66</v>
      </c>
      <c r="B49" s="2">
        <f>SUM(B44:B48)</f>
        <v>1</v>
      </c>
      <c r="C49" s="2">
        <f t="shared" ref="C49:R49" si="115">SUM(C44:C48)</f>
        <v>2</v>
      </c>
      <c r="D49" s="2">
        <f t="shared" si="115"/>
        <v>3</v>
      </c>
      <c r="E49" s="2">
        <f t="shared" si="115"/>
        <v>3</v>
      </c>
      <c r="F49" s="2">
        <f t="shared" si="115"/>
        <v>3</v>
      </c>
      <c r="G49" s="2">
        <f t="shared" si="115"/>
        <v>3</v>
      </c>
      <c r="H49" s="2">
        <f t="shared" si="115"/>
        <v>3</v>
      </c>
      <c r="I49" s="2">
        <f t="shared" si="115"/>
        <v>3</v>
      </c>
      <c r="J49" s="2">
        <f t="shared" si="115"/>
        <v>4</v>
      </c>
      <c r="K49" s="2">
        <f t="shared" si="115"/>
        <v>3</v>
      </c>
      <c r="L49" s="2">
        <f t="shared" si="115"/>
        <v>2</v>
      </c>
      <c r="M49" s="2">
        <f t="shared" si="115"/>
        <v>2</v>
      </c>
      <c r="N49" s="2">
        <f t="shared" si="115"/>
        <v>2</v>
      </c>
      <c r="O49" s="2">
        <f t="shared" si="115"/>
        <v>2</v>
      </c>
      <c r="P49" s="2">
        <f t="shared" si="115"/>
        <v>2</v>
      </c>
      <c r="Q49" s="2">
        <f t="shared" si="115"/>
        <v>2</v>
      </c>
      <c r="R49" s="2">
        <f t="shared" si="115"/>
        <v>0</v>
      </c>
      <c r="S49" s="1">
        <f>SUM(B49:R49)</f>
        <v>40</v>
      </c>
    </row>
    <row r="51" spans="1:19" x14ac:dyDescent="0.25">
      <c r="A51" s="2" t="s">
        <v>22</v>
      </c>
      <c r="B51" s="2"/>
      <c r="C51" s="2"/>
      <c r="E51" s="1" t="s">
        <v>64</v>
      </c>
      <c r="F51" s="1" t="s">
        <v>70</v>
      </c>
    </row>
    <row r="52" spans="1:19" x14ac:dyDescent="0.25">
      <c r="A52" s="3" t="s">
        <v>0</v>
      </c>
      <c r="B52" s="2"/>
      <c r="C52" s="2"/>
      <c r="E52" s="1" t="s">
        <v>69</v>
      </c>
      <c r="F52" s="1" t="s">
        <v>71</v>
      </c>
    </row>
    <row r="53" spans="1:19" x14ac:dyDescent="0.25">
      <c r="A53" s="2" t="s">
        <v>53</v>
      </c>
      <c r="B53" s="2">
        <f>22.5-7</f>
        <v>15.5</v>
      </c>
      <c r="C53" s="2" t="s">
        <v>24</v>
      </c>
      <c r="E53" s="1">
        <f>D69</f>
        <v>40</v>
      </c>
      <c r="F53" s="1" t="s">
        <v>24</v>
      </c>
      <c r="G53" s="1">
        <f>E53/B53</f>
        <v>2.5806451612903225</v>
      </c>
      <c r="H53" s="1" t="s">
        <v>76</v>
      </c>
    </row>
    <row r="54" spans="1:19" x14ac:dyDescent="0.25">
      <c r="A54" s="3" t="s">
        <v>2</v>
      </c>
      <c r="B54" s="2"/>
      <c r="C54" s="2"/>
    </row>
    <row r="55" spans="1:19" x14ac:dyDescent="0.25">
      <c r="A55" s="2" t="s">
        <v>53</v>
      </c>
      <c r="B55" s="2">
        <f>22.5-7</f>
        <v>15.5</v>
      </c>
      <c r="C55" s="2" t="s">
        <v>24</v>
      </c>
      <c r="E55" s="1">
        <f>D77</f>
        <v>48</v>
      </c>
      <c r="F55" s="1" t="s">
        <v>24</v>
      </c>
      <c r="G55" s="1">
        <f>E55/B55</f>
        <v>3.096774193548387</v>
      </c>
      <c r="H55" s="1" t="s">
        <v>76</v>
      </c>
    </row>
    <row r="61" spans="1:19" x14ac:dyDescent="0.25">
      <c r="A61" s="2"/>
      <c r="B61" s="2" t="s">
        <v>26</v>
      </c>
      <c r="C61" s="2" t="s">
        <v>27</v>
      </c>
    </row>
    <row r="62" spans="1:19" x14ac:dyDescent="0.25">
      <c r="A62" s="3" t="s">
        <v>0</v>
      </c>
      <c r="B62" s="2"/>
      <c r="C62" s="2"/>
      <c r="D62" s="2"/>
    </row>
    <row r="63" spans="1:19" x14ac:dyDescent="0.25">
      <c r="A63" s="2" t="s">
        <v>85</v>
      </c>
      <c r="B63" s="2" t="s">
        <v>67</v>
      </c>
      <c r="C63" s="2">
        <v>1</v>
      </c>
      <c r="D63" s="2">
        <f>C63*8</f>
        <v>8</v>
      </c>
    </row>
    <row r="64" spans="1:19" x14ac:dyDescent="0.25">
      <c r="A64" s="2" t="s">
        <v>85</v>
      </c>
      <c r="B64" s="2" t="s">
        <v>67</v>
      </c>
      <c r="C64" s="2">
        <v>1</v>
      </c>
      <c r="D64" s="2">
        <f>C64*8</f>
        <v>8</v>
      </c>
    </row>
    <row r="65" spans="1:14" x14ac:dyDescent="0.25">
      <c r="A65" s="2" t="s">
        <v>86</v>
      </c>
      <c r="B65" s="2" t="s">
        <v>67</v>
      </c>
      <c r="C65" s="2">
        <v>1</v>
      </c>
      <c r="D65" s="2">
        <v>8</v>
      </c>
      <c r="F65" s="8" t="s">
        <v>114</v>
      </c>
      <c r="G65" s="3" t="s">
        <v>67</v>
      </c>
      <c r="H65" s="3" t="s">
        <v>68</v>
      </c>
      <c r="I65" s="3" t="s">
        <v>90</v>
      </c>
    </row>
    <row r="66" spans="1:14" x14ac:dyDescent="0.25">
      <c r="A66" s="2" t="s">
        <v>86</v>
      </c>
      <c r="B66" s="2" t="s">
        <v>67</v>
      </c>
      <c r="C66" s="2">
        <v>1</v>
      </c>
      <c r="D66" s="2">
        <v>8</v>
      </c>
      <c r="F66" s="11">
        <f>SUM(G66:I66)</f>
        <v>6</v>
      </c>
      <c r="G66" s="2">
        <v>5</v>
      </c>
      <c r="H66" s="2"/>
      <c r="I66" s="2">
        <v>1</v>
      </c>
    </row>
    <row r="67" spans="1:14" x14ac:dyDescent="0.25">
      <c r="A67" s="2" t="s">
        <v>92</v>
      </c>
      <c r="B67" s="2" t="s">
        <v>67</v>
      </c>
      <c r="C67" s="2">
        <v>1</v>
      </c>
      <c r="D67" s="2">
        <v>8</v>
      </c>
    </row>
    <row r="68" spans="1:14" x14ac:dyDescent="0.25">
      <c r="A68" s="2" t="s">
        <v>88</v>
      </c>
      <c r="B68" s="2"/>
      <c r="C68" s="2">
        <v>1</v>
      </c>
      <c r="D68" s="2"/>
      <c r="F68" s="8" t="s">
        <v>89</v>
      </c>
      <c r="G68" s="3" t="s">
        <v>67</v>
      </c>
      <c r="H68" s="3" t="s">
        <v>68</v>
      </c>
      <c r="I68" s="3" t="s">
        <v>90</v>
      </c>
      <c r="K68" s="8" t="s">
        <v>93</v>
      </c>
      <c r="L68" s="3" t="s">
        <v>67</v>
      </c>
      <c r="M68" s="3" t="s">
        <v>68</v>
      </c>
      <c r="N68" s="3" t="s">
        <v>90</v>
      </c>
    </row>
    <row r="69" spans="1:14" x14ac:dyDescent="0.25">
      <c r="A69" s="3" t="s">
        <v>66</v>
      </c>
      <c r="B69" s="3"/>
      <c r="C69" s="3">
        <f>SUM(C63:C68)</f>
        <v>6</v>
      </c>
      <c r="D69" s="3">
        <f>SUM(D63:D68)</f>
        <v>40</v>
      </c>
      <c r="F69" s="11">
        <f>SUM(G69:I69)</f>
        <v>8</v>
      </c>
      <c r="G69" s="2">
        <v>5</v>
      </c>
      <c r="H69" s="2">
        <v>2</v>
      </c>
      <c r="I69" s="2">
        <v>1</v>
      </c>
      <c r="K69" s="11">
        <f>F69-F66</f>
        <v>2</v>
      </c>
      <c r="L69" s="11">
        <f t="shared" ref="L69:N69" si="116">G69-G66</f>
        <v>0</v>
      </c>
      <c r="M69" s="11">
        <f t="shared" si="116"/>
        <v>2</v>
      </c>
      <c r="N69" s="11">
        <f t="shared" si="116"/>
        <v>0</v>
      </c>
    </row>
    <row r="70" spans="1:14" x14ac:dyDescent="0.25">
      <c r="A70" s="3" t="s">
        <v>2</v>
      </c>
      <c r="B70" s="2"/>
      <c r="C70" s="2"/>
      <c r="D70" s="2"/>
    </row>
    <row r="71" spans="1:14" x14ac:dyDescent="0.25">
      <c r="A71" s="2" t="s">
        <v>85</v>
      </c>
      <c r="B71" s="2" t="s">
        <v>67</v>
      </c>
      <c r="C71" s="2">
        <v>1</v>
      </c>
      <c r="D71" s="2">
        <f>C71*8</f>
        <v>8</v>
      </c>
    </row>
    <row r="72" spans="1:14" x14ac:dyDescent="0.25">
      <c r="A72" s="2" t="s">
        <v>78</v>
      </c>
      <c r="B72" s="2" t="s">
        <v>67</v>
      </c>
      <c r="C72" s="2">
        <v>1</v>
      </c>
      <c r="D72" s="2">
        <f t="shared" ref="D72:D73" si="117">C72*8</f>
        <v>8</v>
      </c>
    </row>
    <row r="73" spans="1:14" x14ac:dyDescent="0.25">
      <c r="A73" s="2" t="s">
        <v>86</v>
      </c>
      <c r="B73" s="2" t="s">
        <v>67</v>
      </c>
      <c r="C73" s="2">
        <v>1</v>
      </c>
      <c r="D73" s="2">
        <f t="shared" si="117"/>
        <v>8</v>
      </c>
    </row>
    <row r="74" spans="1:14" x14ac:dyDescent="0.25">
      <c r="A74" s="2" t="s">
        <v>86</v>
      </c>
      <c r="B74" s="2" t="s">
        <v>67</v>
      </c>
      <c r="C74" s="2">
        <v>1</v>
      </c>
      <c r="D74" s="2">
        <f>C74*8</f>
        <v>8</v>
      </c>
    </row>
    <row r="75" spans="1:14" x14ac:dyDescent="0.25">
      <c r="A75" s="2" t="s">
        <v>92</v>
      </c>
      <c r="B75" s="2" t="s">
        <v>67</v>
      </c>
      <c r="C75" s="2">
        <v>1</v>
      </c>
      <c r="D75" s="2">
        <v>8</v>
      </c>
    </row>
    <row r="76" spans="1:14" x14ac:dyDescent="0.25">
      <c r="A76" s="2" t="s">
        <v>88</v>
      </c>
      <c r="B76" s="2"/>
      <c r="C76" s="2">
        <v>1</v>
      </c>
      <c r="D76" s="2">
        <v>8</v>
      </c>
    </row>
    <row r="77" spans="1:14" x14ac:dyDescent="0.25">
      <c r="A77" s="3" t="s">
        <v>66</v>
      </c>
      <c r="B77" s="3"/>
      <c r="C77" s="3">
        <f>SUM(C71:C76)</f>
        <v>6</v>
      </c>
      <c r="D77" s="3">
        <f>SUM(D71:D76)</f>
        <v>48</v>
      </c>
    </row>
    <row r="78" spans="1:14" x14ac:dyDescent="0.25">
      <c r="F78" s="1" t="s">
        <v>94</v>
      </c>
      <c r="G78" s="1" t="s">
        <v>95</v>
      </c>
      <c r="H78" s="1" t="s">
        <v>99</v>
      </c>
    </row>
    <row r="79" spans="1:14" ht="25.5" x14ac:dyDescent="0.35">
      <c r="A79" s="14" t="s">
        <v>84</v>
      </c>
      <c r="B79" s="15"/>
      <c r="C79" s="15"/>
      <c r="D79" s="15"/>
      <c r="E79" s="15"/>
      <c r="F79" s="1" t="s">
        <v>104</v>
      </c>
      <c r="G79" s="1" t="s">
        <v>105</v>
      </c>
      <c r="H79" s="1" t="s">
        <v>100</v>
      </c>
    </row>
    <row r="81" spans="1:12" x14ac:dyDescent="0.25">
      <c r="A81" s="8" t="s">
        <v>80</v>
      </c>
      <c r="B81" s="8" t="s">
        <v>81</v>
      </c>
      <c r="C81" s="8" t="s">
        <v>82</v>
      </c>
      <c r="D81" s="8" t="s">
        <v>66</v>
      </c>
    </row>
    <row r="82" spans="1:12" x14ac:dyDescent="0.25">
      <c r="A82" s="3" t="s">
        <v>0</v>
      </c>
      <c r="B82" s="2">
        <v>375</v>
      </c>
      <c r="C82" s="2">
        <v>74</v>
      </c>
      <c r="D82" s="8">
        <f>B82+C82</f>
        <v>449</v>
      </c>
    </row>
    <row r="83" spans="1:12" x14ac:dyDescent="0.25">
      <c r="A83" s="3" t="s">
        <v>2</v>
      </c>
      <c r="B83" s="2">
        <v>465</v>
      </c>
      <c r="C83" s="2">
        <v>73</v>
      </c>
      <c r="D83" s="8">
        <f>B83+C83</f>
        <v>538</v>
      </c>
    </row>
    <row r="85" spans="1:12" x14ac:dyDescent="0.25">
      <c r="A85" s="8" t="s">
        <v>103</v>
      </c>
      <c r="B85" s="3" t="s">
        <v>67</v>
      </c>
      <c r="C85" s="8" t="s">
        <v>101</v>
      </c>
      <c r="D85" s="3" t="s">
        <v>90</v>
      </c>
      <c r="F85" s="8" t="s">
        <v>89</v>
      </c>
      <c r="G85" s="3" t="s">
        <v>67</v>
      </c>
      <c r="H85" s="3" t="s">
        <v>90</v>
      </c>
      <c r="J85" s="8" t="s">
        <v>102</v>
      </c>
      <c r="K85" s="3" t="s">
        <v>67</v>
      </c>
      <c r="L85" s="3" t="s">
        <v>90</v>
      </c>
    </row>
    <row r="86" spans="1:12" x14ac:dyDescent="0.25">
      <c r="A86" s="11">
        <f>SUM(B86:D86)</f>
        <v>6</v>
      </c>
      <c r="B86" s="2">
        <v>4</v>
      </c>
      <c r="C86" s="2">
        <v>1</v>
      </c>
      <c r="D86" s="2">
        <v>1</v>
      </c>
      <c r="F86" s="11">
        <f>SUM(G86:H86)</f>
        <v>5</v>
      </c>
      <c r="G86" s="2">
        <v>4</v>
      </c>
      <c r="H86" s="2">
        <v>1</v>
      </c>
      <c r="J86" s="11">
        <f>A86-F86</f>
        <v>1</v>
      </c>
      <c r="K86" s="2">
        <v>1</v>
      </c>
      <c r="L86" s="2"/>
    </row>
    <row r="87" spans="1:12" x14ac:dyDescent="0.25">
      <c r="J87" s="1" t="s">
        <v>156</v>
      </c>
    </row>
  </sheetData>
  <pageMargins left="0" right="0" top="0" bottom="0" header="0" footer="0"/>
  <pageSetup paperSize="9" scale="63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V112"/>
  <sheetViews>
    <sheetView workbookViewId="0">
      <pane xSplit="1" ySplit="4" topLeftCell="B77" activePane="bottomRight" state="frozen"/>
      <selection pane="topRight" activeCell="B1" sqref="B1"/>
      <selection pane="bottomLeft" activeCell="A5" sqref="A5"/>
      <selection pane="bottomRight" activeCell="A83" sqref="A83"/>
    </sheetView>
  </sheetViews>
  <sheetFormatPr defaultRowHeight="15.75" x14ac:dyDescent="0.25"/>
  <cols>
    <col min="1" max="1" width="33.5703125" style="1" bestFit="1" customWidth="1"/>
    <col min="2" max="2" width="15" style="1" bestFit="1" customWidth="1"/>
    <col min="3" max="5" width="14.5703125" style="1" bestFit="1" customWidth="1"/>
    <col min="6" max="6" width="15.7109375" style="1" bestFit="1" customWidth="1"/>
    <col min="7" max="12" width="14.5703125" style="1" bestFit="1" customWidth="1"/>
    <col min="13" max="13" width="15.7109375" style="1" bestFit="1" customWidth="1"/>
    <col min="14" max="17" width="14.5703125" style="1" bestFit="1" customWidth="1"/>
    <col min="18" max="18" width="12.7109375" style="1" bestFit="1" customWidth="1"/>
    <col min="19" max="19" width="14" style="1" bestFit="1" customWidth="1"/>
    <col min="20" max="16384" width="9.140625" style="1"/>
  </cols>
  <sheetData>
    <row r="2" spans="1:18" ht="25.5" x14ac:dyDescent="0.35">
      <c r="A2" s="14" t="s">
        <v>83</v>
      </c>
      <c r="B2" s="15"/>
      <c r="C2" s="15"/>
      <c r="D2" s="15"/>
      <c r="E2" s="15"/>
    </row>
    <row r="4" spans="1:18" x14ac:dyDescent="0.25">
      <c r="A4" s="2"/>
      <c r="B4" s="3" t="s">
        <v>29</v>
      </c>
      <c r="C4" s="3" t="s">
        <v>21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</row>
    <row r="5" spans="1:18" x14ac:dyDescent="0.25">
      <c r="A5" s="5" t="s">
        <v>0</v>
      </c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s="43" customFormat="1" x14ac:dyDescent="0.25">
      <c r="A6" s="42" t="s">
        <v>28</v>
      </c>
      <c r="B6" s="42">
        <v>1210917</v>
      </c>
      <c r="C6" s="42">
        <v>5192732</v>
      </c>
      <c r="D6" s="42">
        <v>6666372</v>
      </c>
      <c r="E6" s="42">
        <v>4871083</v>
      </c>
      <c r="F6" s="42">
        <v>4233632</v>
      </c>
      <c r="G6" s="42">
        <v>2764092</v>
      </c>
      <c r="H6" s="42">
        <v>6174566</v>
      </c>
      <c r="I6" s="42">
        <v>5714543</v>
      </c>
      <c r="J6" s="42">
        <v>4409819</v>
      </c>
      <c r="K6" s="42">
        <v>6188451</v>
      </c>
      <c r="L6" s="42">
        <v>7064169</v>
      </c>
      <c r="M6" s="42">
        <v>7851095</v>
      </c>
      <c r="N6" s="42">
        <v>7979178</v>
      </c>
      <c r="O6" s="42">
        <v>8686357</v>
      </c>
      <c r="P6" s="42">
        <v>5777270</v>
      </c>
      <c r="Q6" s="42">
        <v>4615453</v>
      </c>
      <c r="R6" s="42">
        <v>471819</v>
      </c>
    </row>
    <row r="7" spans="1:18" s="43" customFormat="1" x14ac:dyDescent="0.25">
      <c r="A7" s="44">
        <v>5</v>
      </c>
      <c r="B7" s="44">
        <f>ROUND(B6/$A$7,0)</f>
        <v>242183</v>
      </c>
      <c r="C7" s="44">
        <f>ROUND(C6/$A$7,0)</f>
        <v>1038546</v>
      </c>
      <c r="D7" s="44">
        <f t="shared" ref="D7:R7" si="0">ROUND(D6/$A$7,0)</f>
        <v>1333274</v>
      </c>
      <c r="E7" s="44">
        <f t="shared" si="0"/>
        <v>974217</v>
      </c>
      <c r="F7" s="44">
        <f t="shared" si="0"/>
        <v>846726</v>
      </c>
      <c r="G7" s="44">
        <f t="shared" si="0"/>
        <v>552818</v>
      </c>
      <c r="H7" s="44">
        <f t="shared" si="0"/>
        <v>1234913</v>
      </c>
      <c r="I7" s="44">
        <f t="shared" si="0"/>
        <v>1142909</v>
      </c>
      <c r="J7" s="44">
        <f t="shared" si="0"/>
        <v>881964</v>
      </c>
      <c r="K7" s="44">
        <f t="shared" si="0"/>
        <v>1237690</v>
      </c>
      <c r="L7" s="44">
        <f t="shared" si="0"/>
        <v>1412834</v>
      </c>
      <c r="M7" s="44">
        <f t="shared" si="0"/>
        <v>1570219</v>
      </c>
      <c r="N7" s="44">
        <f t="shared" si="0"/>
        <v>1595836</v>
      </c>
      <c r="O7" s="44">
        <f t="shared" si="0"/>
        <v>1737271</v>
      </c>
      <c r="P7" s="44">
        <f t="shared" si="0"/>
        <v>1155454</v>
      </c>
      <c r="Q7" s="44">
        <f t="shared" si="0"/>
        <v>923091</v>
      </c>
      <c r="R7" s="44">
        <f t="shared" si="0"/>
        <v>94364</v>
      </c>
    </row>
    <row r="8" spans="1:18" s="43" customFormat="1" x14ac:dyDescent="0.25">
      <c r="A8" s="42" t="s">
        <v>31</v>
      </c>
      <c r="B8" s="42">
        <v>739098</v>
      </c>
      <c r="C8" s="42">
        <v>6803646</v>
      </c>
      <c r="D8" s="42">
        <v>8463640</v>
      </c>
      <c r="E8" s="42">
        <v>5654179</v>
      </c>
      <c r="F8" s="42">
        <v>7492731</v>
      </c>
      <c r="G8" s="42">
        <v>4442728</v>
      </c>
      <c r="H8" s="42">
        <v>3218186</v>
      </c>
      <c r="I8" s="42">
        <v>2084546</v>
      </c>
      <c r="J8" s="42">
        <v>2778181</v>
      </c>
      <c r="K8" s="42">
        <v>4263641</v>
      </c>
      <c r="L8" s="42">
        <v>5863363</v>
      </c>
      <c r="M8" s="42">
        <v>8072734</v>
      </c>
      <c r="N8" s="42">
        <v>7719097</v>
      </c>
      <c r="O8" s="42">
        <v>9542998</v>
      </c>
      <c r="P8" s="42">
        <v>4775448</v>
      </c>
      <c r="Q8" s="42">
        <v>4239091</v>
      </c>
      <c r="R8" s="42">
        <v>276364</v>
      </c>
    </row>
    <row r="9" spans="1:18" s="43" customFormat="1" x14ac:dyDescent="0.25">
      <c r="A9" s="44">
        <v>5</v>
      </c>
      <c r="B9" s="44">
        <f>ROUND(B8/$A$7,0)</f>
        <v>147820</v>
      </c>
      <c r="C9" s="44">
        <f>ROUND(C8/$A$7,0)</f>
        <v>1360729</v>
      </c>
      <c r="D9" s="44">
        <f t="shared" ref="D9:R9" si="1">ROUND(D8/$A$7,0)</f>
        <v>1692728</v>
      </c>
      <c r="E9" s="44">
        <f t="shared" si="1"/>
        <v>1130836</v>
      </c>
      <c r="F9" s="44">
        <f t="shared" si="1"/>
        <v>1498546</v>
      </c>
      <c r="G9" s="44">
        <f t="shared" si="1"/>
        <v>888546</v>
      </c>
      <c r="H9" s="44">
        <f t="shared" si="1"/>
        <v>643637</v>
      </c>
      <c r="I9" s="44">
        <f t="shared" si="1"/>
        <v>416909</v>
      </c>
      <c r="J9" s="44">
        <f t="shared" si="1"/>
        <v>555636</v>
      </c>
      <c r="K9" s="44">
        <f t="shared" si="1"/>
        <v>852728</v>
      </c>
      <c r="L9" s="44">
        <f t="shared" si="1"/>
        <v>1172673</v>
      </c>
      <c r="M9" s="44">
        <f t="shared" si="1"/>
        <v>1614547</v>
      </c>
      <c r="N9" s="44">
        <f t="shared" si="1"/>
        <v>1543819</v>
      </c>
      <c r="O9" s="44">
        <f t="shared" si="1"/>
        <v>1908600</v>
      </c>
      <c r="P9" s="44">
        <f t="shared" si="1"/>
        <v>955090</v>
      </c>
      <c r="Q9" s="44">
        <f t="shared" si="1"/>
        <v>847818</v>
      </c>
      <c r="R9" s="44">
        <f t="shared" si="1"/>
        <v>55273</v>
      </c>
    </row>
    <row r="10" spans="1:18" s="43" customFormat="1" x14ac:dyDescent="0.25">
      <c r="A10" s="42" t="s">
        <v>33</v>
      </c>
      <c r="B10" s="42">
        <v>996734</v>
      </c>
      <c r="C10" s="42">
        <v>4533640</v>
      </c>
      <c r="D10" s="42">
        <v>7686377</v>
      </c>
      <c r="E10" s="42">
        <v>5475995</v>
      </c>
      <c r="F10" s="42">
        <v>6144087</v>
      </c>
      <c r="G10" s="42">
        <v>3650912</v>
      </c>
      <c r="H10" s="42">
        <v>2905910</v>
      </c>
      <c r="I10" s="42">
        <v>3457000</v>
      </c>
      <c r="J10" s="42">
        <v>3796090</v>
      </c>
      <c r="K10" s="42">
        <v>5189367</v>
      </c>
      <c r="L10" s="42">
        <v>6685459</v>
      </c>
      <c r="M10" s="42">
        <v>10379462</v>
      </c>
      <c r="N10" s="42">
        <v>8116003</v>
      </c>
      <c r="O10" s="42">
        <v>7742273</v>
      </c>
      <c r="P10" s="42">
        <v>6345457</v>
      </c>
      <c r="Q10" s="42">
        <v>3753636</v>
      </c>
      <c r="R10" s="42">
        <v>470910</v>
      </c>
    </row>
    <row r="11" spans="1:18" s="43" customFormat="1" x14ac:dyDescent="0.25">
      <c r="A11" s="44">
        <v>5</v>
      </c>
      <c r="B11" s="44">
        <f>ROUND(B10/$A$7,0)</f>
        <v>199347</v>
      </c>
      <c r="C11" s="44">
        <f>ROUND(C10/$A$7,0)</f>
        <v>906728</v>
      </c>
      <c r="D11" s="44">
        <f>ROUND(D10/$A$7,0)</f>
        <v>1537275</v>
      </c>
      <c r="E11" s="44">
        <f>ROUND(E10/$A$7,0)</f>
        <v>1095199</v>
      </c>
      <c r="F11" s="44">
        <f t="shared" ref="F11:R11" si="2">ROUND(F10/$A$7,0)</f>
        <v>1228817</v>
      </c>
      <c r="G11" s="44">
        <f t="shared" si="2"/>
        <v>730182</v>
      </c>
      <c r="H11" s="44">
        <f t="shared" si="2"/>
        <v>581182</v>
      </c>
      <c r="I11" s="44">
        <f t="shared" si="2"/>
        <v>691400</v>
      </c>
      <c r="J11" s="44">
        <f t="shared" si="2"/>
        <v>759218</v>
      </c>
      <c r="K11" s="44">
        <f t="shared" si="2"/>
        <v>1037873</v>
      </c>
      <c r="L11" s="44">
        <f t="shared" si="2"/>
        <v>1337092</v>
      </c>
      <c r="M11" s="44">
        <f t="shared" si="2"/>
        <v>2075892</v>
      </c>
      <c r="N11" s="44">
        <f t="shared" si="2"/>
        <v>1623201</v>
      </c>
      <c r="O11" s="44">
        <f t="shared" si="2"/>
        <v>1548455</v>
      </c>
      <c r="P11" s="44">
        <f t="shared" si="2"/>
        <v>1269091</v>
      </c>
      <c r="Q11" s="44">
        <f t="shared" si="2"/>
        <v>750727</v>
      </c>
      <c r="R11" s="44">
        <f t="shared" si="2"/>
        <v>94182</v>
      </c>
    </row>
    <row r="12" spans="1:18" s="43" customFormat="1" x14ac:dyDescent="0.25">
      <c r="A12" s="42" t="s">
        <v>35</v>
      </c>
      <c r="B12" s="42">
        <v>1802732</v>
      </c>
      <c r="C12" s="42">
        <v>5124010</v>
      </c>
      <c r="D12" s="42">
        <v>8476372</v>
      </c>
      <c r="E12" s="42">
        <v>6487279</v>
      </c>
      <c r="F12" s="42">
        <v>4468641</v>
      </c>
      <c r="G12" s="42">
        <v>3410004</v>
      </c>
      <c r="H12" s="42">
        <v>3219088</v>
      </c>
      <c r="I12" s="42">
        <v>1587271</v>
      </c>
      <c r="J12" s="42">
        <v>4389999</v>
      </c>
      <c r="K12" s="42">
        <v>6422464</v>
      </c>
      <c r="L12" s="42">
        <v>5399094</v>
      </c>
      <c r="M12" s="42">
        <v>8306363</v>
      </c>
      <c r="N12" s="42">
        <v>8056451</v>
      </c>
      <c r="O12" s="42">
        <v>8971914</v>
      </c>
      <c r="P12" s="42">
        <v>7519086</v>
      </c>
      <c r="Q12" s="42">
        <v>3497909</v>
      </c>
      <c r="R12" s="42">
        <v>263637</v>
      </c>
    </row>
    <row r="13" spans="1:18" s="43" customFormat="1" x14ac:dyDescent="0.25">
      <c r="A13" s="44">
        <v>5</v>
      </c>
      <c r="B13" s="44">
        <f>ROUND(B12/$A$7,0)</f>
        <v>360546</v>
      </c>
      <c r="C13" s="44">
        <f>ROUND(C12/$A$7,0)</f>
        <v>1024802</v>
      </c>
      <c r="D13" s="44">
        <f t="shared" ref="D13:R13" si="3">ROUND(D12/$A$7,0)</f>
        <v>1695274</v>
      </c>
      <c r="E13" s="44">
        <f t="shared" si="3"/>
        <v>1297456</v>
      </c>
      <c r="F13" s="44">
        <f t="shared" si="3"/>
        <v>893728</v>
      </c>
      <c r="G13" s="44">
        <f t="shared" si="3"/>
        <v>682001</v>
      </c>
      <c r="H13" s="44">
        <f t="shared" si="3"/>
        <v>643818</v>
      </c>
      <c r="I13" s="44">
        <f t="shared" si="3"/>
        <v>317454</v>
      </c>
      <c r="J13" s="44">
        <f t="shared" si="3"/>
        <v>878000</v>
      </c>
      <c r="K13" s="44">
        <f t="shared" si="3"/>
        <v>1284493</v>
      </c>
      <c r="L13" s="44">
        <f t="shared" si="3"/>
        <v>1079819</v>
      </c>
      <c r="M13" s="44">
        <f t="shared" si="3"/>
        <v>1661273</v>
      </c>
      <c r="N13" s="44">
        <f t="shared" si="3"/>
        <v>1611290</v>
      </c>
      <c r="O13" s="44">
        <f t="shared" si="3"/>
        <v>1794383</v>
      </c>
      <c r="P13" s="44">
        <f t="shared" si="3"/>
        <v>1503817</v>
      </c>
      <c r="Q13" s="44">
        <f t="shared" si="3"/>
        <v>699582</v>
      </c>
      <c r="R13" s="44">
        <f t="shared" si="3"/>
        <v>52727</v>
      </c>
    </row>
    <row r="14" spans="1:18" s="43" customFormat="1" x14ac:dyDescent="0.25">
      <c r="A14" s="42" t="s">
        <v>37</v>
      </c>
      <c r="B14" s="42">
        <v>588184</v>
      </c>
      <c r="C14" s="42">
        <v>3935458</v>
      </c>
      <c r="D14" s="42">
        <v>8335459</v>
      </c>
      <c r="E14" s="42">
        <v>5283640</v>
      </c>
      <c r="F14" s="42">
        <v>5370002</v>
      </c>
      <c r="G14" s="42">
        <v>5654542</v>
      </c>
      <c r="H14" s="42">
        <v>7833654</v>
      </c>
      <c r="I14" s="42">
        <v>4036001</v>
      </c>
      <c r="J14" s="42">
        <v>4052003</v>
      </c>
      <c r="K14" s="42">
        <v>5048180</v>
      </c>
      <c r="L14" s="42">
        <v>7279991</v>
      </c>
      <c r="M14" s="42">
        <v>12510824</v>
      </c>
      <c r="N14" s="42">
        <v>8829911</v>
      </c>
      <c r="O14" s="42">
        <v>7908359</v>
      </c>
      <c r="P14" s="42">
        <v>9353284</v>
      </c>
      <c r="Q14" s="42">
        <v>4470005</v>
      </c>
      <c r="R14" s="42">
        <v>833817</v>
      </c>
    </row>
    <row r="15" spans="1:18" s="43" customFormat="1" x14ac:dyDescent="0.25">
      <c r="A15" s="44">
        <v>5</v>
      </c>
      <c r="B15" s="44">
        <f>ROUND(B14/$A$7,0)</f>
        <v>117637</v>
      </c>
      <c r="C15" s="44">
        <f>ROUND(C14/$A$7,0)</f>
        <v>787092</v>
      </c>
      <c r="D15" s="44">
        <f t="shared" ref="D15:R15" si="4">ROUND(D14/$A$7,0)</f>
        <v>1667092</v>
      </c>
      <c r="E15" s="44">
        <f t="shared" si="4"/>
        <v>1056728</v>
      </c>
      <c r="F15" s="44">
        <f t="shared" si="4"/>
        <v>1074000</v>
      </c>
      <c r="G15" s="44">
        <f t="shared" si="4"/>
        <v>1130908</v>
      </c>
      <c r="H15" s="44">
        <f t="shared" si="4"/>
        <v>1566731</v>
      </c>
      <c r="I15" s="44">
        <f t="shared" si="4"/>
        <v>807200</v>
      </c>
      <c r="J15" s="44">
        <f t="shared" si="4"/>
        <v>810401</v>
      </c>
      <c r="K15" s="44">
        <f t="shared" si="4"/>
        <v>1009636</v>
      </c>
      <c r="L15" s="44">
        <f t="shared" si="4"/>
        <v>1455998</v>
      </c>
      <c r="M15" s="44">
        <f t="shared" si="4"/>
        <v>2502165</v>
      </c>
      <c r="N15" s="44">
        <f t="shared" si="4"/>
        <v>1765982</v>
      </c>
      <c r="O15" s="44">
        <f t="shared" si="4"/>
        <v>1581672</v>
      </c>
      <c r="P15" s="44">
        <f t="shared" si="4"/>
        <v>1870657</v>
      </c>
      <c r="Q15" s="44">
        <f t="shared" si="4"/>
        <v>894001</v>
      </c>
      <c r="R15" s="44">
        <f t="shared" si="4"/>
        <v>166763</v>
      </c>
    </row>
    <row r="16" spans="1:18" s="43" customFormat="1" x14ac:dyDescent="0.25">
      <c r="A16" s="70" t="s">
        <v>40</v>
      </c>
      <c r="B16" s="70">
        <f>ROUND((B7+B9+B11+B13+B15)/5,0)</f>
        <v>213507</v>
      </c>
      <c r="C16" s="70">
        <f t="shared" ref="C16:R16" si="5">ROUND((C7+C9+C11+C13+C15)/5,0)</f>
        <v>1023579</v>
      </c>
      <c r="D16" s="70">
        <f t="shared" si="5"/>
        <v>1585129</v>
      </c>
      <c r="E16" s="70">
        <f t="shared" si="5"/>
        <v>1110887</v>
      </c>
      <c r="F16" s="70">
        <f t="shared" si="5"/>
        <v>1108363</v>
      </c>
      <c r="G16" s="70">
        <f t="shared" si="5"/>
        <v>796891</v>
      </c>
      <c r="H16" s="70">
        <f t="shared" si="5"/>
        <v>934056</v>
      </c>
      <c r="I16" s="70">
        <f t="shared" si="5"/>
        <v>675174</v>
      </c>
      <c r="J16" s="70">
        <f t="shared" si="5"/>
        <v>777044</v>
      </c>
      <c r="K16" s="70">
        <f t="shared" si="5"/>
        <v>1084484</v>
      </c>
      <c r="L16" s="70">
        <f t="shared" si="5"/>
        <v>1291683</v>
      </c>
      <c r="M16" s="70">
        <f t="shared" si="5"/>
        <v>1884819</v>
      </c>
      <c r="N16" s="70">
        <f t="shared" si="5"/>
        <v>1628026</v>
      </c>
      <c r="O16" s="70">
        <f t="shared" si="5"/>
        <v>1714076</v>
      </c>
      <c r="P16" s="70">
        <f t="shared" si="5"/>
        <v>1350822</v>
      </c>
      <c r="Q16" s="70">
        <f t="shared" si="5"/>
        <v>823044</v>
      </c>
      <c r="R16" s="70">
        <f t="shared" si="5"/>
        <v>92662</v>
      </c>
    </row>
    <row r="17" spans="1:20" s="37" customFormat="1" x14ac:dyDescent="0.25">
      <c r="A17" s="45" t="s">
        <v>302</v>
      </c>
      <c r="B17" s="45">
        <f>B16</f>
        <v>213507</v>
      </c>
      <c r="C17" s="45">
        <f t="shared" ref="C17:R17" si="6">C16</f>
        <v>1023579</v>
      </c>
      <c r="D17" s="45">
        <f t="shared" si="6"/>
        <v>1585129</v>
      </c>
      <c r="E17" s="45">
        <f t="shared" si="6"/>
        <v>1110887</v>
      </c>
      <c r="F17" s="45">
        <f t="shared" si="6"/>
        <v>1108363</v>
      </c>
      <c r="G17" s="45">
        <f t="shared" si="6"/>
        <v>796891</v>
      </c>
      <c r="H17" s="45">
        <f t="shared" si="6"/>
        <v>934056</v>
      </c>
      <c r="I17" s="45">
        <f t="shared" si="6"/>
        <v>675174</v>
      </c>
      <c r="J17" s="45">
        <f t="shared" si="6"/>
        <v>777044</v>
      </c>
      <c r="K17" s="45">
        <f t="shared" si="6"/>
        <v>1084484</v>
      </c>
      <c r="L17" s="45">
        <f t="shared" si="6"/>
        <v>1291683</v>
      </c>
      <c r="M17" s="45">
        <f t="shared" si="6"/>
        <v>1884819</v>
      </c>
      <c r="N17" s="45">
        <f t="shared" si="6"/>
        <v>1628026</v>
      </c>
      <c r="O17" s="45">
        <f t="shared" si="6"/>
        <v>1714076</v>
      </c>
      <c r="P17" s="45">
        <f t="shared" si="6"/>
        <v>1350822</v>
      </c>
      <c r="Q17" s="45">
        <f t="shared" si="6"/>
        <v>823044</v>
      </c>
      <c r="R17" s="45">
        <f t="shared" si="6"/>
        <v>92662</v>
      </c>
      <c r="S17" s="37">
        <f t="shared" ref="S17:S18" si="7">SUM(B17:R17)</f>
        <v>18094246</v>
      </c>
    </row>
    <row r="18" spans="1:20" x14ac:dyDescent="0.25">
      <c r="A18" s="12" t="s">
        <v>303</v>
      </c>
      <c r="B18" s="12">
        <v>2</v>
      </c>
      <c r="C18" s="12">
        <v>3</v>
      </c>
      <c r="D18" s="12">
        <v>3</v>
      </c>
      <c r="E18" s="12">
        <v>3</v>
      </c>
      <c r="F18" s="12">
        <v>3</v>
      </c>
      <c r="G18" s="12">
        <v>2</v>
      </c>
      <c r="H18" s="12">
        <v>2</v>
      </c>
      <c r="I18" s="12">
        <v>2</v>
      </c>
      <c r="J18" s="12">
        <v>2</v>
      </c>
      <c r="K18" s="12">
        <v>3</v>
      </c>
      <c r="L18" s="12">
        <v>3</v>
      </c>
      <c r="M18" s="12">
        <v>3</v>
      </c>
      <c r="N18" s="12">
        <v>3</v>
      </c>
      <c r="O18" s="12">
        <v>3</v>
      </c>
      <c r="P18" s="12">
        <v>3</v>
      </c>
      <c r="Q18" s="12">
        <v>2</v>
      </c>
      <c r="R18" s="2"/>
      <c r="S18" s="37">
        <f t="shared" si="7"/>
        <v>42</v>
      </c>
    </row>
    <row r="19" spans="1:20" x14ac:dyDescent="0.25">
      <c r="A19" s="12" t="s">
        <v>304</v>
      </c>
      <c r="B19" s="46">
        <f t="shared" ref="B19:Q19" si="8">B18*18000</f>
        <v>36000</v>
      </c>
      <c r="C19" s="46">
        <f t="shared" si="8"/>
        <v>54000</v>
      </c>
      <c r="D19" s="46">
        <f t="shared" si="8"/>
        <v>54000</v>
      </c>
      <c r="E19" s="46">
        <f t="shared" si="8"/>
        <v>54000</v>
      </c>
      <c r="F19" s="46">
        <f t="shared" si="8"/>
        <v>54000</v>
      </c>
      <c r="G19" s="46">
        <f t="shared" si="8"/>
        <v>36000</v>
      </c>
      <c r="H19" s="46">
        <f t="shared" si="8"/>
        <v>36000</v>
      </c>
      <c r="I19" s="46">
        <f t="shared" si="8"/>
        <v>36000</v>
      </c>
      <c r="J19" s="46">
        <f t="shared" si="8"/>
        <v>36000</v>
      </c>
      <c r="K19" s="46">
        <f t="shared" si="8"/>
        <v>54000</v>
      </c>
      <c r="L19" s="46">
        <f t="shared" si="8"/>
        <v>54000</v>
      </c>
      <c r="M19" s="46">
        <f t="shared" si="8"/>
        <v>54000</v>
      </c>
      <c r="N19" s="46">
        <f t="shared" si="8"/>
        <v>54000</v>
      </c>
      <c r="O19" s="46">
        <f t="shared" si="8"/>
        <v>54000</v>
      </c>
      <c r="P19" s="46">
        <f t="shared" si="8"/>
        <v>54000</v>
      </c>
      <c r="Q19" s="46">
        <f t="shared" si="8"/>
        <v>36000</v>
      </c>
      <c r="R19" s="2"/>
      <c r="S19" s="37">
        <f>SUM(B19:R19)</f>
        <v>756000</v>
      </c>
      <c r="T19" s="47">
        <f>S19/S17</f>
        <v>4.1781238079774088E-2</v>
      </c>
    </row>
    <row r="21" spans="1:20" x14ac:dyDescent="0.25">
      <c r="A21" s="13" t="s">
        <v>75</v>
      </c>
    </row>
    <row r="22" spans="1:20" x14ac:dyDescent="0.25">
      <c r="A22" s="2" t="s">
        <v>85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/>
      <c r="K22" s="2"/>
      <c r="L22" s="2"/>
      <c r="M22" s="2"/>
      <c r="N22" s="2"/>
      <c r="O22" s="2"/>
      <c r="P22" s="2"/>
      <c r="Q22" s="2"/>
      <c r="R22" s="2"/>
    </row>
    <row r="23" spans="1:20" x14ac:dyDescent="0.25">
      <c r="A23" s="2" t="s">
        <v>85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/>
      <c r="K23" s="2"/>
      <c r="L23" s="2"/>
      <c r="M23" s="2"/>
      <c r="N23" s="2"/>
      <c r="O23" s="2"/>
      <c r="P23" s="2"/>
      <c r="Q23" s="2"/>
      <c r="R23" s="2"/>
    </row>
    <row r="24" spans="1:20" x14ac:dyDescent="0.25">
      <c r="A24" s="2" t="s">
        <v>374</v>
      </c>
      <c r="B24" s="2"/>
      <c r="C24" s="2">
        <v>1</v>
      </c>
      <c r="D24" s="2">
        <v>1</v>
      </c>
      <c r="E24" s="2">
        <v>1</v>
      </c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20" x14ac:dyDescent="0.25">
      <c r="A25" s="2" t="s">
        <v>86</v>
      </c>
      <c r="B25" s="2"/>
      <c r="C25" s="2"/>
      <c r="D25" s="2"/>
      <c r="E25" s="2"/>
      <c r="F25" s="2"/>
      <c r="G25" s="2"/>
      <c r="H25" s="2"/>
      <c r="I25" s="2"/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/>
    </row>
    <row r="26" spans="1:20" x14ac:dyDescent="0.25">
      <c r="A26" s="2" t="s">
        <v>86</v>
      </c>
      <c r="B26" s="2"/>
      <c r="C26" s="2"/>
      <c r="D26" s="2"/>
      <c r="E26" s="2"/>
      <c r="F26" s="2"/>
      <c r="G26" s="2"/>
      <c r="H26" s="2"/>
      <c r="I26" s="2"/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/>
    </row>
    <row r="27" spans="1:20" x14ac:dyDescent="0.25">
      <c r="A27" s="2" t="s">
        <v>122</v>
      </c>
      <c r="B27" s="2"/>
      <c r="C27" s="2"/>
      <c r="D27" s="2"/>
      <c r="E27" s="2"/>
      <c r="F27" s="2"/>
      <c r="G27" s="2"/>
      <c r="H27" s="2"/>
      <c r="I27" s="2"/>
      <c r="J27" s="2"/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/>
      <c r="R27" s="2"/>
    </row>
    <row r="28" spans="1:20" x14ac:dyDescent="0.25">
      <c r="A28" s="2" t="s">
        <v>375</v>
      </c>
      <c r="B28" s="2"/>
      <c r="C28" s="2"/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/>
      <c r="M28" s="2"/>
      <c r="N28" s="2"/>
      <c r="O28" s="2"/>
      <c r="P28" s="2"/>
      <c r="Q28" s="2"/>
      <c r="R28" s="2"/>
    </row>
    <row r="29" spans="1:20" x14ac:dyDescent="0.25">
      <c r="A29" s="7" t="s">
        <v>303</v>
      </c>
      <c r="B29" s="7">
        <f>SUM(B22:B28)</f>
        <v>2</v>
      </c>
      <c r="C29" s="7">
        <f t="shared" ref="C29:R29" si="9">SUM(C22:C28)</f>
        <v>3</v>
      </c>
      <c r="D29" s="7">
        <f t="shared" si="9"/>
        <v>4</v>
      </c>
      <c r="E29" s="7">
        <f t="shared" si="9"/>
        <v>4</v>
      </c>
      <c r="F29" s="7">
        <f t="shared" si="9"/>
        <v>4</v>
      </c>
      <c r="G29" s="7">
        <f t="shared" si="9"/>
        <v>3</v>
      </c>
      <c r="H29" s="7">
        <f t="shared" si="9"/>
        <v>3</v>
      </c>
      <c r="I29" s="7">
        <f t="shared" si="9"/>
        <v>3</v>
      </c>
      <c r="J29" s="7">
        <f t="shared" si="9"/>
        <v>3</v>
      </c>
      <c r="K29" s="7">
        <f t="shared" si="9"/>
        <v>4</v>
      </c>
      <c r="L29" s="7">
        <f t="shared" si="9"/>
        <v>3</v>
      </c>
      <c r="M29" s="7">
        <f t="shared" si="9"/>
        <v>3</v>
      </c>
      <c r="N29" s="7">
        <f t="shared" si="9"/>
        <v>3</v>
      </c>
      <c r="O29" s="7">
        <f t="shared" si="9"/>
        <v>3</v>
      </c>
      <c r="P29" s="7">
        <f t="shared" si="9"/>
        <v>3</v>
      </c>
      <c r="Q29" s="7">
        <f t="shared" si="9"/>
        <v>2</v>
      </c>
      <c r="R29" s="7">
        <f t="shared" si="9"/>
        <v>0</v>
      </c>
      <c r="S29" s="1">
        <f>SUM(B29:R29)</f>
        <v>50</v>
      </c>
    </row>
    <row r="30" spans="1:20" x14ac:dyDescent="0.25">
      <c r="A30" s="12" t="s">
        <v>304</v>
      </c>
      <c r="B30" s="46">
        <f>B29*18000</f>
        <v>36000</v>
      </c>
      <c r="C30" s="46">
        <f t="shared" ref="C30:R30" si="10">C29*18000</f>
        <v>54000</v>
      </c>
      <c r="D30" s="46">
        <f t="shared" si="10"/>
        <v>72000</v>
      </c>
      <c r="E30" s="46">
        <f t="shared" si="10"/>
        <v>72000</v>
      </c>
      <c r="F30" s="46">
        <f t="shared" si="10"/>
        <v>72000</v>
      </c>
      <c r="G30" s="46">
        <f t="shared" si="10"/>
        <v>54000</v>
      </c>
      <c r="H30" s="46">
        <f t="shared" si="10"/>
        <v>54000</v>
      </c>
      <c r="I30" s="46">
        <f t="shared" si="10"/>
        <v>54000</v>
      </c>
      <c r="J30" s="46">
        <f t="shared" si="10"/>
        <v>54000</v>
      </c>
      <c r="K30" s="46">
        <f t="shared" si="10"/>
        <v>72000</v>
      </c>
      <c r="L30" s="46">
        <f t="shared" si="10"/>
        <v>54000</v>
      </c>
      <c r="M30" s="46">
        <f t="shared" si="10"/>
        <v>54000</v>
      </c>
      <c r="N30" s="46">
        <f t="shared" si="10"/>
        <v>54000</v>
      </c>
      <c r="O30" s="46">
        <f t="shared" si="10"/>
        <v>54000</v>
      </c>
      <c r="P30" s="46">
        <f t="shared" si="10"/>
        <v>54000</v>
      </c>
      <c r="Q30" s="46">
        <f t="shared" si="10"/>
        <v>36000</v>
      </c>
      <c r="R30" s="46">
        <f t="shared" si="10"/>
        <v>0</v>
      </c>
      <c r="S30" s="43">
        <f>SUM(B30:R30)</f>
        <v>900000</v>
      </c>
      <c r="T30" s="47">
        <f>S30/S17</f>
        <v>4.9739569142588202E-2</v>
      </c>
    </row>
    <row r="32" spans="1:20" x14ac:dyDescent="0.25">
      <c r="A32" s="5" t="s">
        <v>2</v>
      </c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20" s="43" customFormat="1" x14ac:dyDescent="0.25">
      <c r="A33" s="42" t="s">
        <v>30</v>
      </c>
      <c r="B33" s="42">
        <v>50910</v>
      </c>
      <c r="C33" s="42">
        <v>2018182</v>
      </c>
      <c r="D33" s="42">
        <v>4069992</v>
      </c>
      <c r="E33" s="42">
        <v>4496356</v>
      </c>
      <c r="F33" s="42">
        <v>2235087</v>
      </c>
      <c r="G33" s="42">
        <v>2586632</v>
      </c>
      <c r="H33" s="42">
        <v>2630909</v>
      </c>
      <c r="I33" s="42">
        <v>1920002</v>
      </c>
      <c r="J33" s="42">
        <v>1879999</v>
      </c>
      <c r="K33" s="42">
        <v>2647268</v>
      </c>
      <c r="L33" s="42">
        <v>3018180</v>
      </c>
      <c r="M33" s="42">
        <v>4447268</v>
      </c>
      <c r="N33" s="42">
        <v>3164543</v>
      </c>
      <c r="O33" s="42">
        <v>4623639</v>
      </c>
      <c r="P33" s="42">
        <v>3110904</v>
      </c>
      <c r="Q33" s="42">
        <v>2560919</v>
      </c>
      <c r="R33" s="42">
        <v>220911</v>
      </c>
    </row>
    <row r="34" spans="1:20" s="43" customFormat="1" x14ac:dyDescent="0.25">
      <c r="A34" s="44">
        <v>2</v>
      </c>
      <c r="B34" s="44">
        <f>ROUND((B33)/$A$34,0)</f>
        <v>25455</v>
      </c>
      <c r="C34" s="44">
        <f t="shared" ref="C34:R34" si="11">ROUND((C33)/$A$34,0)</f>
        <v>1009091</v>
      </c>
      <c r="D34" s="44">
        <f t="shared" si="11"/>
        <v>2034996</v>
      </c>
      <c r="E34" s="44">
        <f t="shared" si="11"/>
        <v>2248178</v>
      </c>
      <c r="F34" s="44">
        <f t="shared" si="11"/>
        <v>1117544</v>
      </c>
      <c r="G34" s="44">
        <f t="shared" si="11"/>
        <v>1293316</v>
      </c>
      <c r="H34" s="44">
        <f t="shared" si="11"/>
        <v>1315455</v>
      </c>
      <c r="I34" s="44">
        <f t="shared" si="11"/>
        <v>960001</v>
      </c>
      <c r="J34" s="44">
        <f t="shared" si="11"/>
        <v>940000</v>
      </c>
      <c r="K34" s="44">
        <f t="shared" si="11"/>
        <v>1323634</v>
      </c>
      <c r="L34" s="44">
        <f t="shared" si="11"/>
        <v>1509090</v>
      </c>
      <c r="M34" s="44">
        <f t="shared" si="11"/>
        <v>2223634</v>
      </c>
      <c r="N34" s="44">
        <f t="shared" si="11"/>
        <v>1582272</v>
      </c>
      <c r="O34" s="44">
        <f t="shared" si="11"/>
        <v>2311820</v>
      </c>
      <c r="P34" s="44">
        <f t="shared" si="11"/>
        <v>1555452</v>
      </c>
      <c r="Q34" s="44">
        <f t="shared" si="11"/>
        <v>1280460</v>
      </c>
      <c r="R34" s="44">
        <f t="shared" si="11"/>
        <v>110456</v>
      </c>
    </row>
    <row r="35" spans="1:20" s="43" customFormat="1" x14ac:dyDescent="0.25">
      <c r="A35" s="42" t="s">
        <v>32</v>
      </c>
      <c r="B35" s="42">
        <v>0</v>
      </c>
      <c r="C35" s="42">
        <v>2800000</v>
      </c>
      <c r="D35" s="42">
        <v>4345019</v>
      </c>
      <c r="E35" s="42">
        <v>5397638</v>
      </c>
      <c r="F35" s="42">
        <v>4513638</v>
      </c>
      <c r="G35" s="42">
        <v>3079093</v>
      </c>
      <c r="H35" s="42">
        <v>1748181</v>
      </c>
      <c r="I35" s="42">
        <v>2453637</v>
      </c>
      <c r="J35" s="42">
        <v>1744542</v>
      </c>
      <c r="K35" s="42">
        <v>1983637</v>
      </c>
      <c r="L35" s="42">
        <v>2505455</v>
      </c>
      <c r="M35" s="42">
        <v>2489997</v>
      </c>
      <c r="N35" s="42">
        <v>3725458</v>
      </c>
      <c r="O35" s="42">
        <v>3267271</v>
      </c>
      <c r="P35" s="42">
        <v>3392727</v>
      </c>
      <c r="Q35" s="42">
        <v>3295458</v>
      </c>
      <c r="R35" s="42">
        <v>151818</v>
      </c>
    </row>
    <row r="36" spans="1:20" s="43" customFormat="1" x14ac:dyDescent="0.25">
      <c r="A36" s="44">
        <v>2</v>
      </c>
      <c r="B36" s="44">
        <f t="shared" ref="B36:R36" si="12">ROUND((B35)/$A$34,0)</f>
        <v>0</v>
      </c>
      <c r="C36" s="44">
        <f t="shared" si="12"/>
        <v>1400000</v>
      </c>
      <c r="D36" s="44">
        <f t="shared" si="12"/>
        <v>2172510</v>
      </c>
      <c r="E36" s="44">
        <f t="shared" si="12"/>
        <v>2698819</v>
      </c>
      <c r="F36" s="44">
        <f t="shared" si="12"/>
        <v>2256819</v>
      </c>
      <c r="G36" s="44">
        <f t="shared" si="12"/>
        <v>1539547</v>
      </c>
      <c r="H36" s="44">
        <f t="shared" si="12"/>
        <v>874091</v>
      </c>
      <c r="I36" s="44">
        <f t="shared" si="12"/>
        <v>1226819</v>
      </c>
      <c r="J36" s="44">
        <f t="shared" si="12"/>
        <v>872271</v>
      </c>
      <c r="K36" s="44">
        <f t="shared" si="12"/>
        <v>991819</v>
      </c>
      <c r="L36" s="44">
        <f t="shared" si="12"/>
        <v>1252728</v>
      </c>
      <c r="M36" s="44">
        <f t="shared" si="12"/>
        <v>1244999</v>
      </c>
      <c r="N36" s="44">
        <f t="shared" si="12"/>
        <v>1862729</v>
      </c>
      <c r="O36" s="44">
        <f t="shared" si="12"/>
        <v>1633636</v>
      </c>
      <c r="P36" s="44">
        <f t="shared" si="12"/>
        <v>1696364</v>
      </c>
      <c r="Q36" s="44">
        <f t="shared" si="12"/>
        <v>1647729</v>
      </c>
      <c r="R36" s="44">
        <f t="shared" si="12"/>
        <v>75909</v>
      </c>
    </row>
    <row r="37" spans="1:20" s="43" customFormat="1" x14ac:dyDescent="0.25">
      <c r="A37" s="42" t="s">
        <v>34</v>
      </c>
      <c r="B37" s="42">
        <v>191820</v>
      </c>
      <c r="C37" s="42">
        <v>1709092</v>
      </c>
      <c r="D37" s="42">
        <v>3959997</v>
      </c>
      <c r="E37" s="42">
        <v>3964546</v>
      </c>
      <c r="F37" s="42">
        <v>3981906</v>
      </c>
      <c r="G37" s="42">
        <v>2495637</v>
      </c>
      <c r="H37" s="42">
        <v>1396362</v>
      </c>
      <c r="I37" s="42">
        <v>1901818</v>
      </c>
      <c r="J37" s="42">
        <v>1154365</v>
      </c>
      <c r="K37" s="42">
        <v>2976359</v>
      </c>
      <c r="L37" s="42">
        <v>2938181</v>
      </c>
      <c r="M37" s="42">
        <v>3357274</v>
      </c>
      <c r="N37" s="42">
        <v>3812915</v>
      </c>
      <c r="O37" s="42">
        <v>4379363</v>
      </c>
      <c r="P37" s="42">
        <v>3317268</v>
      </c>
      <c r="Q37" s="42">
        <v>2271820</v>
      </c>
      <c r="R37" s="42">
        <v>356363</v>
      </c>
    </row>
    <row r="38" spans="1:20" s="43" customFormat="1" x14ac:dyDescent="0.25">
      <c r="A38" s="44">
        <v>2</v>
      </c>
      <c r="B38" s="44">
        <f>ROUND((B37)/$A$34,0)</f>
        <v>95910</v>
      </c>
      <c r="C38" s="44">
        <f t="shared" ref="C38:R38" si="13">ROUND((C37)/$A$34,0)</f>
        <v>854546</v>
      </c>
      <c r="D38" s="44">
        <f t="shared" si="13"/>
        <v>1979999</v>
      </c>
      <c r="E38" s="44">
        <f t="shared" si="13"/>
        <v>1982273</v>
      </c>
      <c r="F38" s="44">
        <f t="shared" si="13"/>
        <v>1990953</v>
      </c>
      <c r="G38" s="44">
        <f t="shared" si="13"/>
        <v>1247819</v>
      </c>
      <c r="H38" s="44">
        <f t="shared" si="13"/>
        <v>698181</v>
      </c>
      <c r="I38" s="44">
        <f t="shared" si="13"/>
        <v>950909</v>
      </c>
      <c r="J38" s="44">
        <f t="shared" si="13"/>
        <v>577183</v>
      </c>
      <c r="K38" s="44">
        <f t="shared" si="13"/>
        <v>1488180</v>
      </c>
      <c r="L38" s="44">
        <f t="shared" si="13"/>
        <v>1469091</v>
      </c>
      <c r="M38" s="44">
        <f t="shared" si="13"/>
        <v>1678637</v>
      </c>
      <c r="N38" s="44">
        <f t="shared" si="13"/>
        <v>1906458</v>
      </c>
      <c r="O38" s="44">
        <f t="shared" si="13"/>
        <v>2189682</v>
      </c>
      <c r="P38" s="44">
        <f t="shared" si="13"/>
        <v>1658634</v>
      </c>
      <c r="Q38" s="44">
        <f t="shared" si="13"/>
        <v>1135910</v>
      </c>
      <c r="R38" s="44">
        <f t="shared" si="13"/>
        <v>178182</v>
      </c>
    </row>
    <row r="39" spans="1:20" s="43" customFormat="1" x14ac:dyDescent="0.25">
      <c r="A39" s="42" t="s">
        <v>36</v>
      </c>
      <c r="B39" s="42">
        <v>75454</v>
      </c>
      <c r="C39" s="42">
        <v>1513638</v>
      </c>
      <c r="D39" s="42">
        <v>5884831</v>
      </c>
      <c r="E39" s="42">
        <v>7154550</v>
      </c>
      <c r="F39" s="42">
        <v>4091815</v>
      </c>
      <c r="G39" s="42">
        <v>2066365</v>
      </c>
      <c r="H39" s="42">
        <v>1535458</v>
      </c>
      <c r="I39" s="42">
        <v>911817</v>
      </c>
      <c r="J39" s="42">
        <v>2113637</v>
      </c>
      <c r="K39" s="42">
        <v>2475453</v>
      </c>
      <c r="L39" s="42">
        <v>1995454</v>
      </c>
      <c r="M39" s="42">
        <v>5843638</v>
      </c>
      <c r="N39" s="42">
        <v>4132722</v>
      </c>
      <c r="O39" s="42">
        <v>4870913</v>
      </c>
      <c r="P39" s="42">
        <v>3903639</v>
      </c>
      <c r="Q39" s="42">
        <v>3129092</v>
      </c>
      <c r="R39" s="42">
        <v>258183</v>
      </c>
    </row>
    <row r="40" spans="1:20" s="43" customFormat="1" x14ac:dyDescent="0.25">
      <c r="A40" s="44">
        <v>2</v>
      </c>
      <c r="B40" s="44">
        <f>ROUND((B39)/$A$34,0)</f>
        <v>37727</v>
      </c>
      <c r="C40" s="44">
        <f t="shared" ref="C40:R40" si="14">ROUND((C39)/$A$34,0)</f>
        <v>756819</v>
      </c>
      <c r="D40" s="44">
        <f t="shared" si="14"/>
        <v>2942416</v>
      </c>
      <c r="E40" s="44">
        <f t="shared" si="14"/>
        <v>3577275</v>
      </c>
      <c r="F40" s="44">
        <f t="shared" si="14"/>
        <v>2045908</v>
      </c>
      <c r="G40" s="44">
        <f t="shared" si="14"/>
        <v>1033183</v>
      </c>
      <c r="H40" s="44">
        <f t="shared" si="14"/>
        <v>767729</v>
      </c>
      <c r="I40" s="44">
        <f t="shared" si="14"/>
        <v>455909</v>
      </c>
      <c r="J40" s="44">
        <f t="shared" si="14"/>
        <v>1056819</v>
      </c>
      <c r="K40" s="44">
        <f t="shared" si="14"/>
        <v>1237727</v>
      </c>
      <c r="L40" s="44">
        <f t="shared" si="14"/>
        <v>997727</v>
      </c>
      <c r="M40" s="44">
        <f t="shared" si="14"/>
        <v>2921819</v>
      </c>
      <c r="N40" s="44">
        <f t="shared" si="14"/>
        <v>2066361</v>
      </c>
      <c r="O40" s="44">
        <f t="shared" si="14"/>
        <v>2435457</v>
      </c>
      <c r="P40" s="44">
        <f t="shared" si="14"/>
        <v>1951820</v>
      </c>
      <c r="Q40" s="44">
        <f t="shared" si="14"/>
        <v>1564546</v>
      </c>
      <c r="R40" s="44">
        <f t="shared" si="14"/>
        <v>129092</v>
      </c>
    </row>
    <row r="41" spans="1:20" s="43" customFormat="1" x14ac:dyDescent="0.25">
      <c r="A41" s="42" t="s">
        <v>38</v>
      </c>
      <c r="B41" s="42">
        <v>87273</v>
      </c>
      <c r="C41" s="42">
        <v>1000002</v>
      </c>
      <c r="D41" s="42">
        <v>1812453</v>
      </c>
      <c r="E41" s="42">
        <v>2337276</v>
      </c>
      <c r="F41" s="42">
        <v>1729997</v>
      </c>
      <c r="G41" s="42">
        <v>668182</v>
      </c>
      <c r="H41" s="42">
        <v>1339086</v>
      </c>
      <c r="I41" s="42">
        <v>1113636</v>
      </c>
      <c r="J41" s="42">
        <v>1206726</v>
      </c>
      <c r="K41" s="42">
        <v>1621821</v>
      </c>
      <c r="L41" s="42">
        <v>1187274</v>
      </c>
      <c r="M41" s="42">
        <v>2494545</v>
      </c>
      <c r="N41" s="42">
        <v>612730</v>
      </c>
      <c r="O41" s="42">
        <v>2135542</v>
      </c>
      <c r="P41" s="42">
        <v>1818185</v>
      </c>
      <c r="Q41" s="42">
        <v>1448181</v>
      </c>
      <c r="R41" s="42">
        <v>384545</v>
      </c>
    </row>
    <row r="42" spans="1:20" s="43" customFormat="1" x14ac:dyDescent="0.25">
      <c r="A42" s="42" t="s">
        <v>39</v>
      </c>
      <c r="B42" s="42">
        <v>0</v>
      </c>
      <c r="C42" s="42">
        <v>745459</v>
      </c>
      <c r="D42" s="42">
        <v>1146365</v>
      </c>
      <c r="E42" s="42">
        <v>4097270</v>
      </c>
      <c r="F42" s="42">
        <v>3268180</v>
      </c>
      <c r="G42" s="42">
        <v>1800000</v>
      </c>
      <c r="H42" s="42">
        <v>1926365</v>
      </c>
      <c r="I42" s="42">
        <v>1370000</v>
      </c>
      <c r="J42" s="42">
        <v>868176</v>
      </c>
      <c r="K42" s="42">
        <v>2009090</v>
      </c>
      <c r="L42" s="42">
        <v>1356364</v>
      </c>
      <c r="M42" s="42">
        <v>1746363</v>
      </c>
      <c r="N42" s="42">
        <v>2535452</v>
      </c>
      <c r="O42" s="42">
        <v>1761817</v>
      </c>
      <c r="P42" s="42">
        <v>2105636</v>
      </c>
      <c r="Q42" s="42">
        <v>1360000</v>
      </c>
      <c r="R42" s="42">
        <v>0</v>
      </c>
    </row>
    <row r="43" spans="1:20" s="43" customFormat="1" x14ac:dyDescent="0.25">
      <c r="A43" s="70" t="s">
        <v>40</v>
      </c>
      <c r="B43" s="70">
        <f>ROUND((B42+B41+B40+B38+B36+B34)/6,0)</f>
        <v>41061</v>
      </c>
      <c r="C43" s="70">
        <f t="shared" ref="C43:R43" si="15">ROUND((C42+C41+C40+C38+C36+C34)/6,0)</f>
        <v>960986</v>
      </c>
      <c r="D43" s="70">
        <f t="shared" si="15"/>
        <v>2014790</v>
      </c>
      <c r="E43" s="70">
        <f t="shared" si="15"/>
        <v>2823515</v>
      </c>
      <c r="F43" s="70">
        <f t="shared" si="15"/>
        <v>2068234</v>
      </c>
      <c r="G43" s="70">
        <f t="shared" si="15"/>
        <v>1263675</v>
      </c>
      <c r="H43" s="70">
        <f t="shared" si="15"/>
        <v>1153485</v>
      </c>
      <c r="I43" s="70">
        <f t="shared" si="15"/>
        <v>1012879</v>
      </c>
      <c r="J43" s="70">
        <f t="shared" si="15"/>
        <v>920196</v>
      </c>
      <c r="K43" s="70">
        <f t="shared" si="15"/>
        <v>1445379</v>
      </c>
      <c r="L43" s="70">
        <f t="shared" si="15"/>
        <v>1295379</v>
      </c>
      <c r="M43" s="70">
        <f t="shared" si="15"/>
        <v>2051666</v>
      </c>
      <c r="N43" s="70">
        <f t="shared" si="15"/>
        <v>1761000</v>
      </c>
      <c r="O43" s="70">
        <f t="shared" si="15"/>
        <v>2077992</v>
      </c>
      <c r="P43" s="70">
        <f t="shared" si="15"/>
        <v>1797682</v>
      </c>
      <c r="Q43" s="70">
        <f t="shared" si="15"/>
        <v>1406138</v>
      </c>
      <c r="R43" s="70">
        <f t="shared" si="15"/>
        <v>146364</v>
      </c>
    </row>
    <row r="44" spans="1:20" s="37" customFormat="1" x14ac:dyDescent="0.25">
      <c r="A44" s="45" t="s">
        <v>302</v>
      </c>
      <c r="B44" s="45">
        <f>B43</f>
        <v>41061</v>
      </c>
      <c r="C44" s="45">
        <f t="shared" ref="C44:R44" si="16">C43</f>
        <v>960986</v>
      </c>
      <c r="D44" s="45">
        <f t="shared" si="16"/>
        <v>2014790</v>
      </c>
      <c r="E44" s="45">
        <f t="shared" si="16"/>
        <v>2823515</v>
      </c>
      <c r="F44" s="45">
        <f t="shared" si="16"/>
        <v>2068234</v>
      </c>
      <c r="G44" s="45">
        <f t="shared" si="16"/>
        <v>1263675</v>
      </c>
      <c r="H44" s="45">
        <f t="shared" si="16"/>
        <v>1153485</v>
      </c>
      <c r="I44" s="45">
        <f t="shared" si="16"/>
        <v>1012879</v>
      </c>
      <c r="J44" s="45">
        <f t="shared" si="16"/>
        <v>920196</v>
      </c>
      <c r="K44" s="45">
        <f t="shared" si="16"/>
        <v>1445379</v>
      </c>
      <c r="L44" s="45">
        <f t="shared" si="16"/>
        <v>1295379</v>
      </c>
      <c r="M44" s="45">
        <f t="shared" si="16"/>
        <v>2051666</v>
      </c>
      <c r="N44" s="45">
        <f t="shared" si="16"/>
        <v>1761000</v>
      </c>
      <c r="O44" s="45">
        <f t="shared" si="16"/>
        <v>2077992</v>
      </c>
      <c r="P44" s="45">
        <f t="shared" si="16"/>
        <v>1797682</v>
      </c>
      <c r="Q44" s="45">
        <f t="shared" si="16"/>
        <v>1406138</v>
      </c>
      <c r="R44" s="45">
        <f t="shared" si="16"/>
        <v>146364</v>
      </c>
      <c r="S44" s="37">
        <f t="shared" ref="S44:S46" si="17">SUM(B44:R44)</f>
        <v>24240421</v>
      </c>
    </row>
    <row r="45" spans="1:20" x14ac:dyDescent="0.25">
      <c r="A45" s="12" t="s">
        <v>303</v>
      </c>
      <c r="B45" s="12">
        <v>2</v>
      </c>
      <c r="C45" s="12">
        <v>2</v>
      </c>
      <c r="D45" s="12">
        <v>3</v>
      </c>
      <c r="E45" s="12">
        <v>3</v>
      </c>
      <c r="F45" s="12">
        <v>3</v>
      </c>
      <c r="G45" s="12">
        <v>3</v>
      </c>
      <c r="H45" s="12">
        <v>3</v>
      </c>
      <c r="I45" s="12">
        <v>3</v>
      </c>
      <c r="J45" s="12">
        <v>2</v>
      </c>
      <c r="K45" s="12">
        <v>2</v>
      </c>
      <c r="L45" s="12">
        <v>3</v>
      </c>
      <c r="M45" s="12">
        <v>3</v>
      </c>
      <c r="N45" s="12">
        <v>3</v>
      </c>
      <c r="O45" s="12">
        <v>3</v>
      </c>
      <c r="P45" s="12">
        <v>3</v>
      </c>
      <c r="Q45" s="12">
        <v>3</v>
      </c>
      <c r="R45" s="2"/>
      <c r="S45" s="37">
        <f t="shared" si="17"/>
        <v>44</v>
      </c>
    </row>
    <row r="46" spans="1:20" x14ac:dyDescent="0.25">
      <c r="A46" s="12" t="s">
        <v>304</v>
      </c>
      <c r="B46" s="46">
        <f>B45*18000</f>
        <v>36000</v>
      </c>
      <c r="C46" s="46">
        <f t="shared" ref="C46:R46" si="18">C45*18000</f>
        <v>36000</v>
      </c>
      <c r="D46" s="46">
        <f t="shared" si="18"/>
        <v>54000</v>
      </c>
      <c r="E46" s="46">
        <f t="shared" si="18"/>
        <v>54000</v>
      </c>
      <c r="F46" s="46">
        <f t="shared" si="18"/>
        <v>54000</v>
      </c>
      <c r="G46" s="46">
        <f t="shared" si="18"/>
        <v>54000</v>
      </c>
      <c r="H46" s="46">
        <f t="shared" si="18"/>
        <v>54000</v>
      </c>
      <c r="I46" s="46">
        <f t="shared" si="18"/>
        <v>54000</v>
      </c>
      <c r="J46" s="46">
        <f t="shared" si="18"/>
        <v>36000</v>
      </c>
      <c r="K46" s="46">
        <f t="shared" si="18"/>
        <v>36000</v>
      </c>
      <c r="L46" s="46">
        <f t="shared" si="18"/>
        <v>54000</v>
      </c>
      <c r="M46" s="46">
        <f t="shared" si="18"/>
        <v>54000</v>
      </c>
      <c r="N46" s="46">
        <f t="shared" si="18"/>
        <v>54000</v>
      </c>
      <c r="O46" s="46">
        <f t="shared" si="18"/>
        <v>54000</v>
      </c>
      <c r="P46" s="46">
        <f t="shared" si="18"/>
        <v>54000</v>
      </c>
      <c r="Q46" s="46">
        <f t="shared" si="18"/>
        <v>54000</v>
      </c>
      <c r="R46" s="46">
        <f t="shared" si="18"/>
        <v>0</v>
      </c>
      <c r="S46" s="37">
        <f t="shared" si="17"/>
        <v>792000</v>
      </c>
      <c r="T46" s="47">
        <f>S46/S44</f>
        <v>3.2672699867712693E-2</v>
      </c>
    </row>
    <row r="48" spans="1:20" x14ac:dyDescent="0.25">
      <c r="A48" s="13" t="s">
        <v>75</v>
      </c>
    </row>
    <row r="49" spans="1:20" x14ac:dyDescent="0.25">
      <c r="A49" s="2" t="s">
        <v>85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/>
      <c r="M49" s="2"/>
      <c r="N49" s="2"/>
      <c r="O49" s="2"/>
      <c r="P49" s="2"/>
      <c r="Q49" s="2"/>
      <c r="R49" s="2"/>
    </row>
    <row r="50" spans="1:20" x14ac:dyDescent="0.25">
      <c r="A50" s="2" t="s">
        <v>85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/>
      <c r="K50" s="2"/>
      <c r="L50" s="2"/>
      <c r="M50" s="2"/>
      <c r="N50" s="2"/>
      <c r="O50" s="2"/>
      <c r="P50" s="2"/>
      <c r="Q50" s="2"/>
      <c r="R50" s="2"/>
    </row>
    <row r="51" spans="1:20" x14ac:dyDescent="0.25">
      <c r="A51" s="2" t="s">
        <v>374</v>
      </c>
      <c r="B51" s="2"/>
      <c r="C51" s="2">
        <v>1</v>
      </c>
      <c r="D51" s="2">
        <v>1</v>
      </c>
      <c r="E51" s="2">
        <v>1</v>
      </c>
      <c r="F51" s="2">
        <v>1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20" x14ac:dyDescent="0.25">
      <c r="A52" s="2" t="s">
        <v>86</v>
      </c>
      <c r="B52" s="2"/>
      <c r="C52" s="2"/>
      <c r="D52" s="2"/>
      <c r="E52" s="2"/>
      <c r="F52" s="2"/>
      <c r="G52" s="2"/>
      <c r="H52" s="2"/>
      <c r="I52" s="2"/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/>
    </row>
    <row r="53" spans="1:20" x14ac:dyDescent="0.25">
      <c r="A53" s="2" t="s">
        <v>86</v>
      </c>
      <c r="B53" s="2"/>
      <c r="C53" s="2"/>
      <c r="D53" s="2"/>
      <c r="E53" s="2"/>
      <c r="F53" s="2"/>
      <c r="G53" s="2"/>
      <c r="H53" s="2"/>
      <c r="I53" s="2"/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/>
    </row>
    <row r="54" spans="1:20" x14ac:dyDescent="0.25">
      <c r="A54" s="2" t="s">
        <v>125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/>
    </row>
    <row r="55" spans="1:20" x14ac:dyDescent="0.25">
      <c r="A55" s="2" t="s">
        <v>375</v>
      </c>
      <c r="B55" s="2"/>
      <c r="C55" s="2"/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/>
      <c r="M55" s="2"/>
      <c r="N55" s="2"/>
      <c r="O55" s="2"/>
      <c r="P55" s="2"/>
      <c r="Q55" s="2"/>
      <c r="R55" s="2"/>
    </row>
    <row r="56" spans="1:20" x14ac:dyDescent="0.25">
      <c r="A56" s="7" t="s">
        <v>302</v>
      </c>
      <c r="B56" s="7">
        <f t="shared" ref="B56:R56" si="19">SUM(B49:B55)</f>
        <v>2</v>
      </c>
      <c r="C56" s="7">
        <f t="shared" si="19"/>
        <v>3</v>
      </c>
      <c r="D56" s="7">
        <f t="shared" si="19"/>
        <v>4</v>
      </c>
      <c r="E56" s="7">
        <f t="shared" si="19"/>
        <v>4</v>
      </c>
      <c r="F56" s="7">
        <f t="shared" si="19"/>
        <v>4</v>
      </c>
      <c r="G56" s="7">
        <f t="shared" si="19"/>
        <v>3</v>
      </c>
      <c r="H56" s="7">
        <f t="shared" si="19"/>
        <v>3</v>
      </c>
      <c r="I56" s="7">
        <f t="shared" si="19"/>
        <v>3</v>
      </c>
      <c r="J56" s="7">
        <f t="shared" si="19"/>
        <v>3</v>
      </c>
      <c r="K56" s="7">
        <f t="shared" si="19"/>
        <v>3</v>
      </c>
      <c r="L56" s="7">
        <f t="shared" si="19"/>
        <v>3</v>
      </c>
      <c r="M56" s="7">
        <f t="shared" si="19"/>
        <v>3</v>
      </c>
      <c r="N56" s="7">
        <f t="shared" si="19"/>
        <v>3</v>
      </c>
      <c r="O56" s="7">
        <f t="shared" si="19"/>
        <v>3</v>
      </c>
      <c r="P56" s="7">
        <f t="shared" si="19"/>
        <v>3</v>
      </c>
      <c r="Q56" s="7">
        <f t="shared" si="19"/>
        <v>3</v>
      </c>
      <c r="R56" s="7">
        <f t="shared" si="19"/>
        <v>0</v>
      </c>
      <c r="S56" s="1">
        <f>SUM(B56:R56)</f>
        <v>50</v>
      </c>
    </row>
    <row r="57" spans="1:20" x14ac:dyDescent="0.25">
      <c r="A57" s="12" t="s">
        <v>304</v>
      </c>
      <c r="B57" s="46">
        <f>B56*18000</f>
        <v>36000</v>
      </c>
      <c r="C57" s="46">
        <f t="shared" ref="C57:R57" si="20">C56*18000</f>
        <v>54000</v>
      </c>
      <c r="D57" s="46">
        <f t="shared" si="20"/>
        <v>72000</v>
      </c>
      <c r="E57" s="46">
        <f t="shared" si="20"/>
        <v>72000</v>
      </c>
      <c r="F57" s="46">
        <f t="shared" si="20"/>
        <v>72000</v>
      </c>
      <c r="G57" s="46">
        <f t="shared" si="20"/>
        <v>54000</v>
      </c>
      <c r="H57" s="46">
        <f t="shared" si="20"/>
        <v>54000</v>
      </c>
      <c r="I57" s="46">
        <f t="shared" si="20"/>
        <v>54000</v>
      </c>
      <c r="J57" s="46">
        <f t="shared" si="20"/>
        <v>54000</v>
      </c>
      <c r="K57" s="46">
        <f t="shared" si="20"/>
        <v>54000</v>
      </c>
      <c r="L57" s="46">
        <f t="shared" si="20"/>
        <v>54000</v>
      </c>
      <c r="M57" s="46">
        <f t="shared" si="20"/>
        <v>54000</v>
      </c>
      <c r="N57" s="46">
        <f t="shared" si="20"/>
        <v>54000</v>
      </c>
      <c r="O57" s="46">
        <f t="shared" si="20"/>
        <v>54000</v>
      </c>
      <c r="P57" s="46">
        <f t="shared" si="20"/>
        <v>54000</v>
      </c>
      <c r="Q57" s="46">
        <f t="shared" si="20"/>
        <v>54000</v>
      </c>
      <c r="R57" s="46">
        <f t="shared" si="20"/>
        <v>0</v>
      </c>
      <c r="S57" s="37">
        <f t="shared" ref="S57" si="21">SUM(B57:R57)</f>
        <v>900000</v>
      </c>
      <c r="T57" s="47">
        <f>S57/S44</f>
        <v>3.7128068031491698E-2</v>
      </c>
    </row>
    <row r="59" spans="1:20" x14ac:dyDescent="0.25">
      <c r="A59" s="2"/>
      <c r="B59" s="2" t="s">
        <v>26</v>
      </c>
      <c r="C59" s="2" t="s">
        <v>27</v>
      </c>
    </row>
    <row r="60" spans="1:20" x14ac:dyDescent="0.25">
      <c r="A60" s="3" t="s">
        <v>0</v>
      </c>
      <c r="B60" s="2"/>
      <c r="C60" s="2"/>
      <c r="D60" s="2"/>
    </row>
    <row r="61" spans="1:20" x14ac:dyDescent="0.25">
      <c r="A61" s="2" t="s">
        <v>85</v>
      </c>
      <c r="B61" s="2" t="s">
        <v>67</v>
      </c>
      <c r="C61" s="2">
        <v>1</v>
      </c>
      <c r="D61" s="2">
        <f>C61*8</f>
        <v>8</v>
      </c>
    </row>
    <row r="62" spans="1:20" x14ac:dyDescent="0.25">
      <c r="A62" s="2" t="s">
        <v>85</v>
      </c>
      <c r="B62" s="2" t="s">
        <v>67</v>
      </c>
      <c r="C62" s="2">
        <v>1</v>
      </c>
      <c r="D62" s="2">
        <f>C62*8</f>
        <v>8</v>
      </c>
    </row>
    <row r="63" spans="1:20" x14ac:dyDescent="0.25">
      <c r="A63" s="2" t="s">
        <v>374</v>
      </c>
      <c r="B63" s="2" t="s">
        <v>206</v>
      </c>
      <c r="C63" s="2">
        <v>1</v>
      </c>
      <c r="D63" s="2">
        <f>11-7</f>
        <v>4</v>
      </c>
      <c r="F63" s="40" t="s">
        <v>114</v>
      </c>
      <c r="G63" s="3" t="s">
        <v>67</v>
      </c>
      <c r="H63" s="3" t="s">
        <v>68</v>
      </c>
      <c r="I63" s="3" t="s">
        <v>90</v>
      </c>
    </row>
    <row r="64" spans="1:20" x14ac:dyDescent="0.25">
      <c r="A64" s="2" t="s">
        <v>86</v>
      </c>
      <c r="B64" s="2" t="s">
        <v>67</v>
      </c>
      <c r="C64" s="2">
        <v>1</v>
      </c>
      <c r="D64" s="2">
        <v>8</v>
      </c>
      <c r="F64" s="11">
        <f>SUM(G64:I64)</f>
        <v>8</v>
      </c>
      <c r="G64" s="2">
        <v>5</v>
      </c>
      <c r="H64" s="2">
        <v>2</v>
      </c>
      <c r="I64" s="2">
        <v>1</v>
      </c>
    </row>
    <row r="65" spans="1:14" x14ac:dyDescent="0.25">
      <c r="A65" s="2" t="s">
        <v>86</v>
      </c>
      <c r="B65" s="2" t="s">
        <v>67</v>
      </c>
      <c r="C65" s="2">
        <v>1</v>
      </c>
      <c r="D65" s="2">
        <v>8</v>
      </c>
      <c r="F65" s="21"/>
      <c r="G65" s="22"/>
      <c r="H65" s="22"/>
      <c r="I65" s="22"/>
    </row>
    <row r="66" spans="1:14" x14ac:dyDescent="0.25">
      <c r="A66" s="2" t="s">
        <v>122</v>
      </c>
      <c r="B66" s="2" t="s">
        <v>206</v>
      </c>
      <c r="C66" s="2">
        <v>1</v>
      </c>
      <c r="D66" s="2">
        <f>21-15</f>
        <v>6</v>
      </c>
      <c r="F66" s="21"/>
      <c r="G66" s="22"/>
      <c r="H66" s="22"/>
      <c r="I66" s="22"/>
    </row>
    <row r="67" spans="1:14" x14ac:dyDescent="0.25">
      <c r="A67" s="2" t="s">
        <v>375</v>
      </c>
      <c r="B67" s="2" t="s">
        <v>67</v>
      </c>
      <c r="C67" s="2">
        <v>1</v>
      </c>
      <c r="D67" s="2">
        <v>8</v>
      </c>
    </row>
    <row r="68" spans="1:14" x14ac:dyDescent="0.25">
      <c r="A68" s="2" t="s">
        <v>88</v>
      </c>
      <c r="B68" s="2"/>
      <c r="C68" s="2">
        <v>1</v>
      </c>
      <c r="D68" s="2"/>
      <c r="F68" s="40" t="s">
        <v>89</v>
      </c>
      <c r="G68" s="3" t="s">
        <v>67</v>
      </c>
      <c r="H68" s="3" t="s">
        <v>68</v>
      </c>
      <c r="I68" s="3" t="s">
        <v>90</v>
      </c>
      <c r="K68" s="40" t="s">
        <v>376</v>
      </c>
      <c r="L68" s="3" t="s">
        <v>67</v>
      </c>
      <c r="M68" s="3" t="s">
        <v>68</v>
      </c>
      <c r="N68" s="3" t="s">
        <v>90</v>
      </c>
    </row>
    <row r="69" spans="1:14" x14ac:dyDescent="0.25">
      <c r="A69" s="3" t="s">
        <v>66</v>
      </c>
      <c r="B69" s="3"/>
      <c r="C69" s="3">
        <f>SUM(C61:C68)</f>
        <v>8</v>
      </c>
      <c r="D69" s="3">
        <f>SUM(D61:D68)</f>
        <v>50</v>
      </c>
      <c r="F69" s="11">
        <f>SUM(G69:I69)</f>
        <v>8</v>
      </c>
      <c r="G69" s="2">
        <v>5</v>
      </c>
      <c r="H69" s="2">
        <v>2</v>
      </c>
      <c r="I69" s="2">
        <v>1</v>
      </c>
      <c r="K69" s="11">
        <f>F69-F64</f>
        <v>0</v>
      </c>
      <c r="L69" s="11">
        <f t="shared" ref="L69:N69" si="22">G69-G64</f>
        <v>0</v>
      </c>
      <c r="M69" s="11">
        <f t="shared" si="22"/>
        <v>0</v>
      </c>
      <c r="N69" s="11">
        <f t="shared" si="22"/>
        <v>0</v>
      </c>
    </row>
    <row r="70" spans="1:14" x14ac:dyDescent="0.25">
      <c r="A70" s="3" t="s">
        <v>2</v>
      </c>
      <c r="B70" s="2"/>
      <c r="C70" s="2"/>
      <c r="D70" s="2"/>
    </row>
    <row r="71" spans="1:14" x14ac:dyDescent="0.25">
      <c r="A71" s="2" t="s">
        <v>85</v>
      </c>
      <c r="B71" s="2" t="s">
        <v>67</v>
      </c>
      <c r="C71" s="2">
        <v>1</v>
      </c>
      <c r="D71" s="2">
        <f>C71*8</f>
        <v>8</v>
      </c>
    </row>
    <row r="72" spans="1:14" x14ac:dyDescent="0.25">
      <c r="A72" s="2" t="s">
        <v>85</v>
      </c>
      <c r="B72" s="2" t="s">
        <v>67</v>
      </c>
      <c r="C72" s="2">
        <v>1</v>
      </c>
      <c r="D72" s="2">
        <f t="shared" ref="D72" si="23">C72*8</f>
        <v>8</v>
      </c>
    </row>
    <row r="73" spans="1:14" x14ac:dyDescent="0.25">
      <c r="A73" s="2" t="s">
        <v>374</v>
      </c>
      <c r="B73" s="2" t="s">
        <v>206</v>
      </c>
      <c r="C73" s="2">
        <v>1</v>
      </c>
      <c r="D73" s="2">
        <f>11-7</f>
        <v>4</v>
      </c>
    </row>
    <row r="74" spans="1:14" x14ac:dyDescent="0.25">
      <c r="A74" s="2" t="s">
        <v>86</v>
      </c>
      <c r="B74" s="2" t="s">
        <v>67</v>
      </c>
      <c r="C74" s="2">
        <v>1</v>
      </c>
      <c r="D74" s="2">
        <f>C74*8</f>
        <v>8</v>
      </c>
    </row>
    <row r="75" spans="1:14" x14ac:dyDescent="0.25">
      <c r="A75" s="2" t="s">
        <v>86</v>
      </c>
      <c r="B75" s="2" t="s">
        <v>67</v>
      </c>
      <c r="C75" s="2">
        <v>1</v>
      </c>
      <c r="D75" s="2">
        <f>C75*8</f>
        <v>8</v>
      </c>
    </row>
    <row r="76" spans="1:14" x14ac:dyDescent="0.25">
      <c r="A76" s="2" t="s">
        <v>125</v>
      </c>
      <c r="B76" s="2" t="s">
        <v>206</v>
      </c>
      <c r="C76" s="2">
        <v>1</v>
      </c>
      <c r="D76" s="2">
        <f>22-16</f>
        <v>6</v>
      </c>
    </row>
    <row r="77" spans="1:14" x14ac:dyDescent="0.25">
      <c r="A77" s="2" t="s">
        <v>375</v>
      </c>
      <c r="B77" s="2" t="s">
        <v>67</v>
      </c>
      <c r="C77" s="2">
        <v>1</v>
      </c>
      <c r="D77" s="2">
        <v>8</v>
      </c>
    </row>
    <row r="78" spans="1:14" x14ac:dyDescent="0.25">
      <c r="A78" s="2" t="s">
        <v>88</v>
      </c>
      <c r="B78" s="2"/>
      <c r="C78" s="2">
        <v>1</v>
      </c>
      <c r="D78" s="2"/>
    </row>
    <row r="79" spans="1:14" x14ac:dyDescent="0.25">
      <c r="A79" s="3" t="s">
        <v>66</v>
      </c>
      <c r="B79" s="3"/>
      <c r="C79" s="3">
        <f>SUM(C71:C78)</f>
        <v>8</v>
      </c>
      <c r="D79" s="3">
        <f>SUM(D71:D78)</f>
        <v>50</v>
      </c>
    </row>
    <row r="81" spans="1:22" x14ac:dyDescent="0.25">
      <c r="A81" s="2" t="s">
        <v>22</v>
      </c>
      <c r="B81" s="2"/>
      <c r="C81" s="2"/>
      <c r="E81" s="1" t="s">
        <v>64</v>
      </c>
      <c r="F81" s="1" t="s">
        <v>70</v>
      </c>
    </row>
    <row r="82" spans="1:22" x14ac:dyDescent="0.25">
      <c r="A82" s="3" t="s">
        <v>0</v>
      </c>
      <c r="B82" s="2"/>
      <c r="C82" s="2"/>
      <c r="E82" s="1" t="s">
        <v>69</v>
      </c>
      <c r="F82" s="1" t="s">
        <v>71</v>
      </c>
    </row>
    <row r="83" spans="1:22" x14ac:dyDescent="0.25">
      <c r="A83" s="2" t="s">
        <v>53</v>
      </c>
      <c r="B83" s="2">
        <f>22.5-7</f>
        <v>15.5</v>
      </c>
      <c r="C83" s="2" t="s">
        <v>24</v>
      </c>
      <c r="E83" s="1">
        <f>D69</f>
        <v>50</v>
      </c>
      <c r="F83" s="1" t="s">
        <v>24</v>
      </c>
      <c r="G83" s="1">
        <f>E83/B83</f>
        <v>3.225806451612903</v>
      </c>
      <c r="H83" s="1" t="s">
        <v>76</v>
      </c>
    </row>
    <row r="84" spans="1:22" x14ac:dyDescent="0.25">
      <c r="A84" s="3" t="s">
        <v>2</v>
      </c>
      <c r="B84" s="2"/>
      <c r="C84" s="2"/>
    </row>
    <row r="85" spans="1:22" x14ac:dyDescent="0.25">
      <c r="A85" s="2" t="s">
        <v>53</v>
      </c>
      <c r="B85" s="2">
        <f>22.5-7</f>
        <v>15.5</v>
      </c>
      <c r="C85" s="2" t="s">
        <v>24</v>
      </c>
      <c r="E85" s="1">
        <f>D79</f>
        <v>50</v>
      </c>
      <c r="F85" s="1" t="s">
        <v>24</v>
      </c>
      <c r="G85" s="1">
        <f>E85/B85</f>
        <v>3.225806451612903</v>
      </c>
      <c r="H85" s="1" t="s">
        <v>76</v>
      </c>
    </row>
    <row r="87" spans="1:22" customFormat="1" x14ac:dyDescent="0.25">
      <c r="A87" s="48" t="s">
        <v>307</v>
      </c>
      <c r="B87" s="1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</row>
    <row r="88" spans="1:22" customFormat="1" x14ac:dyDescent="0.25">
      <c r="A88" s="48"/>
      <c r="B88" s="1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</row>
    <row r="89" spans="1:22" customFormat="1" x14ac:dyDescent="0.25">
      <c r="A89" s="50" t="s">
        <v>308</v>
      </c>
      <c r="B89" s="51" t="s">
        <v>309</v>
      </c>
      <c r="C89" s="52" t="s">
        <v>310</v>
      </c>
      <c r="D89" s="51" t="s">
        <v>311</v>
      </c>
      <c r="E89" s="51" t="s">
        <v>312</v>
      </c>
      <c r="F89" s="53" t="s">
        <v>313</v>
      </c>
      <c r="G89" s="51" t="s">
        <v>314</v>
      </c>
      <c r="H89" s="1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</row>
    <row r="90" spans="1:22" customFormat="1" x14ac:dyDescent="0.25">
      <c r="A90" s="50" t="s">
        <v>315</v>
      </c>
      <c r="B90" s="51">
        <v>1</v>
      </c>
      <c r="C90" s="51">
        <v>1</v>
      </c>
      <c r="D90" s="51">
        <v>1</v>
      </c>
      <c r="E90" s="51">
        <v>1</v>
      </c>
      <c r="F90" s="51">
        <v>1</v>
      </c>
      <c r="G90" s="51">
        <v>1</v>
      </c>
      <c r="H90" s="1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</row>
    <row r="91" spans="1:22" customFormat="1" x14ac:dyDescent="0.25">
      <c r="A91" s="50" t="s">
        <v>316</v>
      </c>
      <c r="B91" s="51">
        <v>1</v>
      </c>
      <c r="C91" s="51">
        <v>1</v>
      </c>
      <c r="D91" s="51">
        <v>1</v>
      </c>
      <c r="E91" s="51">
        <v>1</v>
      </c>
      <c r="F91" s="51">
        <v>1</v>
      </c>
      <c r="G91" s="51">
        <v>2</v>
      </c>
      <c r="H91" s="1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</row>
    <row r="92" spans="1:22" customFormat="1" x14ac:dyDescent="0.25">
      <c r="A92" s="50" t="s">
        <v>317</v>
      </c>
      <c r="B92" s="51">
        <v>1</v>
      </c>
      <c r="C92" s="51">
        <v>1</v>
      </c>
      <c r="D92" s="51">
        <v>1</v>
      </c>
      <c r="E92" s="51">
        <v>2</v>
      </c>
      <c r="F92" s="51">
        <v>2</v>
      </c>
      <c r="G92" s="51">
        <v>2</v>
      </c>
      <c r="H92" s="1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</row>
    <row r="93" spans="1:22" customFormat="1" x14ac:dyDescent="0.25">
      <c r="A93" s="50" t="s">
        <v>318</v>
      </c>
      <c r="B93" s="51">
        <v>0</v>
      </c>
      <c r="C93" s="51">
        <v>1</v>
      </c>
      <c r="D93" s="51">
        <v>1</v>
      </c>
      <c r="E93" s="51">
        <v>1</v>
      </c>
      <c r="F93" s="51">
        <v>1</v>
      </c>
      <c r="G93" s="51">
        <v>1</v>
      </c>
      <c r="H93" s="1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</row>
    <row r="94" spans="1:22" customFormat="1" x14ac:dyDescent="0.25">
      <c r="A94" s="50" t="s">
        <v>319</v>
      </c>
      <c r="B94" s="51">
        <f t="shared" ref="B94:G94" si="24">SUM(B90:B93)</f>
        <v>3</v>
      </c>
      <c r="C94" s="51">
        <f t="shared" si="24"/>
        <v>4</v>
      </c>
      <c r="D94" s="51">
        <f t="shared" si="24"/>
        <v>4</v>
      </c>
      <c r="E94" s="51">
        <f t="shared" si="24"/>
        <v>5</v>
      </c>
      <c r="F94" s="51">
        <f t="shared" si="24"/>
        <v>5</v>
      </c>
      <c r="G94" s="51">
        <f t="shared" si="24"/>
        <v>6</v>
      </c>
      <c r="H94" s="1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</row>
    <row r="95" spans="1:22" customFormat="1" x14ac:dyDescent="0.25">
      <c r="B95" s="49"/>
      <c r="C95" s="49"/>
      <c r="D95" s="49"/>
      <c r="E95" s="49"/>
      <c r="F95" s="49"/>
      <c r="G95" s="49"/>
      <c r="H95" s="1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</row>
    <row r="96" spans="1:22" customFormat="1" x14ac:dyDescent="0.25">
      <c r="A96" s="50" t="s">
        <v>320</v>
      </c>
      <c r="B96" s="54">
        <f>22.5-7</f>
        <v>15.5</v>
      </c>
      <c r="C96" s="54">
        <f t="shared" ref="C96:G96" si="25">22.5-7</f>
        <v>15.5</v>
      </c>
      <c r="D96" s="54">
        <f t="shared" si="25"/>
        <v>15.5</v>
      </c>
      <c r="E96" s="54">
        <f t="shared" si="25"/>
        <v>15.5</v>
      </c>
      <c r="F96" s="54">
        <f t="shared" si="25"/>
        <v>15.5</v>
      </c>
      <c r="G96" s="54">
        <f t="shared" si="25"/>
        <v>15.5</v>
      </c>
      <c r="H96" s="1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</row>
    <row r="97" spans="1:22" customFormat="1" x14ac:dyDescent="0.25">
      <c r="A97" s="50" t="s">
        <v>321</v>
      </c>
      <c r="B97" s="54">
        <v>2</v>
      </c>
      <c r="C97" s="54">
        <v>2</v>
      </c>
      <c r="D97" s="54">
        <v>2</v>
      </c>
      <c r="E97" s="54">
        <v>2</v>
      </c>
      <c r="F97" s="54">
        <v>2</v>
      </c>
      <c r="G97" s="54">
        <v>2</v>
      </c>
      <c r="H97" s="1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</row>
    <row r="98" spans="1:22" customFormat="1" x14ac:dyDescent="0.25">
      <c r="A98" s="50" t="s">
        <v>322</v>
      </c>
      <c r="B98" s="55">
        <f t="shared" ref="B98:G98" si="26">SUM(B96+B97)/8</f>
        <v>2.1875</v>
      </c>
      <c r="C98" s="55">
        <f t="shared" si="26"/>
        <v>2.1875</v>
      </c>
      <c r="D98" s="55">
        <f t="shared" si="26"/>
        <v>2.1875</v>
      </c>
      <c r="E98" s="55">
        <f t="shared" si="26"/>
        <v>2.1875</v>
      </c>
      <c r="F98" s="55">
        <f t="shared" si="26"/>
        <v>2.1875</v>
      </c>
      <c r="G98" s="55">
        <f t="shared" si="26"/>
        <v>2.1875</v>
      </c>
      <c r="H98" s="1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</row>
    <row r="99" spans="1:22" customFormat="1" x14ac:dyDescent="0.25">
      <c r="A99" s="50" t="s">
        <v>323</v>
      </c>
      <c r="B99" s="55">
        <f>SUM(B94*B98)</f>
        <v>6.5625</v>
      </c>
      <c r="C99" s="55">
        <f t="shared" ref="C99:G99" si="27">SUM(C94*C98)</f>
        <v>8.75</v>
      </c>
      <c r="D99" s="55">
        <f t="shared" si="27"/>
        <v>8.75</v>
      </c>
      <c r="E99" s="55">
        <f t="shared" si="27"/>
        <v>10.9375</v>
      </c>
      <c r="F99" s="55">
        <f t="shared" si="27"/>
        <v>10.9375</v>
      </c>
      <c r="G99" s="55">
        <f t="shared" si="27"/>
        <v>13.125</v>
      </c>
      <c r="H99" s="1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</row>
    <row r="100" spans="1:22" customFormat="1" x14ac:dyDescent="0.25">
      <c r="B100" s="49"/>
      <c r="C100" s="49"/>
      <c r="D100" s="49"/>
      <c r="E100" s="49"/>
      <c r="F100" s="49"/>
      <c r="G100" s="49"/>
      <c r="H100" s="1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</row>
    <row r="101" spans="1:22" customFormat="1" x14ac:dyDescent="0.25">
      <c r="A101" s="50" t="s">
        <v>324</v>
      </c>
      <c r="B101" s="55">
        <f>SUM(B99*7)/6</f>
        <v>7.65625</v>
      </c>
      <c r="C101" s="55">
        <f t="shared" ref="C101:G101" si="28">SUM(C99*7)/6</f>
        <v>10.208333333333334</v>
      </c>
      <c r="D101" s="55">
        <f t="shared" si="28"/>
        <v>10.208333333333334</v>
      </c>
      <c r="E101" s="55">
        <f t="shared" si="28"/>
        <v>12.760416666666666</v>
      </c>
      <c r="F101" s="55">
        <f t="shared" si="28"/>
        <v>12.760416666666666</v>
      </c>
      <c r="G101" s="55">
        <f t="shared" si="28"/>
        <v>15.3125</v>
      </c>
      <c r="H101" s="1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</row>
    <row r="102" spans="1:22" x14ac:dyDescent="0.25">
      <c r="R102" s="37"/>
    </row>
    <row r="103" spans="1:22" x14ac:dyDescent="0.25">
      <c r="F103" s="1" t="s">
        <v>94</v>
      </c>
      <c r="G103" s="1" t="s">
        <v>95</v>
      </c>
      <c r="H103" s="1" t="s">
        <v>99</v>
      </c>
    </row>
    <row r="104" spans="1:22" ht="25.5" x14ac:dyDescent="0.35">
      <c r="A104" s="14" t="s">
        <v>84</v>
      </c>
      <c r="B104" s="15"/>
      <c r="C104" s="15"/>
      <c r="D104" s="15"/>
      <c r="E104" s="15"/>
      <c r="F104" s="1" t="s">
        <v>104</v>
      </c>
      <c r="G104" s="1" t="s">
        <v>105</v>
      </c>
      <c r="H104" s="1" t="s">
        <v>100</v>
      </c>
    </row>
    <row r="106" spans="1:22" x14ac:dyDescent="0.25">
      <c r="A106" s="40" t="s">
        <v>80</v>
      </c>
      <c r="B106" s="40" t="s">
        <v>81</v>
      </c>
      <c r="C106" s="40" t="s">
        <v>82</v>
      </c>
      <c r="D106" s="40" t="s">
        <v>66</v>
      </c>
    </row>
    <row r="107" spans="1:22" x14ac:dyDescent="0.25">
      <c r="A107" s="3" t="s">
        <v>0</v>
      </c>
      <c r="B107" s="2">
        <v>375</v>
      </c>
      <c r="C107" s="2">
        <v>74</v>
      </c>
      <c r="D107" s="40">
        <f>B107+C107</f>
        <v>449</v>
      </c>
    </row>
    <row r="108" spans="1:22" x14ac:dyDescent="0.25">
      <c r="A108" s="3" t="s">
        <v>2</v>
      </c>
      <c r="B108" s="2">
        <v>465</v>
      </c>
      <c r="C108" s="2">
        <v>73</v>
      </c>
      <c r="D108" s="40">
        <f>B108+C108</f>
        <v>538</v>
      </c>
    </row>
    <row r="110" spans="1:22" x14ac:dyDescent="0.25">
      <c r="A110" s="40" t="s">
        <v>103</v>
      </c>
      <c r="B110" s="3" t="s">
        <v>67</v>
      </c>
      <c r="C110" s="40" t="s">
        <v>101</v>
      </c>
      <c r="D110" s="3" t="s">
        <v>90</v>
      </c>
      <c r="F110" s="40" t="s">
        <v>89</v>
      </c>
      <c r="G110" s="3" t="s">
        <v>67</v>
      </c>
      <c r="H110" s="3" t="s">
        <v>90</v>
      </c>
      <c r="J110" s="40" t="s">
        <v>102</v>
      </c>
      <c r="K110" s="3" t="s">
        <v>67</v>
      </c>
      <c r="L110" s="3" t="s">
        <v>90</v>
      </c>
    </row>
    <row r="111" spans="1:22" x14ac:dyDescent="0.25">
      <c r="A111" s="11">
        <f>SUM(B111:D111)</f>
        <v>6</v>
      </c>
      <c r="B111" s="2">
        <v>4</v>
      </c>
      <c r="C111" s="2">
        <v>1</v>
      </c>
      <c r="D111" s="2">
        <v>1</v>
      </c>
      <c r="F111" s="11">
        <f>SUM(G111:H111)</f>
        <v>5</v>
      </c>
      <c r="G111" s="2">
        <v>4</v>
      </c>
      <c r="H111" s="2">
        <v>1</v>
      </c>
      <c r="J111" s="11">
        <f>A111-F111</f>
        <v>1</v>
      </c>
      <c r="K111" s="2">
        <v>1</v>
      </c>
      <c r="L111" s="2"/>
    </row>
    <row r="112" spans="1:22" x14ac:dyDescent="0.25">
      <c r="J112" s="1" t="s">
        <v>156</v>
      </c>
    </row>
  </sheetData>
  <pageMargins left="0" right="0" top="0" bottom="0" header="0" footer="0"/>
  <pageSetup paperSize="9" scale="45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R88"/>
  <sheetViews>
    <sheetView topLeftCell="B16" workbookViewId="0">
      <selection activeCell="R35" sqref="R35"/>
    </sheetView>
  </sheetViews>
  <sheetFormatPr defaultRowHeight="15.75" x14ac:dyDescent="0.25"/>
  <cols>
    <col min="1" max="1" width="33.42578125" style="1" bestFit="1" customWidth="1"/>
    <col min="2" max="2" width="14.85546875" style="1" bestFit="1" customWidth="1"/>
    <col min="3" max="3" width="9.28515625" style="1" bestFit="1" customWidth="1"/>
    <col min="4" max="4" width="9.7109375" style="1" bestFit="1" customWidth="1"/>
    <col min="5" max="5" width="15.5703125" style="1" bestFit="1" customWidth="1"/>
    <col min="6" max="6" width="13.7109375" style="1" bestFit="1" customWidth="1"/>
    <col min="7" max="7" width="13.28515625" style="1" bestFit="1" customWidth="1"/>
    <col min="8" max="8" width="9.5703125" style="1" bestFit="1" customWidth="1"/>
    <col min="9" max="10" width="11.140625" style="1" bestFit="1" customWidth="1"/>
    <col min="11" max="17" width="9.5703125" style="1" bestFit="1" customWidth="1"/>
    <col min="18" max="16384" width="9.140625" style="1"/>
  </cols>
  <sheetData>
    <row r="2" spans="1:18" ht="25.5" x14ac:dyDescent="0.35">
      <c r="A2" s="14" t="s">
        <v>83</v>
      </c>
      <c r="B2" s="15"/>
      <c r="C2" s="15"/>
      <c r="D2" s="15"/>
    </row>
    <row r="4" spans="1:18" x14ac:dyDescent="0.25">
      <c r="A4" s="2"/>
      <c r="B4" s="3" t="s">
        <v>21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</row>
    <row r="5" spans="1:18" x14ac:dyDescent="0.25">
      <c r="A5" s="5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8" x14ac:dyDescent="0.25">
      <c r="A6" s="2" t="s">
        <v>28</v>
      </c>
      <c r="B6" s="2"/>
      <c r="C6" s="2">
        <v>16</v>
      </c>
      <c r="D6" s="2">
        <v>25</v>
      </c>
      <c r="E6" s="2">
        <v>15</v>
      </c>
      <c r="F6" s="2">
        <v>20</v>
      </c>
      <c r="G6" s="2">
        <v>16</v>
      </c>
      <c r="H6" s="2">
        <v>14</v>
      </c>
      <c r="I6" s="2">
        <v>18</v>
      </c>
      <c r="J6" s="2">
        <v>17</v>
      </c>
      <c r="K6" s="2">
        <v>32</v>
      </c>
      <c r="L6" s="2">
        <v>31</v>
      </c>
      <c r="M6" s="2">
        <v>54</v>
      </c>
      <c r="N6" s="2">
        <v>52</v>
      </c>
      <c r="O6" s="2">
        <v>51</v>
      </c>
      <c r="P6" s="2">
        <v>51</v>
      </c>
      <c r="Q6" s="2">
        <v>0</v>
      </c>
    </row>
    <row r="7" spans="1:18" x14ac:dyDescent="0.25">
      <c r="A7" s="4">
        <v>5</v>
      </c>
      <c r="B7" s="4">
        <f>ROUND(B6/$A$7,0)</f>
        <v>0</v>
      </c>
      <c r="C7" s="4">
        <f t="shared" ref="C7:Q7" si="0">ROUND(C6/$A$7,0)</f>
        <v>3</v>
      </c>
      <c r="D7" s="4">
        <f t="shared" si="0"/>
        <v>5</v>
      </c>
      <c r="E7" s="4">
        <f t="shared" si="0"/>
        <v>3</v>
      </c>
      <c r="F7" s="4">
        <f t="shared" si="0"/>
        <v>4</v>
      </c>
      <c r="G7" s="4">
        <f t="shared" si="0"/>
        <v>3</v>
      </c>
      <c r="H7" s="4">
        <f t="shared" si="0"/>
        <v>3</v>
      </c>
      <c r="I7" s="4">
        <f t="shared" si="0"/>
        <v>4</v>
      </c>
      <c r="J7" s="4">
        <f t="shared" si="0"/>
        <v>3</v>
      </c>
      <c r="K7" s="4">
        <f t="shared" si="0"/>
        <v>6</v>
      </c>
      <c r="L7" s="4">
        <f t="shared" si="0"/>
        <v>6</v>
      </c>
      <c r="M7" s="4">
        <f t="shared" si="0"/>
        <v>11</v>
      </c>
      <c r="N7" s="4">
        <f t="shared" si="0"/>
        <v>10</v>
      </c>
      <c r="O7" s="4">
        <f t="shared" si="0"/>
        <v>10</v>
      </c>
      <c r="P7" s="4">
        <f t="shared" si="0"/>
        <v>10</v>
      </c>
      <c r="Q7" s="4">
        <f t="shared" si="0"/>
        <v>0</v>
      </c>
    </row>
    <row r="8" spans="1:18" x14ac:dyDescent="0.25">
      <c r="A8" s="2" t="s">
        <v>33</v>
      </c>
      <c r="B8" s="2">
        <v>1</v>
      </c>
      <c r="C8" s="2">
        <v>2</v>
      </c>
      <c r="D8" s="2">
        <v>23</v>
      </c>
      <c r="E8" s="2">
        <v>25</v>
      </c>
      <c r="F8" s="2">
        <v>18</v>
      </c>
      <c r="G8" s="2">
        <v>38</v>
      </c>
      <c r="H8" s="2">
        <v>18</v>
      </c>
      <c r="I8" s="2">
        <v>24</v>
      </c>
      <c r="J8" s="2">
        <v>21</v>
      </c>
      <c r="K8" s="2">
        <v>47</v>
      </c>
      <c r="L8" s="2">
        <v>52</v>
      </c>
      <c r="M8" s="2">
        <v>52</v>
      </c>
      <c r="N8" s="2">
        <v>74</v>
      </c>
      <c r="O8" s="2">
        <v>64</v>
      </c>
      <c r="P8" s="2">
        <v>50</v>
      </c>
      <c r="Q8" s="2">
        <v>2</v>
      </c>
    </row>
    <row r="9" spans="1:18" x14ac:dyDescent="0.25">
      <c r="A9" s="4">
        <v>5</v>
      </c>
      <c r="B9" s="4">
        <f>ROUND(B8/$A$7,0)</f>
        <v>0</v>
      </c>
      <c r="C9" s="4">
        <f t="shared" ref="C9:Q9" si="1">ROUND(C8/$A$7,0)</f>
        <v>0</v>
      </c>
      <c r="D9" s="4">
        <f t="shared" si="1"/>
        <v>5</v>
      </c>
      <c r="E9" s="4">
        <f t="shared" si="1"/>
        <v>5</v>
      </c>
      <c r="F9" s="4">
        <f t="shared" si="1"/>
        <v>4</v>
      </c>
      <c r="G9" s="4">
        <f t="shared" si="1"/>
        <v>8</v>
      </c>
      <c r="H9" s="4">
        <f t="shared" si="1"/>
        <v>4</v>
      </c>
      <c r="I9" s="4">
        <f t="shared" si="1"/>
        <v>5</v>
      </c>
      <c r="J9" s="4">
        <f t="shared" si="1"/>
        <v>4</v>
      </c>
      <c r="K9" s="4">
        <f t="shared" si="1"/>
        <v>9</v>
      </c>
      <c r="L9" s="4">
        <f t="shared" si="1"/>
        <v>10</v>
      </c>
      <c r="M9" s="4">
        <f t="shared" si="1"/>
        <v>10</v>
      </c>
      <c r="N9" s="4">
        <f t="shared" si="1"/>
        <v>15</v>
      </c>
      <c r="O9" s="4">
        <f t="shared" si="1"/>
        <v>13</v>
      </c>
      <c r="P9" s="4">
        <f t="shared" si="1"/>
        <v>10</v>
      </c>
      <c r="Q9" s="4">
        <f t="shared" si="1"/>
        <v>0</v>
      </c>
    </row>
    <row r="10" spans="1:18" x14ac:dyDescent="0.25">
      <c r="A10" s="2" t="s">
        <v>35</v>
      </c>
      <c r="B10" s="2"/>
      <c r="C10" s="2">
        <v>13</v>
      </c>
      <c r="D10" s="2">
        <v>24</v>
      </c>
      <c r="E10" s="2">
        <v>20</v>
      </c>
      <c r="F10" s="2">
        <v>9</v>
      </c>
      <c r="G10" s="2">
        <v>12</v>
      </c>
      <c r="H10" s="2">
        <v>15</v>
      </c>
      <c r="I10" s="2">
        <v>19</v>
      </c>
      <c r="J10" s="2">
        <v>24</v>
      </c>
      <c r="K10" s="2">
        <v>34</v>
      </c>
      <c r="L10" s="2">
        <v>49</v>
      </c>
      <c r="M10" s="2">
        <v>45</v>
      </c>
      <c r="N10" s="2">
        <v>40</v>
      </c>
      <c r="O10" s="2">
        <v>48</v>
      </c>
      <c r="P10" s="2">
        <v>36</v>
      </c>
      <c r="Q10" s="2">
        <v>1</v>
      </c>
    </row>
    <row r="11" spans="1:18" x14ac:dyDescent="0.25">
      <c r="A11" s="4">
        <v>5</v>
      </c>
      <c r="B11" s="4">
        <f>ROUND(B10/$A$7,0)</f>
        <v>0</v>
      </c>
      <c r="C11" s="4">
        <f t="shared" ref="C11:Q11" si="2">ROUND(C10/$A$7,0)</f>
        <v>3</v>
      </c>
      <c r="D11" s="4">
        <f t="shared" si="2"/>
        <v>5</v>
      </c>
      <c r="E11" s="4">
        <f t="shared" si="2"/>
        <v>4</v>
      </c>
      <c r="F11" s="4">
        <f t="shared" si="2"/>
        <v>2</v>
      </c>
      <c r="G11" s="4">
        <f t="shared" si="2"/>
        <v>2</v>
      </c>
      <c r="H11" s="4">
        <f t="shared" si="2"/>
        <v>3</v>
      </c>
      <c r="I11" s="4">
        <f t="shared" si="2"/>
        <v>4</v>
      </c>
      <c r="J11" s="4">
        <f t="shared" si="2"/>
        <v>5</v>
      </c>
      <c r="K11" s="4">
        <f t="shared" si="2"/>
        <v>7</v>
      </c>
      <c r="L11" s="4">
        <f t="shared" si="2"/>
        <v>10</v>
      </c>
      <c r="M11" s="4">
        <f t="shared" si="2"/>
        <v>9</v>
      </c>
      <c r="N11" s="4">
        <f t="shared" si="2"/>
        <v>8</v>
      </c>
      <c r="O11" s="4">
        <f t="shared" si="2"/>
        <v>10</v>
      </c>
      <c r="P11" s="4">
        <f t="shared" si="2"/>
        <v>7</v>
      </c>
      <c r="Q11" s="4">
        <f t="shared" si="2"/>
        <v>0</v>
      </c>
    </row>
    <row r="12" spans="1:18" x14ac:dyDescent="0.25">
      <c r="A12" s="2" t="s">
        <v>37</v>
      </c>
      <c r="B12" s="2"/>
      <c r="C12" s="2">
        <v>15</v>
      </c>
      <c r="D12" s="2">
        <v>32</v>
      </c>
      <c r="E12" s="2">
        <v>34</v>
      </c>
      <c r="F12" s="2">
        <v>25</v>
      </c>
      <c r="G12" s="2">
        <v>30</v>
      </c>
      <c r="H12" s="2">
        <v>34</v>
      </c>
      <c r="I12" s="2">
        <v>20</v>
      </c>
      <c r="J12" s="2">
        <v>33</v>
      </c>
      <c r="K12" s="2">
        <v>39</v>
      </c>
      <c r="L12" s="2">
        <v>44</v>
      </c>
      <c r="M12" s="2">
        <v>38</v>
      </c>
      <c r="N12" s="2">
        <v>81</v>
      </c>
      <c r="O12" s="2">
        <v>78</v>
      </c>
      <c r="P12" s="2">
        <v>53</v>
      </c>
      <c r="Q12" s="2">
        <v>0</v>
      </c>
    </row>
    <row r="13" spans="1:18" x14ac:dyDescent="0.25">
      <c r="A13" s="4">
        <v>5</v>
      </c>
      <c r="B13" s="4">
        <f>ROUND(B12/$A$7,0)</f>
        <v>0</v>
      </c>
      <c r="C13" s="4">
        <f t="shared" ref="C13:Q13" si="3">ROUND(C12/$A$7,0)</f>
        <v>3</v>
      </c>
      <c r="D13" s="4">
        <f t="shared" si="3"/>
        <v>6</v>
      </c>
      <c r="E13" s="4">
        <f t="shared" si="3"/>
        <v>7</v>
      </c>
      <c r="F13" s="4">
        <f t="shared" si="3"/>
        <v>5</v>
      </c>
      <c r="G13" s="4">
        <f t="shared" si="3"/>
        <v>6</v>
      </c>
      <c r="H13" s="4">
        <f t="shared" si="3"/>
        <v>7</v>
      </c>
      <c r="I13" s="4">
        <f t="shared" si="3"/>
        <v>4</v>
      </c>
      <c r="J13" s="4">
        <f t="shared" si="3"/>
        <v>7</v>
      </c>
      <c r="K13" s="4">
        <f t="shared" si="3"/>
        <v>8</v>
      </c>
      <c r="L13" s="4">
        <f t="shared" si="3"/>
        <v>9</v>
      </c>
      <c r="M13" s="4">
        <f t="shared" si="3"/>
        <v>8</v>
      </c>
      <c r="N13" s="4">
        <f t="shared" si="3"/>
        <v>16</v>
      </c>
      <c r="O13" s="4">
        <f t="shared" si="3"/>
        <v>16</v>
      </c>
      <c r="P13" s="4">
        <f t="shared" si="3"/>
        <v>11</v>
      </c>
      <c r="Q13" s="4">
        <f t="shared" si="3"/>
        <v>0</v>
      </c>
    </row>
    <row r="14" spans="1:18" x14ac:dyDescent="0.25">
      <c r="A14" s="7" t="s">
        <v>40</v>
      </c>
      <c r="B14" s="7">
        <f>ROUND((B7+B9+B11+B13)/4,0)</f>
        <v>0</v>
      </c>
      <c r="C14" s="7">
        <f t="shared" ref="C14:Q14" si="4">ROUND((C7+C9+C11+C13)/4,0)</f>
        <v>2</v>
      </c>
      <c r="D14" s="7">
        <f t="shared" si="4"/>
        <v>5</v>
      </c>
      <c r="E14" s="7">
        <f t="shared" si="4"/>
        <v>5</v>
      </c>
      <c r="F14" s="7">
        <f t="shared" si="4"/>
        <v>4</v>
      </c>
      <c r="G14" s="7">
        <f t="shared" si="4"/>
        <v>5</v>
      </c>
      <c r="H14" s="7">
        <f t="shared" si="4"/>
        <v>4</v>
      </c>
      <c r="I14" s="7">
        <f t="shared" si="4"/>
        <v>4</v>
      </c>
      <c r="J14" s="7">
        <f t="shared" si="4"/>
        <v>5</v>
      </c>
      <c r="K14" s="7">
        <f t="shared" si="4"/>
        <v>8</v>
      </c>
      <c r="L14" s="7">
        <f t="shared" si="4"/>
        <v>9</v>
      </c>
      <c r="M14" s="7">
        <f t="shared" si="4"/>
        <v>10</v>
      </c>
      <c r="N14" s="7">
        <f t="shared" si="4"/>
        <v>12</v>
      </c>
      <c r="O14" s="7">
        <f t="shared" si="4"/>
        <v>12</v>
      </c>
      <c r="P14" s="7">
        <f t="shared" si="4"/>
        <v>10</v>
      </c>
      <c r="Q14" s="7">
        <f t="shared" si="4"/>
        <v>0</v>
      </c>
      <c r="R14" s="1">
        <f t="shared" ref="R14:R15" si="5">SUM(B14:Q14)</f>
        <v>95</v>
      </c>
    </row>
    <row r="15" spans="1:18" x14ac:dyDescent="0.25">
      <c r="A15" s="12" t="s">
        <v>60</v>
      </c>
      <c r="B15" s="12">
        <v>1</v>
      </c>
      <c r="C15" s="12">
        <v>2</v>
      </c>
      <c r="D15" s="12">
        <v>2</v>
      </c>
      <c r="E15" s="12">
        <v>2</v>
      </c>
      <c r="F15" s="12">
        <v>2</v>
      </c>
      <c r="G15" s="12">
        <v>2</v>
      </c>
      <c r="H15" s="12">
        <v>2</v>
      </c>
      <c r="I15" s="12">
        <v>2</v>
      </c>
      <c r="J15" s="12">
        <v>2</v>
      </c>
      <c r="K15" s="12">
        <v>2</v>
      </c>
      <c r="L15" s="12">
        <v>2</v>
      </c>
      <c r="M15" s="12">
        <v>2</v>
      </c>
      <c r="N15" s="12">
        <v>2</v>
      </c>
      <c r="O15" s="12">
        <v>2</v>
      </c>
      <c r="P15" s="12">
        <v>2</v>
      </c>
      <c r="Q15" s="2"/>
      <c r="R15" s="1">
        <f t="shared" si="5"/>
        <v>29</v>
      </c>
    </row>
    <row r="16" spans="1:18" x14ac:dyDescent="0.25">
      <c r="A16" s="12" t="s">
        <v>61</v>
      </c>
      <c r="B16" s="12">
        <v>1</v>
      </c>
      <c r="C16" s="12">
        <v>2</v>
      </c>
      <c r="D16" s="12">
        <v>2</v>
      </c>
      <c r="E16" s="12">
        <v>2</v>
      </c>
      <c r="F16" s="12">
        <v>2</v>
      </c>
      <c r="G16" s="12">
        <v>2</v>
      </c>
      <c r="H16" s="12">
        <v>2</v>
      </c>
      <c r="I16" s="12">
        <v>2</v>
      </c>
      <c r="J16" s="12">
        <v>2</v>
      </c>
      <c r="K16" s="12">
        <v>2</v>
      </c>
      <c r="L16" s="12">
        <v>2</v>
      </c>
      <c r="M16" s="12">
        <v>2</v>
      </c>
      <c r="N16" s="12">
        <v>2</v>
      </c>
      <c r="O16" s="12">
        <v>2</v>
      </c>
      <c r="P16" s="12">
        <v>2</v>
      </c>
      <c r="Q16" s="2"/>
      <c r="R16" s="1">
        <f>SUM(B16:Q16)</f>
        <v>29</v>
      </c>
    </row>
    <row r="18" spans="1:18" x14ac:dyDescent="0.25">
      <c r="A18" s="13" t="s">
        <v>75</v>
      </c>
    </row>
    <row r="19" spans="1:18" x14ac:dyDescent="0.25">
      <c r="A19" s="2" t="s">
        <v>78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/>
      <c r="L19" s="2"/>
      <c r="M19" s="2"/>
      <c r="N19" s="2"/>
      <c r="O19" s="2"/>
      <c r="P19" s="2"/>
      <c r="Q19" s="2"/>
    </row>
    <row r="20" spans="1:18" x14ac:dyDescent="0.25">
      <c r="A20" s="2" t="s">
        <v>111</v>
      </c>
      <c r="B20" s="2"/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/>
      <c r="J20" s="2"/>
      <c r="K20" s="2"/>
      <c r="L20" s="2"/>
      <c r="M20" s="2"/>
      <c r="N20" s="2"/>
      <c r="O20" s="2"/>
      <c r="P20" s="2"/>
      <c r="Q20" s="2"/>
    </row>
    <row r="21" spans="1:18" x14ac:dyDescent="0.25">
      <c r="A21" s="2" t="s">
        <v>86</v>
      </c>
      <c r="B21" s="2"/>
      <c r="C21" s="2"/>
      <c r="D21" s="2"/>
      <c r="E21" s="2"/>
      <c r="F21" s="2"/>
      <c r="G21" s="2"/>
      <c r="H21" s="2"/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/>
    </row>
    <row r="22" spans="1:18" x14ac:dyDescent="0.25">
      <c r="A22" s="2" t="s">
        <v>117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v>1</v>
      </c>
      <c r="N22" s="2">
        <v>1</v>
      </c>
      <c r="O22" s="2">
        <v>1</v>
      </c>
      <c r="P22" s="2">
        <v>1</v>
      </c>
      <c r="Q22" s="2"/>
    </row>
    <row r="23" spans="1:18" x14ac:dyDescent="0.25">
      <c r="A23" s="2" t="s">
        <v>171</v>
      </c>
      <c r="B23" s="2"/>
      <c r="C23" s="2"/>
      <c r="D23" s="2"/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/>
      <c r="N23" s="2"/>
      <c r="O23" s="2"/>
      <c r="P23" s="2"/>
      <c r="Q23" s="2"/>
    </row>
    <row r="24" spans="1:18" x14ac:dyDescent="0.25">
      <c r="A24" s="2" t="s">
        <v>66</v>
      </c>
      <c r="B24" s="2">
        <f>SUM(B19:B23)</f>
        <v>1</v>
      </c>
      <c r="C24" s="2">
        <f t="shared" ref="C24:Q24" si="6">SUM(C19:C23)</f>
        <v>2</v>
      </c>
      <c r="D24" s="2">
        <f t="shared" si="6"/>
        <v>2</v>
      </c>
      <c r="E24" s="2">
        <f t="shared" si="6"/>
        <v>3</v>
      </c>
      <c r="F24" s="2">
        <f t="shared" si="6"/>
        <v>3</v>
      </c>
      <c r="G24" s="2">
        <f t="shared" si="6"/>
        <v>3</v>
      </c>
      <c r="H24" s="2">
        <f t="shared" si="6"/>
        <v>3</v>
      </c>
      <c r="I24" s="2">
        <f t="shared" si="6"/>
        <v>3</v>
      </c>
      <c r="J24" s="2">
        <f t="shared" si="6"/>
        <v>2</v>
      </c>
      <c r="K24" s="2">
        <f t="shared" si="6"/>
        <v>2</v>
      </c>
      <c r="L24" s="2">
        <f t="shared" si="6"/>
        <v>2</v>
      </c>
      <c r="M24" s="2">
        <f t="shared" si="6"/>
        <v>2</v>
      </c>
      <c r="N24" s="2">
        <f t="shared" si="6"/>
        <v>2</v>
      </c>
      <c r="O24" s="2">
        <f t="shared" si="6"/>
        <v>2</v>
      </c>
      <c r="P24" s="2">
        <f t="shared" si="6"/>
        <v>2</v>
      </c>
      <c r="Q24" s="2">
        <f t="shared" si="6"/>
        <v>0</v>
      </c>
      <c r="R24" s="1">
        <f>SUM(B24:Q24)</f>
        <v>34</v>
      </c>
    </row>
    <row r="26" spans="1:18" x14ac:dyDescent="0.25">
      <c r="A26" s="5" t="s">
        <v>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8" x14ac:dyDescent="0.25">
      <c r="A27" s="2" t="s">
        <v>30</v>
      </c>
      <c r="B27" s="2"/>
      <c r="C27" s="2">
        <v>6</v>
      </c>
      <c r="D27" s="2">
        <v>21</v>
      </c>
      <c r="E27" s="2">
        <v>16</v>
      </c>
      <c r="F27" s="2">
        <v>13</v>
      </c>
      <c r="G27" s="2">
        <v>18</v>
      </c>
      <c r="H27" s="2">
        <v>17</v>
      </c>
      <c r="I27" s="2">
        <v>12</v>
      </c>
      <c r="J27" s="2">
        <v>18</v>
      </c>
      <c r="K27" s="2">
        <v>17</v>
      </c>
      <c r="L27" s="2">
        <v>23</v>
      </c>
      <c r="M27" s="2">
        <v>28</v>
      </c>
      <c r="N27" s="2">
        <v>41</v>
      </c>
      <c r="O27" s="2">
        <v>48</v>
      </c>
      <c r="P27" s="2">
        <v>21</v>
      </c>
      <c r="Q27" s="2">
        <v>1</v>
      </c>
    </row>
    <row r="28" spans="1:18" x14ac:dyDescent="0.25">
      <c r="A28" s="4">
        <v>2</v>
      </c>
      <c r="B28" s="4">
        <f t="shared" ref="B28:Q28" si="7">ROUND((B27)/$A$28,0)</f>
        <v>0</v>
      </c>
      <c r="C28" s="4">
        <f t="shared" si="7"/>
        <v>3</v>
      </c>
      <c r="D28" s="4">
        <f t="shared" si="7"/>
        <v>11</v>
      </c>
      <c r="E28" s="4">
        <f t="shared" si="7"/>
        <v>8</v>
      </c>
      <c r="F28" s="4">
        <f t="shared" si="7"/>
        <v>7</v>
      </c>
      <c r="G28" s="4">
        <f t="shared" si="7"/>
        <v>9</v>
      </c>
      <c r="H28" s="4">
        <f t="shared" si="7"/>
        <v>9</v>
      </c>
      <c r="I28" s="4">
        <f t="shared" si="7"/>
        <v>6</v>
      </c>
      <c r="J28" s="4">
        <f t="shared" si="7"/>
        <v>9</v>
      </c>
      <c r="K28" s="4">
        <f t="shared" si="7"/>
        <v>9</v>
      </c>
      <c r="L28" s="4">
        <f t="shared" si="7"/>
        <v>12</v>
      </c>
      <c r="M28" s="4">
        <f t="shared" si="7"/>
        <v>14</v>
      </c>
      <c r="N28" s="4">
        <f t="shared" si="7"/>
        <v>21</v>
      </c>
      <c r="O28" s="4">
        <f t="shared" si="7"/>
        <v>24</v>
      </c>
      <c r="P28" s="4">
        <f t="shared" si="7"/>
        <v>11</v>
      </c>
      <c r="Q28" s="4">
        <f t="shared" si="7"/>
        <v>1</v>
      </c>
    </row>
    <row r="29" spans="1:18" x14ac:dyDescent="0.25">
      <c r="A29" s="2" t="s">
        <v>34</v>
      </c>
      <c r="B29" s="2"/>
      <c r="C29" s="2">
        <v>5</v>
      </c>
      <c r="D29" s="2">
        <v>16</v>
      </c>
      <c r="E29" s="2">
        <v>18</v>
      </c>
      <c r="F29" s="2">
        <v>20</v>
      </c>
      <c r="G29" s="2">
        <v>12</v>
      </c>
      <c r="H29" s="2">
        <v>5</v>
      </c>
      <c r="I29" s="2">
        <v>12</v>
      </c>
      <c r="J29" s="2">
        <v>10</v>
      </c>
      <c r="K29" s="2">
        <v>22</v>
      </c>
      <c r="L29" s="2">
        <v>31</v>
      </c>
      <c r="M29" s="2">
        <v>18</v>
      </c>
      <c r="N29" s="2">
        <v>30</v>
      </c>
      <c r="O29" s="2">
        <v>53</v>
      </c>
      <c r="P29" s="2">
        <v>30</v>
      </c>
      <c r="Q29" s="2">
        <v>2</v>
      </c>
    </row>
    <row r="30" spans="1:18" x14ac:dyDescent="0.25">
      <c r="A30" s="4">
        <v>2</v>
      </c>
      <c r="B30" s="4">
        <f>ROUND((B29)/$A$28,0)</f>
        <v>0</v>
      </c>
      <c r="C30" s="4">
        <f t="shared" ref="C30:Q30" si="8">ROUND((C29)/$A$28,0)</f>
        <v>3</v>
      </c>
      <c r="D30" s="4">
        <f t="shared" si="8"/>
        <v>8</v>
      </c>
      <c r="E30" s="4">
        <f t="shared" si="8"/>
        <v>9</v>
      </c>
      <c r="F30" s="4">
        <f t="shared" si="8"/>
        <v>10</v>
      </c>
      <c r="G30" s="4">
        <f t="shared" si="8"/>
        <v>6</v>
      </c>
      <c r="H30" s="4">
        <f t="shared" si="8"/>
        <v>3</v>
      </c>
      <c r="I30" s="4">
        <f t="shared" si="8"/>
        <v>6</v>
      </c>
      <c r="J30" s="4">
        <f t="shared" si="8"/>
        <v>5</v>
      </c>
      <c r="K30" s="4">
        <f t="shared" si="8"/>
        <v>11</v>
      </c>
      <c r="L30" s="4">
        <f t="shared" si="8"/>
        <v>16</v>
      </c>
      <c r="M30" s="4">
        <f t="shared" si="8"/>
        <v>9</v>
      </c>
      <c r="N30" s="4">
        <f t="shared" si="8"/>
        <v>15</v>
      </c>
      <c r="O30" s="4">
        <f t="shared" si="8"/>
        <v>27</v>
      </c>
      <c r="P30" s="4">
        <f t="shared" si="8"/>
        <v>15</v>
      </c>
      <c r="Q30" s="4">
        <f t="shared" si="8"/>
        <v>1</v>
      </c>
    </row>
    <row r="31" spans="1:18" x14ac:dyDescent="0.25">
      <c r="A31" s="2" t="s">
        <v>36</v>
      </c>
      <c r="B31" s="2"/>
      <c r="C31" s="2">
        <v>1</v>
      </c>
      <c r="D31" s="2">
        <v>15</v>
      </c>
      <c r="E31" s="2">
        <v>25</v>
      </c>
      <c r="F31" s="2">
        <v>18</v>
      </c>
      <c r="G31" s="2">
        <v>12</v>
      </c>
      <c r="H31" s="2">
        <v>25</v>
      </c>
      <c r="I31" s="2">
        <v>22</v>
      </c>
      <c r="J31" s="2">
        <v>21</v>
      </c>
      <c r="K31" s="2">
        <v>25</v>
      </c>
      <c r="L31" s="2">
        <v>21</v>
      </c>
      <c r="M31" s="2">
        <v>37</v>
      </c>
      <c r="N31" s="2">
        <v>61</v>
      </c>
      <c r="O31" s="2">
        <v>71</v>
      </c>
      <c r="P31" s="2">
        <v>46</v>
      </c>
      <c r="Q31" s="2">
        <v>3</v>
      </c>
    </row>
    <row r="32" spans="1:18" x14ac:dyDescent="0.25">
      <c r="A32" s="4">
        <v>2</v>
      </c>
      <c r="B32" s="4">
        <f>ROUND((B31)/$A$28,0)</f>
        <v>0</v>
      </c>
      <c r="C32" s="4">
        <f t="shared" ref="C32:Q34" si="9">ROUND((C31)/$A$28,0)</f>
        <v>1</v>
      </c>
      <c r="D32" s="4">
        <f t="shared" si="9"/>
        <v>8</v>
      </c>
      <c r="E32" s="4">
        <f t="shared" si="9"/>
        <v>13</v>
      </c>
      <c r="F32" s="4">
        <f t="shared" si="9"/>
        <v>9</v>
      </c>
      <c r="G32" s="4">
        <f t="shared" si="9"/>
        <v>6</v>
      </c>
      <c r="H32" s="4">
        <f t="shared" si="9"/>
        <v>13</v>
      </c>
      <c r="I32" s="4">
        <f t="shared" si="9"/>
        <v>11</v>
      </c>
      <c r="J32" s="4">
        <f t="shared" si="9"/>
        <v>11</v>
      </c>
      <c r="K32" s="4">
        <f t="shared" si="9"/>
        <v>13</v>
      </c>
      <c r="L32" s="4">
        <f t="shared" si="9"/>
        <v>11</v>
      </c>
      <c r="M32" s="4">
        <f t="shared" si="9"/>
        <v>19</v>
      </c>
      <c r="N32" s="4">
        <f t="shared" si="9"/>
        <v>31</v>
      </c>
      <c r="O32" s="4">
        <f t="shared" si="9"/>
        <v>36</v>
      </c>
      <c r="P32" s="4">
        <f t="shared" si="9"/>
        <v>23</v>
      </c>
      <c r="Q32" s="4">
        <f t="shared" si="9"/>
        <v>2</v>
      </c>
    </row>
    <row r="33" spans="1:18" x14ac:dyDescent="0.25">
      <c r="A33" s="2" t="s">
        <v>41</v>
      </c>
      <c r="B33" s="2">
        <v>1</v>
      </c>
      <c r="C33" s="2">
        <v>9</v>
      </c>
      <c r="D33" s="2">
        <v>30</v>
      </c>
      <c r="E33" s="2">
        <v>17</v>
      </c>
      <c r="F33" s="2">
        <v>19</v>
      </c>
      <c r="G33" s="2">
        <v>14</v>
      </c>
      <c r="H33" s="2">
        <v>15</v>
      </c>
      <c r="I33" s="2">
        <v>15</v>
      </c>
      <c r="J33" s="2">
        <v>15</v>
      </c>
      <c r="K33" s="2">
        <v>18</v>
      </c>
      <c r="L33" s="2">
        <v>21</v>
      </c>
      <c r="M33" s="2">
        <v>29</v>
      </c>
      <c r="N33" s="2">
        <v>44</v>
      </c>
      <c r="O33" s="2">
        <v>57</v>
      </c>
      <c r="P33" s="2">
        <v>34</v>
      </c>
      <c r="Q33" s="2">
        <v>1</v>
      </c>
    </row>
    <row r="34" spans="1:18" x14ac:dyDescent="0.25">
      <c r="A34" s="4">
        <v>2</v>
      </c>
      <c r="B34" s="4">
        <f>ROUND((B33)/$A$28,0)</f>
        <v>1</v>
      </c>
      <c r="C34" s="4">
        <f t="shared" si="9"/>
        <v>5</v>
      </c>
      <c r="D34" s="4">
        <f t="shared" si="9"/>
        <v>15</v>
      </c>
      <c r="E34" s="4">
        <f t="shared" si="9"/>
        <v>9</v>
      </c>
      <c r="F34" s="4">
        <f t="shared" si="9"/>
        <v>10</v>
      </c>
      <c r="G34" s="4">
        <f t="shared" si="9"/>
        <v>7</v>
      </c>
      <c r="H34" s="4">
        <f t="shared" si="9"/>
        <v>8</v>
      </c>
      <c r="I34" s="4">
        <f t="shared" si="9"/>
        <v>8</v>
      </c>
      <c r="J34" s="4">
        <f t="shared" si="9"/>
        <v>8</v>
      </c>
      <c r="K34" s="4">
        <f t="shared" si="9"/>
        <v>9</v>
      </c>
      <c r="L34" s="4">
        <f t="shared" si="9"/>
        <v>11</v>
      </c>
      <c r="M34" s="4">
        <f t="shared" si="9"/>
        <v>15</v>
      </c>
      <c r="N34" s="4">
        <f t="shared" si="9"/>
        <v>22</v>
      </c>
      <c r="O34" s="4">
        <f t="shared" si="9"/>
        <v>29</v>
      </c>
      <c r="P34" s="4">
        <f t="shared" si="9"/>
        <v>17</v>
      </c>
      <c r="Q34" s="4">
        <f t="shared" si="9"/>
        <v>1</v>
      </c>
    </row>
    <row r="35" spans="1:18" x14ac:dyDescent="0.25">
      <c r="A35" s="7" t="s">
        <v>40</v>
      </c>
      <c r="B35" s="7">
        <f>ROUND((B33+B32+B30+B28)/4,0)</f>
        <v>0</v>
      </c>
      <c r="C35" s="7">
        <f t="shared" ref="C35:Q35" si="10">ROUND((C33+C32+C30+C28)/4,0)</f>
        <v>4</v>
      </c>
      <c r="D35" s="7">
        <f t="shared" si="10"/>
        <v>14</v>
      </c>
      <c r="E35" s="7">
        <f t="shared" si="10"/>
        <v>12</v>
      </c>
      <c r="F35" s="7">
        <f t="shared" si="10"/>
        <v>11</v>
      </c>
      <c r="G35" s="7">
        <f t="shared" si="10"/>
        <v>9</v>
      </c>
      <c r="H35" s="7">
        <f t="shared" si="10"/>
        <v>10</v>
      </c>
      <c r="I35" s="7">
        <f t="shared" si="10"/>
        <v>10</v>
      </c>
      <c r="J35" s="7">
        <f t="shared" si="10"/>
        <v>10</v>
      </c>
      <c r="K35" s="7">
        <f t="shared" si="10"/>
        <v>13</v>
      </c>
      <c r="L35" s="7">
        <f t="shared" si="10"/>
        <v>15</v>
      </c>
      <c r="M35" s="7">
        <f t="shared" si="10"/>
        <v>18</v>
      </c>
      <c r="N35" s="7">
        <f t="shared" si="10"/>
        <v>28</v>
      </c>
      <c r="O35" s="7">
        <f t="shared" si="10"/>
        <v>36</v>
      </c>
      <c r="P35" s="7">
        <f t="shared" si="10"/>
        <v>21</v>
      </c>
      <c r="Q35" s="7">
        <f t="shared" si="10"/>
        <v>1</v>
      </c>
      <c r="R35" s="1">
        <f t="shared" ref="R35:R36" si="11">SUM(B35:Q35)</f>
        <v>212</v>
      </c>
    </row>
    <row r="36" spans="1:18" x14ac:dyDescent="0.25">
      <c r="A36" s="12" t="s">
        <v>60</v>
      </c>
      <c r="B36" s="12">
        <v>1</v>
      </c>
      <c r="C36" s="12">
        <v>2</v>
      </c>
      <c r="D36" s="12">
        <v>2</v>
      </c>
      <c r="E36" s="12">
        <v>2</v>
      </c>
      <c r="F36" s="12">
        <v>2</v>
      </c>
      <c r="G36" s="12">
        <v>2</v>
      </c>
      <c r="H36" s="12">
        <v>2</v>
      </c>
      <c r="I36" s="12">
        <v>2</v>
      </c>
      <c r="J36" s="12">
        <v>2</v>
      </c>
      <c r="K36" s="12">
        <v>2</v>
      </c>
      <c r="L36" s="12">
        <v>2</v>
      </c>
      <c r="M36" s="12">
        <v>2</v>
      </c>
      <c r="N36" s="12">
        <v>3</v>
      </c>
      <c r="O36" s="12">
        <v>3</v>
      </c>
      <c r="P36" s="12">
        <v>2</v>
      </c>
      <c r="Q36" s="2"/>
      <c r="R36" s="1">
        <f t="shared" si="11"/>
        <v>31</v>
      </c>
    </row>
    <row r="37" spans="1:18" x14ac:dyDescent="0.25">
      <c r="A37" s="12" t="s">
        <v>61</v>
      </c>
      <c r="B37" s="12">
        <v>1</v>
      </c>
      <c r="C37" s="12">
        <v>2</v>
      </c>
      <c r="D37" s="12">
        <v>2</v>
      </c>
      <c r="E37" s="12">
        <v>2</v>
      </c>
      <c r="F37" s="12">
        <v>2</v>
      </c>
      <c r="G37" s="12">
        <v>2</v>
      </c>
      <c r="H37" s="12">
        <v>2</v>
      </c>
      <c r="I37" s="12">
        <v>2</v>
      </c>
      <c r="J37" s="12">
        <v>2</v>
      </c>
      <c r="K37" s="12">
        <v>2</v>
      </c>
      <c r="L37" s="12">
        <v>2</v>
      </c>
      <c r="M37" s="12">
        <v>2</v>
      </c>
      <c r="N37" s="12">
        <v>3</v>
      </c>
      <c r="O37" s="12">
        <v>3</v>
      </c>
      <c r="P37" s="12">
        <v>2</v>
      </c>
      <c r="Q37" s="2"/>
      <c r="R37" s="1">
        <f>SUM(B37:Q37)</f>
        <v>31</v>
      </c>
    </row>
    <row r="39" spans="1:18" x14ac:dyDescent="0.25">
      <c r="A39" s="13" t="s">
        <v>75</v>
      </c>
    </row>
    <row r="40" spans="1:18" x14ac:dyDescent="0.25">
      <c r="A40" s="2" t="s">
        <v>78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/>
      <c r="K40" s="2"/>
      <c r="L40" s="2"/>
      <c r="M40" s="2"/>
      <c r="N40" s="2"/>
      <c r="O40" s="2"/>
      <c r="P40" s="2"/>
      <c r="Q40" s="2"/>
    </row>
    <row r="41" spans="1:18" x14ac:dyDescent="0.25">
      <c r="A41" s="2" t="s">
        <v>111</v>
      </c>
      <c r="B41" s="2"/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/>
      <c r="J41" s="2"/>
      <c r="K41" s="2"/>
      <c r="L41" s="2"/>
      <c r="M41" s="2"/>
      <c r="N41" s="2"/>
      <c r="O41" s="2"/>
      <c r="P41" s="2"/>
      <c r="Q41" s="2"/>
    </row>
    <row r="42" spans="1:18" x14ac:dyDescent="0.25">
      <c r="A42" s="2" t="s">
        <v>86</v>
      </c>
      <c r="B42" s="2"/>
      <c r="C42" s="2"/>
      <c r="D42" s="2"/>
      <c r="E42" s="2"/>
      <c r="F42" s="2"/>
      <c r="G42" s="2"/>
      <c r="H42" s="2"/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/>
    </row>
    <row r="43" spans="1:18" x14ac:dyDescent="0.25">
      <c r="A43" s="2" t="s">
        <v>117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>
        <v>1</v>
      </c>
      <c r="N43" s="2">
        <v>1</v>
      </c>
      <c r="O43" s="2">
        <v>1</v>
      </c>
      <c r="P43" s="2">
        <v>1</v>
      </c>
      <c r="Q43" s="2"/>
    </row>
    <row r="44" spans="1:18" x14ac:dyDescent="0.25">
      <c r="A44" s="2" t="s">
        <v>171</v>
      </c>
      <c r="B44" s="2"/>
      <c r="C44" s="2"/>
      <c r="D44" s="2"/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/>
      <c r="N44" s="2"/>
      <c r="O44" s="2"/>
      <c r="P44" s="2"/>
      <c r="Q44" s="2"/>
    </row>
    <row r="45" spans="1:18" x14ac:dyDescent="0.25">
      <c r="A45" s="2" t="s">
        <v>66</v>
      </c>
      <c r="B45" s="2">
        <f>SUM(B40:B44)</f>
        <v>1</v>
      </c>
      <c r="C45" s="2">
        <f t="shared" ref="C45" si="12">SUM(C40:C44)</f>
        <v>2</v>
      </c>
      <c r="D45" s="2">
        <f t="shared" ref="D45" si="13">SUM(D40:D44)</f>
        <v>2</v>
      </c>
      <c r="E45" s="2">
        <f t="shared" ref="E45" si="14">SUM(E40:E44)</f>
        <v>3</v>
      </c>
      <c r="F45" s="2">
        <f t="shared" ref="F45" si="15">SUM(F40:F44)</f>
        <v>3</v>
      </c>
      <c r="G45" s="2">
        <f t="shared" ref="G45" si="16">SUM(G40:G44)</f>
        <v>3</v>
      </c>
      <c r="H45" s="2">
        <f t="shared" ref="H45" si="17">SUM(H40:H44)</f>
        <v>3</v>
      </c>
      <c r="I45" s="2">
        <f t="shared" ref="I45" si="18">SUM(I40:I44)</f>
        <v>3</v>
      </c>
      <c r="J45" s="2">
        <f t="shared" ref="J45" si="19">SUM(J40:J44)</f>
        <v>2</v>
      </c>
      <c r="K45" s="2">
        <f t="shared" ref="K45" si="20">SUM(K40:K44)</f>
        <v>2</v>
      </c>
      <c r="L45" s="2">
        <f t="shared" ref="L45" si="21">SUM(L40:L44)</f>
        <v>2</v>
      </c>
      <c r="M45" s="2">
        <f t="shared" ref="M45" si="22">SUM(M40:M44)</f>
        <v>2</v>
      </c>
      <c r="N45" s="2">
        <f t="shared" ref="N45" si="23">SUM(N40:N44)</f>
        <v>2</v>
      </c>
      <c r="O45" s="2">
        <f t="shared" ref="O45" si="24">SUM(O40:O44)</f>
        <v>2</v>
      </c>
      <c r="P45" s="2">
        <f t="shared" ref="P45" si="25">SUM(P40:P44)</f>
        <v>2</v>
      </c>
      <c r="Q45" s="2">
        <f t="shared" ref="Q45" si="26">SUM(Q40:Q44)</f>
        <v>0</v>
      </c>
      <c r="R45" s="1">
        <f>SUM(B45:Q45)</f>
        <v>34</v>
      </c>
    </row>
    <row r="47" spans="1:18" x14ac:dyDescent="0.25">
      <c r="A47" s="2" t="s">
        <v>22</v>
      </c>
      <c r="B47" s="2"/>
      <c r="C47" s="2"/>
      <c r="E47" s="1" t="s">
        <v>64</v>
      </c>
      <c r="F47" s="1" t="s">
        <v>70</v>
      </c>
    </row>
    <row r="48" spans="1:18" x14ac:dyDescent="0.25">
      <c r="A48" s="3" t="s">
        <v>0</v>
      </c>
      <c r="B48" s="2"/>
      <c r="C48" s="2"/>
      <c r="E48" s="1" t="s">
        <v>69</v>
      </c>
      <c r="F48" s="1" t="s">
        <v>71</v>
      </c>
    </row>
    <row r="49" spans="1:14" x14ac:dyDescent="0.25">
      <c r="A49" s="2" t="s">
        <v>98</v>
      </c>
      <c r="B49" s="2">
        <f>22-7.5</f>
        <v>14.5</v>
      </c>
      <c r="C49" s="2" t="s">
        <v>24</v>
      </c>
      <c r="E49" s="1">
        <f>D63</f>
        <v>34</v>
      </c>
      <c r="F49" s="1" t="s">
        <v>24</v>
      </c>
      <c r="G49" s="1">
        <f>E49/B49</f>
        <v>2.3448275862068964</v>
      </c>
      <c r="H49" s="1" t="s">
        <v>76</v>
      </c>
    </row>
    <row r="50" spans="1:14" x14ac:dyDescent="0.25">
      <c r="A50" s="3" t="s">
        <v>2</v>
      </c>
      <c r="B50" s="2"/>
      <c r="C50" s="2"/>
    </row>
    <row r="51" spans="1:14" x14ac:dyDescent="0.25">
      <c r="A51" s="2" t="s">
        <v>97</v>
      </c>
      <c r="B51" s="2">
        <f>22-7</f>
        <v>15</v>
      </c>
      <c r="C51" s="2" t="s">
        <v>24</v>
      </c>
      <c r="E51" s="1">
        <f>D71</f>
        <v>34</v>
      </c>
      <c r="F51" s="1" t="s">
        <v>24</v>
      </c>
      <c r="G51" s="1">
        <f>E51/B51</f>
        <v>2.2666666666666666</v>
      </c>
      <c r="H51" s="1" t="s">
        <v>76</v>
      </c>
    </row>
    <row r="55" spans="1:14" x14ac:dyDescent="0.25">
      <c r="A55" s="2"/>
      <c r="B55" s="2" t="s">
        <v>26</v>
      </c>
      <c r="C55" s="2" t="s">
        <v>27</v>
      </c>
    </row>
    <row r="56" spans="1:14" x14ac:dyDescent="0.25">
      <c r="A56" s="3" t="s">
        <v>0</v>
      </c>
      <c r="B56" s="2"/>
      <c r="C56" s="2"/>
      <c r="D56" s="2"/>
    </row>
    <row r="57" spans="1:14" x14ac:dyDescent="0.25">
      <c r="A57" s="2" t="s">
        <v>78</v>
      </c>
      <c r="B57" s="2" t="s">
        <v>67</v>
      </c>
      <c r="C57" s="2">
        <v>1</v>
      </c>
      <c r="D57" s="2">
        <f>C57*8</f>
        <v>8</v>
      </c>
    </row>
    <row r="58" spans="1:14" x14ac:dyDescent="0.25">
      <c r="A58" s="2" t="s">
        <v>111</v>
      </c>
      <c r="B58" s="2" t="s">
        <v>68</v>
      </c>
      <c r="C58" s="2">
        <v>1</v>
      </c>
      <c r="D58" s="2">
        <f>14-8</f>
        <v>6</v>
      </c>
    </row>
    <row r="59" spans="1:14" x14ac:dyDescent="0.25">
      <c r="A59" s="2" t="s">
        <v>86</v>
      </c>
      <c r="B59" s="2" t="s">
        <v>67</v>
      </c>
      <c r="C59" s="2">
        <v>1</v>
      </c>
      <c r="D59" s="2">
        <v>8</v>
      </c>
      <c r="F59" s="8" t="s">
        <v>114</v>
      </c>
      <c r="G59" s="3" t="s">
        <v>67</v>
      </c>
      <c r="H59" s="3" t="s">
        <v>68</v>
      </c>
      <c r="I59" s="3" t="s">
        <v>90</v>
      </c>
    </row>
    <row r="60" spans="1:14" x14ac:dyDescent="0.25">
      <c r="A60" s="2" t="s">
        <v>117</v>
      </c>
      <c r="B60" s="2" t="s">
        <v>68</v>
      </c>
      <c r="C60" s="2">
        <v>1</v>
      </c>
      <c r="D60" s="2">
        <f>22-18</f>
        <v>4</v>
      </c>
      <c r="F60" s="11">
        <f>SUM(G60:I60)</f>
        <v>6</v>
      </c>
      <c r="G60" s="2">
        <v>3</v>
      </c>
      <c r="H60" s="2">
        <v>2</v>
      </c>
      <c r="I60" s="2">
        <v>1</v>
      </c>
    </row>
    <row r="61" spans="1:14" x14ac:dyDescent="0.25">
      <c r="A61" s="2" t="s">
        <v>172</v>
      </c>
      <c r="B61" s="2" t="s">
        <v>67</v>
      </c>
      <c r="C61" s="2">
        <v>1</v>
      </c>
      <c r="D61" s="2">
        <v>8</v>
      </c>
    </row>
    <row r="62" spans="1:14" x14ac:dyDescent="0.25">
      <c r="A62" s="2" t="s">
        <v>88</v>
      </c>
      <c r="B62" s="2"/>
      <c r="C62" s="2">
        <v>1</v>
      </c>
      <c r="D62" s="2"/>
      <c r="F62" s="8" t="s">
        <v>89</v>
      </c>
      <c r="G62" s="3" t="s">
        <v>67</v>
      </c>
      <c r="H62" s="3" t="s">
        <v>68</v>
      </c>
      <c r="I62" s="3" t="s">
        <v>90</v>
      </c>
      <c r="K62" s="8" t="s">
        <v>91</v>
      </c>
      <c r="L62" s="3" t="s">
        <v>67</v>
      </c>
      <c r="M62" s="3" t="s">
        <v>68</v>
      </c>
      <c r="N62" s="3" t="s">
        <v>90</v>
      </c>
    </row>
    <row r="63" spans="1:14" x14ac:dyDescent="0.25">
      <c r="A63" s="3" t="s">
        <v>66</v>
      </c>
      <c r="B63" s="3"/>
      <c r="C63" s="3">
        <f>SUM(C57:C62)</f>
        <v>6</v>
      </c>
      <c r="D63" s="3">
        <f>SUM(D57:D62)</f>
        <v>34</v>
      </c>
      <c r="F63" s="11">
        <f>SUM(G63:I63)</f>
        <v>4</v>
      </c>
      <c r="G63" s="2">
        <v>1</v>
      </c>
      <c r="H63" s="2">
        <v>2</v>
      </c>
      <c r="I63" s="2">
        <v>1</v>
      </c>
      <c r="K63" s="11">
        <f>F63-F60</f>
        <v>-2</v>
      </c>
      <c r="L63" s="11">
        <f t="shared" ref="L63:N63" si="27">G63-G60</f>
        <v>-2</v>
      </c>
      <c r="M63" s="11">
        <f t="shared" si="27"/>
        <v>0</v>
      </c>
      <c r="N63" s="11">
        <f t="shared" si="27"/>
        <v>0</v>
      </c>
    </row>
    <row r="64" spans="1:14" x14ac:dyDescent="0.25">
      <c r="A64" s="3" t="s">
        <v>2</v>
      </c>
      <c r="B64" s="2"/>
      <c r="C64" s="2"/>
      <c r="D64" s="2"/>
    </row>
    <row r="65" spans="1:12" x14ac:dyDescent="0.25">
      <c r="A65" s="2" t="s">
        <v>78</v>
      </c>
      <c r="B65" s="2" t="s">
        <v>67</v>
      </c>
      <c r="C65" s="2">
        <v>1</v>
      </c>
      <c r="D65" s="2">
        <f>C65*8</f>
        <v>8</v>
      </c>
      <c r="L65" s="1" t="s">
        <v>173</v>
      </c>
    </row>
    <row r="66" spans="1:12" x14ac:dyDescent="0.25">
      <c r="A66" s="2" t="s">
        <v>111</v>
      </c>
      <c r="B66" s="2" t="s">
        <v>68</v>
      </c>
      <c r="C66" s="2">
        <v>1</v>
      </c>
      <c r="D66" s="2">
        <f>14-8</f>
        <v>6</v>
      </c>
    </row>
    <row r="67" spans="1:12" x14ac:dyDescent="0.25">
      <c r="A67" s="2" t="s">
        <v>86</v>
      </c>
      <c r="B67" s="2" t="s">
        <v>67</v>
      </c>
      <c r="C67" s="2">
        <v>1</v>
      </c>
      <c r="D67" s="2">
        <f t="shared" ref="D67" si="28">C67*8</f>
        <v>8</v>
      </c>
    </row>
    <row r="68" spans="1:12" x14ac:dyDescent="0.25">
      <c r="A68" s="2" t="s">
        <v>117</v>
      </c>
      <c r="B68" s="2" t="s">
        <v>68</v>
      </c>
      <c r="C68" s="2">
        <v>1</v>
      </c>
      <c r="D68" s="2">
        <f>22-18</f>
        <v>4</v>
      </c>
    </row>
    <row r="69" spans="1:12" x14ac:dyDescent="0.25">
      <c r="A69" s="2" t="s">
        <v>172</v>
      </c>
      <c r="B69" s="2" t="s">
        <v>67</v>
      </c>
      <c r="C69" s="2">
        <v>1</v>
      </c>
      <c r="D69" s="2">
        <v>8</v>
      </c>
    </row>
    <row r="70" spans="1:12" x14ac:dyDescent="0.25">
      <c r="A70" s="2" t="s">
        <v>88</v>
      </c>
      <c r="B70" s="2"/>
      <c r="C70" s="2">
        <v>1</v>
      </c>
      <c r="D70" s="2"/>
    </row>
    <row r="71" spans="1:12" x14ac:dyDescent="0.25">
      <c r="A71" s="3" t="s">
        <v>66</v>
      </c>
      <c r="B71" s="3"/>
      <c r="C71" s="3">
        <f>SUM(C65:C70)</f>
        <v>6</v>
      </c>
      <c r="D71" s="3">
        <f>SUM(D65:D70)</f>
        <v>34</v>
      </c>
    </row>
    <row r="72" spans="1:12" x14ac:dyDescent="0.25">
      <c r="E72" s="1" t="s">
        <v>94</v>
      </c>
      <c r="F72" s="1" t="s">
        <v>95</v>
      </c>
      <c r="G72" s="1" t="s">
        <v>99</v>
      </c>
    </row>
    <row r="73" spans="1:12" ht="25.5" x14ac:dyDescent="0.35">
      <c r="A73" s="14" t="s">
        <v>84</v>
      </c>
      <c r="B73" s="15"/>
      <c r="C73" s="15"/>
      <c r="D73" s="15"/>
      <c r="E73" s="1" t="s">
        <v>104</v>
      </c>
      <c r="F73" s="1" t="s">
        <v>105</v>
      </c>
      <c r="G73" s="1" t="s">
        <v>100</v>
      </c>
    </row>
    <row r="75" spans="1:12" x14ac:dyDescent="0.25">
      <c r="A75" s="8" t="s">
        <v>80</v>
      </c>
      <c r="B75" s="8" t="s">
        <v>81</v>
      </c>
      <c r="C75" s="8" t="s">
        <v>82</v>
      </c>
      <c r="D75" s="8" t="s">
        <v>66</v>
      </c>
    </row>
    <row r="76" spans="1:12" x14ac:dyDescent="0.25">
      <c r="A76" s="3" t="s">
        <v>0</v>
      </c>
      <c r="B76" s="2"/>
      <c r="C76" s="2"/>
      <c r="D76" s="8"/>
    </row>
    <row r="77" spans="1:12" x14ac:dyDescent="0.25">
      <c r="A77" s="2" t="s">
        <v>143</v>
      </c>
      <c r="B77" s="2">
        <v>128</v>
      </c>
      <c r="C77" s="2">
        <v>69</v>
      </c>
      <c r="D77" s="33">
        <f t="shared" ref="D77:D80" si="29">B77+C77</f>
        <v>197</v>
      </c>
    </row>
    <row r="78" spans="1:12" x14ac:dyDescent="0.25">
      <c r="A78" s="2" t="s">
        <v>292</v>
      </c>
      <c r="B78" s="2">
        <v>27</v>
      </c>
      <c r="C78" s="2">
        <v>9</v>
      </c>
      <c r="D78" s="33">
        <f>B78+C78</f>
        <v>36</v>
      </c>
      <c r="E78" s="1">
        <f>D78+D79+D80</f>
        <v>210</v>
      </c>
    </row>
    <row r="79" spans="1:12" x14ac:dyDescent="0.25">
      <c r="A79" s="2" t="s">
        <v>293</v>
      </c>
      <c r="B79" s="2">
        <v>75</v>
      </c>
      <c r="C79" s="2">
        <v>9</v>
      </c>
      <c r="D79" s="33">
        <f t="shared" si="29"/>
        <v>84</v>
      </c>
    </row>
    <row r="80" spans="1:12" x14ac:dyDescent="0.25">
      <c r="A80" s="2" t="s">
        <v>294</v>
      </c>
      <c r="B80" s="2">
        <v>65</v>
      </c>
      <c r="C80" s="2">
        <v>25</v>
      </c>
      <c r="D80" s="33">
        <f t="shared" si="29"/>
        <v>90</v>
      </c>
    </row>
    <row r="81" spans="1:12" x14ac:dyDescent="0.25">
      <c r="A81" s="3" t="s">
        <v>2</v>
      </c>
      <c r="B81" s="2"/>
      <c r="C81" s="2"/>
      <c r="D81" s="8"/>
    </row>
    <row r="82" spans="1:12" x14ac:dyDescent="0.25">
      <c r="A82" s="2" t="s">
        <v>143</v>
      </c>
      <c r="B82" s="2">
        <v>271</v>
      </c>
      <c r="C82" s="2">
        <v>61</v>
      </c>
      <c r="D82" s="33">
        <f t="shared" ref="D82" si="30">B82+C82</f>
        <v>332</v>
      </c>
    </row>
    <row r="83" spans="1:12" x14ac:dyDescent="0.25">
      <c r="A83" s="2" t="s">
        <v>292</v>
      </c>
      <c r="B83" s="2">
        <v>60</v>
      </c>
      <c r="C83" s="2">
        <v>3</v>
      </c>
      <c r="D83" s="33">
        <f>B83+C83</f>
        <v>63</v>
      </c>
      <c r="E83" s="1">
        <f>D83+D84+D85</f>
        <v>375</v>
      </c>
    </row>
    <row r="84" spans="1:12" x14ac:dyDescent="0.25">
      <c r="A84" s="2" t="s">
        <v>293</v>
      </c>
      <c r="B84" s="2">
        <v>208</v>
      </c>
      <c r="C84" s="2">
        <v>12</v>
      </c>
      <c r="D84" s="33">
        <f t="shared" ref="D84:D85" si="31">B84+C84</f>
        <v>220</v>
      </c>
    </row>
    <row r="85" spans="1:12" x14ac:dyDescent="0.25">
      <c r="A85" s="2" t="s">
        <v>294</v>
      </c>
      <c r="B85" s="2">
        <v>77</v>
      </c>
      <c r="C85" s="2">
        <v>15</v>
      </c>
      <c r="D85" s="33">
        <f t="shared" si="31"/>
        <v>92</v>
      </c>
    </row>
    <row r="87" spans="1:12" x14ac:dyDescent="0.25">
      <c r="A87" s="8" t="s">
        <v>103</v>
      </c>
      <c r="B87" s="3" t="s">
        <v>67</v>
      </c>
      <c r="C87" s="8" t="s">
        <v>101</v>
      </c>
      <c r="D87" s="3" t="s">
        <v>90</v>
      </c>
      <c r="F87" s="8" t="s">
        <v>89</v>
      </c>
      <c r="G87" s="3" t="s">
        <v>67</v>
      </c>
      <c r="H87" s="3" t="s">
        <v>90</v>
      </c>
      <c r="J87" s="8" t="s">
        <v>102</v>
      </c>
      <c r="K87" s="3" t="s">
        <v>67</v>
      </c>
      <c r="L87" s="3" t="s">
        <v>90</v>
      </c>
    </row>
    <row r="88" spans="1:12" x14ac:dyDescent="0.25">
      <c r="A88" s="11">
        <f>SUM(B88:D88)</f>
        <v>4</v>
      </c>
      <c r="B88" s="2">
        <v>2</v>
      </c>
      <c r="C88" s="2">
        <v>1</v>
      </c>
      <c r="D88" s="2">
        <v>1</v>
      </c>
      <c r="F88" s="11">
        <f>SUM(G88:H88)</f>
        <v>4</v>
      </c>
      <c r="G88" s="2">
        <v>3</v>
      </c>
      <c r="H88" s="2">
        <v>1</v>
      </c>
      <c r="J88" s="11">
        <f>A88-F88</f>
        <v>0</v>
      </c>
      <c r="K88" s="2">
        <v>1</v>
      </c>
      <c r="L88" s="2"/>
    </row>
  </sheetData>
  <pageMargins left="0" right="0" top="0" bottom="0" header="0" footer="0"/>
  <pageSetup paperSize="9" scale="67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NTP</vt:lpstr>
      <vt:lpstr>NTP (2)</vt:lpstr>
      <vt:lpstr>pxl</vt:lpstr>
      <vt:lpstr>pxl (2)</vt:lpstr>
      <vt:lpstr>AEON</vt:lpstr>
      <vt:lpstr>AEON (2)</vt:lpstr>
      <vt:lpstr>CANTAVIL</vt:lpstr>
      <vt:lpstr>CANTAVIL)</vt:lpstr>
      <vt:lpstr>qt</vt:lpstr>
      <vt:lpstr>qt (2)</vt:lpstr>
      <vt:lpstr>ch</vt:lpstr>
      <vt:lpstr>ch (2)</vt:lpstr>
      <vt:lpstr>VINCOM Q1</vt:lpstr>
      <vt:lpstr>VINCOM Q1 (2)</vt:lpstr>
      <vt:lpstr>vivo</vt:lpstr>
      <vt:lpstr>vivo (2)</vt:lpstr>
      <vt:lpstr>VUNG TAU</vt:lpstr>
      <vt:lpstr>VUNG TAU (2)</vt:lpstr>
      <vt:lpstr>BIEN HOA</vt:lpstr>
      <vt:lpstr>BIEN HOA (2)</vt:lpstr>
      <vt:lpstr>cm</vt:lpstr>
      <vt:lpstr>cm (2)</vt:lpstr>
      <vt:lpstr>hn</vt:lpstr>
      <vt:lpstr>hn (2)</vt:lpstr>
      <vt:lpstr>TQD</vt:lpstr>
      <vt:lpstr>TQD(2)</vt:lpstr>
      <vt:lpstr>dbns</vt:lpstr>
      <vt:lpstr>dbns LG</vt:lpstr>
      <vt:lpstr>SO LUONG NHAN SU TUYEN DUNG</vt:lpstr>
      <vt:lpstr>gio hoat dong ch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2016-06-01T04:01:37Z</cp:lastPrinted>
  <dcterms:created xsi:type="dcterms:W3CDTF">2016-05-11T07:10:47Z</dcterms:created>
  <dcterms:modified xsi:type="dcterms:W3CDTF">2017-03-17T13:09:09Z</dcterms:modified>
</cp:coreProperties>
</file>