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iner/Twitch/Minecraft/Instances/brunel-3/assets/"/>
    </mc:Choice>
  </mc:AlternateContent>
  <xr:revisionPtr revIDLastSave="0" documentId="13_ncr:1_{EFF4FCDA-AD55-FE4B-8056-046DBE1E8528}" xr6:coauthVersionLast="46" xr6:coauthVersionMax="46" xr10:uidLastSave="{00000000-0000-0000-0000-000000000000}"/>
  <bookViews>
    <workbookView xWindow="8540" yWindow="460" windowWidth="34140" windowHeight="28340" activeTab="4" xr2:uid="{7AE51FE2-D37D-804E-BEE6-C97F5A6C5473}"/>
  </bookViews>
  <sheets>
    <sheet name="worksheet" sheetId="1" r:id="rId1"/>
    <sheet name="ie biodiesel (86%)" sheetId="5" r:id="rId2"/>
    <sheet name="forestry best (75%)" sheetId="9" r:id="rId3"/>
    <sheet name="diesel + gas (58%)" sheetId="13" r:id="rId4"/>
    <sheet name="forestry worst (51%)" sheetId="8" r:id="rId5"/>
    <sheet name="diesel (47%)" sheetId="15" r:id="rId6"/>
    <sheet name="diesel + gas residual (8%)" sheetId="14" r:id="rId7"/>
    <sheet name="diesel residual (-3%)" sheetId="10" r:id="rId8"/>
    <sheet name="gasoline best (-374%)" sheetId="11" r:id="rId9"/>
    <sheet name="gasoline worst (-819%)" sheetId="12" r:id="rId10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5" l="1"/>
  <c r="E39" i="15"/>
  <c r="B14" i="15" s="1"/>
  <c r="E38" i="15"/>
  <c r="E37" i="15"/>
  <c r="K35" i="15"/>
  <c r="L34" i="15"/>
  <c r="K34" i="15"/>
  <c r="E34" i="15"/>
  <c r="K33" i="15"/>
  <c r="L33" i="15" s="1"/>
  <c r="E33" i="15"/>
  <c r="K32" i="15"/>
  <c r="K31" i="15"/>
  <c r="L31" i="15" s="1"/>
  <c r="G31" i="15"/>
  <c r="E31" i="15"/>
  <c r="K30" i="15"/>
  <c r="E30" i="15"/>
  <c r="B35" i="15" s="1"/>
  <c r="B30" i="15"/>
  <c r="L30" i="15" s="1"/>
  <c r="K29" i="15"/>
  <c r="K28" i="15"/>
  <c r="L28" i="15" s="1"/>
  <c r="L27" i="15"/>
  <c r="K27" i="15"/>
  <c r="I27" i="15"/>
  <c r="G27" i="15"/>
  <c r="E27" i="15"/>
  <c r="L26" i="15"/>
  <c r="K26" i="15"/>
  <c r="I26" i="15"/>
  <c r="G26" i="15"/>
  <c r="E26" i="15"/>
  <c r="K25" i="15"/>
  <c r="L25" i="15" s="1"/>
  <c r="I25" i="15"/>
  <c r="G25" i="15"/>
  <c r="E25" i="15"/>
  <c r="L24" i="15"/>
  <c r="K24" i="15"/>
  <c r="I24" i="15"/>
  <c r="B10" i="15" s="1"/>
  <c r="L10" i="15" s="1"/>
  <c r="G24" i="15"/>
  <c r="E24" i="15"/>
  <c r="K23" i="15"/>
  <c r="L23" i="15" s="1"/>
  <c r="I23" i="15"/>
  <c r="G23" i="15"/>
  <c r="E23" i="15"/>
  <c r="K22" i="15"/>
  <c r="L22" i="15" s="1"/>
  <c r="I22" i="15"/>
  <c r="G22" i="15"/>
  <c r="E22" i="15"/>
  <c r="L21" i="15"/>
  <c r="K21" i="15"/>
  <c r="I21" i="15"/>
  <c r="G21" i="15"/>
  <c r="B4" i="15" s="1"/>
  <c r="L4" i="15" s="1"/>
  <c r="E21" i="15"/>
  <c r="L20" i="15"/>
  <c r="K20" i="15"/>
  <c r="I20" i="15"/>
  <c r="G20" i="15"/>
  <c r="E20" i="15"/>
  <c r="K19" i="15"/>
  <c r="L19" i="15" s="1"/>
  <c r="I19" i="15"/>
  <c r="G19" i="15"/>
  <c r="E19" i="15"/>
  <c r="K18" i="15"/>
  <c r="L17" i="15"/>
  <c r="K17" i="15"/>
  <c r="I17" i="15"/>
  <c r="G17" i="15"/>
  <c r="E17" i="15"/>
  <c r="K16" i="15"/>
  <c r="L16" i="15" s="1"/>
  <c r="I16" i="15"/>
  <c r="G16" i="15"/>
  <c r="E16" i="15"/>
  <c r="K15" i="15"/>
  <c r="B15" i="15"/>
  <c r="L15" i="15" s="1"/>
  <c r="K14" i="15"/>
  <c r="K13" i="15"/>
  <c r="K12" i="15"/>
  <c r="L12" i="15" s="1"/>
  <c r="K11" i="15"/>
  <c r="B11" i="15"/>
  <c r="L11" i="15" s="1"/>
  <c r="B6" i="15"/>
  <c r="L6" i="15" s="1"/>
  <c r="K2" i="15"/>
  <c r="B29" i="1"/>
  <c r="B45" i="14"/>
  <c r="E39" i="14"/>
  <c r="B14" i="14" s="1"/>
  <c r="E38" i="14"/>
  <c r="B11" i="14" s="1"/>
  <c r="E37" i="14"/>
  <c r="K35" i="14"/>
  <c r="L34" i="14"/>
  <c r="K34" i="14"/>
  <c r="E34" i="14"/>
  <c r="L33" i="14"/>
  <c r="K33" i="14"/>
  <c r="E33" i="14"/>
  <c r="K32" i="14"/>
  <c r="K31" i="14"/>
  <c r="L31" i="14" s="1"/>
  <c r="G31" i="14"/>
  <c r="E31" i="14"/>
  <c r="K30" i="14"/>
  <c r="E30" i="14"/>
  <c r="B35" i="14" s="1"/>
  <c r="B30" i="14"/>
  <c r="L30" i="14" s="1"/>
  <c r="K29" i="14"/>
  <c r="L29" i="14" s="1"/>
  <c r="K28" i="14"/>
  <c r="L27" i="14"/>
  <c r="K27" i="14"/>
  <c r="I27" i="14"/>
  <c r="G27" i="14"/>
  <c r="E27" i="14"/>
  <c r="L26" i="14"/>
  <c r="K26" i="14"/>
  <c r="I26" i="14"/>
  <c r="G26" i="14"/>
  <c r="E26" i="14"/>
  <c r="K25" i="14"/>
  <c r="L25" i="14" s="1"/>
  <c r="I25" i="14"/>
  <c r="G25" i="14"/>
  <c r="E25" i="14"/>
  <c r="L24" i="14"/>
  <c r="K24" i="14"/>
  <c r="I24" i="14"/>
  <c r="B10" i="14" s="1"/>
  <c r="L10" i="14" s="1"/>
  <c r="G24" i="14"/>
  <c r="E24" i="14"/>
  <c r="K23" i="14"/>
  <c r="L23" i="14" s="1"/>
  <c r="I23" i="14"/>
  <c r="G23" i="14"/>
  <c r="B4" i="14" s="1"/>
  <c r="L4" i="14" s="1"/>
  <c r="E23" i="14"/>
  <c r="K22" i="14"/>
  <c r="L22" i="14" s="1"/>
  <c r="I22" i="14"/>
  <c r="G22" i="14"/>
  <c r="E22" i="14"/>
  <c r="L21" i="14"/>
  <c r="K21" i="14"/>
  <c r="I21" i="14"/>
  <c r="G21" i="14"/>
  <c r="E21" i="14"/>
  <c r="L20" i="14"/>
  <c r="K20" i="14"/>
  <c r="I20" i="14"/>
  <c r="G20" i="14"/>
  <c r="E20" i="14"/>
  <c r="K19" i="14"/>
  <c r="L19" i="14" s="1"/>
  <c r="I19" i="14"/>
  <c r="G19" i="14"/>
  <c r="E19" i="14"/>
  <c r="K18" i="14"/>
  <c r="L17" i="14"/>
  <c r="K17" i="14"/>
  <c r="I17" i="14"/>
  <c r="G17" i="14"/>
  <c r="E17" i="14"/>
  <c r="K16" i="14"/>
  <c r="L16" i="14" s="1"/>
  <c r="I16" i="14"/>
  <c r="G16" i="14"/>
  <c r="E16" i="14"/>
  <c r="K15" i="14"/>
  <c r="B15" i="14"/>
  <c r="L15" i="14" s="1"/>
  <c r="K14" i="14"/>
  <c r="K13" i="14"/>
  <c r="K12" i="14"/>
  <c r="K11" i="14"/>
  <c r="B6" i="14"/>
  <c r="L6" i="14" s="1"/>
  <c r="K2" i="14"/>
  <c r="B45" i="13"/>
  <c r="E39" i="13"/>
  <c r="B14" i="13" s="1"/>
  <c r="E38" i="13"/>
  <c r="B11" i="13" s="1"/>
  <c r="E37" i="13"/>
  <c r="K35" i="13"/>
  <c r="L34" i="13"/>
  <c r="K34" i="13"/>
  <c r="E34" i="13"/>
  <c r="K33" i="13"/>
  <c r="L33" i="13" s="1"/>
  <c r="E33" i="13"/>
  <c r="K32" i="13"/>
  <c r="K31" i="13"/>
  <c r="L31" i="13" s="1"/>
  <c r="G31" i="13"/>
  <c r="E31" i="13"/>
  <c r="K30" i="13"/>
  <c r="E30" i="13"/>
  <c r="B35" i="13" s="1"/>
  <c r="B30" i="13"/>
  <c r="L30" i="13" s="1"/>
  <c r="K29" i="13"/>
  <c r="K28" i="13"/>
  <c r="L28" i="13" s="1"/>
  <c r="L27" i="13"/>
  <c r="K27" i="13"/>
  <c r="I27" i="13"/>
  <c r="G27" i="13"/>
  <c r="E27" i="13"/>
  <c r="L26" i="13"/>
  <c r="K26" i="13"/>
  <c r="I26" i="13"/>
  <c r="G26" i="13"/>
  <c r="E26" i="13"/>
  <c r="K25" i="13"/>
  <c r="L25" i="13" s="1"/>
  <c r="I25" i="13"/>
  <c r="G25" i="13"/>
  <c r="E25" i="13"/>
  <c r="K24" i="13"/>
  <c r="L24" i="13" s="1"/>
  <c r="I24" i="13"/>
  <c r="B10" i="13" s="1"/>
  <c r="L10" i="13" s="1"/>
  <c r="G24" i="13"/>
  <c r="E24" i="13"/>
  <c r="K23" i="13"/>
  <c r="L23" i="13" s="1"/>
  <c r="I23" i="13"/>
  <c r="G23" i="13"/>
  <c r="B4" i="13" s="1"/>
  <c r="L4" i="13" s="1"/>
  <c r="E23" i="13"/>
  <c r="K22" i="13"/>
  <c r="L22" i="13" s="1"/>
  <c r="I22" i="13"/>
  <c r="G22" i="13"/>
  <c r="E22" i="13"/>
  <c r="L21" i="13"/>
  <c r="K21" i="13"/>
  <c r="I21" i="13"/>
  <c r="G21" i="13"/>
  <c r="E21" i="13"/>
  <c r="L20" i="13"/>
  <c r="K20" i="13"/>
  <c r="I20" i="13"/>
  <c r="G20" i="13"/>
  <c r="E20" i="13"/>
  <c r="K19" i="13"/>
  <c r="L19" i="13" s="1"/>
  <c r="I19" i="13"/>
  <c r="G19" i="13"/>
  <c r="E19" i="13"/>
  <c r="K18" i="13"/>
  <c r="K17" i="13"/>
  <c r="L17" i="13" s="1"/>
  <c r="I17" i="13"/>
  <c r="G17" i="13"/>
  <c r="E17" i="13"/>
  <c r="K16" i="13"/>
  <c r="L16" i="13" s="1"/>
  <c r="I16" i="13"/>
  <c r="G16" i="13"/>
  <c r="E16" i="13"/>
  <c r="K15" i="13"/>
  <c r="B15" i="13"/>
  <c r="L15" i="13" s="1"/>
  <c r="K14" i="13"/>
  <c r="K13" i="13"/>
  <c r="K12" i="13"/>
  <c r="K11" i="13"/>
  <c r="B6" i="13"/>
  <c r="L6" i="13" s="1"/>
  <c r="K2" i="13"/>
  <c r="K12" i="1"/>
  <c r="L12" i="1"/>
  <c r="B27" i="12"/>
  <c r="B44" i="12"/>
  <c r="E38" i="12"/>
  <c r="B13" i="12" s="1"/>
  <c r="E37" i="12"/>
  <c r="B11" i="12" s="1"/>
  <c r="L11" i="12" s="1"/>
  <c r="E36" i="12"/>
  <c r="K34" i="12"/>
  <c r="L33" i="12"/>
  <c r="K33" i="12"/>
  <c r="E33" i="12"/>
  <c r="K32" i="12"/>
  <c r="L32" i="12" s="1"/>
  <c r="E32" i="12"/>
  <c r="K31" i="12"/>
  <c r="K30" i="12"/>
  <c r="L30" i="12" s="1"/>
  <c r="G30" i="12"/>
  <c r="E30" i="12"/>
  <c r="K29" i="12"/>
  <c r="E29" i="12"/>
  <c r="B34" i="12" s="1"/>
  <c r="B29" i="12"/>
  <c r="L29" i="12" s="1"/>
  <c r="K28" i="12"/>
  <c r="K27" i="12"/>
  <c r="L26" i="12"/>
  <c r="K26" i="12"/>
  <c r="I26" i="12"/>
  <c r="G26" i="12"/>
  <c r="E26" i="12"/>
  <c r="L25" i="12"/>
  <c r="K25" i="12"/>
  <c r="I25" i="12"/>
  <c r="G25" i="12"/>
  <c r="E25" i="12"/>
  <c r="K24" i="12"/>
  <c r="L24" i="12" s="1"/>
  <c r="I24" i="12"/>
  <c r="G24" i="12"/>
  <c r="E24" i="12"/>
  <c r="K23" i="12"/>
  <c r="L23" i="12" s="1"/>
  <c r="I23" i="12"/>
  <c r="G23" i="12"/>
  <c r="E23" i="12"/>
  <c r="K22" i="12"/>
  <c r="L22" i="12" s="1"/>
  <c r="I22" i="12"/>
  <c r="G22" i="12"/>
  <c r="E22" i="12"/>
  <c r="K21" i="12"/>
  <c r="L21" i="12" s="1"/>
  <c r="I21" i="12"/>
  <c r="G21" i="12"/>
  <c r="E21" i="12"/>
  <c r="L20" i="12"/>
  <c r="K20" i="12"/>
  <c r="I20" i="12"/>
  <c r="G20" i="12"/>
  <c r="E20" i="12"/>
  <c r="L19" i="12"/>
  <c r="K19" i="12"/>
  <c r="I19" i="12"/>
  <c r="G19" i="12"/>
  <c r="E19" i="12"/>
  <c r="K18" i="12"/>
  <c r="L18" i="12" s="1"/>
  <c r="I18" i="12"/>
  <c r="G18" i="12"/>
  <c r="E18" i="12"/>
  <c r="K17" i="12"/>
  <c r="K16" i="12"/>
  <c r="L16" i="12" s="1"/>
  <c r="I16" i="12"/>
  <c r="G16" i="12"/>
  <c r="E16" i="12"/>
  <c r="K15" i="12"/>
  <c r="L15" i="12" s="1"/>
  <c r="I15" i="12"/>
  <c r="G15" i="12"/>
  <c r="E15" i="12"/>
  <c r="B6" i="12" s="1"/>
  <c r="L6" i="12" s="1"/>
  <c r="K14" i="12"/>
  <c r="B14" i="12"/>
  <c r="L14" i="12" s="1"/>
  <c r="K13" i="12"/>
  <c r="K12" i="12"/>
  <c r="K11" i="12"/>
  <c r="B10" i="12"/>
  <c r="L10" i="12" s="1"/>
  <c r="B4" i="12"/>
  <c r="L4" i="12" s="1"/>
  <c r="K2" i="12"/>
  <c r="B44" i="11"/>
  <c r="E38" i="11"/>
  <c r="B13" i="11" s="1"/>
  <c r="E37" i="11"/>
  <c r="E36" i="11"/>
  <c r="K34" i="11"/>
  <c r="L33" i="11"/>
  <c r="K33" i="11"/>
  <c r="E33" i="11"/>
  <c r="K32" i="11"/>
  <c r="L32" i="11" s="1"/>
  <c r="E32" i="11"/>
  <c r="K31" i="11"/>
  <c r="K30" i="11"/>
  <c r="L30" i="11" s="1"/>
  <c r="G30" i="11"/>
  <c r="E30" i="11"/>
  <c r="K29" i="11"/>
  <c r="E29" i="11"/>
  <c r="B34" i="11" s="1"/>
  <c r="B29" i="11"/>
  <c r="L29" i="11" s="1"/>
  <c r="K28" i="11"/>
  <c r="K27" i="11"/>
  <c r="L27" i="11" s="1"/>
  <c r="L26" i="11"/>
  <c r="K26" i="11"/>
  <c r="I26" i="11"/>
  <c r="G26" i="11"/>
  <c r="E26" i="11"/>
  <c r="L25" i="11"/>
  <c r="K25" i="11"/>
  <c r="I25" i="11"/>
  <c r="G25" i="11"/>
  <c r="E25" i="11"/>
  <c r="K24" i="11"/>
  <c r="L24" i="11" s="1"/>
  <c r="I24" i="11"/>
  <c r="G24" i="11"/>
  <c r="E24" i="11"/>
  <c r="L23" i="11"/>
  <c r="K23" i="11"/>
  <c r="I23" i="11"/>
  <c r="G23" i="11"/>
  <c r="E23" i="11"/>
  <c r="K22" i="11"/>
  <c r="L22" i="11" s="1"/>
  <c r="I22" i="11"/>
  <c r="G22" i="11"/>
  <c r="E22" i="11"/>
  <c r="K21" i="11"/>
  <c r="L21" i="11" s="1"/>
  <c r="I21" i="11"/>
  <c r="G21" i="11"/>
  <c r="E21" i="11"/>
  <c r="L20" i="11"/>
  <c r="K20" i="11"/>
  <c r="I20" i="11"/>
  <c r="G20" i="11"/>
  <c r="E20" i="11"/>
  <c r="L19" i="11"/>
  <c r="K19" i="11"/>
  <c r="I19" i="11"/>
  <c r="G19" i="11"/>
  <c r="E19" i="11"/>
  <c r="K18" i="11"/>
  <c r="L18" i="11" s="1"/>
  <c r="I18" i="11"/>
  <c r="G18" i="11"/>
  <c r="E18" i="11"/>
  <c r="K17" i="11"/>
  <c r="L16" i="11"/>
  <c r="K16" i="11"/>
  <c r="I16" i="11"/>
  <c r="G16" i="11"/>
  <c r="E16" i="11"/>
  <c r="K15" i="11"/>
  <c r="L15" i="11" s="1"/>
  <c r="I15" i="11"/>
  <c r="G15" i="11"/>
  <c r="E15" i="11"/>
  <c r="B6" i="11" s="1"/>
  <c r="L6" i="11" s="1"/>
  <c r="K14" i="11"/>
  <c r="B14" i="11"/>
  <c r="L14" i="11" s="1"/>
  <c r="K13" i="11"/>
  <c r="K12" i="11"/>
  <c r="K11" i="11"/>
  <c r="B11" i="11"/>
  <c r="L11" i="11" s="1"/>
  <c r="B10" i="11"/>
  <c r="L10" i="11" s="1"/>
  <c r="B4" i="11"/>
  <c r="L4" i="11" s="1"/>
  <c r="K2" i="11"/>
  <c r="K28" i="1"/>
  <c r="L28" i="1" s="1"/>
  <c r="B44" i="10"/>
  <c r="E38" i="10"/>
  <c r="B13" i="10" s="1"/>
  <c r="E37" i="10"/>
  <c r="B11" i="10" s="1"/>
  <c r="E36" i="10"/>
  <c r="K34" i="10"/>
  <c r="L33" i="10"/>
  <c r="K33" i="10"/>
  <c r="E33" i="10"/>
  <c r="K32" i="10"/>
  <c r="L32" i="10" s="1"/>
  <c r="E32" i="10"/>
  <c r="K31" i="10"/>
  <c r="K30" i="10"/>
  <c r="L30" i="10" s="1"/>
  <c r="G30" i="10"/>
  <c r="B14" i="10" s="1"/>
  <c r="E30" i="10"/>
  <c r="K29" i="10"/>
  <c r="B29" i="10"/>
  <c r="L29" i="10" s="1"/>
  <c r="L28" i="10"/>
  <c r="K28" i="10"/>
  <c r="K27" i="10"/>
  <c r="L26" i="10"/>
  <c r="K26" i="10"/>
  <c r="I26" i="10"/>
  <c r="G26" i="10"/>
  <c r="E26" i="10"/>
  <c r="K25" i="10"/>
  <c r="L25" i="10" s="1"/>
  <c r="I25" i="10"/>
  <c r="G25" i="10"/>
  <c r="E25" i="10"/>
  <c r="K24" i="10"/>
  <c r="L24" i="10" s="1"/>
  <c r="I24" i="10"/>
  <c r="G24" i="10"/>
  <c r="E24" i="10"/>
  <c r="K23" i="10"/>
  <c r="L23" i="10" s="1"/>
  <c r="I23" i="10"/>
  <c r="G23" i="10"/>
  <c r="E23" i="10"/>
  <c r="K22" i="10"/>
  <c r="L22" i="10" s="1"/>
  <c r="I22" i="10"/>
  <c r="G22" i="10"/>
  <c r="E22" i="10"/>
  <c r="L21" i="10"/>
  <c r="K21" i="10"/>
  <c r="I21" i="10"/>
  <c r="G21" i="10"/>
  <c r="E21" i="10"/>
  <c r="K20" i="10"/>
  <c r="L19" i="10"/>
  <c r="K19" i="10"/>
  <c r="I19" i="10"/>
  <c r="G19" i="10"/>
  <c r="E19" i="10"/>
  <c r="K18" i="10"/>
  <c r="L18" i="10" s="1"/>
  <c r="I18" i="10"/>
  <c r="G18" i="10"/>
  <c r="E18" i="10"/>
  <c r="B3" i="10" s="1"/>
  <c r="L3" i="10" s="1"/>
  <c r="K17" i="10"/>
  <c r="L17" i="10" s="1"/>
  <c r="I17" i="10"/>
  <c r="G17" i="10"/>
  <c r="E17" i="10"/>
  <c r="K16" i="10"/>
  <c r="L16" i="10" s="1"/>
  <c r="I16" i="10"/>
  <c r="G16" i="10"/>
  <c r="E16" i="10"/>
  <c r="K15" i="10"/>
  <c r="L15" i="10" s="1"/>
  <c r="I15" i="10"/>
  <c r="B31" i="10" s="1"/>
  <c r="G15" i="10"/>
  <c r="E15" i="10"/>
  <c r="K14" i="10"/>
  <c r="K13" i="10"/>
  <c r="K12" i="10"/>
  <c r="K11" i="10"/>
  <c r="B10" i="10"/>
  <c r="L10" i="10" s="1"/>
  <c r="B7" i="10"/>
  <c r="L7" i="10" s="1"/>
  <c r="K2" i="10"/>
  <c r="B43" i="9"/>
  <c r="E37" i="9"/>
  <c r="E36" i="9"/>
  <c r="B11" i="9" s="1"/>
  <c r="E35" i="9"/>
  <c r="K33" i="9"/>
  <c r="L32" i="9"/>
  <c r="K32" i="9"/>
  <c r="E32" i="9"/>
  <c r="K31" i="9"/>
  <c r="L31" i="9" s="1"/>
  <c r="E31" i="9"/>
  <c r="K30" i="9"/>
  <c r="K29" i="9"/>
  <c r="L29" i="9" s="1"/>
  <c r="G29" i="9"/>
  <c r="B14" i="9" s="1"/>
  <c r="E29" i="9"/>
  <c r="K28" i="9"/>
  <c r="B28" i="9"/>
  <c r="G28" i="9" s="1"/>
  <c r="B12" i="9" s="1"/>
  <c r="K27" i="9"/>
  <c r="K26" i="9"/>
  <c r="L26" i="9" s="1"/>
  <c r="I26" i="9"/>
  <c r="G26" i="9"/>
  <c r="E26" i="9"/>
  <c r="K25" i="9"/>
  <c r="L25" i="9" s="1"/>
  <c r="I25" i="9"/>
  <c r="B10" i="9" s="1"/>
  <c r="L10" i="9" s="1"/>
  <c r="G25" i="9"/>
  <c r="E25" i="9"/>
  <c r="K24" i="9"/>
  <c r="L24" i="9" s="1"/>
  <c r="I24" i="9"/>
  <c r="G24" i="9"/>
  <c r="E24" i="9"/>
  <c r="K23" i="9"/>
  <c r="L23" i="9" s="1"/>
  <c r="I23" i="9"/>
  <c r="G23" i="9"/>
  <c r="E23" i="9"/>
  <c r="L22" i="9"/>
  <c r="K22" i="9"/>
  <c r="I22" i="9"/>
  <c r="G22" i="9"/>
  <c r="E22" i="9"/>
  <c r="K21" i="9"/>
  <c r="L21" i="9" s="1"/>
  <c r="I21" i="9"/>
  <c r="G21" i="9"/>
  <c r="E21" i="9"/>
  <c r="K20" i="9"/>
  <c r="K19" i="9"/>
  <c r="L19" i="9" s="1"/>
  <c r="I19" i="9"/>
  <c r="G19" i="9"/>
  <c r="E19" i="9"/>
  <c r="K18" i="9"/>
  <c r="L18" i="9" s="1"/>
  <c r="I18" i="9"/>
  <c r="G18" i="9"/>
  <c r="E18" i="9"/>
  <c r="K17" i="9"/>
  <c r="L17" i="9" s="1"/>
  <c r="I17" i="9"/>
  <c r="B30" i="9" s="1"/>
  <c r="G17" i="9"/>
  <c r="B7" i="9" s="1"/>
  <c r="L7" i="9" s="1"/>
  <c r="E17" i="9"/>
  <c r="K16" i="9"/>
  <c r="L16" i="9" s="1"/>
  <c r="I16" i="9"/>
  <c r="G16" i="9"/>
  <c r="E16" i="9"/>
  <c r="L15" i="9"/>
  <c r="K15" i="9"/>
  <c r="I15" i="9"/>
  <c r="G15" i="9"/>
  <c r="E15" i="9"/>
  <c r="K14" i="9"/>
  <c r="K13" i="9"/>
  <c r="B13" i="9"/>
  <c r="L13" i="9" s="1"/>
  <c r="K12" i="9"/>
  <c r="K11" i="9"/>
  <c r="B3" i="9"/>
  <c r="L3" i="9" s="1"/>
  <c r="K2" i="9"/>
  <c r="B43" i="8"/>
  <c r="E37" i="8"/>
  <c r="E36" i="8"/>
  <c r="B11" i="8" s="1"/>
  <c r="E35" i="8"/>
  <c r="K33" i="8"/>
  <c r="B33" i="8"/>
  <c r="L33" i="8" s="1"/>
  <c r="L32" i="8"/>
  <c r="K32" i="8"/>
  <c r="E32" i="8"/>
  <c r="K31" i="8"/>
  <c r="L31" i="8" s="1"/>
  <c r="E31" i="8"/>
  <c r="K30" i="8"/>
  <c r="K29" i="8"/>
  <c r="L29" i="8" s="1"/>
  <c r="G29" i="8"/>
  <c r="B14" i="8" s="1"/>
  <c r="E29" i="8"/>
  <c r="K28" i="8"/>
  <c r="E28" i="8"/>
  <c r="B28" i="8"/>
  <c r="L28" i="8" s="1"/>
  <c r="K27" i="8"/>
  <c r="K26" i="8"/>
  <c r="L26" i="8" s="1"/>
  <c r="I26" i="8"/>
  <c r="G26" i="8"/>
  <c r="E26" i="8"/>
  <c r="K25" i="8"/>
  <c r="L25" i="8" s="1"/>
  <c r="I25" i="8"/>
  <c r="B10" i="8" s="1"/>
  <c r="L10" i="8" s="1"/>
  <c r="G25" i="8"/>
  <c r="E25" i="8"/>
  <c r="K24" i="8"/>
  <c r="L24" i="8" s="1"/>
  <c r="I24" i="8"/>
  <c r="G24" i="8"/>
  <c r="E24" i="8"/>
  <c r="K23" i="8"/>
  <c r="L23" i="8" s="1"/>
  <c r="I23" i="8"/>
  <c r="G23" i="8"/>
  <c r="E23" i="8"/>
  <c r="L22" i="8"/>
  <c r="K22" i="8"/>
  <c r="I22" i="8"/>
  <c r="G22" i="8"/>
  <c r="E22" i="8"/>
  <c r="L21" i="8"/>
  <c r="K21" i="8"/>
  <c r="I21" i="8"/>
  <c r="G21" i="8"/>
  <c r="E21" i="8"/>
  <c r="K20" i="8"/>
  <c r="L20" i="8" s="1"/>
  <c r="I20" i="8"/>
  <c r="G20" i="8"/>
  <c r="E20" i="8"/>
  <c r="K19" i="8"/>
  <c r="L19" i="8" s="1"/>
  <c r="I19" i="8"/>
  <c r="G19" i="8"/>
  <c r="E19" i="8"/>
  <c r="K18" i="8"/>
  <c r="L18" i="8" s="1"/>
  <c r="I18" i="8"/>
  <c r="G18" i="8"/>
  <c r="E18" i="8"/>
  <c r="K17" i="8"/>
  <c r="K16" i="8"/>
  <c r="L16" i="8" s="1"/>
  <c r="I16" i="8"/>
  <c r="G16" i="8"/>
  <c r="E16" i="8"/>
  <c r="L15" i="8"/>
  <c r="K15" i="8"/>
  <c r="I15" i="8"/>
  <c r="G15" i="8"/>
  <c r="E15" i="8"/>
  <c r="K14" i="8"/>
  <c r="K13" i="8"/>
  <c r="B13" i="8"/>
  <c r="L13" i="8" s="1"/>
  <c r="K12" i="8"/>
  <c r="K11" i="8"/>
  <c r="B6" i="8"/>
  <c r="L6" i="8" s="1"/>
  <c r="B4" i="8"/>
  <c r="L4" i="8" s="1"/>
  <c r="K2" i="8"/>
  <c r="B43" i="5"/>
  <c r="E37" i="5"/>
  <c r="E36" i="5"/>
  <c r="B11" i="5" s="1"/>
  <c r="E35" i="5"/>
  <c r="K33" i="5"/>
  <c r="L32" i="5"/>
  <c r="K32" i="5"/>
  <c r="E32" i="5"/>
  <c r="K31" i="5"/>
  <c r="L31" i="5" s="1"/>
  <c r="E31" i="5"/>
  <c r="K30" i="5"/>
  <c r="K29" i="5"/>
  <c r="L29" i="5" s="1"/>
  <c r="G29" i="5"/>
  <c r="B14" i="5" s="1"/>
  <c r="B29" i="5"/>
  <c r="E29" i="5" s="1"/>
  <c r="B33" i="5" s="1"/>
  <c r="K28" i="5"/>
  <c r="L28" i="5" s="1"/>
  <c r="G28" i="5"/>
  <c r="B12" i="5" s="1"/>
  <c r="E28" i="5"/>
  <c r="K27" i="5"/>
  <c r="K26" i="5"/>
  <c r="L26" i="5" s="1"/>
  <c r="I26" i="5"/>
  <c r="G26" i="5"/>
  <c r="E26" i="5"/>
  <c r="K25" i="5"/>
  <c r="L25" i="5" s="1"/>
  <c r="I25" i="5"/>
  <c r="G25" i="5"/>
  <c r="E25" i="5"/>
  <c r="K24" i="5"/>
  <c r="L24" i="5" s="1"/>
  <c r="I24" i="5"/>
  <c r="G24" i="5"/>
  <c r="E24" i="5"/>
  <c r="K23" i="5"/>
  <c r="L23" i="5" s="1"/>
  <c r="I23" i="5"/>
  <c r="G23" i="5"/>
  <c r="E23" i="5"/>
  <c r="L22" i="5"/>
  <c r="K22" i="5"/>
  <c r="I22" i="5"/>
  <c r="G22" i="5"/>
  <c r="E22" i="5"/>
  <c r="L21" i="5"/>
  <c r="K21" i="5"/>
  <c r="I21" i="5"/>
  <c r="G21" i="5"/>
  <c r="E21" i="5"/>
  <c r="K20" i="5"/>
  <c r="L20" i="5" s="1"/>
  <c r="I20" i="5"/>
  <c r="G20" i="5"/>
  <c r="E20" i="5"/>
  <c r="K19" i="5"/>
  <c r="L19" i="5" s="1"/>
  <c r="I19" i="5"/>
  <c r="B30" i="5" s="1"/>
  <c r="G19" i="5"/>
  <c r="B7" i="5" s="1"/>
  <c r="L7" i="5" s="1"/>
  <c r="E19" i="5"/>
  <c r="K18" i="5"/>
  <c r="L18" i="5" s="1"/>
  <c r="I18" i="5"/>
  <c r="G18" i="5"/>
  <c r="E18" i="5"/>
  <c r="K17" i="5"/>
  <c r="L17" i="5" s="1"/>
  <c r="I17" i="5"/>
  <c r="G17" i="5"/>
  <c r="E17" i="5"/>
  <c r="L16" i="5"/>
  <c r="K16" i="5"/>
  <c r="I16" i="5"/>
  <c r="G16" i="5"/>
  <c r="E16" i="5"/>
  <c r="L15" i="5"/>
  <c r="K15" i="5"/>
  <c r="I15" i="5"/>
  <c r="G15" i="5"/>
  <c r="E15" i="5"/>
  <c r="K14" i="5"/>
  <c r="K13" i="5"/>
  <c r="B13" i="5"/>
  <c r="L13" i="5" s="1"/>
  <c r="K12" i="5"/>
  <c r="K11" i="5"/>
  <c r="B10" i="5"/>
  <c r="L10" i="5" s="1"/>
  <c r="B6" i="5"/>
  <c r="L6" i="5" s="1"/>
  <c r="B3" i="5"/>
  <c r="L3" i="5" s="1"/>
  <c r="K2" i="5"/>
  <c r="B45" i="1"/>
  <c r="K29" i="1"/>
  <c r="K14" i="1"/>
  <c r="E39" i="1"/>
  <c r="B14" i="1" s="1"/>
  <c r="L14" i="1" s="1"/>
  <c r="K11" i="1"/>
  <c r="K31" i="1"/>
  <c r="L31" i="1" s="1"/>
  <c r="K30" i="1"/>
  <c r="K15" i="1"/>
  <c r="K13" i="1"/>
  <c r="K34" i="1"/>
  <c r="K33" i="1"/>
  <c r="K27" i="1"/>
  <c r="K26" i="1"/>
  <c r="K25" i="1"/>
  <c r="K24" i="1"/>
  <c r="K23" i="1"/>
  <c r="K22" i="1"/>
  <c r="K21" i="1"/>
  <c r="K20" i="1"/>
  <c r="K19" i="1"/>
  <c r="K18" i="1"/>
  <c r="K17" i="1"/>
  <c r="K16" i="1"/>
  <c r="K35" i="1"/>
  <c r="K32" i="1"/>
  <c r="K2" i="1"/>
  <c r="E38" i="1"/>
  <c r="B11" i="1" s="1"/>
  <c r="L11" i="1" s="1"/>
  <c r="E37" i="1"/>
  <c r="B30" i="1" s="1"/>
  <c r="L35" i="15" l="1"/>
  <c r="E35" i="15"/>
  <c r="B8" i="15" s="1"/>
  <c r="L8" i="15" s="1"/>
  <c r="E14" i="15"/>
  <c r="L14" i="15"/>
  <c r="E11" i="15"/>
  <c r="B29" i="15" s="1"/>
  <c r="L29" i="15" s="1"/>
  <c r="G30" i="15"/>
  <c r="B13" i="15" s="1"/>
  <c r="E15" i="15"/>
  <c r="B9" i="15" s="1"/>
  <c r="L9" i="15" s="1"/>
  <c r="L35" i="14"/>
  <c r="E35" i="14"/>
  <c r="B8" i="14" s="1"/>
  <c r="L8" i="14" s="1"/>
  <c r="B12" i="14"/>
  <c r="L12" i="14" s="1"/>
  <c r="L11" i="14"/>
  <c r="E11" i="14"/>
  <c r="B28" i="14" s="1"/>
  <c r="L28" i="14" s="1"/>
  <c r="E14" i="14"/>
  <c r="L14" i="14"/>
  <c r="G30" i="14"/>
  <c r="B13" i="14" s="1"/>
  <c r="E15" i="14"/>
  <c r="B9" i="14" s="1"/>
  <c r="L9" i="14" s="1"/>
  <c r="L35" i="13"/>
  <c r="E35" i="13"/>
  <c r="B8" i="13" s="1"/>
  <c r="L8" i="13" s="1"/>
  <c r="B12" i="13"/>
  <c r="L12" i="13" s="1"/>
  <c r="L11" i="13"/>
  <c r="E11" i="13"/>
  <c r="B29" i="13" s="1"/>
  <c r="L29" i="13" s="1"/>
  <c r="E14" i="13"/>
  <c r="L14" i="13"/>
  <c r="G30" i="13"/>
  <c r="B13" i="13" s="1"/>
  <c r="E15" i="13"/>
  <c r="B9" i="13" s="1"/>
  <c r="L9" i="13" s="1"/>
  <c r="L34" i="12"/>
  <c r="E34" i="12"/>
  <c r="B8" i="12" s="1"/>
  <c r="L8" i="12" s="1"/>
  <c r="E13" i="12"/>
  <c r="L27" i="12" s="1"/>
  <c r="L13" i="12"/>
  <c r="G29" i="12"/>
  <c r="B12" i="12" s="1"/>
  <c r="E11" i="12"/>
  <c r="E14" i="12"/>
  <c r="B9" i="12" s="1"/>
  <c r="L9" i="12" s="1"/>
  <c r="L34" i="11"/>
  <c r="E34" i="11"/>
  <c r="B8" i="11" s="1"/>
  <c r="L8" i="11" s="1"/>
  <c r="E13" i="11"/>
  <c r="L13" i="11"/>
  <c r="G29" i="11"/>
  <c r="B12" i="11" s="1"/>
  <c r="E11" i="11"/>
  <c r="E14" i="11"/>
  <c r="B9" i="11" s="1"/>
  <c r="L9" i="11" s="1"/>
  <c r="E31" i="10"/>
  <c r="B2" i="10" s="1"/>
  <c r="L31" i="10"/>
  <c r="L11" i="10"/>
  <c r="E11" i="10"/>
  <c r="B27" i="10" s="1"/>
  <c r="L27" i="10" s="1"/>
  <c r="E13" i="10"/>
  <c r="L13" i="10"/>
  <c r="L14" i="10"/>
  <c r="E14" i="10"/>
  <c r="B9" i="10" s="1"/>
  <c r="L9" i="10" s="1"/>
  <c r="E29" i="10"/>
  <c r="B34" i="10" s="1"/>
  <c r="G29" i="10"/>
  <c r="B12" i="10" s="1"/>
  <c r="E30" i="9"/>
  <c r="B2" i="9" s="1"/>
  <c r="L30" i="9"/>
  <c r="L12" i="9"/>
  <c r="E12" i="9"/>
  <c r="B20" i="9" s="1"/>
  <c r="E11" i="9"/>
  <c r="L11" i="9"/>
  <c r="E14" i="9"/>
  <c r="B9" i="9" s="1"/>
  <c r="L9" i="9" s="1"/>
  <c r="L14" i="9"/>
  <c r="E28" i="9"/>
  <c r="B33" i="9" s="1"/>
  <c r="E13" i="9"/>
  <c r="L28" i="9"/>
  <c r="E11" i="8"/>
  <c r="B27" i="8" s="1"/>
  <c r="L27" i="8" s="1"/>
  <c r="L11" i="8"/>
  <c r="E14" i="8"/>
  <c r="B9" i="8" s="1"/>
  <c r="L9" i="8" s="1"/>
  <c r="L14" i="8"/>
  <c r="E13" i="8"/>
  <c r="G28" i="8"/>
  <c r="B12" i="8" s="1"/>
  <c r="E33" i="8"/>
  <c r="B8" i="8" s="1"/>
  <c r="L8" i="8" s="1"/>
  <c r="L30" i="1"/>
  <c r="E12" i="5"/>
  <c r="L12" i="5"/>
  <c r="L11" i="5"/>
  <c r="E11" i="5"/>
  <c r="B27" i="5" s="1"/>
  <c r="L27" i="5" s="1"/>
  <c r="E30" i="5"/>
  <c r="B2" i="5" s="1"/>
  <c r="L30" i="5"/>
  <c r="L33" i="5"/>
  <c r="E33" i="5"/>
  <c r="B8" i="5" s="1"/>
  <c r="L8" i="5" s="1"/>
  <c r="L14" i="5"/>
  <c r="E14" i="5"/>
  <c r="B9" i="5" s="1"/>
  <c r="L9" i="5" s="1"/>
  <c r="E13" i="5"/>
  <c r="B4" i="5"/>
  <c r="L4" i="5" s="1"/>
  <c r="E11" i="1"/>
  <c r="G31" i="1"/>
  <c r="B15" i="1" s="1"/>
  <c r="E31" i="1"/>
  <c r="L13" i="15" l="1"/>
  <c r="E13" i="15"/>
  <c r="B18" i="15" s="1"/>
  <c r="L13" i="14"/>
  <c r="E13" i="14"/>
  <c r="B18" i="14" s="1"/>
  <c r="L13" i="13"/>
  <c r="E13" i="13"/>
  <c r="B18" i="13" s="1"/>
  <c r="L28" i="12"/>
  <c r="E12" i="12"/>
  <c r="B17" i="12" s="1"/>
  <c r="L12" i="12"/>
  <c r="B28" i="11"/>
  <c r="L28" i="11" s="1"/>
  <c r="L12" i="11"/>
  <c r="E12" i="11"/>
  <c r="B17" i="11" s="1"/>
  <c r="L12" i="10"/>
  <c r="E12" i="10"/>
  <c r="B20" i="10" s="1"/>
  <c r="L34" i="10"/>
  <c r="E34" i="10"/>
  <c r="B8" i="10" s="1"/>
  <c r="L8" i="10" s="1"/>
  <c r="L2" i="10"/>
  <c r="E2" i="10"/>
  <c r="B5" i="10" s="1"/>
  <c r="L5" i="10" s="1"/>
  <c r="B27" i="9"/>
  <c r="L27" i="9" s="1"/>
  <c r="L33" i="9"/>
  <c r="E33" i="9"/>
  <c r="B8" i="9" s="1"/>
  <c r="L8" i="9" s="1"/>
  <c r="G20" i="9"/>
  <c r="B4" i="9" s="1"/>
  <c r="L4" i="9" s="1"/>
  <c r="E20" i="9"/>
  <c r="B6" i="9" s="1"/>
  <c r="L6" i="9" s="1"/>
  <c r="L20" i="9"/>
  <c r="I20" i="9"/>
  <c r="L2" i="9"/>
  <c r="E2" i="9"/>
  <c r="B5" i="9" s="1"/>
  <c r="L5" i="9" s="1"/>
  <c r="L12" i="8"/>
  <c r="E12" i="8"/>
  <c r="B17" i="8" s="1"/>
  <c r="E2" i="5"/>
  <c r="B5" i="5" s="1"/>
  <c r="L5" i="5" s="1"/>
  <c r="L2" i="5"/>
  <c r="G30" i="1"/>
  <c r="B13" i="1" s="1"/>
  <c r="L13" i="1" s="1"/>
  <c r="E30" i="1"/>
  <c r="B35" i="1" s="1"/>
  <c r="E14" i="1"/>
  <c r="E18" i="15" l="1"/>
  <c r="B3" i="15" s="1"/>
  <c r="L3" i="15" s="1"/>
  <c r="L18" i="15"/>
  <c r="I18" i="15"/>
  <c r="B32" i="15" s="1"/>
  <c r="G18" i="15"/>
  <c r="B7" i="15" s="1"/>
  <c r="L7" i="15" s="1"/>
  <c r="E18" i="14"/>
  <c r="B3" i="14" s="1"/>
  <c r="L3" i="14" s="1"/>
  <c r="L18" i="14"/>
  <c r="I18" i="14"/>
  <c r="B32" i="14" s="1"/>
  <c r="G18" i="14"/>
  <c r="B7" i="14" s="1"/>
  <c r="L7" i="14" s="1"/>
  <c r="E18" i="13"/>
  <c r="B3" i="13" s="1"/>
  <c r="L3" i="13" s="1"/>
  <c r="L18" i="13"/>
  <c r="I18" i="13"/>
  <c r="B32" i="13" s="1"/>
  <c r="G18" i="13"/>
  <c r="B7" i="13" s="1"/>
  <c r="L7" i="13" s="1"/>
  <c r="E17" i="12"/>
  <c r="B3" i="12" s="1"/>
  <c r="L3" i="12" s="1"/>
  <c r="L17" i="12"/>
  <c r="I17" i="12"/>
  <c r="B31" i="12" s="1"/>
  <c r="G17" i="12"/>
  <c r="B7" i="12" s="1"/>
  <c r="L7" i="12" s="1"/>
  <c r="E17" i="11"/>
  <c r="B3" i="11" s="1"/>
  <c r="L3" i="11" s="1"/>
  <c r="L17" i="11"/>
  <c r="I17" i="11"/>
  <c r="B31" i="11" s="1"/>
  <c r="G17" i="11"/>
  <c r="B7" i="11" s="1"/>
  <c r="L7" i="11" s="1"/>
  <c r="I20" i="10"/>
  <c r="G20" i="10"/>
  <c r="B4" i="10" s="1"/>
  <c r="L4" i="10" s="1"/>
  <c r="E20" i="10"/>
  <c r="B6" i="10" s="1"/>
  <c r="L6" i="10" s="1"/>
  <c r="L20" i="10"/>
  <c r="L29" i="1"/>
  <c r="B44" i="9"/>
  <c r="B45" i="9" s="1"/>
  <c r="B46" i="9" s="1"/>
  <c r="L17" i="8"/>
  <c r="I17" i="8"/>
  <c r="B30" i="8" s="1"/>
  <c r="G17" i="8"/>
  <c r="B7" i="8" s="1"/>
  <c r="L7" i="8" s="1"/>
  <c r="E17" i="8"/>
  <c r="B3" i="8" s="1"/>
  <c r="L3" i="8" s="1"/>
  <c r="B44" i="5"/>
  <c r="B45" i="5" s="1"/>
  <c r="B46" i="5" s="1"/>
  <c r="L35" i="1"/>
  <c r="E35" i="1"/>
  <c r="B8" i="1" s="1"/>
  <c r="L8" i="1" s="1"/>
  <c r="E13" i="1"/>
  <c r="B18" i="1" s="1"/>
  <c r="E32" i="15" l="1"/>
  <c r="B2" i="15" s="1"/>
  <c r="L32" i="15"/>
  <c r="E32" i="14"/>
  <c r="B2" i="14" s="1"/>
  <c r="L32" i="14"/>
  <c r="E32" i="13"/>
  <c r="B2" i="13" s="1"/>
  <c r="L32" i="13"/>
  <c r="E31" i="12"/>
  <c r="B2" i="12" s="1"/>
  <c r="L31" i="12"/>
  <c r="E31" i="11"/>
  <c r="B2" i="11" s="1"/>
  <c r="L31" i="11"/>
  <c r="B45" i="10"/>
  <c r="B46" i="10" s="1"/>
  <c r="B47" i="10" s="1"/>
  <c r="E30" i="8"/>
  <c r="B2" i="8" s="1"/>
  <c r="L30" i="8"/>
  <c r="L23" i="1"/>
  <c r="E2" i="15" l="1"/>
  <c r="B5" i="15" s="1"/>
  <c r="L5" i="15" s="1"/>
  <c r="L2" i="15"/>
  <c r="E2" i="14"/>
  <c r="B5" i="14" s="1"/>
  <c r="L5" i="14" s="1"/>
  <c r="L2" i="14"/>
  <c r="E2" i="13"/>
  <c r="B5" i="13" s="1"/>
  <c r="L5" i="13" s="1"/>
  <c r="L2" i="13"/>
  <c r="B46" i="13" s="1"/>
  <c r="B47" i="13" s="1"/>
  <c r="B48" i="13" s="1"/>
  <c r="L2" i="12"/>
  <c r="E2" i="12"/>
  <c r="B5" i="12" s="1"/>
  <c r="L5" i="12" s="1"/>
  <c r="L2" i="11"/>
  <c r="E2" i="11"/>
  <c r="B5" i="11" s="1"/>
  <c r="L5" i="11" s="1"/>
  <c r="L2" i="8"/>
  <c r="E2" i="8"/>
  <c r="B5" i="8" s="1"/>
  <c r="L5" i="8" s="1"/>
  <c r="L16" i="1"/>
  <c r="E16" i="1"/>
  <c r="I16" i="1"/>
  <c r="G16" i="1"/>
  <c r="E17" i="1"/>
  <c r="L17" i="1"/>
  <c r="G17" i="1"/>
  <c r="I17" i="1"/>
  <c r="G22" i="1"/>
  <c r="L22" i="1"/>
  <c r="I22" i="1"/>
  <c r="E22" i="1"/>
  <c r="L24" i="1"/>
  <c r="I24" i="1"/>
  <c r="E24" i="1"/>
  <c r="G24" i="1"/>
  <c r="L18" i="1"/>
  <c r="G18" i="1"/>
  <c r="E18" i="1"/>
  <c r="I18" i="1"/>
  <c r="E23" i="1"/>
  <c r="E19" i="1"/>
  <c r="L19" i="1"/>
  <c r="I19" i="1"/>
  <c r="G19" i="1"/>
  <c r="I25" i="1"/>
  <c r="L25" i="1"/>
  <c r="E25" i="1"/>
  <c r="G25" i="1"/>
  <c r="G23" i="1"/>
  <c r="I21" i="1"/>
  <c r="L21" i="1"/>
  <c r="G21" i="1"/>
  <c r="E21" i="1"/>
  <c r="L20" i="1"/>
  <c r="G20" i="1"/>
  <c r="E20" i="1"/>
  <c r="I20" i="1"/>
  <c r="I23" i="1"/>
  <c r="E27" i="1"/>
  <c r="L27" i="1"/>
  <c r="G27" i="1"/>
  <c r="I27" i="1"/>
  <c r="E26" i="1"/>
  <c r="G26" i="1"/>
  <c r="L26" i="1"/>
  <c r="I26" i="1"/>
  <c r="B46" i="15" l="1"/>
  <c r="B47" i="15" s="1"/>
  <c r="B48" i="15" s="1"/>
  <c r="B46" i="14"/>
  <c r="B47" i="14" s="1"/>
  <c r="B48" i="14" s="1"/>
  <c r="B45" i="12"/>
  <c r="B46" i="12" s="1"/>
  <c r="B47" i="12" s="1"/>
  <c r="B45" i="11"/>
  <c r="B46" i="11" s="1"/>
  <c r="B47" i="11" s="1"/>
  <c r="B44" i="8"/>
  <c r="B45" i="8" s="1"/>
  <c r="B46" i="8" s="1"/>
  <c r="B7" i="1"/>
  <c r="L7" i="1" s="1"/>
  <c r="B3" i="1"/>
  <c r="L3" i="1" s="1"/>
  <c r="B10" i="1"/>
  <c r="L10" i="1" s="1"/>
  <c r="B4" i="1"/>
  <c r="L4" i="1" s="1"/>
  <c r="B32" i="1"/>
  <c r="B6" i="1"/>
  <c r="L6" i="1" s="1"/>
  <c r="L15" i="1"/>
  <c r="E15" i="1"/>
  <c r="B9" i="1" s="1"/>
  <c r="L9" i="1" s="1"/>
  <c r="L34" i="1" l="1"/>
  <c r="E34" i="1"/>
  <c r="L33" i="1"/>
  <c r="E33" i="1"/>
  <c r="L32" i="1"/>
  <c r="E32" i="1"/>
  <c r="B2" i="1" s="1"/>
  <c r="L2" i="1" l="1"/>
  <c r="E2" i="1"/>
  <c r="B5" i="1" s="1"/>
  <c r="L5" i="1" s="1"/>
  <c r="B46" i="1" l="1"/>
  <c r="B47" i="1" s="1"/>
  <c r="B48" i="1" s="1"/>
</calcChain>
</file>

<file path=xl/sharedStrings.xml><?xml version="1.0" encoding="utf-8"?>
<sst xmlns="http://schemas.openxmlformats.org/spreadsheetml/2006/main" count="1392" uniqueCount="50">
  <si>
    <t>biodiesel</t>
  </si>
  <si>
    <t>crude oil</t>
  </si>
  <si>
    <t>diesel</t>
  </si>
  <si>
    <t>honey</t>
  </si>
  <si>
    <t>honey drop</t>
  </si>
  <si>
    <t>biomass</t>
  </si>
  <si>
    <t>plant oil</t>
  </si>
  <si>
    <t>input 1</t>
  </si>
  <si>
    <t>input 2</t>
  </si>
  <si>
    <t>input 3</t>
  </si>
  <si>
    <t>machine</t>
  </si>
  <si>
    <t>output</t>
  </si>
  <si>
    <t>honeycomb</t>
  </si>
  <si>
    <t>centrifuge</t>
  </si>
  <si>
    <t>squeezer</t>
  </si>
  <si>
    <t>qty 1</t>
  </si>
  <si>
    <t>qty 2</t>
  </si>
  <si>
    <t>qty 3</t>
  </si>
  <si>
    <t>qty out</t>
  </si>
  <si>
    <t>low yield bio solids</t>
  </si>
  <si>
    <t>low yield fert.</t>
  </si>
  <si>
    <t>mixer</t>
  </si>
  <si>
    <t>juice</t>
  </si>
  <si>
    <t>high yield bio solids</t>
  </si>
  <si>
    <t>high yield fert.</t>
  </si>
  <si>
    <t>water</t>
  </si>
  <si>
    <t>fruit</t>
  </si>
  <si>
    <t>juice item</t>
  </si>
  <si>
    <t>for.ethanol</t>
  </si>
  <si>
    <t>ie.ethanol</t>
  </si>
  <si>
    <t>fermenter</t>
  </si>
  <si>
    <t>distiller</t>
  </si>
  <si>
    <t>oily plant matter</t>
  </si>
  <si>
    <t>sugary bio matter</t>
  </si>
  <si>
    <t>refinery</t>
  </si>
  <si>
    <t>RF power</t>
  </si>
  <si>
    <t>diesel generator</t>
  </si>
  <si>
    <t>gross power</t>
  </si>
  <si>
    <t>power cost</t>
  </si>
  <si>
    <t>net power</t>
  </si>
  <si>
    <t>efficiency</t>
  </si>
  <si>
    <t>collect</t>
  </si>
  <si>
    <t>total rf</t>
  </si>
  <si>
    <t>rf / output</t>
  </si>
  <si>
    <t>gasoline</t>
  </si>
  <si>
    <t>portable generator</t>
  </si>
  <si>
    <t>pumpjack</t>
  </si>
  <si>
    <t>pumpjack (full)</t>
  </si>
  <si>
    <t>pumpjack (residual)</t>
  </si>
  <si>
    <t>diesel excess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</si>
</sst>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6"/>
      <color theme="1"/>
      <name val="Lucida Sans"/>
      <family val="2"/>
    </font>
    <font>
      <sz val="16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43" fontId="0" fillId="0" borderId="0" xfId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D62C-4FBD-C147-A71B-DF9E27B49908}">
  <dimension ref="A1:M48"/>
  <sheetViews>
    <sheetView workbookViewId="0">
      <selection activeCell="E46" sqref="E46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5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J11" s="1" t="s">
        <v>31</v>
      </c>
      <c r="K11" s="4">
        <f>4096/40</f>
        <v>102.4</v>
      </c>
      <c r="L11" s="1">
        <f t="shared" si="0"/>
        <v>200000</v>
      </c>
    </row>
    <row r="12" spans="1:12" x14ac:dyDescent="0.2">
      <c r="A12" s="1" t="s">
        <v>49</v>
      </c>
      <c r="B12" s="3"/>
      <c r="J12" s="1" t="s">
        <v>45</v>
      </c>
      <c r="K12" s="4">
        <f>-(256/5)</f>
        <v>-51.2</v>
      </c>
      <c r="L12" s="1">
        <f t="shared" si="0"/>
        <v>0</v>
      </c>
    </row>
    <row r="13" spans="1:12" x14ac:dyDescent="0.2">
      <c r="A13" s="1" t="s">
        <v>28</v>
      </c>
      <c r="B13" s="3">
        <f>SUMIF(F:F, A13, G:G)</f>
        <v>0</v>
      </c>
      <c r="D13" s="1" t="s">
        <v>5</v>
      </c>
      <c r="E13" s="3">
        <f>100/30*B13</f>
        <v>0</v>
      </c>
      <c r="J13" s="1" t="s">
        <v>31</v>
      </c>
      <c r="K13" s="4">
        <f>2000/30</f>
        <v>66.666666666666671</v>
      </c>
      <c r="L13" s="1">
        <f t="shared" si="0"/>
        <v>0</v>
      </c>
    </row>
    <row r="14" spans="1:12" x14ac:dyDescent="0.2">
      <c r="A14" s="1" t="s">
        <v>44</v>
      </c>
      <c r="B14" s="3">
        <f>SUMIF(D:D, A14, E:E)</f>
        <v>0</v>
      </c>
      <c r="D14" s="1" t="s">
        <v>1</v>
      </c>
      <c r="E14" s="3">
        <f>100/45*B14</f>
        <v>0</v>
      </c>
      <c r="J14" s="1" t="s">
        <v>31</v>
      </c>
      <c r="K14" s="4">
        <f>4096/45</f>
        <v>91.022222222222226</v>
      </c>
      <c r="L14" s="1">
        <f t="shared" si="0"/>
        <v>0</v>
      </c>
    </row>
    <row r="15" spans="1:12" x14ac:dyDescent="0.2">
      <c r="A15" s="1" t="s">
        <v>29</v>
      </c>
      <c r="B15" s="3">
        <f>SUMIF(F:F, A15, G:G)</f>
        <v>0</v>
      </c>
      <c r="D15" s="1" t="s">
        <v>33</v>
      </c>
      <c r="E15" s="3">
        <f>8/640*B15</f>
        <v>0</v>
      </c>
      <c r="J15" s="1" t="s">
        <v>30</v>
      </c>
      <c r="K15" s="4">
        <f>5120/640</f>
        <v>8</v>
      </c>
      <c r="L15" s="1">
        <f t="shared" si="0"/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3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>B16*K16</f>
        <v>0</v>
      </c>
    </row>
    <row r="17" spans="1:12" x14ac:dyDescent="0.2">
      <c r="A17" s="1" t="s">
        <v>5</v>
      </c>
      <c r="B17" s="3"/>
      <c r="D17" s="1" t="s">
        <v>19</v>
      </c>
      <c r="E17" s="3">
        <f>20/1500*B17</f>
        <v>0</v>
      </c>
      <c r="F17" s="1" t="s">
        <v>20</v>
      </c>
      <c r="G17" s="4">
        <f>1/1500*B17</f>
        <v>0</v>
      </c>
      <c r="H17" s="1" t="s">
        <v>22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>
        <f>$E$13</f>
        <v>0</v>
      </c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3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23</v>
      </c>
      <c r="E19" s="3">
        <f>5/1500*B19</f>
        <v>0</v>
      </c>
      <c r="F19" s="1" t="s">
        <v>20</v>
      </c>
      <c r="G19" s="4">
        <f>1/1500*B19</f>
        <v>0</v>
      </c>
      <c r="H19" s="1" t="s">
        <v>22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3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19</v>
      </c>
      <c r="E21" s="3">
        <f>16/1500*B21</f>
        <v>0</v>
      </c>
      <c r="F21" s="1" t="s">
        <v>24</v>
      </c>
      <c r="G21" s="4">
        <f>1/1500*B21</f>
        <v>0</v>
      </c>
      <c r="H21" s="1" t="s">
        <v>22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3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23</v>
      </c>
      <c r="E23" s="3">
        <f>4/1500*B23</f>
        <v>0</v>
      </c>
      <c r="F23" s="1" t="s">
        <v>24</v>
      </c>
      <c r="G23" s="4">
        <f>1/1500*B23</f>
        <v>0</v>
      </c>
      <c r="H23" s="1" t="s">
        <v>22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>B23*K23</f>
        <v>0</v>
      </c>
    </row>
    <row r="24" spans="1:12" x14ac:dyDescent="0.2">
      <c r="A24" s="1" t="s">
        <v>5</v>
      </c>
      <c r="B24" s="3"/>
      <c r="D24" s="1" t="s">
        <v>19</v>
      </c>
      <c r="E24" s="3">
        <f>40/1500*B24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23</v>
      </c>
      <c r="E25" s="3">
        <f>10/1500*B25</f>
        <v>0</v>
      </c>
      <c r="F25" s="1" t="s">
        <v>20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19</v>
      </c>
      <c r="E26" s="3">
        <f>32/1500*B26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5</v>
      </c>
      <c r="B27" s="3"/>
      <c r="D27" s="1" t="s">
        <v>23</v>
      </c>
      <c r="E27" s="3">
        <f>8/1500*B27</f>
        <v>0</v>
      </c>
      <c r="F27" s="1" t="s">
        <v>24</v>
      </c>
      <c r="G27" s="4">
        <f>1/1500*B27</f>
        <v>0</v>
      </c>
      <c r="H27" s="1" t="s">
        <v>25</v>
      </c>
      <c r="I27" s="3">
        <f>1000/1500*B27</f>
        <v>0</v>
      </c>
      <c r="J27" s="1" t="s">
        <v>21</v>
      </c>
      <c r="K27" s="4">
        <f>4096/1500</f>
        <v>2.7306666666666666</v>
      </c>
      <c r="L27" s="1">
        <f t="shared" si="0"/>
        <v>0</v>
      </c>
    </row>
    <row r="28" spans="1:12" x14ac:dyDescent="0.2">
      <c r="A28" s="1" t="s">
        <v>1</v>
      </c>
      <c r="B28" s="3"/>
      <c r="J28" s="1" t="s">
        <v>48</v>
      </c>
      <c r="K28" s="4">
        <f>1024/6</f>
        <v>170.66666666666666</v>
      </c>
      <c r="L28" s="1">
        <f t="shared" si="0"/>
        <v>0</v>
      </c>
    </row>
    <row r="29" spans="1:12" x14ac:dyDescent="0.2">
      <c r="A29" s="1" t="s">
        <v>1</v>
      </c>
      <c r="B29" s="3">
        <f>E11</f>
        <v>4882.8125</v>
      </c>
      <c r="J29" s="1" t="s">
        <v>47</v>
      </c>
      <c r="K29" s="4">
        <f>1024/15</f>
        <v>68.266666666666666</v>
      </c>
      <c r="L29" s="1">
        <f t="shared" si="0"/>
        <v>333333.33333333331</v>
      </c>
    </row>
    <row r="30" spans="1:12" x14ac:dyDescent="0.2">
      <c r="A30" s="1" t="s">
        <v>0</v>
      </c>
      <c r="B30" s="3">
        <f>E37</f>
        <v>0</v>
      </c>
      <c r="D30" s="1" t="s">
        <v>6</v>
      </c>
      <c r="E30" s="3">
        <f>50/100*B30</f>
        <v>0</v>
      </c>
      <c r="F30" s="1" t="s">
        <v>28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0</v>
      </c>
      <c r="B31" s="3"/>
      <c r="D31" s="1" t="s">
        <v>6</v>
      </c>
      <c r="E31" s="3">
        <f>50/100*B31</f>
        <v>0</v>
      </c>
      <c r="F31" s="1" t="s">
        <v>29</v>
      </c>
      <c r="G31" s="4">
        <f>50/100*B31</f>
        <v>0</v>
      </c>
      <c r="J31" s="1" t="s">
        <v>34</v>
      </c>
      <c r="K31" s="4">
        <f>500/100</f>
        <v>5</v>
      </c>
      <c r="L31" s="1">
        <f t="shared" si="0"/>
        <v>0</v>
      </c>
    </row>
    <row r="32" spans="1:12" x14ac:dyDescent="0.2">
      <c r="A32" s="1" t="s">
        <v>3</v>
      </c>
      <c r="B32" s="3">
        <f>SUMIF(H:H,A32,I:I)</f>
        <v>0</v>
      </c>
      <c r="D32" s="1" t="s">
        <v>4</v>
      </c>
      <c r="E32" s="3">
        <f>20/2000*B32</f>
        <v>0</v>
      </c>
      <c r="J32" s="1" t="s">
        <v>14</v>
      </c>
      <c r="K32" s="4">
        <f>51200/2000</f>
        <v>25.6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26</v>
      </c>
      <c r="E33" s="3">
        <f>20/4000*B33</f>
        <v>0</v>
      </c>
      <c r="J33" s="1" t="s">
        <v>14</v>
      </c>
      <c r="K33" s="4">
        <f>64000/4000</f>
        <v>16</v>
      </c>
      <c r="L33" s="1">
        <f t="shared" si="0"/>
        <v>0</v>
      </c>
    </row>
    <row r="34" spans="1:12" x14ac:dyDescent="0.2">
      <c r="A34" s="1" t="s">
        <v>22</v>
      </c>
      <c r="B34" s="3"/>
      <c r="D34" s="1" t="s">
        <v>27</v>
      </c>
      <c r="E34" s="3">
        <f>1/350*B34</f>
        <v>0</v>
      </c>
      <c r="J34" s="1" t="s">
        <v>14</v>
      </c>
      <c r="K34" s="4">
        <f>256/350</f>
        <v>0.73142857142857143</v>
      </c>
      <c r="L34" s="1">
        <f t="shared" si="0"/>
        <v>0</v>
      </c>
    </row>
    <row r="35" spans="1:12" x14ac:dyDescent="0.2">
      <c r="A35" s="1" t="s">
        <v>6</v>
      </c>
      <c r="B35" s="3">
        <f>SUMIF(D:D, A35, E:E)</f>
        <v>0</v>
      </c>
      <c r="D35" s="1" t="s">
        <v>32</v>
      </c>
      <c r="E35" s="3">
        <f>8/512*B35</f>
        <v>0</v>
      </c>
      <c r="J35" s="1" t="s">
        <v>14</v>
      </c>
      <c r="K35" s="4">
        <f>51200/512</f>
        <v>100</v>
      </c>
      <c r="L35" s="1">
        <f t="shared" si="0"/>
        <v>0</v>
      </c>
    </row>
    <row r="37" spans="1:12" x14ac:dyDescent="0.2">
      <c r="A37" s="1" t="s">
        <v>35</v>
      </c>
      <c r="D37" s="1" t="s">
        <v>0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2</v>
      </c>
      <c r="E38" s="3">
        <f>1000/512000*B38</f>
        <v>1953.125</v>
      </c>
      <c r="J38" s="1" t="s">
        <v>36</v>
      </c>
    </row>
    <row r="39" spans="1:12" x14ac:dyDescent="0.2">
      <c r="A39" s="1" t="s">
        <v>35</v>
      </c>
      <c r="D39" s="1" t="s">
        <v>44</v>
      </c>
      <c r="E39" s="3">
        <f>5/256*B39</f>
        <v>0</v>
      </c>
      <c r="J39" s="1" t="s">
        <v>45</v>
      </c>
    </row>
    <row r="45" spans="1:12" x14ac:dyDescent="0.2">
      <c r="A45" s="1" t="s">
        <v>37</v>
      </c>
      <c r="B45" s="1">
        <f>SUM(B37:B39)</f>
        <v>1000000</v>
      </c>
    </row>
    <row r="46" spans="1:12" x14ac:dyDescent="0.2">
      <c r="A46" s="1" t="s">
        <v>38</v>
      </c>
      <c r="B46" s="1">
        <f>SUM(L:L)</f>
        <v>533333.33333333326</v>
      </c>
    </row>
    <row r="47" spans="1:12" x14ac:dyDescent="0.2">
      <c r="A47" s="1" t="s">
        <v>39</v>
      </c>
      <c r="B47" s="1">
        <f>B45-B46</f>
        <v>466666.66666666674</v>
      </c>
    </row>
    <row r="48" spans="1:12" x14ac:dyDescent="0.2">
      <c r="A48" s="1" t="s">
        <v>40</v>
      </c>
      <c r="B48" s="2">
        <f>B47/B45</f>
        <v>0.46666666666666673</v>
      </c>
    </row>
  </sheetData>
  <sortState xmlns:xlrd2="http://schemas.microsoft.com/office/spreadsheetml/2017/richdata2" ref="A2:M35">
    <sortCondition ref="J2:J35"/>
    <sortCondition ref="A2:A3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C27A-5CC3-2E49-A62F-04B21B33D827}">
  <dimension ref="A1:M47"/>
  <sheetViews>
    <sheetView workbookViewId="0">
      <selection activeCell="B27" sqref="B27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4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0</v>
      </c>
      <c r="D12" s="1" t="s">
        <v>5</v>
      </c>
      <c r="E12" s="3">
        <f>100/30*B12</f>
        <v>0</v>
      </c>
      <c r="J12" s="1" t="s">
        <v>31</v>
      </c>
      <c r="K12" s="4">
        <f>2000/30</f>
        <v>66.666666666666671</v>
      </c>
      <c r="L12" s="1">
        <f t="shared" si="0"/>
        <v>0</v>
      </c>
    </row>
    <row r="13" spans="1:12" x14ac:dyDescent="0.2">
      <c r="A13" s="1" t="s">
        <v>44</v>
      </c>
      <c r="B13" s="3">
        <f>SUMIF(D:D, A13, E:E)</f>
        <v>19531.25</v>
      </c>
      <c r="D13" s="1" t="s">
        <v>1</v>
      </c>
      <c r="E13" s="3">
        <f>100/45*B13</f>
        <v>43402.777777777781</v>
      </c>
      <c r="J13" s="1" t="s">
        <v>31</v>
      </c>
      <c r="K13" s="4">
        <f>4096/45</f>
        <v>91.022222222222226</v>
      </c>
      <c r="L13" s="1">
        <f t="shared" si="0"/>
        <v>1777777.7777777778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>
        <f>$E$12</f>
        <v>0</v>
      </c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E13</f>
        <v>43402.777777777781</v>
      </c>
      <c r="J27" s="1" t="s">
        <v>48</v>
      </c>
      <c r="K27" s="4">
        <f>1024/6</f>
        <v>170.66666666666666</v>
      </c>
      <c r="L27" s="1">
        <f t="shared" si="0"/>
        <v>7407407.4074074076</v>
      </c>
    </row>
    <row r="28" spans="1:12" x14ac:dyDescent="0.2">
      <c r="A28" s="1" t="s">
        <v>1</v>
      </c>
      <c r="B28" s="3"/>
      <c r="J28" s="1" t="s">
        <v>47</v>
      </c>
      <c r="K28" s="4">
        <f>1024/15</f>
        <v>68.266666666666666</v>
      </c>
      <c r="L28" s="1">
        <f t="shared" si="0"/>
        <v>0</v>
      </c>
    </row>
    <row r="29" spans="1:12" x14ac:dyDescent="0.2">
      <c r="A29" s="1" t="s">
        <v>0</v>
      </c>
      <c r="B29" s="3">
        <f>E36</f>
        <v>0</v>
      </c>
      <c r="D29" s="1" t="s">
        <v>6</v>
      </c>
      <c r="E29" s="3">
        <f>50/100*B29</f>
        <v>0</v>
      </c>
      <c r="F29" s="1" t="s">
        <v>28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0</v>
      </c>
      <c r="B30" s="3"/>
      <c r="D30" s="1" t="s">
        <v>6</v>
      </c>
      <c r="E30" s="3">
        <f>50/100*B30</f>
        <v>0</v>
      </c>
      <c r="F30" s="1" t="s">
        <v>29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3</v>
      </c>
      <c r="B31" s="3">
        <f>SUMIF(H:H,A31,I:I)</f>
        <v>0</v>
      </c>
      <c r="D31" s="1" t="s">
        <v>4</v>
      </c>
      <c r="E31" s="3">
        <f>20/2000*B31</f>
        <v>0</v>
      </c>
      <c r="J31" s="1" t="s">
        <v>14</v>
      </c>
      <c r="K31" s="4">
        <f>51200/2000</f>
        <v>25.6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26</v>
      </c>
      <c r="E32" s="3">
        <f>20/4000*B32</f>
        <v>0</v>
      </c>
      <c r="J32" s="1" t="s">
        <v>14</v>
      </c>
      <c r="K32" s="4">
        <f>64000/4000</f>
        <v>16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27</v>
      </c>
      <c r="E33" s="3">
        <f>1/350*B33</f>
        <v>0</v>
      </c>
      <c r="J33" s="1" t="s">
        <v>14</v>
      </c>
      <c r="K33" s="4">
        <f>256/350</f>
        <v>0.73142857142857143</v>
      </c>
      <c r="L33" s="1">
        <f t="shared" si="0"/>
        <v>0</v>
      </c>
    </row>
    <row r="34" spans="1:12" x14ac:dyDescent="0.2">
      <c r="A34" s="1" t="s">
        <v>6</v>
      </c>
      <c r="B34" s="3">
        <f>SUMIF(D:D, A34, E:E)</f>
        <v>0</v>
      </c>
      <c r="D34" s="1" t="s">
        <v>32</v>
      </c>
      <c r="E34" s="3">
        <f>8/512*B34</f>
        <v>0</v>
      </c>
      <c r="J34" s="1" t="s">
        <v>14</v>
      </c>
      <c r="K34" s="4">
        <f>51200/512</f>
        <v>100</v>
      </c>
      <c r="L34" s="1">
        <f t="shared" si="0"/>
        <v>0</v>
      </c>
    </row>
    <row r="36" spans="1:12" x14ac:dyDescent="0.2">
      <c r="A36" s="1" t="s">
        <v>35</v>
      </c>
      <c r="D36" s="1" t="s">
        <v>0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D37" s="1" t="s">
        <v>2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44</v>
      </c>
      <c r="E38" s="3">
        <f>5/256*B38</f>
        <v>19531.25</v>
      </c>
      <c r="J38" s="1" t="s">
        <v>45</v>
      </c>
    </row>
    <row r="44" spans="1:12" x14ac:dyDescent="0.2">
      <c r="A44" s="1" t="s">
        <v>37</v>
      </c>
      <c r="B44" s="1">
        <f>SUM(B36:B38)</f>
        <v>1000000</v>
      </c>
    </row>
    <row r="45" spans="1:12" x14ac:dyDescent="0.2">
      <c r="A45" s="1" t="s">
        <v>38</v>
      </c>
      <c r="B45" s="1">
        <f>SUM(L:L)</f>
        <v>9185185.1851851847</v>
      </c>
    </row>
    <row r="46" spans="1:12" x14ac:dyDescent="0.2">
      <c r="A46" s="1" t="s">
        <v>39</v>
      </c>
      <c r="B46" s="1">
        <f>B44-B45</f>
        <v>-8185185.1851851847</v>
      </c>
    </row>
    <row r="47" spans="1:12" x14ac:dyDescent="0.2">
      <c r="A47" s="1" t="s">
        <v>40</v>
      </c>
      <c r="B47" s="2">
        <f>B46/B44</f>
        <v>-8.1851851851851851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8263-23D7-834A-A83F-BF037DDF9A85}">
  <dimension ref="A1:M46"/>
  <sheetViews>
    <sheetView workbookViewId="0">
      <selection activeCell="D39" sqref="D39"/>
    </sheetView>
  </sheetViews>
  <sheetFormatPr baseColWidth="10" defaultRowHeight="20" x14ac:dyDescent="0.2"/>
  <cols>
    <col min="1" max="1" width="17.09765625" style="1" customWidth="1"/>
    <col min="2" max="2" width="9.898437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20480</v>
      </c>
      <c r="L3" s="1">
        <f t="shared" ref="L3:L33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G19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15.2587890625</v>
      </c>
      <c r="J8" s="1" t="s">
        <v>41</v>
      </c>
      <c r="K8" s="4">
        <v>1024</v>
      </c>
      <c r="L8" s="1">
        <f t="shared" si="0"/>
        <v>15625</v>
      </c>
    </row>
    <row r="9" spans="1:12" x14ac:dyDescent="0.2">
      <c r="A9" s="1" t="s">
        <v>33</v>
      </c>
      <c r="B9" s="3">
        <f>SUMIF(D:D, A9, E:E)</f>
        <v>12.20703125</v>
      </c>
      <c r="J9" s="1" t="s">
        <v>41</v>
      </c>
      <c r="K9" s="4">
        <v>1024</v>
      </c>
      <c r="L9" s="1">
        <f t="shared" si="0"/>
        <v>12500</v>
      </c>
    </row>
    <row r="10" spans="1:12" x14ac:dyDescent="0.2">
      <c r="A10" s="1" t="s">
        <v>25</v>
      </c>
      <c r="B10" s="3">
        <f>I29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0</v>
      </c>
      <c r="D12" s="1" t="s">
        <v>5</v>
      </c>
      <c r="E12" s="3">
        <f>100/30*B12</f>
        <v>0</v>
      </c>
      <c r="J12" s="1" t="s">
        <v>31</v>
      </c>
      <c r="K12" s="4">
        <f>2000/30</f>
        <v>66.666666666666671</v>
      </c>
      <c r="L12" s="1">
        <f t="shared" si="0"/>
        <v>0</v>
      </c>
    </row>
    <row r="13" spans="1:12" x14ac:dyDescent="0.2">
      <c r="A13" s="1" t="s">
        <v>44</v>
      </c>
      <c r="B13" s="3">
        <f>SUMIF(D:D, A13, E:E)</f>
        <v>0</v>
      </c>
      <c r="D13" s="1" t="s">
        <v>1</v>
      </c>
      <c r="E13" s="3">
        <f>100/45*B13</f>
        <v>0</v>
      </c>
      <c r="J13" s="1" t="s">
        <v>31</v>
      </c>
      <c r="K13" s="4">
        <f>4096/45</f>
        <v>91.022222222222226</v>
      </c>
      <c r="L13" s="1">
        <f t="shared" si="0"/>
        <v>0</v>
      </c>
    </row>
    <row r="14" spans="1:12" x14ac:dyDescent="0.2">
      <c r="A14" s="1" t="s">
        <v>29</v>
      </c>
      <c r="B14" s="3">
        <f>SUMIF(F:F, A14, G:G)</f>
        <v>976.5625</v>
      </c>
      <c r="D14" s="1" t="s">
        <v>33</v>
      </c>
      <c r="E14" s="3">
        <f>8/640*B14</f>
        <v>12.20703125</v>
      </c>
      <c r="J14" s="1" t="s">
        <v>30</v>
      </c>
      <c r="K14" s="4">
        <f>5120/640</f>
        <v>8</v>
      </c>
      <c r="L14" s="1">
        <f t="shared" si="0"/>
        <v>7812.5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 t="shared" si="0"/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/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SUMIF(D:D, A27, E:E)</f>
        <v>0</v>
      </c>
      <c r="J27" s="1" t="s">
        <v>46</v>
      </c>
      <c r="K27" s="4">
        <f>1024/15</f>
        <v>68.266666666666666</v>
      </c>
      <c r="L27" s="1">
        <f t="shared" si="0"/>
        <v>0</v>
      </c>
    </row>
    <row r="28" spans="1:12" x14ac:dyDescent="0.2">
      <c r="A28" s="1" t="s">
        <v>0</v>
      </c>
      <c r="B28" s="3"/>
      <c r="D28" s="1" t="s">
        <v>6</v>
      </c>
      <c r="E28" s="3">
        <f>50/100*B28</f>
        <v>0</v>
      </c>
      <c r="F28" s="1" t="s">
        <v>28</v>
      </c>
      <c r="G28" s="4">
        <f>50/100*B28</f>
        <v>0</v>
      </c>
      <c r="J28" s="1" t="s">
        <v>34</v>
      </c>
      <c r="K28" s="4">
        <f>500/100</f>
        <v>5</v>
      </c>
      <c r="L28" s="1">
        <f t="shared" si="0"/>
        <v>0</v>
      </c>
    </row>
    <row r="29" spans="1:12" x14ac:dyDescent="0.2">
      <c r="A29" s="1" t="s">
        <v>0</v>
      </c>
      <c r="B29" s="3">
        <f>E35</f>
        <v>1953.125</v>
      </c>
      <c r="D29" s="1" t="s">
        <v>6</v>
      </c>
      <c r="E29" s="3">
        <f>50/100*B29</f>
        <v>976.5625</v>
      </c>
      <c r="F29" s="1" t="s">
        <v>29</v>
      </c>
      <c r="G29" s="4">
        <f>50/100*B29</f>
        <v>976.5625</v>
      </c>
      <c r="J29" s="1" t="s">
        <v>34</v>
      </c>
      <c r="K29" s="4">
        <f>500/100</f>
        <v>5</v>
      </c>
      <c r="L29" s="1">
        <f t="shared" si="0"/>
        <v>9765.625</v>
      </c>
    </row>
    <row r="30" spans="1:12" x14ac:dyDescent="0.2">
      <c r="A30" s="1" t="s">
        <v>3</v>
      </c>
      <c r="B30" s="3">
        <f>SUMIF(H:H,A30,I:I)</f>
        <v>0</v>
      </c>
      <c r="D30" s="1" t="s">
        <v>4</v>
      </c>
      <c r="E30" s="3">
        <f>20/2000*B30</f>
        <v>0</v>
      </c>
      <c r="J30" s="1" t="s">
        <v>14</v>
      </c>
      <c r="K30" s="4">
        <f>51200/2000</f>
        <v>25.6</v>
      </c>
      <c r="L30" s="1">
        <f t="shared" si="0"/>
        <v>0</v>
      </c>
    </row>
    <row r="31" spans="1:12" x14ac:dyDescent="0.2">
      <c r="A31" s="1" t="s">
        <v>22</v>
      </c>
      <c r="B31" s="3"/>
      <c r="D31" s="1" t="s">
        <v>26</v>
      </c>
      <c r="E31" s="3">
        <f>20/4000*B31</f>
        <v>0</v>
      </c>
      <c r="J31" s="1" t="s">
        <v>14</v>
      </c>
      <c r="K31" s="4">
        <f>64000/4000</f>
        <v>16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27</v>
      </c>
      <c r="E32" s="3">
        <f>1/350*B32</f>
        <v>0</v>
      </c>
      <c r="J32" s="1" t="s">
        <v>14</v>
      </c>
      <c r="K32" s="4">
        <f>256/350</f>
        <v>0.73142857142857143</v>
      </c>
      <c r="L32" s="1">
        <f t="shared" si="0"/>
        <v>0</v>
      </c>
    </row>
    <row r="33" spans="1:12" x14ac:dyDescent="0.2">
      <c r="A33" s="1" t="s">
        <v>6</v>
      </c>
      <c r="B33" s="3">
        <f>SUMIF(D:D, A33, E:E)</f>
        <v>976.5625</v>
      </c>
      <c r="D33" s="1" t="s">
        <v>32</v>
      </c>
      <c r="E33" s="3">
        <f>8/512*B33</f>
        <v>15.2587890625</v>
      </c>
      <c r="J33" s="1" t="s">
        <v>14</v>
      </c>
      <c r="K33" s="4">
        <f>51200/512</f>
        <v>100</v>
      </c>
      <c r="L33" s="1">
        <f t="shared" si="0"/>
        <v>97656.25</v>
      </c>
    </row>
    <row r="35" spans="1:12" x14ac:dyDescent="0.2">
      <c r="A35" s="1" t="s">
        <v>35</v>
      </c>
      <c r="B35" s="1">
        <v>1000000</v>
      </c>
      <c r="D35" s="1" t="s">
        <v>0</v>
      </c>
      <c r="E35" s="3">
        <f>1000/512000*B35</f>
        <v>1953.125</v>
      </c>
      <c r="J35" s="1" t="s">
        <v>36</v>
      </c>
    </row>
    <row r="36" spans="1:12" x14ac:dyDescent="0.2">
      <c r="A36" s="1" t="s">
        <v>35</v>
      </c>
      <c r="B36" s="1">
        <v>0</v>
      </c>
      <c r="D36" s="1" t="s">
        <v>2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B37" s="1">
        <v>0</v>
      </c>
      <c r="D37" s="1" t="s">
        <v>44</v>
      </c>
      <c r="E37" s="3">
        <f>5/256*B37</f>
        <v>0</v>
      </c>
      <c r="J37" s="1" t="s">
        <v>45</v>
      </c>
    </row>
    <row r="43" spans="1:12" x14ac:dyDescent="0.2">
      <c r="A43" s="1" t="s">
        <v>37</v>
      </c>
      <c r="B43" s="1">
        <f>SUM(B35:B37)</f>
        <v>1000000</v>
      </c>
    </row>
    <row r="44" spans="1:12" x14ac:dyDescent="0.2">
      <c r="A44" s="1" t="s">
        <v>38</v>
      </c>
      <c r="B44" s="1">
        <f>SUM(L:L)</f>
        <v>143359.375</v>
      </c>
    </row>
    <row r="45" spans="1:12" x14ac:dyDescent="0.2">
      <c r="A45" s="1" t="s">
        <v>39</v>
      </c>
      <c r="B45" s="1">
        <f>B43-B44</f>
        <v>856640.625</v>
      </c>
    </row>
    <row r="46" spans="1:12" x14ac:dyDescent="0.2">
      <c r="A46" s="1" t="s">
        <v>40</v>
      </c>
      <c r="B46" s="2">
        <f>B45/B43</f>
        <v>0.85664062500000004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66B0-AE6F-5646-B75E-502B759C096D}">
  <dimension ref="A1:M46"/>
  <sheetViews>
    <sheetView workbookViewId="0">
      <selection activeCell="D48" sqref="D48"/>
    </sheetView>
  </sheetViews>
  <sheetFormatPr baseColWidth="10" defaultRowHeight="20" x14ac:dyDescent="0.2"/>
  <cols>
    <col min="1" max="1" width="17.09765625" style="1" customWidth="1"/>
    <col min="2" max="2" width="9.898437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3" si="0">B3*K3</f>
        <v>0</v>
      </c>
    </row>
    <row r="4" spans="1:12" x14ac:dyDescent="0.2">
      <c r="A4" s="1" t="s">
        <v>24</v>
      </c>
      <c r="B4" s="3">
        <f>SUMIF(F:F, A4, G:G)</f>
        <v>2.1701388888888888</v>
      </c>
      <c r="J4" s="1" t="s">
        <v>41</v>
      </c>
      <c r="K4" s="4">
        <v>8192</v>
      </c>
      <c r="L4" s="1">
        <f t="shared" si="0"/>
        <v>17777.777777777777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34.722222222222221</v>
      </c>
      <c r="J6" s="1" t="s">
        <v>41</v>
      </c>
      <c r="K6" s="4">
        <v>1024</v>
      </c>
      <c r="L6" s="1">
        <f t="shared" si="0"/>
        <v>35555.555555555555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15.2587890625</v>
      </c>
      <c r="J8" s="1" t="s">
        <v>41</v>
      </c>
      <c r="K8" s="4">
        <v>1024</v>
      </c>
      <c r="L8" s="1">
        <f t="shared" si="0"/>
        <v>15625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976.5625</v>
      </c>
      <c r="D12" s="1" t="s">
        <v>5</v>
      </c>
      <c r="E12" s="3">
        <f>100/30*B12</f>
        <v>3255.2083333333335</v>
      </c>
      <c r="J12" s="1" t="s">
        <v>31</v>
      </c>
      <c r="K12" s="4">
        <f>2000/30</f>
        <v>66.666666666666671</v>
      </c>
      <c r="L12" s="1">
        <f t="shared" si="0"/>
        <v>65104.166666666672</v>
      </c>
    </row>
    <row r="13" spans="1:12" x14ac:dyDescent="0.2">
      <c r="A13" s="1" t="s">
        <v>44</v>
      </c>
      <c r="B13" s="3">
        <f>SUMIF(D:D, A13, E:E)</f>
        <v>0</v>
      </c>
      <c r="D13" s="1" t="s">
        <v>1</v>
      </c>
      <c r="E13" s="3">
        <f>100/45*B13</f>
        <v>0</v>
      </c>
      <c r="J13" s="1" t="s">
        <v>31</v>
      </c>
      <c r="K13" s="4">
        <f>4096/45</f>
        <v>91.022222222222226</v>
      </c>
      <c r="L13" s="1">
        <f t="shared" si="0"/>
        <v>0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/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>
        <f>$E$12</f>
        <v>3255.2083333333335</v>
      </c>
      <c r="D20" s="1" t="s">
        <v>19</v>
      </c>
      <c r="E20" s="3">
        <f>16/1500*B20</f>
        <v>34.722222222222221</v>
      </c>
      <c r="F20" s="1" t="s">
        <v>24</v>
      </c>
      <c r="G20" s="4">
        <f>1/1500*B20</f>
        <v>2.1701388888888888</v>
      </c>
      <c r="H20" s="1" t="s">
        <v>22</v>
      </c>
      <c r="I20" s="3">
        <f>1000/1500*B20</f>
        <v>2170.1388888888887</v>
      </c>
      <c r="J20" s="1" t="s">
        <v>21</v>
      </c>
      <c r="K20" s="4">
        <f>4096/1500</f>
        <v>2.7306666666666666</v>
      </c>
      <c r="L20" s="1">
        <f t="shared" si="0"/>
        <v>8888.8888888888887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SUMIF(D:D, A27, E:E)</f>
        <v>0</v>
      </c>
      <c r="J27" s="1" t="s">
        <v>46</v>
      </c>
      <c r="K27" s="4">
        <f>1024/15</f>
        <v>68.266666666666666</v>
      </c>
      <c r="L27" s="1">
        <f t="shared" si="0"/>
        <v>0</v>
      </c>
    </row>
    <row r="28" spans="1:12" x14ac:dyDescent="0.2">
      <c r="A28" s="1" t="s">
        <v>0</v>
      </c>
      <c r="B28" s="3">
        <f>E35</f>
        <v>1953.125</v>
      </c>
      <c r="D28" s="1" t="s">
        <v>6</v>
      </c>
      <c r="E28" s="3">
        <f>50/100*B28</f>
        <v>976.5625</v>
      </c>
      <c r="F28" s="1" t="s">
        <v>28</v>
      </c>
      <c r="G28" s="4">
        <f>50/100*B28</f>
        <v>976.5625</v>
      </c>
      <c r="J28" s="1" t="s">
        <v>34</v>
      </c>
      <c r="K28" s="4">
        <f>500/100</f>
        <v>5</v>
      </c>
      <c r="L28" s="1">
        <f t="shared" si="0"/>
        <v>9765.625</v>
      </c>
    </row>
    <row r="29" spans="1:12" x14ac:dyDescent="0.2">
      <c r="A29" s="1" t="s">
        <v>0</v>
      </c>
      <c r="B29" s="3"/>
      <c r="D29" s="1" t="s">
        <v>6</v>
      </c>
      <c r="E29" s="3">
        <f>50/100*B29</f>
        <v>0</v>
      </c>
      <c r="F29" s="1" t="s">
        <v>29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3</v>
      </c>
      <c r="B30" s="3">
        <f>SUMIF(H:H,A30,I:I)</f>
        <v>0</v>
      </c>
      <c r="D30" s="1" t="s">
        <v>4</v>
      </c>
      <c r="E30" s="3">
        <f>20/2000*B30</f>
        <v>0</v>
      </c>
      <c r="J30" s="1" t="s">
        <v>14</v>
      </c>
      <c r="K30" s="4">
        <f>51200/2000</f>
        <v>25.6</v>
      </c>
      <c r="L30" s="1">
        <f t="shared" si="0"/>
        <v>0</v>
      </c>
    </row>
    <row r="31" spans="1:12" x14ac:dyDescent="0.2">
      <c r="A31" s="1" t="s">
        <v>22</v>
      </c>
      <c r="B31" s="3"/>
      <c r="D31" s="1" t="s">
        <v>26</v>
      </c>
      <c r="E31" s="3">
        <f>20/4000*B31</f>
        <v>0</v>
      </c>
      <c r="J31" s="1" t="s">
        <v>14</v>
      </c>
      <c r="K31" s="4">
        <f>64000/4000</f>
        <v>16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27</v>
      </c>
      <c r="E32" s="3">
        <f>1/350*B32</f>
        <v>0</v>
      </c>
      <c r="J32" s="1" t="s">
        <v>14</v>
      </c>
      <c r="K32" s="4">
        <f>256/350</f>
        <v>0.73142857142857143</v>
      </c>
      <c r="L32" s="1">
        <f t="shared" si="0"/>
        <v>0</v>
      </c>
    </row>
    <row r="33" spans="1:12" x14ac:dyDescent="0.2">
      <c r="A33" s="1" t="s">
        <v>6</v>
      </c>
      <c r="B33" s="3">
        <f>SUMIF(D:D, A33, E:E)</f>
        <v>976.5625</v>
      </c>
      <c r="D33" s="1" t="s">
        <v>32</v>
      </c>
      <c r="E33" s="3">
        <f>8/512*B33</f>
        <v>15.2587890625</v>
      </c>
      <c r="J33" s="1" t="s">
        <v>14</v>
      </c>
      <c r="K33" s="4">
        <f>51200/512</f>
        <v>100</v>
      </c>
      <c r="L33" s="1">
        <f t="shared" si="0"/>
        <v>97656.25</v>
      </c>
    </row>
    <row r="35" spans="1:12" x14ac:dyDescent="0.2">
      <c r="A35" s="1" t="s">
        <v>35</v>
      </c>
      <c r="B35" s="1">
        <v>1000000</v>
      </c>
      <c r="D35" s="1" t="s">
        <v>0</v>
      </c>
      <c r="E35" s="3">
        <f>1000/512000*B35</f>
        <v>1953.125</v>
      </c>
      <c r="J35" s="1" t="s">
        <v>36</v>
      </c>
    </row>
    <row r="36" spans="1:12" x14ac:dyDescent="0.2">
      <c r="A36" s="1" t="s">
        <v>35</v>
      </c>
      <c r="B36" s="1">
        <v>0</v>
      </c>
      <c r="D36" s="1" t="s">
        <v>2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B37" s="1">
        <v>0</v>
      </c>
      <c r="D37" s="1" t="s">
        <v>44</v>
      </c>
      <c r="E37" s="3">
        <f>5/256*B37</f>
        <v>0</v>
      </c>
      <c r="J37" s="1" t="s">
        <v>45</v>
      </c>
    </row>
    <row r="43" spans="1:12" x14ac:dyDescent="0.2">
      <c r="A43" s="1" t="s">
        <v>37</v>
      </c>
      <c r="B43" s="1">
        <f>SUM(B35:B37)</f>
        <v>1000000</v>
      </c>
    </row>
    <row r="44" spans="1:12" x14ac:dyDescent="0.2">
      <c r="A44" s="1" t="s">
        <v>38</v>
      </c>
      <c r="B44" s="1">
        <f>SUM(L:L)</f>
        <v>250373.26388888888</v>
      </c>
    </row>
    <row r="45" spans="1:12" x14ac:dyDescent="0.2">
      <c r="A45" s="1" t="s">
        <v>39</v>
      </c>
      <c r="B45" s="1">
        <f>B43-B44</f>
        <v>749626.73611111112</v>
      </c>
    </row>
    <row r="46" spans="1:12" x14ac:dyDescent="0.2">
      <c r="A46" s="1" t="s">
        <v>40</v>
      </c>
      <c r="B46" s="2">
        <f>B45/B43</f>
        <v>0.74962673611111108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E020-CCF0-BB40-80C4-42E1CC1DE2DA}">
  <dimension ref="A1:M48"/>
  <sheetViews>
    <sheetView workbookViewId="0">
      <selection activeCell="G40" sqref="G40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3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3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3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5" si="0">B3*K3</f>
        <v>0</v>
      </c>
    </row>
    <row r="4" spans="1:13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3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3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3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3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3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3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3" s="1" customFormat="1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G11" s="4"/>
      <c r="I11" s="3"/>
      <c r="J11" s="1" t="s">
        <v>31</v>
      </c>
      <c r="K11" s="4">
        <f>4096/40</f>
        <v>102.4</v>
      </c>
      <c r="L11" s="1">
        <f t="shared" si="0"/>
        <v>200000</v>
      </c>
      <c r="M11"/>
    </row>
    <row r="12" spans="1:13" s="1" customFormat="1" x14ac:dyDescent="0.2">
      <c r="A12" s="1" t="s">
        <v>49</v>
      </c>
      <c r="B12" s="3">
        <f>B11*45/40</f>
        <v>2197.265625</v>
      </c>
      <c r="E12" s="3"/>
      <c r="G12" s="4"/>
      <c r="I12" s="3"/>
      <c r="J12" s="1" t="s">
        <v>45</v>
      </c>
      <c r="K12" s="4">
        <f>-(256/5)</f>
        <v>-51.2</v>
      </c>
      <c r="L12" s="1">
        <f t="shared" si="0"/>
        <v>-112500</v>
      </c>
      <c r="M12"/>
    </row>
    <row r="13" spans="1:13" s="1" customFormat="1" x14ac:dyDescent="0.2">
      <c r="A13" s="1" t="s">
        <v>28</v>
      </c>
      <c r="B13" s="3">
        <f>SUMIF(F:F, A13, G:G)</f>
        <v>0</v>
      </c>
      <c r="D13" s="1" t="s">
        <v>5</v>
      </c>
      <c r="E13" s="3">
        <f>100/30*B13</f>
        <v>0</v>
      </c>
      <c r="G13" s="4"/>
      <c r="I13" s="3"/>
      <c r="J13" s="1" t="s">
        <v>31</v>
      </c>
      <c r="K13" s="4">
        <f>2000/30</f>
        <v>66.666666666666671</v>
      </c>
      <c r="L13" s="1">
        <f t="shared" si="0"/>
        <v>0</v>
      </c>
      <c r="M13"/>
    </row>
    <row r="14" spans="1:13" s="1" customFormat="1" x14ac:dyDescent="0.2">
      <c r="A14" s="1" t="s">
        <v>44</v>
      </c>
      <c r="B14" s="3">
        <f>SUMIF(D:D, A14, E:E)</f>
        <v>0</v>
      </c>
      <c r="D14" s="1" t="s">
        <v>1</v>
      </c>
      <c r="E14" s="3">
        <f>100/45*B14</f>
        <v>0</v>
      </c>
      <c r="G14" s="4"/>
      <c r="I14" s="3"/>
      <c r="J14" s="1" t="s">
        <v>31</v>
      </c>
      <c r="K14" s="4">
        <f>4096/45</f>
        <v>91.022222222222226</v>
      </c>
      <c r="L14" s="1">
        <f t="shared" si="0"/>
        <v>0</v>
      </c>
      <c r="M14"/>
    </row>
    <row r="15" spans="1:13" s="1" customFormat="1" x14ac:dyDescent="0.2">
      <c r="A15" s="1" t="s">
        <v>29</v>
      </c>
      <c r="B15" s="3">
        <f>SUMIF(F:F, A15, G:G)</f>
        <v>0</v>
      </c>
      <c r="D15" s="1" t="s">
        <v>33</v>
      </c>
      <c r="E15" s="3">
        <f>8/640*B15</f>
        <v>0</v>
      </c>
      <c r="G15" s="4"/>
      <c r="I15" s="3"/>
      <c r="J15" s="1" t="s">
        <v>30</v>
      </c>
      <c r="K15" s="4">
        <f>5120/640</f>
        <v>8</v>
      </c>
      <c r="L15" s="1">
        <f t="shared" si="0"/>
        <v>0</v>
      </c>
      <c r="M15"/>
    </row>
    <row r="16" spans="1:13" s="1" customFormat="1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3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>B16*K16</f>
        <v>0</v>
      </c>
      <c r="M16"/>
    </row>
    <row r="17" spans="1:13" s="1" customFormat="1" x14ac:dyDescent="0.2">
      <c r="A17" s="1" t="s">
        <v>5</v>
      </c>
      <c r="B17" s="3"/>
      <c r="D17" s="1" t="s">
        <v>19</v>
      </c>
      <c r="E17" s="3">
        <f>20/1500*B17</f>
        <v>0</v>
      </c>
      <c r="F17" s="1" t="s">
        <v>20</v>
      </c>
      <c r="G17" s="4">
        <f>1/1500*B17</f>
        <v>0</v>
      </c>
      <c r="H17" s="1" t="s">
        <v>22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  <c r="M17"/>
    </row>
    <row r="18" spans="1:13" s="1" customFormat="1" x14ac:dyDescent="0.2">
      <c r="A18" s="1" t="s">
        <v>5</v>
      </c>
      <c r="B18" s="3">
        <f>$E$13</f>
        <v>0</v>
      </c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3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  <c r="M18"/>
    </row>
    <row r="19" spans="1:13" s="1" customFormat="1" x14ac:dyDescent="0.2">
      <c r="A19" s="1" t="s">
        <v>5</v>
      </c>
      <c r="B19" s="3"/>
      <c r="D19" s="1" t="s">
        <v>23</v>
      </c>
      <c r="E19" s="3">
        <f>5/1500*B19</f>
        <v>0</v>
      </c>
      <c r="F19" s="1" t="s">
        <v>20</v>
      </c>
      <c r="G19" s="4">
        <f>1/1500*B19</f>
        <v>0</v>
      </c>
      <c r="H19" s="1" t="s">
        <v>22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  <c r="M19"/>
    </row>
    <row r="20" spans="1:13" s="1" customFormat="1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3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  <c r="M20"/>
    </row>
    <row r="21" spans="1:13" s="1" customFormat="1" x14ac:dyDescent="0.2">
      <c r="A21" s="1" t="s">
        <v>5</v>
      </c>
      <c r="B21" s="3"/>
      <c r="D21" s="1" t="s">
        <v>19</v>
      </c>
      <c r="E21" s="3">
        <f>16/1500*B21</f>
        <v>0</v>
      </c>
      <c r="F21" s="1" t="s">
        <v>24</v>
      </c>
      <c r="G21" s="4">
        <f>1/1500*B21</f>
        <v>0</v>
      </c>
      <c r="H21" s="1" t="s">
        <v>22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  <c r="M21"/>
    </row>
    <row r="22" spans="1:13" s="1" customFormat="1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3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  <c r="M22"/>
    </row>
    <row r="23" spans="1:13" s="1" customFormat="1" x14ac:dyDescent="0.2">
      <c r="A23" s="1" t="s">
        <v>5</v>
      </c>
      <c r="B23" s="3"/>
      <c r="D23" s="1" t="s">
        <v>23</v>
      </c>
      <c r="E23" s="3">
        <f>4/1500*B23</f>
        <v>0</v>
      </c>
      <c r="F23" s="1" t="s">
        <v>24</v>
      </c>
      <c r="G23" s="4">
        <f>1/1500*B23</f>
        <v>0</v>
      </c>
      <c r="H23" s="1" t="s">
        <v>22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>B23*K23</f>
        <v>0</v>
      </c>
      <c r="M23"/>
    </row>
    <row r="24" spans="1:13" s="1" customFormat="1" x14ac:dyDescent="0.2">
      <c r="A24" s="1" t="s">
        <v>5</v>
      </c>
      <c r="B24" s="3"/>
      <c r="D24" s="1" t="s">
        <v>19</v>
      </c>
      <c r="E24" s="3">
        <f>40/1500*B24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  <c r="M24"/>
    </row>
    <row r="25" spans="1:13" s="1" customFormat="1" x14ac:dyDescent="0.2">
      <c r="A25" s="1" t="s">
        <v>5</v>
      </c>
      <c r="B25" s="3"/>
      <c r="D25" s="1" t="s">
        <v>23</v>
      </c>
      <c r="E25" s="3">
        <f>10/1500*B25</f>
        <v>0</v>
      </c>
      <c r="F25" s="1" t="s">
        <v>20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  <c r="M25"/>
    </row>
    <row r="26" spans="1:13" s="1" customFormat="1" x14ac:dyDescent="0.2">
      <c r="A26" s="1" t="s">
        <v>5</v>
      </c>
      <c r="B26" s="3"/>
      <c r="D26" s="1" t="s">
        <v>19</v>
      </c>
      <c r="E26" s="3">
        <f>32/1500*B26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  <c r="M26"/>
    </row>
    <row r="27" spans="1:13" s="1" customFormat="1" x14ac:dyDescent="0.2">
      <c r="A27" s="1" t="s">
        <v>5</v>
      </c>
      <c r="B27" s="3"/>
      <c r="D27" s="1" t="s">
        <v>23</v>
      </c>
      <c r="E27" s="3">
        <f>8/1500*B27</f>
        <v>0</v>
      </c>
      <c r="F27" s="1" t="s">
        <v>24</v>
      </c>
      <c r="G27" s="4">
        <f>1/1500*B27</f>
        <v>0</v>
      </c>
      <c r="H27" s="1" t="s">
        <v>25</v>
      </c>
      <c r="I27" s="3">
        <f>1000/1500*B27</f>
        <v>0</v>
      </c>
      <c r="J27" s="1" t="s">
        <v>21</v>
      </c>
      <c r="K27" s="4">
        <f>4096/1500</f>
        <v>2.7306666666666666</v>
      </c>
      <c r="L27" s="1">
        <f t="shared" si="0"/>
        <v>0</v>
      </c>
      <c r="M27"/>
    </row>
    <row r="28" spans="1:13" s="1" customFormat="1" x14ac:dyDescent="0.2">
      <c r="A28" s="1" t="s">
        <v>1</v>
      </c>
      <c r="B28" s="3"/>
      <c r="E28" s="3"/>
      <c r="G28" s="4"/>
      <c r="I28" s="3"/>
      <c r="J28" s="1" t="s">
        <v>48</v>
      </c>
      <c r="K28" s="4">
        <f>1024/6</f>
        <v>170.66666666666666</v>
      </c>
      <c r="L28" s="1">
        <f t="shared" si="0"/>
        <v>0</v>
      </c>
      <c r="M28"/>
    </row>
    <row r="29" spans="1:13" s="1" customFormat="1" x14ac:dyDescent="0.2">
      <c r="A29" s="1" t="s">
        <v>1</v>
      </c>
      <c r="B29" s="3">
        <f>SUMIF(D:D, A29, E:E)</f>
        <v>4882.8125</v>
      </c>
      <c r="E29" s="3"/>
      <c r="G29" s="4"/>
      <c r="I29" s="3"/>
      <c r="J29" s="1" t="s">
        <v>47</v>
      </c>
      <c r="K29" s="4">
        <f>1024/15</f>
        <v>68.266666666666666</v>
      </c>
      <c r="L29" s="1">
        <f t="shared" si="0"/>
        <v>333333.33333333331</v>
      </c>
      <c r="M29"/>
    </row>
    <row r="30" spans="1:13" s="1" customFormat="1" x14ac:dyDescent="0.2">
      <c r="A30" s="1" t="s">
        <v>0</v>
      </c>
      <c r="B30" s="3">
        <f>E37</f>
        <v>0</v>
      </c>
      <c r="D30" s="1" t="s">
        <v>6</v>
      </c>
      <c r="E30" s="3">
        <f>50/100*B30</f>
        <v>0</v>
      </c>
      <c r="F30" s="1" t="s">
        <v>28</v>
      </c>
      <c r="G30" s="4">
        <f>50/100*B30</f>
        <v>0</v>
      </c>
      <c r="I30" s="3"/>
      <c r="J30" s="1" t="s">
        <v>34</v>
      </c>
      <c r="K30" s="4">
        <f>500/100</f>
        <v>5</v>
      </c>
      <c r="L30" s="1">
        <f t="shared" si="0"/>
        <v>0</v>
      </c>
      <c r="M30"/>
    </row>
    <row r="31" spans="1:13" s="1" customFormat="1" x14ac:dyDescent="0.2">
      <c r="A31" s="1" t="s">
        <v>0</v>
      </c>
      <c r="B31" s="3"/>
      <c r="D31" s="1" t="s">
        <v>6</v>
      </c>
      <c r="E31" s="3">
        <f>50/100*B31</f>
        <v>0</v>
      </c>
      <c r="F31" s="1" t="s">
        <v>29</v>
      </c>
      <c r="G31" s="4">
        <f>50/100*B31</f>
        <v>0</v>
      </c>
      <c r="I31" s="3"/>
      <c r="J31" s="1" t="s">
        <v>34</v>
      </c>
      <c r="K31" s="4">
        <f>500/100</f>
        <v>5</v>
      </c>
      <c r="L31" s="1">
        <f t="shared" si="0"/>
        <v>0</v>
      </c>
      <c r="M31"/>
    </row>
    <row r="32" spans="1:13" s="1" customFormat="1" x14ac:dyDescent="0.2">
      <c r="A32" s="1" t="s">
        <v>3</v>
      </c>
      <c r="B32" s="3">
        <f>SUMIF(H:H,A32,I:I)</f>
        <v>0</v>
      </c>
      <c r="D32" s="1" t="s">
        <v>4</v>
      </c>
      <c r="E32" s="3">
        <f>20/2000*B32</f>
        <v>0</v>
      </c>
      <c r="G32" s="4"/>
      <c r="I32" s="3"/>
      <c r="J32" s="1" t="s">
        <v>14</v>
      </c>
      <c r="K32" s="4">
        <f>51200/2000</f>
        <v>25.6</v>
      </c>
      <c r="L32" s="1">
        <f t="shared" si="0"/>
        <v>0</v>
      </c>
      <c r="M32"/>
    </row>
    <row r="33" spans="1:13" s="1" customFormat="1" x14ac:dyDescent="0.2">
      <c r="A33" s="1" t="s">
        <v>22</v>
      </c>
      <c r="B33" s="3"/>
      <c r="D33" s="1" t="s">
        <v>26</v>
      </c>
      <c r="E33" s="3">
        <f>20/4000*B33</f>
        <v>0</v>
      </c>
      <c r="G33" s="4"/>
      <c r="I33" s="3"/>
      <c r="J33" s="1" t="s">
        <v>14</v>
      </c>
      <c r="K33" s="4">
        <f>64000/4000</f>
        <v>16</v>
      </c>
      <c r="L33" s="1">
        <f t="shared" si="0"/>
        <v>0</v>
      </c>
      <c r="M33"/>
    </row>
    <row r="34" spans="1:13" s="1" customFormat="1" x14ac:dyDescent="0.2">
      <c r="A34" s="1" t="s">
        <v>22</v>
      </c>
      <c r="B34" s="3"/>
      <c r="D34" s="1" t="s">
        <v>27</v>
      </c>
      <c r="E34" s="3">
        <f>1/350*B34</f>
        <v>0</v>
      </c>
      <c r="G34" s="4"/>
      <c r="I34" s="3"/>
      <c r="J34" s="1" t="s">
        <v>14</v>
      </c>
      <c r="K34" s="4">
        <f>256/350</f>
        <v>0.73142857142857143</v>
      </c>
      <c r="L34" s="1">
        <f t="shared" si="0"/>
        <v>0</v>
      </c>
      <c r="M34"/>
    </row>
    <row r="35" spans="1:13" s="1" customFormat="1" x14ac:dyDescent="0.2">
      <c r="A35" s="1" t="s">
        <v>6</v>
      </c>
      <c r="B35" s="3">
        <f>SUMIF(D:D, A35, E:E)</f>
        <v>0</v>
      </c>
      <c r="D35" s="1" t="s">
        <v>32</v>
      </c>
      <c r="E35" s="3">
        <f>8/512*B35</f>
        <v>0</v>
      </c>
      <c r="G35" s="4"/>
      <c r="I35" s="3"/>
      <c r="J35" s="1" t="s">
        <v>14</v>
      </c>
      <c r="K35" s="4">
        <f>51200/512</f>
        <v>100</v>
      </c>
      <c r="L35" s="1">
        <f t="shared" si="0"/>
        <v>0</v>
      </c>
      <c r="M35"/>
    </row>
    <row r="37" spans="1:13" s="1" customFormat="1" x14ac:dyDescent="0.2">
      <c r="A37" s="1" t="s">
        <v>35</v>
      </c>
      <c r="D37" s="1" t="s">
        <v>0</v>
      </c>
      <c r="E37" s="3">
        <f>1000/512000*B37</f>
        <v>0</v>
      </c>
      <c r="G37" s="4"/>
      <c r="I37" s="3"/>
      <c r="J37" s="1" t="s">
        <v>36</v>
      </c>
      <c r="K37" s="4"/>
      <c r="M37"/>
    </row>
    <row r="38" spans="1:13" s="1" customFormat="1" x14ac:dyDescent="0.2">
      <c r="A38" s="1" t="s">
        <v>35</v>
      </c>
      <c r="B38" s="1">
        <v>1000000</v>
      </c>
      <c r="D38" s="1" t="s">
        <v>2</v>
      </c>
      <c r="E38" s="3">
        <f>1000/512000*B38</f>
        <v>1953.125</v>
      </c>
      <c r="G38" s="4"/>
      <c r="I38" s="3"/>
      <c r="J38" s="1" t="s">
        <v>36</v>
      </c>
      <c r="K38" s="4"/>
      <c r="M38"/>
    </row>
    <row r="39" spans="1:13" s="1" customFormat="1" x14ac:dyDescent="0.2">
      <c r="A39" s="1" t="s">
        <v>35</v>
      </c>
      <c r="D39" s="1" t="s">
        <v>44</v>
      </c>
      <c r="E39" s="3">
        <f>5/256*B39</f>
        <v>0</v>
      </c>
      <c r="G39" s="4"/>
      <c r="I39" s="3"/>
      <c r="J39" s="1" t="s">
        <v>45</v>
      </c>
      <c r="K39" s="4"/>
      <c r="M39"/>
    </row>
    <row r="45" spans="1:13" s="1" customFormat="1" x14ac:dyDescent="0.2">
      <c r="A45" s="1" t="s">
        <v>37</v>
      </c>
      <c r="B45" s="1">
        <f>SUM(B37:B39)</f>
        <v>1000000</v>
      </c>
      <c r="E45" s="3"/>
      <c r="G45" s="4"/>
      <c r="I45" s="3"/>
      <c r="K45" s="4"/>
      <c r="M45"/>
    </row>
    <row r="46" spans="1:13" s="1" customFormat="1" x14ac:dyDescent="0.2">
      <c r="A46" s="1" t="s">
        <v>38</v>
      </c>
      <c r="B46" s="1">
        <f>SUM(L:L)</f>
        <v>420833.33333333331</v>
      </c>
      <c r="E46" s="3"/>
      <c r="G46" s="4"/>
      <c r="I46" s="3"/>
      <c r="K46" s="4"/>
      <c r="M46"/>
    </row>
    <row r="47" spans="1:13" s="1" customFormat="1" x14ac:dyDescent="0.2">
      <c r="A47" s="1" t="s">
        <v>39</v>
      </c>
      <c r="B47" s="1">
        <f>B45-B46</f>
        <v>579166.66666666674</v>
      </c>
      <c r="E47" s="3"/>
      <c r="G47" s="4"/>
      <c r="I47" s="3"/>
      <c r="K47" s="4"/>
      <c r="M47"/>
    </row>
    <row r="48" spans="1:13" s="1" customFormat="1" x14ac:dyDescent="0.2">
      <c r="A48" s="1" t="s">
        <v>40</v>
      </c>
      <c r="B48" s="2">
        <f>B47/B45</f>
        <v>0.57916666666666672</v>
      </c>
      <c r="E48" s="3"/>
      <c r="G48" s="4"/>
      <c r="I48" s="3"/>
      <c r="K48" s="4"/>
      <c r="M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1491-3967-D748-BDE4-30FCB604639B}">
  <dimension ref="A1:M46"/>
  <sheetViews>
    <sheetView tabSelected="1" workbookViewId="0">
      <selection activeCell="B48" sqref="B48"/>
    </sheetView>
  </sheetViews>
  <sheetFormatPr baseColWidth="10" defaultRowHeight="20" x14ac:dyDescent="0.2"/>
  <cols>
    <col min="1" max="1" width="17.09765625" style="1" customWidth="1"/>
    <col min="2" max="2" width="9.898437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21.701388888888886</v>
      </c>
      <c r="D2" s="1" t="s">
        <v>12</v>
      </c>
      <c r="E2" s="3">
        <f>100/90*B2</f>
        <v>24.112654320987652</v>
      </c>
      <c r="J2" s="1" t="s">
        <v>13</v>
      </c>
      <c r="K2" s="4">
        <f>12500/90</f>
        <v>138.88888888888889</v>
      </c>
      <c r="L2" s="1">
        <f>B2*K2</f>
        <v>3014.0817901234564</v>
      </c>
    </row>
    <row r="3" spans="1:12" x14ac:dyDescent="0.2">
      <c r="A3" s="1" t="s">
        <v>23</v>
      </c>
      <c r="B3" s="3">
        <f>SUMIF(D:D, A3, E:E)</f>
        <v>10.850694444444446</v>
      </c>
      <c r="J3" s="1" t="s">
        <v>41</v>
      </c>
      <c r="K3" s="4">
        <v>10240</v>
      </c>
      <c r="L3" s="1">
        <f t="shared" ref="L3:L33" si="0">B3*K3</f>
        <v>111111.11111111112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24.112654320987652</v>
      </c>
      <c r="J5" s="1" t="s">
        <v>41</v>
      </c>
      <c r="K5" s="4">
        <v>4096</v>
      </c>
      <c r="L5" s="1">
        <f t="shared" si="0"/>
        <v>98765.432098765421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2.1701388888888888</v>
      </c>
      <c r="J7" s="1" t="s">
        <v>41</v>
      </c>
      <c r="K7" s="4">
        <v>10240</v>
      </c>
      <c r="L7" s="1">
        <f t="shared" si="0"/>
        <v>22222.222222222223</v>
      </c>
    </row>
    <row r="8" spans="1:12" x14ac:dyDescent="0.2">
      <c r="A8" s="1" t="s">
        <v>32</v>
      </c>
      <c r="B8" s="3">
        <f>SUMIF(D:D, A8, E:E)</f>
        <v>15.2587890625</v>
      </c>
      <c r="J8" s="1" t="s">
        <v>41</v>
      </c>
      <c r="K8" s="4">
        <v>1024</v>
      </c>
      <c r="L8" s="1">
        <f t="shared" si="0"/>
        <v>15625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976.5625</v>
      </c>
      <c r="D12" s="1" t="s">
        <v>5</v>
      </c>
      <c r="E12" s="3">
        <f>100/30*B12</f>
        <v>3255.2083333333335</v>
      </c>
      <c r="J12" s="1" t="s">
        <v>31</v>
      </c>
      <c r="K12" s="4">
        <f>2000/30</f>
        <v>66.666666666666671</v>
      </c>
      <c r="L12" s="1">
        <f t="shared" si="0"/>
        <v>65104.166666666672</v>
      </c>
    </row>
    <row r="13" spans="1:12" x14ac:dyDescent="0.2">
      <c r="A13" s="1" t="s">
        <v>44</v>
      </c>
      <c r="B13" s="3">
        <f>SUMIF(D:D, A13, E:E)</f>
        <v>0</v>
      </c>
      <c r="D13" s="1" t="s">
        <v>1</v>
      </c>
      <c r="E13" s="3">
        <f>100/45*B13</f>
        <v>0</v>
      </c>
      <c r="J13" s="1" t="s">
        <v>31</v>
      </c>
      <c r="K13" s="4">
        <f>4096/45</f>
        <v>91.022222222222226</v>
      </c>
      <c r="L13" s="1">
        <f t="shared" si="0"/>
        <v>0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>
        <f>$E$12</f>
        <v>3255.2083333333335</v>
      </c>
      <c r="D17" s="1" t="s">
        <v>23</v>
      </c>
      <c r="E17" s="3">
        <f>5/1500*B17</f>
        <v>10.850694444444446</v>
      </c>
      <c r="F17" s="1" t="s">
        <v>20</v>
      </c>
      <c r="G17" s="4">
        <f>1/1500*B17</f>
        <v>2.1701388888888888</v>
      </c>
      <c r="H17" s="1" t="s">
        <v>3</v>
      </c>
      <c r="I17" s="3">
        <f>1000/1500*B17</f>
        <v>2170.1388888888887</v>
      </c>
      <c r="J17" s="1" t="s">
        <v>21</v>
      </c>
      <c r="K17" s="4">
        <f>4096/1500</f>
        <v>2.7306666666666666</v>
      </c>
      <c r="L17" s="1">
        <f t="shared" si="0"/>
        <v>8888.8888888888887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SUMIF(D:D, A27, E:E)</f>
        <v>0</v>
      </c>
      <c r="J27" s="1" t="s">
        <v>46</v>
      </c>
      <c r="K27" s="4">
        <f>1024/15</f>
        <v>68.266666666666666</v>
      </c>
      <c r="L27" s="1">
        <f t="shared" si="0"/>
        <v>0</v>
      </c>
    </row>
    <row r="28" spans="1:12" x14ac:dyDescent="0.2">
      <c r="A28" s="1" t="s">
        <v>0</v>
      </c>
      <c r="B28" s="3">
        <f>E35</f>
        <v>1953.125</v>
      </c>
      <c r="D28" s="1" t="s">
        <v>6</v>
      </c>
      <c r="E28" s="3">
        <f>50/100*B28</f>
        <v>976.5625</v>
      </c>
      <c r="F28" s="1" t="s">
        <v>28</v>
      </c>
      <c r="G28" s="4">
        <f>50/100*B28</f>
        <v>976.5625</v>
      </c>
      <c r="J28" s="1" t="s">
        <v>34</v>
      </c>
      <c r="K28" s="4">
        <f>500/100</f>
        <v>5</v>
      </c>
      <c r="L28" s="1">
        <f t="shared" si="0"/>
        <v>9765.625</v>
      </c>
    </row>
    <row r="29" spans="1:12" x14ac:dyDescent="0.2">
      <c r="A29" s="1" t="s">
        <v>0</v>
      </c>
      <c r="B29" s="3"/>
      <c r="D29" s="1" t="s">
        <v>6</v>
      </c>
      <c r="E29" s="3">
        <f>50/100*B29</f>
        <v>0</v>
      </c>
      <c r="F29" s="1" t="s">
        <v>29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3</v>
      </c>
      <c r="B30" s="3">
        <f>SUMIF(H:H,A30,I:I)</f>
        <v>2170.1388888888887</v>
      </c>
      <c r="D30" s="1" t="s">
        <v>4</v>
      </c>
      <c r="E30" s="3">
        <f>20/2000*B30</f>
        <v>21.701388888888886</v>
      </c>
      <c r="J30" s="1" t="s">
        <v>14</v>
      </c>
      <c r="K30" s="4">
        <f>51200/2000</f>
        <v>25.6</v>
      </c>
      <c r="L30" s="1">
        <f t="shared" si="0"/>
        <v>55555.555555555555</v>
      </c>
    </row>
    <row r="31" spans="1:12" x14ac:dyDescent="0.2">
      <c r="A31" s="1" t="s">
        <v>22</v>
      </c>
      <c r="B31" s="3"/>
      <c r="D31" s="1" t="s">
        <v>26</v>
      </c>
      <c r="E31" s="3">
        <f>20/4000*B31</f>
        <v>0</v>
      </c>
      <c r="J31" s="1" t="s">
        <v>14</v>
      </c>
      <c r="K31" s="4">
        <f>64000/4000</f>
        <v>16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27</v>
      </c>
      <c r="E32" s="3">
        <f>1/350*B32</f>
        <v>0</v>
      </c>
      <c r="J32" s="1" t="s">
        <v>14</v>
      </c>
      <c r="K32" s="4">
        <f>256/350</f>
        <v>0.73142857142857143</v>
      </c>
      <c r="L32" s="1">
        <f t="shared" si="0"/>
        <v>0</v>
      </c>
    </row>
    <row r="33" spans="1:12" x14ac:dyDescent="0.2">
      <c r="A33" s="1" t="s">
        <v>6</v>
      </c>
      <c r="B33" s="3">
        <f>SUMIF(D:D, A33, E:E)</f>
        <v>976.5625</v>
      </c>
      <c r="D33" s="1" t="s">
        <v>32</v>
      </c>
      <c r="E33" s="3">
        <f>8/512*B33</f>
        <v>15.2587890625</v>
      </c>
      <c r="J33" s="1" t="s">
        <v>14</v>
      </c>
      <c r="K33" s="4">
        <f>51200/512</f>
        <v>100</v>
      </c>
      <c r="L33" s="1">
        <f t="shared" si="0"/>
        <v>97656.25</v>
      </c>
    </row>
    <row r="35" spans="1:12" x14ac:dyDescent="0.2">
      <c r="A35" s="1" t="s">
        <v>35</v>
      </c>
      <c r="B35" s="1">
        <v>1000000</v>
      </c>
      <c r="D35" s="1" t="s">
        <v>0</v>
      </c>
      <c r="E35" s="3">
        <f>1000/512000*B35</f>
        <v>1953.125</v>
      </c>
      <c r="J35" s="1" t="s">
        <v>36</v>
      </c>
    </row>
    <row r="36" spans="1:12" x14ac:dyDescent="0.2">
      <c r="A36" s="1" t="s">
        <v>35</v>
      </c>
      <c r="B36" s="1">
        <v>0</v>
      </c>
      <c r="D36" s="1" t="s">
        <v>2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B37" s="1">
        <v>0</v>
      </c>
      <c r="D37" s="1" t="s">
        <v>44</v>
      </c>
      <c r="E37" s="3">
        <f>5/256*B37</f>
        <v>0</v>
      </c>
      <c r="J37" s="1" t="s">
        <v>45</v>
      </c>
    </row>
    <row r="43" spans="1:12" x14ac:dyDescent="0.2">
      <c r="A43" s="1" t="s">
        <v>37</v>
      </c>
      <c r="B43" s="1">
        <f>SUM(B35:B37)</f>
        <v>1000000</v>
      </c>
    </row>
    <row r="44" spans="1:12" x14ac:dyDescent="0.2">
      <c r="A44" s="1" t="s">
        <v>38</v>
      </c>
      <c r="B44" s="1">
        <f>SUM(L:L)</f>
        <v>487708.33333333331</v>
      </c>
    </row>
    <row r="45" spans="1:12" x14ac:dyDescent="0.2">
      <c r="A45" s="1" t="s">
        <v>39</v>
      </c>
      <c r="B45" s="1">
        <f>B43-B44</f>
        <v>512291.66666666669</v>
      </c>
    </row>
    <row r="46" spans="1:12" x14ac:dyDescent="0.2">
      <c r="A46" s="1" t="s">
        <v>40</v>
      </c>
      <c r="B46" s="2">
        <f>B45/B43</f>
        <v>0.5122916666666667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53BA-2A13-624B-9E8A-7853CE4E895D}">
  <dimension ref="A1:M48"/>
  <sheetViews>
    <sheetView workbookViewId="0">
      <selection activeCell="H51" sqref="H51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5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J11" s="1" t="s">
        <v>31</v>
      </c>
      <c r="K11" s="4">
        <f>4096/40</f>
        <v>102.4</v>
      </c>
      <c r="L11" s="1">
        <f t="shared" si="0"/>
        <v>200000</v>
      </c>
    </row>
    <row r="12" spans="1:12" x14ac:dyDescent="0.2">
      <c r="A12" s="1" t="s">
        <v>49</v>
      </c>
      <c r="B12" s="3"/>
      <c r="J12" s="1" t="s">
        <v>45</v>
      </c>
      <c r="K12" s="4">
        <f>-(256/5)</f>
        <v>-51.2</v>
      </c>
      <c r="L12" s="1">
        <f t="shared" si="0"/>
        <v>0</v>
      </c>
    </row>
    <row r="13" spans="1:12" x14ac:dyDescent="0.2">
      <c r="A13" s="1" t="s">
        <v>28</v>
      </c>
      <c r="B13" s="3">
        <f>SUMIF(F:F, A13, G:G)</f>
        <v>0</v>
      </c>
      <c r="D13" s="1" t="s">
        <v>5</v>
      </c>
      <c r="E13" s="3">
        <f>100/30*B13</f>
        <v>0</v>
      </c>
      <c r="J13" s="1" t="s">
        <v>31</v>
      </c>
      <c r="K13" s="4">
        <f>2000/30</f>
        <v>66.666666666666671</v>
      </c>
      <c r="L13" s="1">
        <f t="shared" si="0"/>
        <v>0</v>
      </c>
    </row>
    <row r="14" spans="1:12" x14ac:dyDescent="0.2">
      <c r="A14" s="1" t="s">
        <v>44</v>
      </c>
      <c r="B14" s="3">
        <f>SUMIF(D:D, A14, E:E)</f>
        <v>0</v>
      </c>
      <c r="D14" s="1" t="s">
        <v>1</v>
      </c>
      <c r="E14" s="3">
        <f>100/45*B14</f>
        <v>0</v>
      </c>
      <c r="J14" s="1" t="s">
        <v>31</v>
      </c>
      <c r="K14" s="4">
        <f>4096/45</f>
        <v>91.022222222222226</v>
      </c>
      <c r="L14" s="1">
        <f t="shared" si="0"/>
        <v>0</v>
      </c>
    </row>
    <row r="15" spans="1:12" x14ac:dyDescent="0.2">
      <c r="A15" s="1" t="s">
        <v>29</v>
      </c>
      <c r="B15" s="3">
        <f>SUMIF(F:F, A15, G:G)</f>
        <v>0</v>
      </c>
      <c r="D15" s="1" t="s">
        <v>33</v>
      </c>
      <c r="E15" s="3">
        <f>8/640*B15</f>
        <v>0</v>
      </c>
      <c r="J15" s="1" t="s">
        <v>30</v>
      </c>
      <c r="K15" s="4">
        <f>5120/640</f>
        <v>8</v>
      </c>
      <c r="L15" s="1">
        <f t="shared" si="0"/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3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>B16*K16</f>
        <v>0</v>
      </c>
    </row>
    <row r="17" spans="1:12" x14ac:dyDescent="0.2">
      <c r="A17" s="1" t="s">
        <v>5</v>
      </c>
      <c r="B17" s="3"/>
      <c r="D17" s="1" t="s">
        <v>19</v>
      </c>
      <c r="E17" s="3">
        <f>20/1500*B17</f>
        <v>0</v>
      </c>
      <c r="F17" s="1" t="s">
        <v>20</v>
      </c>
      <c r="G17" s="4">
        <f>1/1500*B17</f>
        <v>0</v>
      </c>
      <c r="H17" s="1" t="s">
        <v>22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>
        <f>$E$13</f>
        <v>0</v>
      </c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3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23</v>
      </c>
      <c r="E19" s="3">
        <f>5/1500*B19</f>
        <v>0</v>
      </c>
      <c r="F19" s="1" t="s">
        <v>20</v>
      </c>
      <c r="G19" s="4">
        <f>1/1500*B19</f>
        <v>0</v>
      </c>
      <c r="H19" s="1" t="s">
        <v>22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3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19</v>
      </c>
      <c r="E21" s="3">
        <f>16/1500*B21</f>
        <v>0</v>
      </c>
      <c r="F21" s="1" t="s">
        <v>24</v>
      </c>
      <c r="G21" s="4">
        <f>1/1500*B21</f>
        <v>0</v>
      </c>
      <c r="H21" s="1" t="s">
        <v>22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3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23</v>
      </c>
      <c r="E23" s="3">
        <f>4/1500*B23</f>
        <v>0</v>
      </c>
      <c r="F23" s="1" t="s">
        <v>24</v>
      </c>
      <c r="G23" s="4">
        <f>1/1500*B23</f>
        <v>0</v>
      </c>
      <c r="H23" s="1" t="s">
        <v>22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>B23*K23</f>
        <v>0</v>
      </c>
    </row>
    <row r="24" spans="1:12" x14ac:dyDescent="0.2">
      <c r="A24" s="1" t="s">
        <v>5</v>
      </c>
      <c r="B24" s="3"/>
      <c r="D24" s="1" t="s">
        <v>19</v>
      </c>
      <c r="E24" s="3">
        <f>40/1500*B24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23</v>
      </c>
      <c r="E25" s="3">
        <f>10/1500*B25</f>
        <v>0</v>
      </c>
      <c r="F25" s="1" t="s">
        <v>20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19</v>
      </c>
      <c r="E26" s="3">
        <f>32/1500*B26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5</v>
      </c>
      <c r="B27" s="3"/>
      <c r="D27" s="1" t="s">
        <v>23</v>
      </c>
      <c r="E27" s="3">
        <f>8/1500*B27</f>
        <v>0</v>
      </c>
      <c r="F27" s="1" t="s">
        <v>24</v>
      </c>
      <c r="G27" s="4">
        <f>1/1500*B27</f>
        <v>0</v>
      </c>
      <c r="H27" s="1" t="s">
        <v>25</v>
      </c>
      <c r="I27" s="3">
        <f>1000/1500*B27</f>
        <v>0</v>
      </c>
      <c r="J27" s="1" t="s">
        <v>21</v>
      </c>
      <c r="K27" s="4">
        <f>4096/1500</f>
        <v>2.7306666666666666</v>
      </c>
      <c r="L27" s="1">
        <f t="shared" si="0"/>
        <v>0</v>
      </c>
    </row>
    <row r="28" spans="1:12" x14ac:dyDescent="0.2">
      <c r="A28" s="1" t="s">
        <v>1</v>
      </c>
      <c r="B28" s="3"/>
      <c r="J28" s="1" t="s">
        <v>48</v>
      </c>
      <c r="K28" s="4">
        <f>1024/6</f>
        <v>170.66666666666666</v>
      </c>
      <c r="L28" s="1">
        <f t="shared" si="0"/>
        <v>0</v>
      </c>
    </row>
    <row r="29" spans="1:12" x14ac:dyDescent="0.2">
      <c r="A29" s="1" t="s">
        <v>1</v>
      </c>
      <c r="B29" s="3">
        <f>E11</f>
        <v>4882.8125</v>
      </c>
      <c r="J29" s="1" t="s">
        <v>47</v>
      </c>
      <c r="K29" s="4">
        <f>1024/15</f>
        <v>68.266666666666666</v>
      </c>
      <c r="L29" s="1">
        <f t="shared" si="0"/>
        <v>333333.33333333331</v>
      </c>
    </row>
    <row r="30" spans="1:12" x14ac:dyDescent="0.2">
      <c r="A30" s="1" t="s">
        <v>0</v>
      </c>
      <c r="B30" s="3">
        <f>E37</f>
        <v>0</v>
      </c>
      <c r="D30" s="1" t="s">
        <v>6</v>
      </c>
      <c r="E30" s="3">
        <f>50/100*B30</f>
        <v>0</v>
      </c>
      <c r="F30" s="1" t="s">
        <v>28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0</v>
      </c>
      <c r="B31" s="3"/>
      <c r="D31" s="1" t="s">
        <v>6</v>
      </c>
      <c r="E31" s="3">
        <f>50/100*B31</f>
        <v>0</v>
      </c>
      <c r="F31" s="1" t="s">
        <v>29</v>
      </c>
      <c r="G31" s="4">
        <f>50/100*B31</f>
        <v>0</v>
      </c>
      <c r="J31" s="1" t="s">
        <v>34</v>
      </c>
      <c r="K31" s="4">
        <f>500/100</f>
        <v>5</v>
      </c>
      <c r="L31" s="1">
        <f t="shared" si="0"/>
        <v>0</v>
      </c>
    </row>
    <row r="32" spans="1:12" x14ac:dyDescent="0.2">
      <c r="A32" s="1" t="s">
        <v>3</v>
      </c>
      <c r="B32" s="3">
        <f>SUMIF(H:H,A32,I:I)</f>
        <v>0</v>
      </c>
      <c r="D32" s="1" t="s">
        <v>4</v>
      </c>
      <c r="E32" s="3">
        <f>20/2000*B32</f>
        <v>0</v>
      </c>
      <c r="J32" s="1" t="s">
        <v>14</v>
      </c>
      <c r="K32" s="4">
        <f>51200/2000</f>
        <v>25.6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26</v>
      </c>
      <c r="E33" s="3">
        <f>20/4000*B33</f>
        <v>0</v>
      </c>
      <c r="J33" s="1" t="s">
        <v>14</v>
      </c>
      <c r="K33" s="4">
        <f>64000/4000</f>
        <v>16</v>
      </c>
      <c r="L33" s="1">
        <f t="shared" si="0"/>
        <v>0</v>
      </c>
    </row>
    <row r="34" spans="1:12" x14ac:dyDescent="0.2">
      <c r="A34" s="1" t="s">
        <v>22</v>
      </c>
      <c r="B34" s="3"/>
      <c r="D34" s="1" t="s">
        <v>27</v>
      </c>
      <c r="E34" s="3">
        <f>1/350*B34</f>
        <v>0</v>
      </c>
      <c r="J34" s="1" t="s">
        <v>14</v>
      </c>
      <c r="K34" s="4">
        <f>256/350</f>
        <v>0.73142857142857143</v>
      </c>
      <c r="L34" s="1">
        <f t="shared" si="0"/>
        <v>0</v>
      </c>
    </row>
    <row r="35" spans="1:12" x14ac:dyDescent="0.2">
      <c r="A35" s="1" t="s">
        <v>6</v>
      </c>
      <c r="B35" s="3">
        <f>SUMIF(D:D, A35, E:E)</f>
        <v>0</v>
      </c>
      <c r="D35" s="1" t="s">
        <v>32</v>
      </c>
      <c r="E35" s="3">
        <f>8/512*B35</f>
        <v>0</v>
      </c>
      <c r="J35" s="1" t="s">
        <v>14</v>
      </c>
      <c r="K35" s="4">
        <f>51200/512</f>
        <v>100</v>
      </c>
      <c r="L35" s="1">
        <f t="shared" si="0"/>
        <v>0</v>
      </c>
    </row>
    <row r="37" spans="1:12" x14ac:dyDescent="0.2">
      <c r="A37" s="1" t="s">
        <v>35</v>
      </c>
      <c r="D37" s="1" t="s">
        <v>0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2</v>
      </c>
      <c r="E38" s="3">
        <f>1000/512000*B38</f>
        <v>1953.125</v>
      </c>
      <c r="J38" s="1" t="s">
        <v>36</v>
      </c>
    </row>
    <row r="39" spans="1:12" x14ac:dyDescent="0.2">
      <c r="A39" s="1" t="s">
        <v>35</v>
      </c>
      <c r="D39" s="1" t="s">
        <v>44</v>
      </c>
      <c r="E39" s="3">
        <f>5/256*B39</f>
        <v>0</v>
      </c>
      <c r="J39" s="1" t="s">
        <v>45</v>
      </c>
    </row>
    <row r="45" spans="1:12" x14ac:dyDescent="0.2">
      <c r="A45" s="1" t="s">
        <v>37</v>
      </c>
      <c r="B45" s="1">
        <f>SUM(B37:B39)</f>
        <v>1000000</v>
      </c>
    </row>
    <row r="46" spans="1:12" x14ac:dyDescent="0.2">
      <c r="A46" s="1" t="s">
        <v>38</v>
      </c>
      <c r="B46" s="1">
        <f>SUM(L:L)</f>
        <v>533333.33333333326</v>
      </c>
    </row>
    <row r="47" spans="1:12" x14ac:dyDescent="0.2">
      <c r="A47" s="1" t="s">
        <v>39</v>
      </c>
      <c r="B47" s="1">
        <f>B45-B46</f>
        <v>466666.66666666674</v>
      </c>
    </row>
    <row r="48" spans="1:12" x14ac:dyDescent="0.2">
      <c r="A48" s="1" t="s">
        <v>40</v>
      </c>
      <c r="B48" s="2">
        <f>B47/B45</f>
        <v>0.46666666666666673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8DD5-F4B4-1C48-94A9-5CE13A38D571}">
  <dimension ref="A1:M48"/>
  <sheetViews>
    <sheetView workbookViewId="0">
      <selection activeCell="I51" sqref="I51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5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J11" s="1" t="s">
        <v>31</v>
      </c>
      <c r="K11" s="4">
        <f>4096/40</f>
        <v>102.4</v>
      </c>
      <c r="L11" s="1">
        <f t="shared" si="0"/>
        <v>200000</v>
      </c>
    </row>
    <row r="12" spans="1:12" x14ac:dyDescent="0.2">
      <c r="A12" s="1" t="s">
        <v>49</v>
      </c>
      <c r="B12" s="3">
        <f>B11*45/40</f>
        <v>2197.265625</v>
      </c>
      <c r="J12" s="1" t="s">
        <v>45</v>
      </c>
      <c r="K12" s="4">
        <f>-(256/5)</f>
        <v>-51.2</v>
      </c>
      <c r="L12" s="1">
        <f t="shared" si="0"/>
        <v>-112500</v>
      </c>
    </row>
    <row r="13" spans="1:12" x14ac:dyDescent="0.2">
      <c r="A13" s="1" t="s">
        <v>28</v>
      </c>
      <c r="B13" s="3">
        <f>SUMIF(F:F, A13, G:G)</f>
        <v>0</v>
      </c>
      <c r="D13" s="1" t="s">
        <v>5</v>
      </c>
      <c r="E13" s="3">
        <f>100/30*B13</f>
        <v>0</v>
      </c>
      <c r="J13" s="1" t="s">
        <v>31</v>
      </c>
      <c r="K13" s="4">
        <f>2000/30</f>
        <v>66.666666666666671</v>
      </c>
      <c r="L13" s="1">
        <f t="shared" si="0"/>
        <v>0</v>
      </c>
    </row>
    <row r="14" spans="1:12" x14ac:dyDescent="0.2">
      <c r="A14" s="1" t="s">
        <v>44</v>
      </c>
      <c r="B14" s="3">
        <f>SUMIF(D:D, A14, E:E)</f>
        <v>0</v>
      </c>
      <c r="D14" s="1" t="s">
        <v>1</v>
      </c>
      <c r="E14" s="3">
        <f>100/45*B14</f>
        <v>0</v>
      </c>
      <c r="J14" s="1" t="s">
        <v>31</v>
      </c>
      <c r="K14" s="4">
        <f>4096/45</f>
        <v>91.022222222222226</v>
      </c>
      <c r="L14" s="1">
        <f t="shared" si="0"/>
        <v>0</v>
      </c>
    </row>
    <row r="15" spans="1:12" x14ac:dyDescent="0.2">
      <c r="A15" s="1" t="s">
        <v>29</v>
      </c>
      <c r="B15" s="3">
        <f>SUMIF(F:F, A15, G:G)</f>
        <v>0</v>
      </c>
      <c r="D15" s="1" t="s">
        <v>33</v>
      </c>
      <c r="E15" s="3">
        <f>8/640*B15</f>
        <v>0</v>
      </c>
      <c r="J15" s="1" t="s">
        <v>30</v>
      </c>
      <c r="K15" s="4">
        <f>5120/640</f>
        <v>8</v>
      </c>
      <c r="L15" s="1">
        <f t="shared" si="0"/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3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>B16*K16</f>
        <v>0</v>
      </c>
    </row>
    <row r="17" spans="1:12" x14ac:dyDescent="0.2">
      <c r="A17" s="1" t="s">
        <v>5</v>
      </c>
      <c r="B17" s="3"/>
      <c r="D17" s="1" t="s">
        <v>19</v>
      </c>
      <c r="E17" s="3">
        <f>20/1500*B17</f>
        <v>0</v>
      </c>
      <c r="F17" s="1" t="s">
        <v>20</v>
      </c>
      <c r="G17" s="4">
        <f>1/1500*B17</f>
        <v>0</v>
      </c>
      <c r="H17" s="1" t="s">
        <v>22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>
        <f>$E$13</f>
        <v>0</v>
      </c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3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23</v>
      </c>
      <c r="E19" s="3">
        <f>5/1500*B19</f>
        <v>0</v>
      </c>
      <c r="F19" s="1" t="s">
        <v>20</v>
      </c>
      <c r="G19" s="4">
        <f>1/1500*B19</f>
        <v>0</v>
      </c>
      <c r="H19" s="1" t="s">
        <v>22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3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19</v>
      </c>
      <c r="E21" s="3">
        <f>16/1500*B21</f>
        <v>0</v>
      </c>
      <c r="F21" s="1" t="s">
        <v>24</v>
      </c>
      <c r="G21" s="4">
        <f>1/1500*B21</f>
        <v>0</v>
      </c>
      <c r="H21" s="1" t="s">
        <v>22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3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23</v>
      </c>
      <c r="E23" s="3">
        <f>4/1500*B23</f>
        <v>0</v>
      </c>
      <c r="F23" s="1" t="s">
        <v>24</v>
      </c>
      <c r="G23" s="4">
        <f>1/1500*B23</f>
        <v>0</v>
      </c>
      <c r="H23" s="1" t="s">
        <v>22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>B23*K23</f>
        <v>0</v>
      </c>
    </row>
    <row r="24" spans="1:12" x14ac:dyDescent="0.2">
      <c r="A24" s="1" t="s">
        <v>5</v>
      </c>
      <c r="B24" s="3"/>
      <c r="D24" s="1" t="s">
        <v>19</v>
      </c>
      <c r="E24" s="3">
        <f>40/1500*B24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23</v>
      </c>
      <c r="E25" s="3">
        <f>10/1500*B25</f>
        <v>0</v>
      </c>
      <c r="F25" s="1" t="s">
        <v>20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19</v>
      </c>
      <c r="E26" s="3">
        <f>32/1500*B26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5</v>
      </c>
      <c r="B27" s="3"/>
      <c r="D27" s="1" t="s">
        <v>23</v>
      </c>
      <c r="E27" s="3">
        <f>8/1500*B27</f>
        <v>0</v>
      </c>
      <c r="F27" s="1" t="s">
        <v>24</v>
      </c>
      <c r="G27" s="4">
        <f>1/1500*B27</f>
        <v>0</v>
      </c>
      <c r="H27" s="1" t="s">
        <v>25</v>
      </c>
      <c r="I27" s="3">
        <f>1000/1500*B27</f>
        <v>0</v>
      </c>
      <c r="J27" s="1" t="s">
        <v>21</v>
      </c>
      <c r="K27" s="4">
        <f>4096/1500</f>
        <v>2.7306666666666666</v>
      </c>
      <c r="L27" s="1">
        <f t="shared" si="0"/>
        <v>0</v>
      </c>
    </row>
    <row r="28" spans="1:12" x14ac:dyDescent="0.2">
      <c r="A28" s="1" t="s">
        <v>1</v>
      </c>
      <c r="B28" s="3">
        <f>E11</f>
        <v>4882.8125</v>
      </c>
      <c r="J28" s="1" t="s">
        <v>48</v>
      </c>
      <c r="K28" s="4">
        <f>1024/6</f>
        <v>170.66666666666666</v>
      </c>
      <c r="L28" s="1">
        <f t="shared" si="0"/>
        <v>833333.33333333326</v>
      </c>
    </row>
    <row r="29" spans="1:12" x14ac:dyDescent="0.2">
      <c r="A29" s="1" t="s">
        <v>1</v>
      </c>
      <c r="B29" s="3"/>
      <c r="J29" s="1" t="s">
        <v>47</v>
      </c>
      <c r="K29" s="4">
        <f>1024/15</f>
        <v>68.266666666666666</v>
      </c>
      <c r="L29" s="1">
        <f t="shared" si="0"/>
        <v>0</v>
      </c>
    </row>
    <row r="30" spans="1:12" x14ac:dyDescent="0.2">
      <c r="A30" s="1" t="s">
        <v>0</v>
      </c>
      <c r="B30" s="3">
        <f>E37</f>
        <v>0</v>
      </c>
      <c r="D30" s="1" t="s">
        <v>6</v>
      </c>
      <c r="E30" s="3">
        <f>50/100*B30</f>
        <v>0</v>
      </c>
      <c r="F30" s="1" t="s">
        <v>28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0</v>
      </c>
      <c r="B31" s="3"/>
      <c r="D31" s="1" t="s">
        <v>6</v>
      </c>
      <c r="E31" s="3">
        <f>50/100*B31</f>
        <v>0</v>
      </c>
      <c r="F31" s="1" t="s">
        <v>29</v>
      </c>
      <c r="G31" s="4">
        <f>50/100*B31</f>
        <v>0</v>
      </c>
      <c r="J31" s="1" t="s">
        <v>34</v>
      </c>
      <c r="K31" s="4">
        <f>500/100</f>
        <v>5</v>
      </c>
      <c r="L31" s="1">
        <f t="shared" si="0"/>
        <v>0</v>
      </c>
    </row>
    <row r="32" spans="1:12" x14ac:dyDescent="0.2">
      <c r="A32" s="1" t="s">
        <v>3</v>
      </c>
      <c r="B32" s="3">
        <f>SUMIF(H:H,A32,I:I)</f>
        <v>0</v>
      </c>
      <c r="D32" s="1" t="s">
        <v>4</v>
      </c>
      <c r="E32" s="3">
        <f>20/2000*B32</f>
        <v>0</v>
      </c>
      <c r="J32" s="1" t="s">
        <v>14</v>
      </c>
      <c r="K32" s="4">
        <f>51200/2000</f>
        <v>25.6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26</v>
      </c>
      <c r="E33" s="3">
        <f>20/4000*B33</f>
        <v>0</v>
      </c>
      <c r="J33" s="1" t="s">
        <v>14</v>
      </c>
      <c r="K33" s="4">
        <f>64000/4000</f>
        <v>16</v>
      </c>
      <c r="L33" s="1">
        <f t="shared" si="0"/>
        <v>0</v>
      </c>
    </row>
    <row r="34" spans="1:12" x14ac:dyDescent="0.2">
      <c r="A34" s="1" t="s">
        <v>22</v>
      </c>
      <c r="B34" s="3"/>
      <c r="D34" s="1" t="s">
        <v>27</v>
      </c>
      <c r="E34" s="3">
        <f>1/350*B34</f>
        <v>0</v>
      </c>
      <c r="J34" s="1" t="s">
        <v>14</v>
      </c>
      <c r="K34" s="4">
        <f>256/350</f>
        <v>0.73142857142857143</v>
      </c>
      <c r="L34" s="1">
        <f t="shared" si="0"/>
        <v>0</v>
      </c>
    </row>
    <row r="35" spans="1:12" x14ac:dyDescent="0.2">
      <c r="A35" s="1" t="s">
        <v>6</v>
      </c>
      <c r="B35" s="3">
        <f>SUMIF(D:D, A35, E:E)</f>
        <v>0</v>
      </c>
      <c r="D35" s="1" t="s">
        <v>32</v>
      </c>
      <c r="E35" s="3">
        <f>8/512*B35</f>
        <v>0</v>
      </c>
      <c r="J35" s="1" t="s">
        <v>14</v>
      </c>
      <c r="K35" s="4">
        <f>51200/512</f>
        <v>100</v>
      </c>
      <c r="L35" s="1">
        <f t="shared" si="0"/>
        <v>0</v>
      </c>
    </row>
    <row r="37" spans="1:12" x14ac:dyDescent="0.2">
      <c r="A37" s="1" t="s">
        <v>35</v>
      </c>
      <c r="D37" s="1" t="s">
        <v>0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2</v>
      </c>
      <c r="E38" s="3">
        <f>1000/512000*B38</f>
        <v>1953.125</v>
      </c>
      <c r="J38" s="1" t="s">
        <v>36</v>
      </c>
    </row>
    <row r="39" spans="1:12" x14ac:dyDescent="0.2">
      <c r="A39" s="1" t="s">
        <v>35</v>
      </c>
      <c r="D39" s="1" t="s">
        <v>44</v>
      </c>
      <c r="E39" s="3">
        <f>5/256*B39</f>
        <v>0</v>
      </c>
      <c r="J39" s="1" t="s">
        <v>45</v>
      </c>
    </row>
    <row r="45" spans="1:12" x14ac:dyDescent="0.2">
      <c r="A45" s="1" t="s">
        <v>37</v>
      </c>
      <c r="B45" s="1">
        <f>SUM(B37:B39)</f>
        <v>1000000</v>
      </c>
    </row>
    <row r="46" spans="1:12" x14ac:dyDescent="0.2">
      <c r="A46" s="1" t="s">
        <v>38</v>
      </c>
      <c r="B46" s="1">
        <f>SUM(L:L)</f>
        <v>920833.33333333326</v>
      </c>
    </row>
    <row r="47" spans="1:12" x14ac:dyDescent="0.2">
      <c r="A47" s="1" t="s">
        <v>39</v>
      </c>
      <c r="B47" s="1">
        <f>B45-B46</f>
        <v>79166.666666666744</v>
      </c>
    </row>
    <row r="48" spans="1:12" x14ac:dyDescent="0.2">
      <c r="A48" s="1" t="s">
        <v>40</v>
      </c>
      <c r="B48" s="2">
        <f>B47/B45</f>
        <v>7.9166666666666746E-2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4977-A34C-0141-9716-02933EF4A542}">
  <dimension ref="A1:M47"/>
  <sheetViews>
    <sheetView workbookViewId="0">
      <selection activeCell="K46" sqref="K46"/>
    </sheetView>
  </sheetViews>
  <sheetFormatPr baseColWidth="10" defaultRowHeight="20" x14ac:dyDescent="0.2"/>
  <cols>
    <col min="1" max="1" width="17.09765625" style="1" customWidth="1"/>
    <col min="2" max="2" width="10.29687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4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1953.125</v>
      </c>
      <c r="D11" s="1" t="s">
        <v>1</v>
      </c>
      <c r="E11" s="3">
        <f>100/40*B11</f>
        <v>4882.8125</v>
      </c>
      <c r="J11" s="1" t="s">
        <v>31</v>
      </c>
      <c r="K11" s="4">
        <f>4096/40</f>
        <v>102.4</v>
      </c>
      <c r="L11" s="1">
        <f t="shared" si="0"/>
        <v>200000</v>
      </c>
    </row>
    <row r="12" spans="1:12" x14ac:dyDescent="0.2">
      <c r="A12" s="1" t="s">
        <v>28</v>
      </c>
      <c r="B12" s="3">
        <f>SUMIF(F:F, A12, G:G)</f>
        <v>0</v>
      </c>
      <c r="D12" s="1" t="s">
        <v>5</v>
      </c>
      <c r="E12" s="3">
        <f>100/30*B12</f>
        <v>0</v>
      </c>
      <c r="J12" s="1" t="s">
        <v>31</v>
      </c>
      <c r="K12" s="4">
        <f>2000/30</f>
        <v>66.666666666666671</v>
      </c>
      <c r="L12" s="1">
        <f t="shared" si="0"/>
        <v>0</v>
      </c>
    </row>
    <row r="13" spans="1:12" x14ac:dyDescent="0.2">
      <c r="A13" s="1" t="s">
        <v>44</v>
      </c>
      <c r="B13" s="3">
        <f>SUMIF(D:D, A13, E:E)</f>
        <v>0</v>
      </c>
      <c r="D13" s="1" t="s">
        <v>1</v>
      </c>
      <c r="E13" s="3">
        <f>100/45*B13</f>
        <v>0</v>
      </c>
      <c r="J13" s="1" t="s">
        <v>31</v>
      </c>
      <c r="K13" s="4">
        <f>4096/45</f>
        <v>91.022222222222226</v>
      </c>
      <c r="L13" s="1">
        <f t="shared" si="0"/>
        <v>0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/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>
        <f>$E$12</f>
        <v>0</v>
      </c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>
        <f>E11</f>
        <v>4882.8125</v>
      </c>
      <c r="J27" s="1" t="s">
        <v>48</v>
      </c>
      <c r="K27" s="4">
        <f>1024/6</f>
        <v>170.66666666666666</v>
      </c>
      <c r="L27" s="1">
        <f t="shared" si="0"/>
        <v>833333.33333333326</v>
      </c>
    </row>
    <row r="28" spans="1:12" x14ac:dyDescent="0.2">
      <c r="A28" s="1" t="s">
        <v>1</v>
      </c>
      <c r="B28" s="3"/>
      <c r="J28" s="1" t="s">
        <v>47</v>
      </c>
      <c r="K28" s="4">
        <f>1024/15</f>
        <v>68.266666666666666</v>
      </c>
      <c r="L28" s="1">
        <f t="shared" si="0"/>
        <v>0</v>
      </c>
    </row>
    <row r="29" spans="1:12" x14ac:dyDescent="0.2">
      <c r="A29" s="1" t="s">
        <v>0</v>
      </c>
      <c r="B29" s="3">
        <f>E36</f>
        <v>0</v>
      </c>
      <c r="D29" s="1" t="s">
        <v>6</v>
      </c>
      <c r="E29" s="3">
        <f>50/100*B29</f>
        <v>0</v>
      </c>
      <c r="F29" s="1" t="s">
        <v>28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0</v>
      </c>
      <c r="B30" s="3"/>
      <c r="D30" s="1" t="s">
        <v>6</v>
      </c>
      <c r="E30" s="3">
        <f>50/100*B30</f>
        <v>0</v>
      </c>
      <c r="F30" s="1" t="s">
        <v>29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3</v>
      </c>
      <c r="B31" s="3">
        <f>SUMIF(H:H,A31,I:I)</f>
        <v>0</v>
      </c>
      <c r="D31" s="1" t="s">
        <v>4</v>
      </c>
      <c r="E31" s="3">
        <f>20/2000*B31</f>
        <v>0</v>
      </c>
      <c r="J31" s="1" t="s">
        <v>14</v>
      </c>
      <c r="K31" s="4">
        <f>51200/2000</f>
        <v>25.6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26</v>
      </c>
      <c r="E32" s="3">
        <f>20/4000*B32</f>
        <v>0</v>
      </c>
      <c r="J32" s="1" t="s">
        <v>14</v>
      </c>
      <c r="K32" s="4">
        <f>64000/4000</f>
        <v>16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27</v>
      </c>
      <c r="E33" s="3">
        <f>1/350*B33</f>
        <v>0</v>
      </c>
      <c r="J33" s="1" t="s">
        <v>14</v>
      </c>
      <c r="K33" s="4">
        <f>256/350</f>
        <v>0.73142857142857143</v>
      </c>
      <c r="L33" s="1">
        <f t="shared" si="0"/>
        <v>0</v>
      </c>
    </row>
    <row r="34" spans="1:12" x14ac:dyDescent="0.2">
      <c r="A34" s="1" t="s">
        <v>6</v>
      </c>
      <c r="B34" s="3">
        <f>SUMIF(D:D, A34, E:E)</f>
        <v>0</v>
      </c>
      <c r="D34" s="1" t="s">
        <v>32</v>
      </c>
      <c r="E34" s="3">
        <f>8/512*B34</f>
        <v>0</v>
      </c>
      <c r="J34" s="1" t="s">
        <v>14</v>
      </c>
      <c r="K34" s="4">
        <f>51200/512</f>
        <v>100</v>
      </c>
      <c r="L34" s="1">
        <f t="shared" si="0"/>
        <v>0</v>
      </c>
    </row>
    <row r="36" spans="1:12" x14ac:dyDescent="0.2">
      <c r="A36" s="1" t="s">
        <v>35</v>
      </c>
      <c r="D36" s="1" t="s">
        <v>0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B37" s="1">
        <v>1000000</v>
      </c>
      <c r="D37" s="1" t="s">
        <v>2</v>
      </c>
      <c r="E37" s="3">
        <f>1000/512000*B37</f>
        <v>1953.125</v>
      </c>
      <c r="J37" s="1" t="s">
        <v>36</v>
      </c>
    </row>
    <row r="38" spans="1:12" x14ac:dyDescent="0.2">
      <c r="A38" s="1" t="s">
        <v>35</v>
      </c>
      <c r="D38" s="1" t="s">
        <v>44</v>
      </c>
      <c r="E38" s="3">
        <f>5/256*B38</f>
        <v>0</v>
      </c>
      <c r="J38" s="1" t="s">
        <v>45</v>
      </c>
    </row>
    <row r="44" spans="1:12" x14ac:dyDescent="0.2">
      <c r="A44" s="1" t="s">
        <v>37</v>
      </c>
      <c r="B44" s="1">
        <f>SUM(B36:B38)</f>
        <v>1000000</v>
      </c>
    </row>
    <row r="45" spans="1:12" x14ac:dyDescent="0.2">
      <c r="A45" s="1" t="s">
        <v>38</v>
      </c>
      <c r="B45" s="1">
        <f>SUM(L:L)</f>
        <v>1033333.3333333333</v>
      </c>
    </row>
    <row r="46" spans="1:12" x14ac:dyDescent="0.2">
      <c r="A46" s="1" t="s">
        <v>39</v>
      </c>
      <c r="B46" s="1">
        <f>B44-B45</f>
        <v>-33333.333333333256</v>
      </c>
    </row>
    <row r="47" spans="1:12" x14ac:dyDescent="0.2">
      <c r="A47" s="1" t="s">
        <v>40</v>
      </c>
      <c r="B47" s="2">
        <f>B46/B44</f>
        <v>-3.3333333333333257E-2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ABB9-C856-5645-AD94-2F70174A35BA}">
  <dimension ref="A1:M47"/>
  <sheetViews>
    <sheetView workbookViewId="0">
      <selection activeCell="D44" sqref="D44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4</v>
      </c>
      <c r="B2" s="3">
        <f>SUMIF(D:D, A2, E:E)</f>
        <v>0</v>
      </c>
      <c r="D2" s="1" t="s">
        <v>12</v>
      </c>
      <c r="E2" s="3">
        <f>100/90*B2</f>
        <v>0</v>
      </c>
      <c r="J2" s="1" t="s">
        <v>13</v>
      </c>
      <c r="K2" s="4">
        <f>12500/90</f>
        <v>138.88888888888889</v>
      </c>
      <c r="L2" s="1">
        <f>B2*K2</f>
        <v>0</v>
      </c>
    </row>
    <row r="3" spans="1:12" x14ac:dyDescent="0.2">
      <c r="A3" s="1" t="s">
        <v>23</v>
      </c>
      <c r="B3" s="3">
        <f>SUMIF(D:D, A3, E:E)</f>
        <v>0</v>
      </c>
      <c r="J3" s="1" t="s">
        <v>41</v>
      </c>
      <c r="K3" s="4">
        <v>10240</v>
      </c>
      <c r="L3" s="1">
        <f t="shared" ref="L3:L34" si="0">B3*K3</f>
        <v>0</v>
      </c>
    </row>
    <row r="4" spans="1:12" x14ac:dyDescent="0.2">
      <c r="A4" s="1" t="s">
        <v>24</v>
      </c>
      <c r="B4" s="3">
        <f>SUMIF(F:F, A4, G:G)</f>
        <v>0</v>
      </c>
      <c r="J4" s="1" t="s">
        <v>41</v>
      </c>
      <c r="K4" s="4">
        <v>8192</v>
      </c>
      <c r="L4" s="1">
        <f t="shared" si="0"/>
        <v>0</v>
      </c>
    </row>
    <row r="5" spans="1:12" x14ac:dyDescent="0.2">
      <c r="A5" s="1" t="s">
        <v>12</v>
      </c>
      <c r="B5" s="3">
        <f>SUMIF(D:D, A5, E:E)</f>
        <v>0</v>
      </c>
      <c r="J5" s="1" t="s">
        <v>41</v>
      </c>
      <c r="K5" s="4">
        <v>4096</v>
      </c>
      <c r="L5" s="1">
        <f t="shared" si="0"/>
        <v>0</v>
      </c>
    </row>
    <row r="6" spans="1:12" x14ac:dyDescent="0.2">
      <c r="A6" s="1" t="s">
        <v>19</v>
      </c>
      <c r="B6" s="3">
        <f>SUMIF(D:D, A6, E:E)</f>
        <v>0</v>
      </c>
      <c r="J6" s="1" t="s">
        <v>41</v>
      </c>
      <c r="K6" s="4">
        <v>1024</v>
      </c>
      <c r="L6" s="1">
        <f t="shared" si="0"/>
        <v>0</v>
      </c>
    </row>
    <row r="7" spans="1:12" x14ac:dyDescent="0.2">
      <c r="A7" s="1" t="s">
        <v>20</v>
      </c>
      <c r="B7" s="3">
        <f>SUMIF(F:F, A7, G:G)</f>
        <v>0</v>
      </c>
      <c r="J7" s="1" t="s">
        <v>41</v>
      </c>
      <c r="K7" s="4">
        <v>10240</v>
      </c>
      <c r="L7" s="1">
        <f t="shared" si="0"/>
        <v>0</v>
      </c>
    </row>
    <row r="8" spans="1:12" x14ac:dyDescent="0.2">
      <c r="A8" s="1" t="s">
        <v>32</v>
      </c>
      <c r="B8" s="3">
        <f>SUMIF(D:D, A8, E:E)</f>
        <v>0</v>
      </c>
      <c r="J8" s="1" t="s">
        <v>41</v>
      </c>
      <c r="K8" s="4">
        <v>1024</v>
      </c>
      <c r="L8" s="1">
        <f t="shared" si="0"/>
        <v>0</v>
      </c>
    </row>
    <row r="9" spans="1:12" x14ac:dyDescent="0.2">
      <c r="A9" s="1" t="s">
        <v>33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25</v>
      </c>
      <c r="B10" s="3">
        <f>SUMIF(H:H, A10, I:I)</f>
        <v>0</v>
      </c>
      <c r="J10" s="1" t="s">
        <v>41</v>
      </c>
      <c r="K10" s="4">
        <v>0.25</v>
      </c>
      <c r="L10" s="1">
        <f t="shared" si="0"/>
        <v>0</v>
      </c>
    </row>
    <row r="11" spans="1:12" x14ac:dyDescent="0.2">
      <c r="A11" s="1" t="s">
        <v>2</v>
      </c>
      <c r="B11" s="3">
        <f>SUMIF(D:D, A11, E:E)</f>
        <v>0</v>
      </c>
      <c r="D11" s="1" t="s">
        <v>1</v>
      </c>
      <c r="E11" s="3">
        <f>100/40*B11</f>
        <v>0</v>
      </c>
      <c r="J11" s="1" t="s">
        <v>31</v>
      </c>
      <c r="K11" s="4">
        <f>4096/40</f>
        <v>102.4</v>
      </c>
      <c r="L11" s="1">
        <f t="shared" si="0"/>
        <v>0</v>
      </c>
    </row>
    <row r="12" spans="1:12" x14ac:dyDescent="0.2">
      <c r="A12" s="1" t="s">
        <v>28</v>
      </c>
      <c r="B12" s="3">
        <f>SUMIF(F:F, A12, G:G)</f>
        <v>0</v>
      </c>
      <c r="D12" s="1" t="s">
        <v>5</v>
      </c>
      <c r="E12" s="3">
        <f>100/30*B12</f>
        <v>0</v>
      </c>
      <c r="J12" s="1" t="s">
        <v>31</v>
      </c>
      <c r="K12" s="4">
        <f>2000/30</f>
        <v>66.666666666666671</v>
      </c>
      <c r="L12" s="1">
        <f t="shared" si="0"/>
        <v>0</v>
      </c>
    </row>
    <row r="13" spans="1:12" x14ac:dyDescent="0.2">
      <c r="A13" s="1" t="s">
        <v>44</v>
      </c>
      <c r="B13" s="3">
        <f>SUMIF(D:D, A13, E:E)</f>
        <v>19531.25</v>
      </c>
      <c r="D13" s="1" t="s">
        <v>1</v>
      </c>
      <c r="E13" s="3">
        <f>100/45*B13</f>
        <v>43402.777777777781</v>
      </c>
      <c r="J13" s="1" t="s">
        <v>31</v>
      </c>
      <c r="K13" s="4">
        <f>4096/45</f>
        <v>91.022222222222226</v>
      </c>
      <c r="L13" s="1">
        <f t="shared" si="0"/>
        <v>1777777.7777777778</v>
      </c>
    </row>
    <row r="14" spans="1:12" x14ac:dyDescent="0.2">
      <c r="A14" s="1" t="s">
        <v>29</v>
      </c>
      <c r="B14" s="3">
        <f>SUMIF(F:F, A14, G:G)</f>
        <v>0</v>
      </c>
      <c r="D14" s="1" t="s">
        <v>33</v>
      </c>
      <c r="E14" s="3">
        <f>8/640*B14</f>
        <v>0</v>
      </c>
      <c r="J14" s="1" t="s">
        <v>30</v>
      </c>
      <c r="K14" s="4">
        <f>5120/640</f>
        <v>8</v>
      </c>
      <c r="L14" s="1">
        <f t="shared" si="0"/>
        <v>0</v>
      </c>
    </row>
    <row r="15" spans="1:12" x14ac:dyDescent="0.2">
      <c r="A15" s="1" t="s">
        <v>5</v>
      </c>
      <c r="B15" s="3"/>
      <c r="D15" s="1" t="s">
        <v>19</v>
      </c>
      <c r="E15" s="3">
        <f>20/1500*B15</f>
        <v>0</v>
      </c>
      <c r="F15" s="1" t="s">
        <v>20</v>
      </c>
      <c r="G15" s="4">
        <f>1/1500*B15</f>
        <v>0</v>
      </c>
      <c r="H15" s="1" t="s">
        <v>3</v>
      </c>
      <c r="I15" s="3">
        <f>1000/1500*B15</f>
        <v>0</v>
      </c>
      <c r="J15" s="1" t="s">
        <v>21</v>
      </c>
      <c r="K15" s="4">
        <f>4096/1500</f>
        <v>2.7306666666666666</v>
      </c>
      <c r="L15" s="1">
        <f>B15*K15</f>
        <v>0</v>
      </c>
    </row>
    <row r="16" spans="1:12" x14ac:dyDescent="0.2">
      <c r="A16" s="1" t="s">
        <v>5</v>
      </c>
      <c r="B16" s="3"/>
      <c r="D16" s="1" t="s">
        <v>19</v>
      </c>
      <c r="E16" s="3">
        <f>20/1500*B16</f>
        <v>0</v>
      </c>
      <c r="F16" s="1" t="s">
        <v>20</v>
      </c>
      <c r="G16" s="4">
        <f>1/1500*B16</f>
        <v>0</v>
      </c>
      <c r="H16" s="1" t="s">
        <v>22</v>
      </c>
      <c r="I16" s="3">
        <f>1000/1500*B16</f>
        <v>0</v>
      </c>
      <c r="J16" s="1" t="s">
        <v>21</v>
      </c>
      <c r="K16" s="4">
        <f>4096/1500</f>
        <v>2.7306666666666666</v>
      </c>
      <c r="L16" s="1">
        <f t="shared" si="0"/>
        <v>0</v>
      </c>
    </row>
    <row r="17" spans="1:12" x14ac:dyDescent="0.2">
      <c r="A17" s="1" t="s">
        <v>5</v>
      </c>
      <c r="B17" s="3">
        <f>$E$12</f>
        <v>0</v>
      </c>
      <c r="D17" s="1" t="s">
        <v>23</v>
      </c>
      <c r="E17" s="3">
        <f>5/1500*B17</f>
        <v>0</v>
      </c>
      <c r="F17" s="1" t="s">
        <v>20</v>
      </c>
      <c r="G17" s="4">
        <f>1/1500*B17</f>
        <v>0</v>
      </c>
      <c r="H17" s="1" t="s">
        <v>3</v>
      </c>
      <c r="I17" s="3">
        <f>1000/1500*B17</f>
        <v>0</v>
      </c>
      <c r="J17" s="1" t="s">
        <v>21</v>
      </c>
      <c r="K17" s="4">
        <f>4096/1500</f>
        <v>2.7306666666666666</v>
      </c>
      <c r="L17" s="1">
        <f t="shared" si="0"/>
        <v>0</v>
      </c>
    </row>
    <row r="18" spans="1:12" x14ac:dyDescent="0.2">
      <c r="A18" s="1" t="s">
        <v>5</v>
      </c>
      <c r="B18" s="3"/>
      <c r="D18" s="1" t="s">
        <v>23</v>
      </c>
      <c r="E18" s="3">
        <f>5/1500*B18</f>
        <v>0</v>
      </c>
      <c r="F18" s="1" t="s">
        <v>20</v>
      </c>
      <c r="G18" s="4">
        <f>1/1500*B18</f>
        <v>0</v>
      </c>
      <c r="H18" s="1" t="s">
        <v>22</v>
      </c>
      <c r="I18" s="3">
        <f>1000/1500*B18</f>
        <v>0</v>
      </c>
      <c r="J18" s="1" t="s">
        <v>21</v>
      </c>
      <c r="K18" s="4">
        <f>4096/1500</f>
        <v>2.7306666666666666</v>
      </c>
      <c r="L18" s="1">
        <f t="shared" si="0"/>
        <v>0</v>
      </c>
    </row>
    <row r="19" spans="1:12" x14ac:dyDescent="0.2">
      <c r="A19" s="1" t="s">
        <v>5</v>
      </c>
      <c r="B19" s="3"/>
      <c r="D19" s="1" t="s">
        <v>19</v>
      </c>
      <c r="E19" s="3">
        <f>16/1500*B19</f>
        <v>0</v>
      </c>
      <c r="F19" s="1" t="s">
        <v>24</v>
      </c>
      <c r="G19" s="4">
        <f>1/1500*B19</f>
        <v>0</v>
      </c>
      <c r="H19" s="1" t="s">
        <v>3</v>
      </c>
      <c r="I19" s="3">
        <f>1000/1500*B19</f>
        <v>0</v>
      </c>
      <c r="J19" s="1" t="s">
        <v>21</v>
      </c>
      <c r="K19" s="4">
        <f>4096/1500</f>
        <v>2.7306666666666666</v>
      </c>
      <c r="L19" s="1">
        <f t="shared" si="0"/>
        <v>0</v>
      </c>
    </row>
    <row r="20" spans="1:12" x14ac:dyDescent="0.2">
      <c r="A20" s="1" t="s">
        <v>5</v>
      </c>
      <c r="B20" s="3"/>
      <c r="D20" s="1" t="s">
        <v>19</v>
      </c>
      <c r="E20" s="3">
        <f>16/1500*B20</f>
        <v>0</v>
      </c>
      <c r="F20" s="1" t="s">
        <v>24</v>
      </c>
      <c r="G20" s="4">
        <f>1/1500*B20</f>
        <v>0</v>
      </c>
      <c r="H20" s="1" t="s">
        <v>22</v>
      </c>
      <c r="I20" s="3">
        <f>1000/1500*B20</f>
        <v>0</v>
      </c>
      <c r="J20" s="1" t="s">
        <v>21</v>
      </c>
      <c r="K20" s="4">
        <f>4096/1500</f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23</v>
      </c>
      <c r="E21" s="3">
        <f>4/1500*B21</f>
        <v>0</v>
      </c>
      <c r="F21" s="1" t="s">
        <v>24</v>
      </c>
      <c r="G21" s="4">
        <f>1/1500*B21</f>
        <v>0</v>
      </c>
      <c r="H21" s="1" t="s">
        <v>3</v>
      </c>
      <c r="I21" s="3">
        <f>1000/1500*B21</f>
        <v>0</v>
      </c>
      <c r="J21" s="1" t="s">
        <v>21</v>
      </c>
      <c r="K21" s="4">
        <f>4096/1500</f>
        <v>2.7306666666666666</v>
      </c>
      <c r="L21" s="1">
        <f t="shared" si="0"/>
        <v>0</v>
      </c>
    </row>
    <row r="22" spans="1:12" x14ac:dyDescent="0.2">
      <c r="A22" s="1" t="s">
        <v>5</v>
      </c>
      <c r="B22" s="3"/>
      <c r="D22" s="1" t="s">
        <v>23</v>
      </c>
      <c r="E22" s="3">
        <f>4/1500*B22</f>
        <v>0</v>
      </c>
      <c r="F22" s="1" t="s">
        <v>24</v>
      </c>
      <c r="G22" s="4">
        <f>1/1500*B22</f>
        <v>0</v>
      </c>
      <c r="H22" s="1" t="s">
        <v>22</v>
      </c>
      <c r="I22" s="3">
        <f>1000/1500*B22</f>
        <v>0</v>
      </c>
      <c r="J22" s="1" t="s">
        <v>21</v>
      </c>
      <c r="K22" s="4">
        <f>4096/1500</f>
        <v>2.7306666666666666</v>
      </c>
      <c r="L22" s="1">
        <f>B22*K22</f>
        <v>0</v>
      </c>
    </row>
    <row r="23" spans="1:12" x14ac:dyDescent="0.2">
      <c r="A23" s="1" t="s">
        <v>5</v>
      </c>
      <c r="B23" s="3"/>
      <c r="D23" s="1" t="s">
        <v>19</v>
      </c>
      <c r="E23" s="3">
        <f>40/1500*B23</f>
        <v>0</v>
      </c>
      <c r="F23" s="1" t="s">
        <v>20</v>
      </c>
      <c r="G23" s="4">
        <f>1/1500*B23</f>
        <v>0</v>
      </c>
      <c r="H23" s="1" t="s">
        <v>25</v>
      </c>
      <c r="I23" s="3">
        <f>1000/1500*B23</f>
        <v>0</v>
      </c>
      <c r="J23" s="1" t="s">
        <v>21</v>
      </c>
      <c r="K23" s="4">
        <f>4096/1500</f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10/1500*B24</f>
        <v>0</v>
      </c>
      <c r="F24" s="1" t="s">
        <v>20</v>
      </c>
      <c r="G24" s="4">
        <f>1/1500*B24</f>
        <v>0</v>
      </c>
      <c r="H24" s="1" t="s">
        <v>25</v>
      </c>
      <c r="I24" s="3">
        <f>1000/1500*B24</f>
        <v>0</v>
      </c>
      <c r="J24" s="1" t="s">
        <v>21</v>
      </c>
      <c r="K24" s="4">
        <f>4096/1500</f>
        <v>2.7306666666666666</v>
      </c>
      <c r="L24" s="1">
        <f t="shared" si="0"/>
        <v>0</v>
      </c>
    </row>
    <row r="25" spans="1:12" x14ac:dyDescent="0.2">
      <c r="A25" s="1" t="s">
        <v>5</v>
      </c>
      <c r="B25" s="3"/>
      <c r="D25" s="1" t="s">
        <v>19</v>
      </c>
      <c r="E25" s="3">
        <f>32/1500*B25</f>
        <v>0</v>
      </c>
      <c r="F25" s="1" t="s">
        <v>24</v>
      </c>
      <c r="G25" s="4">
        <f>1/1500*B25</f>
        <v>0</v>
      </c>
      <c r="H25" s="1" t="s">
        <v>25</v>
      </c>
      <c r="I25" s="3">
        <f>1000/1500*B25</f>
        <v>0</v>
      </c>
      <c r="J25" s="1" t="s">
        <v>21</v>
      </c>
      <c r="K25" s="4">
        <f>4096/1500</f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8/1500*B26</f>
        <v>0</v>
      </c>
      <c r="F26" s="1" t="s">
        <v>24</v>
      </c>
      <c r="G26" s="4">
        <f>1/1500*B26</f>
        <v>0</v>
      </c>
      <c r="H26" s="1" t="s">
        <v>25</v>
      </c>
      <c r="I26" s="3">
        <f>1000/1500*B26</f>
        <v>0</v>
      </c>
      <c r="J26" s="1" t="s">
        <v>21</v>
      </c>
      <c r="K26" s="4">
        <f>4096/1500</f>
        <v>2.7306666666666666</v>
      </c>
      <c r="L26" s="1">
        <f t="shared" si="0"/>
        <v>0</v>
      </c>
    </row>
    <row r="27" spans="1:12" x14ac:dyDescent="0.2">
      <c r="A27" s="1" t="s">
        <v>1</v>
      </c>
      <c r="B27" s="3"/>
      <c r="J27" s="1" t="s">
        <v>48</v>
      </c>
      <c r="K27" s="4">
        <f>1024/6</f>
        <v>170.66666666666666</v>
      </c>
      <c r="L27" s="1">
        <f t="shared" si="0"/>
        <v>0</v>
      </c>
    </row>
    <row r="28" spans="1:12" x14ac:dyDescent="0.2">
      <c r="A28" s="1" t="s">
        <v>1</v>
      </c>
      <c r="B28" s="3">
        <f>SUMIF(D:D, A28, E:E)</f>
        <v>43402.777777777781</v>
      </c>
      <c r="J28" s="1" t="s">
        <v>47</v>
      </c>
      <c r="K28" s="4">
        <f>1024/15</f>
        <v>68.266666666666666</v>
      </c>
      <c r="L28" s="1">
        <f t="shared" si="0"/>
        <v>2962962.9629629632</v>
      </c>
    </row>
    <row r="29" spans="1:12" x14ac:dyDescent="0.2">
      <c r="A29" s="1" t="s">
        <v>0</v>
      </c>
      <c r="B29" s="3">
        <f>E36</f>
        <v>0</v>
      </c>
      <c r="D29" s="1" t="s">
        <v>6</v>
      </c>
      <c r="E29" s="3">
        <f>50/100*B29</f>
        <v>0</v>
      </c>
      <c r="F29" s="1" t="s">
        <v>28</v>
      </c>
      <c r="G29" s="4">
        <f>50/100*B29</f>
        <v>0</v>
      </c>
      <c r="J29" s="1" t="s">
        <v>34</v>
      </c>
      <c r="K29" s="4">
        <f>500/100</f>
        <v>5</v>
      </c>
      <c r="L29" s="1">
        <f t="shared" si="0"/>
        <v>0</v>
      </c>
    </row>
    <row r="30" spans="1:12" x14ac:dyDescent="0.2">
      <c r="A30" s="1" t="s">
        <v>0</v>
      </c>
      <c r="B30" s="3"/>
      <c r="D30" s="1" t="s">
        <v>6</v>
      </c>
      <c r="E30" s="3">
        <f>50/100*B30</f>
        <v>0</v>
      </c>
      <c r="F30" s="1" t="s">
        <v>29</v>
      </c>
      <c r="G30" s="4">
        <f>50/100*B30</f>
        <v>0</v>
      </c>
      <c r="J30" s="1" t="s">
        <v>34</v>
      </c>
      <c r="K30" s="4">
        <f>500/100</f>
        <v>5</v>
      </c>
      <c r="L30" s="1">
        <f t="shared" si="0"/>
        <v>0</v>
      </c>
    </row>
    <row r="31" spans="1:12" x14ac:dyDescent="0.2">
      <c r="A31" s="1" t="s">
        <v>3</v>
      </c>
      <c r="B31" s="3">
        <f>SUMIF(H:H,A31,I:I)</f>
        <v>0</v>
      </c>
      <c r="D31" s="1" t="s">
        <v>4</v>
      </c>
      <c r="E31" s="3">
        <f>20/2000*B31</f>
        <v>0</v>
      </c>
      <c r="J31" s="1" t="s">
        <v>14</v>
      </c>
      <c r="K31" s="4">
        <f>51200/2000</f>
        <v>25.6</v>
      </c>
      <c r="L31" s="1">
        <f t="shared" si="0"/>
        <v>0</v>
      </c>
    </row>
    <row r="32" spans="1:12" x14ac:dyDescent="0.2">
      <c r="A32" s="1" t="s">
        <v>22</v>
      </c>
      <c r="B32" s="3"/>
      <c r="D32" s="1" t="s">
        <v>26</v>
      </c>
      <c r="E32" s="3">
        <f>20/4000*B32</f>
        <v>0</v>
      </c>
      <c r="J32" s="1" t="s">
        <v>14</v>
      </c>
      <c r="K32" s="4">
        <f>64000/4000</f>
        <v>16</v>
      </c>
      <c r="L32" s="1">
        <f t="shared" si="0"/>
        <v>0</v>
      </c>
    </row>
    <row r="33" spans="1:12" x14ac:dyDescent="0.2">
      <c r="A33" s="1" t="s">
        <v>22</v>
      </c>
      <c r="B33" s="3"/>
      <c r="D33" s="1" t="s">
        <v>27</v>
      </c>
      <c r="E33" s="3">
        <f>1/350*B33</f>
        <v>0</v>
      </c>
      <c r="J33" s="1" t="s">
        <v>14</v>
      </c>
      <c r="K33" s="4">
        <f>256/350</f>
        <v>0.73142857142857143</v>
      </c>
      <c r="L33" s="1">
        <f t="shared" si="0"/>
        <v>0</v>
      </c>
    </row>
    <row r="34" spans="1:12" x14ac:dyDescent="0.2">
      <c r="A34" s="1" t="s">
        <v>6</v>
      </c>
      <c r="B34" s="3">
        <f>SUMIF(D:D, A34, E:E)</f>
        <v>0</v>
      </c>
      <c r="D34" s="1" t="s">
        <v>32</v>
      </c>
      <c r="E34" s="3">
        <f>8/512*B34</f>
        <v>0</v>
      </c>
      <c r="J34" s="1" t="s">
        <v>14</v>
      </c>
      <c r="K34" s="4">
        <f>51200/512</f>
        <v>100</v>
      </c>
      <c r="L34" s="1">
        <f t="shared" si="0"/>
        <v>0</v>
      </c>
    </row>
    <row r="36" spans="1:12" x14ac:dyDescent="0.2">
      <c r="A36" s="1" t="s">
        <v>35</v>
      </c>
      <c r="D36" s="1" t="s">
        <v>0</v>
      </c>
      <c r="E36" s="3">
        <f>1000/512000*B36</f>
        <v>0</v>
      </c>
      <c r="J36" s="1" t="s">
        <v>36</v>
      </c>
    </row>
    <row r="37" spans="1:12" x14ac:dyDescent="0.2">
      <c r="A37" s="1" t="s">
        <v>35</v>
      </c>
      <c r="D37" s="1" t="s">
        <v>2</v>
      </c>
      <c r="E37" s="3">
        <f>1000/512000*B37</f>
        <v>0</v>
      </c>
      <c r="J37" s="1" t="s">
        <v>36</v>
      </c>
    </row>
    <row r="38" spans="1:12" x14ac:dyDescent="0.2">
      <c r="A38" s="1" t="s">
        <v>35</v>
      </c>
      <c r="B38" s="1">
        <v>1000000</v>
      </c>
      <c r="D38" s="1" t="s">
        <v>44</v>
      </c>
      <c r="E38" s="3">
        <f>5/256*B38</f>
        <v>19531.25</v>
      </c>
      <c r="J38" s="1" t="s">
        <v>45</v>
      </c>
    </row>
    <row r="44" spans="1:12" x14ac:dyDescent="0.2">
      <c r="A44" s="1" t="s">
        <v>37</v>
      </c>
      <c r="B44" s="1">
        <f>SUM(B36:B38)</f>
        <v>1000000</v>
      </c>
    </row>
    <row r="45" spans="1:12" x14ac:dyDescent="0.2">
      <c r="A45" s="1" t="s">
        <v>38</v>
      </c>
      <c r="B45" s="1">
        <f>SUM(L:L)</f>
        <v>4740740.7407407407</v>
      </c>
    </row>
    <row r="46" spans="1:12" x14ac:dyDescent="0.2">
      <c r="A46" s="1" t="s">
        <v>39</v>
      </c>
      <c r="B46" s="1">
        <f>B44-B45</f>
        <v>-3740740.7407407407</v>
      </c>
    </row>
    <row r="47" spans="1:12" x14ac:dyDescent="0.2">
      <c r="A47" s="1" t="s">
        <v>40</v>
      </c>
      <c r="B47" s="2">
        <f>B46/B44</f>
        <v>-3.7407407407407405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</vt:lpstr>
      <vt:lpstr>ie biodiesel (86%)</vt:lpstr>
      <vt:lpstr>forestry best (75%)</vt:lpstr>
      <vt:lpstr>diesel + gas (58%)</vt:lpstr>
      <vt:lpstr>forestry worst (51%)</vt:lpstr>
      <vt:lpstr>diesel (47%)</vt:lpstr>
      <vt:lpstr>diesel + gas residual (8%)</vt:lpstr>
      <vt:lpstr>diesel residual (-3%)</vt:lpstr>
      <vt:lpstr>gasoline best (-374%)</vt:lpstr>
      <vt:lpstr>gasoline worst (-819%)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2021-02-14T18:28:11Z</dcterms:created>
  <dcterms:modified xsi:type="dcterms:W3CDTF">2021-02-16T19:55:50Z</dcterms:modified>
</cp:coreProperties>
</file>