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iner/Documents/curseforge/minecraft/Instances/brunel-3/assets/"/>
    </mc:Choice>
  </mc:AlternateContent>
  <xr:revisionPtr revIDLastSave="0" documentId="13_ncr:1_{57599D76-53BE-494D-97CA-57431953A1B2}" xr6:coauthVersionLast="46" xr6:coauthVersionMax="46" xr10:uidLastSave="{00000000-0000-0000-0000-000000000000}"/>
  <bookViews>
    <workbookView xWindow="0" yWindow="0" windowWidth="25600" windowHeight="16000" xr2:uid="{7AE51FE2-D37D-804E-BEE6-C97F5A6C5473}"/>
  </bookViews>
  <sheets>
    <sheet name="worksheet" sheetId="1" r:id="rId1"/>
    <sheet name="results" sheetId="16" r:id="rId2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15" i="1"/>
  <c r="E39" i="1"/>
  <c r="I28" i="1"/>
  <c r="I27" i="1"/>
  <c r="I26" i="1"/>
  <c r="I25" i="1"/>
  <c r="I24" i="1"/>
  <c r="I23" i="1"/>
  <c r="I21" i="1"/>
  <c r="I20" i="1"/>
  <c r="I19" i="1"/>
  <c r="I18" i="1"/>
  <c r="I17" i="1"/>
  <c r="G28" i="1"/>
  <c r="G27" i="1"/>
  <c r="G26" i="1"/>
  <c r="G25" i="1"/>
  <c r="G24" i="1"/>
  <c r="G23" i="1"/>
  <c r="G21" i="1"/>
  <c r="G20" i="1"/>
  <c r="G19" i="1"/>
  <c r="G18" i="1"/>
  <c r="G17" i="1"/>
  <c r="E28" i="1"/>
  <c r="E27" i="1"/>
  <c r="E26" i="1"/>
  <c r="E25" i="1"/>
  <c r="E24" i="1"/>
  <c r="E23" i="1"/>
  <c r="E21" i="1"/>
  <c r="E20" i="1"/>
  <c r="E19" i="1"/>
  <c r="E18" i="1"/>
  <c r="E17" i="1"/>
  <c r="E34" i="1"/>
  <c r="L29" i="1"/>
  <c r="K13" i="1"/>
  <c r="B46" i="1"/>
  <c r="E40" i="1"/>
  <c r="K32" i="1"/>
  <c r="K28" i="1"/>
  <c r="K27" i="1"/>
  <c r="K26" i="1"/>
  <c r="K25" i="1"/>
  <c r="K24" i="1"/>
  <c r="K23" i="1"/>
  <c r="K22" i="1"/>
  <c r="K21" i="1"/>
  <c r="K20" i="1"/>
  <c r="K19" i="1"/>
  <c r="K18" i="1"/>
  <c r="K17" i="1"/>
  <c r="K33" i="1"/>
  <c r="K3" i="1"/>
  <c r="B12" i="1"/>
  <c r="L12" i="1" s="1"/>
  <c r="E38" i="1"/>
  <c r="G31" i="1" l="1"/>
  <c r="E31" i="1"/>
  <c r="B36" i="1" s="1"/>
  <c r="E36" i="1" s="1"/>
  <c r="E12" i="1"/>
  <c r="B30" i="1" s="1"/>
  <c r="L13" i="1"/>
  <c r="L32" i="1"/>
  <c r="L15" i="1"/>
  <c r="L31" i="1"/>
  <c r="G32" i="1"/>
  <c r="B16" i="1" s="1"/>
  <c r="E16" i="1" s="1"/>
  <c r="E32" i="1"/>
  <c r="E15" i="1" l="1"/>
  <c r="B14" i="1" l="1"/>
  <c r="E14" i="1" s="1"/>
  <c r="L30" i="1"/>
  <c r="L36" i="1"/>
  <c r="B9" i="1"/>
  <c r="L9" i="1" s="1"/>
  <c r="L14" i="1" l="1"/>
  <c r="B22" i="1"/>
  <c r="I22" i="1" s="1"/>
  <c r="L24" i="1"/>
  <c r="L17" i="1"/>
  <c r="B33" i="1"/>
  <c r="L18" i="1"/>
  <c r="L23" i="1"/>
  <c r="L25" i="1"/>
  <c r="L19" i="1"/>
  <c r="L20" i="1"/>
  <c r="L26" i="1"/>
  <c r="L21" i="1"/>
  <c r="L28" i="1"/>
  <c r="L27" i="1"/>
  <c r="E22" i="1" l="1"/>
  <c r="B7" i="1" s="1"/>
  <c r="L7" i="1" s="1"/>
  <c r="G22" i="1"/>
  <c r="B5" i="1" s="1"/>
  <c r="L5" i="1" s="1"/>
  <c r="B35" i="1"/>
  <c r="E35" i="1" s="1"/>
  <c r="B2" i="1" s="1"/>
  <c r="L22" i="1"/>
  <c r="B8" i="1"/>
  <c r="L8" i="1" s="1"/>
  <c r="B4" i="1"/>
  <c r="L4" i="1" s="1"/>
  <c r="B11" i="1"/>
  <c r="L11" i="1" s="1"/>
  <c r="L16" i="1"/>
  <c r="B10" i="1"/>
  <c r="L10" i="1" s="1"/>
  <c r="L35" i="1" l="1"/>
  <c r="L34" i="1"/>
  <c r="L2" i="1"/>
  <c r="L33" i="1"/>
  <c r="E33" i="1"/>
  <c r="B3" i="1" s="1"/>
  <c r="L3" i="1" l="1"/>
  <c r="E3" i="1"/>
  <c r="B6" i="1" s="1"/>
  <c r="L6" i="1" s="1"/>
  <c r="B47" i="1" l="1"/>
  <c r="B48" i="1" s="1"/>
  <c r="B49" i="1" s="1"/>
</calcChain>
</file>

<file path=xl/sharedStrings.xml><?xml version="1.0" encoding="utf-8"?>
<sst xmlns="http://schemas.openxmlformats.org/spreadsheetml/2006/main" count="150" uniqueCount="55">
  <si>
    <t>biodiesel</t>
  </si>
  <si>
    <t>crude oil</t>
  </si>
  <si>
    <t>diesel</t>
  </si>
  <si>
    <t>honey</t>
  </si>
  <si>
    <t>honey drop</t>
  </si>
  <si>
    <t>biomass</t>
  </si>
  <si>
    <t>plant oil</t>
  </si>
  <si>
    <t>input 1</t>
  </si>
  <si>
    <t>input 2</t>
  </si>
  <si>
    <t>input 3</t>
  </si>
  <si>
    <t>machine</t>
  </si>
  <si>
    <t>output</t>
  </si>
  <si>
    <t>honeycomb</t>
  </si>
  <si>
    <t>centrifuge</t>
  </si>
  <si>
    <t>squeezer</t>
  </si>
  <si>
    <t>qty 1</t>
  </si>
  <si>
    <t>qty 2</t>
  </si>
  <si>
    <t>qty 3</t>
  </si>
  <si>
    <t>qty out</t>
  </si>
  <si>
    <t>low yield bio solids</t>
  </si>
  <si>
    <t>low yield fert.</t>
  </si>
  <si>
    <t>mixer</t>
  </si>
  <si>
    <t>juice</t>
  </si>
  <si>
    <t>high yield bio solids</t>
  </si>
  <si>
    <t>high yield fert.</t>
  </si>
  <si>
    <t>water</t>
  </si>
  <si>
    <t>fruit</t>
  </si>
  <si>
    <t>juice item</t>
  </si>
  <si>
    <t>for.ethanol</t>
  </si>
  <si>
    <t>ie.ethanol</t>
  </si>
  <si>
    <t>fermenter</t>
  </si>
  <si>
    <t>distiller</t>
  </si>
  <si>
    <t>oily plant matter</t>
  </si>
  <si>
    <t>sugary bio matter</t>
  </si>
  <si>
    <t>refinery</t>
  </si>
  <si>
    <t>RF power</t>
  </si>
  <si>
    <t>diesel generator</t>
  </si>
  <si>
    <t>gross power</t>
  </si>
  <si>
    <t>power cost</t>
  </si>
  <si>
    <t>net power</t>
  </si>
  <si>
    <t>efficiency</t>
  </si>
  <si>
    <t>collect</t>
  </si>
  <si>
    <t>total rf</t>
  </si>
  <si>
    <t>rf / output</t>
  </si>
  <si>
    <t>gasoline</t>
  </si>
  <si>
    <t>portable generator</t>
  </si>
  <si>
    <t>diesel excess gas.</t>
  </si>
  <si>
    <t>Pipeline</t>
  </si>
  <si>
    <t>Forestry Biodiesel (best)</t>
  </si>
  <si>
    <t>I.E. Biodiesel</t>
  </si>
  <si>
    <t>Forestry Biodiesel (worst)</t>
  </si>
  <si>
    <t>Diesel (residual)</t>
  </si>
  <si>
    <t>Diesel Only (full)</t>
  </si>
  <si>
    <t>Diesel + Gasoline (full)</t>
  </si>
  <si>
    <t>pumpjack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</si>
</sst>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6"/>
      <color theme="1"/>
      <name val="Lucida Sans"/>
      <family val="2"/>
    </font>
    <font>
      <sz val="16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9" fontId="0" fillId="0" borderId="0" xfId="2" applyFont="1"/>
    <xf numFmtId="43" fontId="0" fillId="0" borderId="0" xfId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D62C-4FBD-C147-A71B-DF9E27B49908}">
  <dimension ref="A1:M49"/>
  <sheetViews>
    <sheetView tabSelected="1" topLeftCell="A30" workbookViewId="0">
      <selection activeCell="E16" sqref="E16"/>
    </sheetView>
  </sheetViews>
  <sheetFormatPr baseColWidth="10" defaultRowHeight="20" x14ac:dyDescent="0.2"/>
  <cols>
    <col min="1" max="1" width="17.09765625" style="1" customWidth="1"/>
    <col min="2" max="2" width="11.09765625" style="1" customWidth="1"/>
    <col min="3" max="3" width="1.5" style="1" customWidth="1"/>
    <col min="4" max="4" width="18.69921875" style="1" customWidth="1"/>
    <col min="5" max="5" width="9.69921875" style="3" customWidth="1"/>
    <col min="6" max="6" width="13.796875" style="1" customWidth="1"/>
    <col min="7" max="7" width="7.796875" style="4" customWidth="1"/>
    <col min="8" max="8" width="7.796875" style="1" customWidth="1"/>
    <col min="9" max="9" width="9.59765625" style="3" customWidth="1"/>
    <col min="10" max="10" width="17.3984375" style="1" customWidth="1"/>
    <col min="11" max="11" width="10.8984375" style="4" bestFit="1" customWidth="1"/>
    <col min="12" max="12" width="9.8984375" style="1" customWidth="1"/>
    <col min="14" max="14" width="11.8984375" style="1" customWidth="1"/>
    <col min="15" max="16384" width="10.69921875" style="1"/>
  </cols>
  <sheetData>
    <row r="1" spans="1:12" x14ac:dyDescent="0.2">
      <c r="A1" s="1" t="s">
        <v>11</v>
      </c>
      <c r="B1" s="1" t="s">
        <v>18</v>
      </c>
      <c r="D1" s="1" t="s">
        <v>7</v>
      </c>
      <c r="E1" s="3" t="s">
        <v>15</v>
      </c>
      <c r="F1" s="1" t="s">
        <v>8</v>
      </c>
      <c r="G1" s="4" t="s">
        <v>16</v>
      </c>
      <c r="H1" s="1" t="s">
        <v>9</v>
      </c>
      <c r="I1" s="3" t="s">
        <v>17</v>
      </c>
      <c r="J1" s="1" t="s">
        <v>10</v>
      </c>
      <c r="K1" s="4" t="s">
        <v>43</v>
      </c>
      <c r="L1" s="1" t="s">
        <v>42</v>
      </c>
    </row>
    <row r="2" spans="1:12" x14ac:dyDescent="0.2">
      <c r="A2" s="1" t="s">
        <v>26</v>
      </c>
      <c r="B2" s="1">
        <f>2*E35</f>
        <v>0</v>
      </c>
      <c r="J2" s="1" t="s">
        <v>41</v>
      </c>
      <c r="K2" s="4">
        <v>1024</v>
      </c>
      <c r="L2" s="1">
        <f t="shared" ref="L2:L36" si="0">B2*K2</f>
        <v>0</v>
      </c>
    </row>
    <row r="3" spans="1:12" x14ac:dyDescent="0.2">
      <c r="A3" s="1" t="s">
        <v>4</v>
      </c>
      <c r="B3" s="3">
        <f>SUMIF(D:D, A3, E:E)</f>
        <v>0</v>
      </c>
      <c r="D3" s="1" t="s">
        <v>12</v>
      </c>
      <c r="E3" s="3">
        <f>100/90*B3</f>
        <v>0</v>
      </c>
      <c r="J3" s="1" t="s">
        <v>13</v>
      </c>
      <c r="K3" s="4">
        <f>12500/90</f>
        <v>138.88888888888889</v>
      </c>
      <c r="L3" s="1">
        <f>B3*K3</f>
        <v>0</v>
      </c>
    </row>
    <row r="4" spans="1:12" x14ac:dyDescent="0.2">
      <c r="A4" s="1" t="s">
        <v>23</v>
      </c>
      <c r="B4" s="3">
        <f>SUMIF(D:D, A4, E:E)</f>
        <v>0</v>
      </c>
      <c r="J4" s="1" t="s">
        <v>41</v>
      </c>
      <c r="K4" s="4">
        <v>10240</v>
      </c>
      <c r="L4" s="1">
        <f t="shared" si="0"/>
        <v>0</v>
      </c>
    </row>
    <row r="5" spans="1:12" x14ac:dyDescent="0.2">
      <c r="A5" s="1" t="s">
        <v>24</v>
      </c>
      <c r="B5" s="3">
        <f>SUMIF(F:F, A5, G:G)</f>
        <v>0</v>
      </c>
      <c r="J5" s="1" t="s">
        <v>41</v>
      </c>
      <c r="K5" s="4">
        <v>8192</v>
      </c>
      <c r="L5" s="1">
        <f t="shared" si="0"/>
        <v>0</v>
      </c>
    </row>
    <row r="6" spans="1:12" x14ac:dyDescent="0.2">
      <c r="A6" s="1" t="s">
        <v>12</v>
      </c>
      <c r="B6" s="3">
        <f>SUMIF(D:D, A6, E:E)</f>
        <v>0</v>
      </c>
      <c r="J6" s="1" t="s">
        <v>41</v>
      </c>
      <c r="K6" s="4">
        <v>4096</v>
      </c>
      <c r="L6" s="1">
        <f t="shared" si="0"/>
        <v>0</v>
      </c>
    </row>
    <row r="7" spans="1:12" x14ac:dyDescent="0.2">
      <c r="A7" s="1" t="s">
        <v>19</v>
      </c>
      <c r="B7" s="3">
        <f>SUMIF(D:D, A7, E:E)</f>
        <v>0</v>
      </c>
      <c r="J7" s="1" t="s">
        <v>41</v>
      </c>
      <c r="K7" s="4">
        <v>256</v>
      </c>
      <c r="L7" s="1">
        <f t="shared" si="0"/>
        <v>0</v>
      </c>
    </row>
    <row r="8" spans="1:12" x14ac:dyDescent="0.2">
      <c r="A8" s="1" t="s">
        <v>20</v>
      </c>
      <c r="B8" s="3">
        <f>SUMIF(F:F, A8, G:G)</f>
        <v>0</v>
      </c>
      <c r="J8" s="1" t="s">
        <v>41</v>
      </c>
      <c r="K8" s="4">
        <v>10240</v>
      </c>
      <c r="L8" s="1">
        <f t="shared" si="0"/>
        <v>0</v>
      </c>
    </row>
    <row r="9" spans="1:12" x14ac:dyDescent="0.2">
      <c r="A9" s="1" t="s">
        <v>32</v>
      </c>
      <c r="B9" s="3">
        <f>SUMIF(D:D, A9, E:E)</f>
        <v>0</v>
      </c>
      <c r="J9" s="1" t="s">
        <v>41</v>
      </c>
      <c r="K9" s="4">
        <v>1024</v>
      </c>
      <c r="L9" s="1">
        <f t="shared" si="0"/>
        <v>0</v>
      </c>
    </row>
    <row r="10" spans="1:12" x14ac:dyDescent="0.2">
      <c r="A10" s="1" t="s">
        <v>33</v>
      </c>
      <c r="B10" s="3">
        <f>SUMIF(D:D, A10, E:E)</f>
        <v>488.28125</v>
      </c>
      <c r="J10" s="1" t="s">
        <v>41</v>
      </c>
      <c r="K10" s="4">
        <v>512</v>
      </c>
      <c r="L10" s="1">
        <f t="shared" si="0"/>
        <v>250000</v>
      </c>
    </row>
    <row r="11" spans="1:12" x14ac:dyDescent="0.2">
      <c r="A11" s="1" t="s">
        <v>25</v>
      </c>
      <c r="B11" s="3">
        <f>SUMIF(H:H, A11, I:I)</f>
        <v>0</v>
      </c>
      <c r="J11" s="1" t="s">
        <v>41</v>
      </c>
      <c r="K11" s="4">
        <v>0.25</v>
      </c>
      <c r="L11" s="1">
        <f t="shared" si="0"/>
        <v>0</v>
      </c>
    </row>
    <row r="12" spans="1:12" x14ac:dyDescent="0.2">
      <c r="A12" s="1" t="s">
        <v>2</v>
      </c>
      <c r="B12" s="3">
        <f>SUMIF(D:D, A12, E:E)</f>
        <v>0</v>
      </c>
      <c r="D12" s="1" t="s">
        <v>1</v>
      </c>
      <c r="E12" s="3">
        <f>1000/400*B12</f>
        <v>0</v>
      </c>
      <c r="J12" s="1" t="s">
        <v>31</v>
      </c>
      <c r="K12" s="4">
        <v>115.2</v>
      </c>
      <c r="L12" s="1">
        <f t="shared" si="0"/>
        <v>0</v>
      </c>
    </row>
    <row r="13" spans="1:12" x14ac:dyDescent="0.2">
      <c r="A13" s="1" t="s">
        <v>46</v>
      </c>
      <c r="B13" s="3"/>
      <c r="J13" s="1" t="s">
        <v>45</v>
      </c>
      <c r="K13" s="4">
        <f>-(256/5)</f>
        <v>-51.2</v>
      </c>
      <c r="L13" s="1">
        <f t="shared" si="0"/>
        <v>0</v>
      </c>
    </row>
    <row r="14" spans="1:12" x14ac:dyDescent="0.2">
      <c r="A14" s="1" t="s">
        <v>28</v>
      </c>
      <c r="B14" s="3">
        <f>SUMIF(F:F, A14, G:G)</f>
        <v>0</v>
      </c>
      <c r="D14" s="1" t="s">
        <v>5</v>
      </c>
      <c r="E14" s="3">
        <f>1000/800*B14</f>
        <v>0</v>
      </c>
      <c r="J14" s="1" t="s">
        <v>31</v>
      </c>
      <c r="K14" s="4">
        <v>57.6</v>
      </c>
      <c r="L14" s="1">
        <f t="shared" si="0"/>
        <v>0</v>
      </c>
    </row>
    <row r="15" spans="1:12" x14ac:dyDescent="0.2">
      <c r="A15" s="1" t="s">
        <v>44</v>
      </c>
      <c r="B15" s="3">
        <f>SUMIF(D:D, A15, E:E)</f>
        <v>0</v>
      </c>
      <c r="D15" s="1" t="s">
        <v>1</v>
      </c>
      <c r="E15" s="3">
        <f>100/45*B15</f>
        <v>0</v>
      </c>
      <c r="J15" s="1" t="s">
        <v>31</v>
      </c>
      <c r="K15" s="4">
        <v>115.2</v>
      </c>
      <c r="L15" s="1">
        <f t="shared" si="0"/>
        <v>0</v>
      </c>
    </row>
    <row r="16" spans="1:12" x14ac:dyDescent="0.2">
      <c r="A16" s="1" t="s">
        <v>29</v>
      </c>
      <c r="B16" s="3">
        <f>SUMIF(F:F, A16, G:G)</f>
        <v>976.5625</v>
      </c>
      <c r="D16" s="1" t="s">
        <v>33</v>
      </c>
      <c r="E16" s="3">
        <f>1/2*B16</f>
        <v>488.28125</v>
      </c>
      <c r="J16" s="1" t="s">
        <v>30</v>
      </c>
      <c r="K16" s="4">
        <v>128</v>
      </c>
      <c r="L16" s="1">
        <f t="shared" si="0"/>
        <v>125000</v>
      </c>
    </row>
    <row r="17" spans="1:12" x14ac:dyDescent="0.2">
      <c r="A17" s="1" t="s">
        <v>5</v>
      </c>
      <c r="B17" s="3"/>
      <c r="D17" s="1" t="s">
        <v>19</v>
      </c>
      <c r="E17" s="3">
        <f>20/2000*B17</f>
        <v>0</v>
      </c>
      <c r="F17" s="1" t="s">
        <v>20</v>
      </c>
      <c r="G17" s="4">
        <f>1/2000*B17</f>
        <v>0</v>
      </c>
      <c r="H17" s="1" t="s">
        <v>3</v>
      </c>
      <c r="I17" s="3">
        <f>1000/2000*B17</f>
        <v>0</v>
      </c>
      <c r="J17" s="1" t="s">
        <v>21</v>
      </c>
      <c r="K17" s="4">
        <f t="shared" ref="K17:K28" si="1">4096/1500</f>
        <v>2.7306666666666666</v>
      </c>
      <c r="L17" s="1">
        <f>B17*K17</f>
        <v>0</v>
      </c>
    </row>
    <row r="18" spans="1:12" x14ac:dyDescent="0.2">
      <c r="A18" s="1" t="s">
        <v>5</v>
      </c>
      <c r="B18" s="3"/>
      <c r="D18" s="1" t="s">
        <v>19</v>
      </c>
      <c r="E18" s="3">
        <f>20/2000*B18</f>
        <v>0</v>
      </c>
      <c r="F18" s="1" t="s">
        <v>20</v>
      </c>
      <c r="G18" s="4">
        <f>1/2000*B18</f>
        <v>0</v>
      </c>
      <c r="H18" s="1" t="s">
        <v>22</v>
      </c>
      <c r="I18" s="3">
        <f>1000/2000*B18</f>
        <v>0</v>
      </c>
      <c r="J18" s="1" t="s">
        <v>21</v>
      </c>
      <c r="K18" s="4">
        <f t="shared" si="1"/>
        <v>2.7306666666666666</v>
      </c>
      <c r="L18" s="1">
        <f>B18*K18</f>
        <v>0</v>
      </c>
    </row>
    <row r="19" spans="1:12" x14ac:dyDescent="0.2">
      <c r="A19" s="1" t="s">
        <v>5</v>
      </c>
      <c r="B19" s="3"/>
      <c r="D19" s="1" t="s">
        <v>23</v>
      </c>
      <c r="E19" s="3">
        <f>5/2000*B19</f>
        <v>0</v>
      </c>
      <c r="F19" s="1" t="s">
        <v>20</v>
      </c>
      <c r="G19" s="4">
        <f>1/2000*B19</f>
        <v>0</v>
      </c>
      <c r="H19" s="1" t="s">
        <v>3</v>
      </c>
      <c r="I19" s="3">
        <f>1000/2000*B19</f>
        <v>0</v>
      </c>
      <c r="J19" s="1" t="s">
        <v>21</v>
      </c>
      <c r="K19" s="4">
        <f t="shared" si="1"/>
        <v>2.7306666666666666</v>
      </c>
      <c r="L19" s="1">
        <f>B19*K19</f>
        <v>0</v>
      </c>
    </row>
    <row r="20" spans="1:12" x14ac:dyDescent="0.2">
      <c r="A20" s="1" t="s">
        <v>5</v>
      </c>
      <c r="B20" s="3"/>
      <c r="D20" s="1" t="s">
        <v>23</v>
      </c>
      <c r="E20" s="3">
        <f>5/2000*B20</f>
        <v>0</v>
      </c>
      <c r="F20" s="1" t="s">
        <v>20</v>
      </c>
      <c r="G20" s="4">
        <f>1/2000*B20</f>
        <v>0</v>
      </c>
      <c r="H20" s="1" t="s">
        <v>22</v>
      </c>
      <c r="I20" s="3">
        <f>1000/2000*B20</f>
        <v>0</v>
      </c>
      <c r="J20" s="1" t="s">
        <v>21</v>
      </c>
      <c r="K20" s="4">
        <f t="shared" si="1"/>
        <v>2.7306666666666666</v>
      </c>
      <c r="L20" s="1">
        <f t="shared" si="0"/>
        <v>0</v>
      </c>
    </row>
    <row r="21" spans="1:12" x14ac:dyDescent="0.2">
      <c r="A21" s="1" t="s">
        <v>5</v>
      </c>
      <c r="B21" s="3"/>
      <c r="D21" s="1" t="s">
        <v>19</v>
      </c>
      <c r="E21" s="3">
        <f>16/2000*B21</f>
        <v>0</v>
      </c>
      <c r="F21" s="1" t="s">
        <v>24</v>
      </c>
      <c r="G21" s="4">
        <f>1/2000*B21</f>
        <v>0</v>
      </c>
      <c r="H21" s="1" t="s">
        <v>3</v>
      </c>
      <c r="I21" s="3">
        <f>1000/2000*B21</f>
        <v>0</v>
      </c>
      <c r="J21" s="1" t="s">
        <v>21</v>
      </c>
      <c r="K21" s="4">
        <f t="shared" si="1"/>
        <v>2.7306666666666666</v>
      </c>
      <c r="L21" s="1">
        <f t="shared" si="0"/>
        <v>0</v>
      </c>
    </row>
    <row r="22" spans="1:12" x14ac:dyDescent="0.2">
      <c r="A22" s="1" t="s">
        <v>5</v>
      </c>
      <c r="B22" s="3">
        <f>E14</f>
        <v>0</v>
      </c>
      <c r="D22" s="1" t="s">
        <v>19</v>
      </c>
      <c r="E22" s="3">
        <f>16/2000*B22</f>
        <v>0</v>
      </c>
      <c r="F22" s="1" t="s">
        <v>24</v>
      </c>
      <c r="G22" s="4">
        <f>1/2000*B22</f>
        <v>0</v>
      </c>
      <c r="H22" s="1" t="s">
        <v>22</v>
      </c>
      <c r="I22" s="3">
        <f>1000/2000*B22</f>
        <v>0</v>
      </c>
      <c r="J22" s="1" t="s">
        <v>21</v>
      </c>
      <c r="K22" s="4">
        <f t="shared" si="1"/>
        <v>2.7306666666666666</v>
      </c>
      <c r="L22" s="1">
        <f t="shared" si="0"/>
        <v>0</v>
      </c>
    </row>
    <row r="23" spans="1:12" x14ac:dyDescent="0.2">
      <c r="A23" s="1" t="s">
        <v>5</v>
      </c>
      <c r="B23" s="3"/>
      <c r="D23" s="1" t="s">
        <v>23</v>
      </c>
      <c r="E23" s="3">
        <f>4/2000*B23</f>
        <v>0</v>
      </c>
      <c r="F23" s="1" t="s">
        <v>24</v>
      </c>
      <c r="G23" s="4">
        <f>1/2000*B23</f>
        <v>0</v>
      </c>
      <c r="H23" s="1" t="s">
        <v>3</v>
      </c>
      <c r="I23" s="3">
        <f>1000/2000*B23</f>
        <v>0</v>
      </c>
      <c r="J23" s="1" t="s">
        <v>21</v>
      </c>
      <c r="K23" s="4">
        <f t="shared" si="1"/>
        <v>2.7306666666666666</v>
      </c>
      <c r="L23" s="1">
        <f t="shared" si="0"/>
        <v>0</v>
      </c>
    </row>
    <row r="24" spans="1:12" x14ac:dyDescent="0.2">
      <c r="A24" s="1" t="s">
        <v>5</v>
      </c>
      <c r="B24" s="3"/>
      <c r="D24" s="1" t="s">
        <v>23</v>
      </c>
      <c r="E24" s="3">
        <f>4/2000*B24</f>
        <v>0</v>
      </c>
      <c r="F24" s="1" t="s">
        <v>24</v>
      </c>
      <c r="G24" s="4">
        <f>1/2000*B24</f>
        <v>0</v>
      </c>
      <c r="H24" s="1" t="s">
        <v>22</v>
      </c>
      <c r="I24" s="3">
        <f>1000/2000*B24</f>
        <v>0</v>
      </c>
      <c r="J24" s="1" t="s">
        <v>21</v>
      </c>
      <c r="K24" s="4">
        <f t="shared" si="1"/>
        <v>2.7306666666666666</v>
      </c>
      <c r="L24" s="1">
        <f>B24*K24</f>
        <v>0</v>
      </c>
    </row>
    <row r="25" spans="1:12" x14ac:dyDescent="0.2">
      <c r="A25" s="1" t="s">
        <v>5</v>
      </c>
      <c r="B25" s="3"/>
      <c r="D25" s="1" t="s">
        <v>19</v>
      </c>
      <c r="E25" s="3">
        <f>40/2000*B25</f>
        <v>0</v>
      </c>
      <c r="F25" s="1" t="s">
        <v>20</v>
      </c>
      <c r="G25" s="4">
        <f>1/2000*B25</f>
        <v>0</v>
      </c>
      <c r="H25" s="1" t="s">
        <v>25</v>
      </c>
      <c r="I25" s="3">
        <f>1000/2000*B25</f>
        <v>0</v>
      </c>
      <c r="J25" s="1" t="s">
        <v>21</v>
      </c>
      <c r="K25" s="4">
        <f t="shared" si="1"/>
        <v>2.7306666666666666</v>
      </c>
      <c r="L25" s="1">
        <f t="shared" si="0"/>
        <v>0</v>
      </c>
    </row>
    <row r="26" spans="1:12" x14ac:dyDescent="0.2">
      <c r="A26" s="1" t="s">
        <v>5</v>
      </c>
      <c r="B26" s="3"/>
      <c r="D26" s="1" t="s">
        <v>23</v>
      </c>
      <c r="E26" s="3">
        <f>10/2000*B26</f>
        <v>0</v>
      </c>
      <c r="F26" s="1" t="s">
        <v>20</v>
      </c>
      <c r="G26" s="4">
        <f>1/2000*B26</f>
        <v>0</v>
      </c>
      <c r="H26" s="1" t="s">
        <v>25</v>
      </c>
      <c r="I26" s="3">
        <f>1000/2000*B26</f>
        <v>0</v>
      </c>
      <c r="J26" s="1" t="s">
        <v>21</v>
      </c>
      <c r="K26" s="4">
        <f t="shared" si="1"/>
        <v>2.7306666666666666</v>
      </c>
      <c r="L26" s="1">
        <f t="shared" si="0"/>
        <v>0</v>
      </c>
    </row>
    <row r="27" spans="1:12" x14ac:dyDescent="0.2">
      <c r="A27" s="1" t="s">
        <v>5</v>
      </c>
      <c r="B27" s="3"/>
      <c r="D27" s="1" t="s">
        <v>19</v>
      </c>
      <c r="E27" s="3">
        <f>32/2000*B27</f>
        <v>0</v>
      </c>
      <c r="F27" s="1" t="s">
        <v>24</v>
      </c>
      <c r="G27" s="4">
        <f>1/2000*B27</f>
        <v>0</v>
      </c>
      <c r="H27" s="1" t="s">
        <v>25</v>
      </c>
      <c r="I27" s="3">
        <f>1000/2000*B27</f>
        <v>0</v>
      </c>
      <c r="J27" s="1" t="s">
        <v>21</v>
      </c>
      <c r="K27" s="4">
        <f t="shared" si="1"/>
        <v>2.7306666666666666</v>
      </c>
      <c r="L27" s="1">
        <f t="shared" si="0"/>
        <v>0</v>
      </c>
    </row>
    <row r="28" spans="1:12" x14ac:dyDescent="0.2">
      <c r="A28" s="1" t="s">
        <v>5</v>
      </c>
      <c r="B28" s="3"/>
      <c r="D28" s="1" t="s">
        <v>23</v>
      </c>
      <c r="E28" s="3">
        <f>8/2000*B28</f>
        <v>0</v>
      </c>
      <c r="F28" s="1" t="s">
        <v>24</v>
      </c>
      <c r="G28" s="4">
        <f>1/2000*B28</f>
        <v>0</v>
      </c>
      <c r="H28" s="1" t="s">
        <v>25</v>
      </c>
      <c r="I28" s="3">
        <f>1000/2000*B28</f>
        <v>0</v>
      </c>
      <c r="J28" s="1" t="s">
        <v>21</v>
      </c>
      <c r="K28" s="4">
        <f t="shared" si="1"/>
        <v>2.7306666666666666</v>
      </c>
      <c r="L28" s="1">
        <f t="shared" si="0"/>
        <v>0</v>
      </c>
    </row>
    <row r="29" spans="1:12" x14ac:dyDescent="0.2">
      <c r="A29" s="1" t="s">
        <v>5</v>
      </c>
      <c r="B29" s="3"/>
      <c r="J29" s="1" t="s">
        <v>54</v>
      </c>
      <c r="K29" s="4">
        <v>6.4</v>
      </c>
      <c r="L29" s="1">
        <f t="shared" si="0"/>
        <v>0</v>
      </c>
    </row>
    <row r="30" spans="1:12" x14ac:dyDescent="0.2">
      <c r="A30" s="1" t="s">
        <v>1</v>
      </c>
      <c r="B30" s="3">
        <f>E12</f>
        <v>0</v>
      </c>
      <c r="J30" s="1" t="s">
        <v>54</v>
      </c>
      <c r="K30" s="4">
        <v>6.4</v>
      </c>
      <c r="L30" s="1">
        <f t="shared" si="0"/>
        <v>0</v>
      </c>
    </row>
    <row r="31" spans="1:12" x14ac:dyDescent="0.2">
      <c r="A31" s="1" t="s">
        <v>0</v>
      </c>
      <c r="B31" s="3"/>
      <c r="D31" s="1" t="s">
        <v>6</v>
      </c>
      <c r="E31" s="3">
        <f>5/10*B31</f>
        <v>0</v>
      </c>
      <c r="F31" s="1" t="s">
        <v>28</v>
      </c>
      <c r="G31" s="4">
        <f>5/10*B31</f>
        <v>0</v>
      </c>
      <c r="J31" s="1" t="s">
        <v>34</v>
      </c>
      <c r="K31" s="4">
        <v>6.4</v>
      </c>
      <c r="L31" s="1">
        <f t="shared" si="0"/>
        <v>0</v>
      </c>
    </row>
    <row r="32" spans="1:12" x14ac:dyDescent="0.2">
      <c r="A32" s="1" t="s">
        <v>0</v>
      </c>
      <c r="B32" s="3">
        <f>E38</f>
        <v>1953.125</v>
      </c>
      <c r="D32" s="1" t="s">
        <v>6</v>
      </c>
      <c r="E32" s="3">
        <f>50/100*B32</f>
        <v>976.5625</v>
      </c>
      <c r="F32" s="1" t="s">
        <v>29</v>
      </c>
      <c r="G32" s="4">
        <f>50/100*B32</f>
        <v>976.5625</v>
      </c>
      <c r="J32" s="1" t="s">
        <v>34</v>
      </c>
      <c r="K32" s="4">
        <f>500/100</f>
        <v>5</v>
      </c>
      <c r="L32" s="1">
        <f t="shared" si="0"/>
        <v>9765.625</v>
      </c>
    </row>
    <row r="33" spans="1:12" x14ac:dyDescent="0.2">
      <c r="A33" s="1" t="s">
        <v>3</v>
      </c>
      <c r="B33" s="3">
        <f>SUMIF(H:H,A33,I:I)</f>
        <v>0</v>
      </c>
      <c r="D33" s="1" t="s">
        <v>4</v>
      </c>
      <c r="E33" s="3">
        <f>20/2000*B33</f>
        <v>0</v>
      </c>
      <c r="J33" s="1" t="s">
        <v>14</v>
      </c>
      <c r="K33" s="4">
        <f>51200/2000</f>
        <v>25.6</v>
      </c>
      <c r="L33" s="1">
        <f t="shared" si="0"/>
        <v>0</v>
      </c>
    </row>
    <row r="34" spans="1:12" x14ac:dyDescent="0.2">
      <c r="A34" s="1" t="s">
        <v>22</v>
      </c>
      <c r="B34" s="3"/>
      <c r="D34" s="1" t="s">
        <v>26</v>
      </c>
      <c r="E34" s="3">
        <f>1/16*B34</f>
        <v>0</v>
      </c>
      <c r="J34" s="1" t="s">
        <v>14</v>
      </c>
      <c r="K34" s="4">
        <v>64</v>
      </c>
      <c r="L34" s="1">
        <f t="shared" si="0"/>
        <v>0</v>
      </c>
    </row>
    <row r="35" spans="1:12" x14ac:dyDescent="0.2">
      <c r="A35" s="1" t="s">
        <v>22</v>
      </c>
      <c r="B35" s="3">
        <f>I22</f>
        <v>0</v>
      </c>
      <c r="D35" s="1" t="s">
        <v>27</v>
      </c>
      <c r="E35" s="3">
        <f>1/32*B35</f>
        <v>0</v>
      </c>
      <c r="J35" s="1" t="s">
        <v>14</v>
      </c>
      <c r="K35" s="4">
        <v>16</v>
      </c>
      <c r="L35" s="1">
        <f t="shared" si="0"/>
        <v>0</v>
      </c>
    </row>
    <row r="36" spans="1:12" x14ac:dyDescent="0.2">
      <c r="A36" s="1" t="s">
        <v>6</v>
      </c>
      <c r="B36" s="3">
        <f>E31</f>
        <v>0</v>
      </c>
      <c r="D36" s="1" t="s">
        <v>32</v>
      </c>
      <c r="E36" s="3">
        <f>1/16*B36</f>
        <v>0</v>
      </c>
      <c r="J36" s="1" t="s">
        <v>14</v>
      </c>
      <c r="K36" s="4">
        <v>64</v>
      </c>
      <c r="L36" s="1">
        <f t="shared" si="0"/>
        <v>0</v>
      </c>
    </row>
    <row r="38" spans="1:12" x14ac:dyDescent="0.2">
      <c r="A38" s="1" t="s">
        <v>35</v>
      </c>
      <c r="B38" s="1">
        <v>1000000</v>
      </c>
      <c r="D38" s="1" t="s">
        <v>0</v>
      </c>
      <c r="E38" s="3">
        <f>1000/512000*B38</f>
        <v>1953.125</v>
      </c>
      <c r="J38" s="1" t="s">
        <v>36</v>
      </c>
    </row>
    <row r="39" spans="1:12" x14ac:dyDescent="0.2">
      <c r="A39" s="1" t="s">
        <v>35</v>
      </c>
      <c r="D39" s="1" t="s">
        <v>2</v>
      </c>
      <c r="E39" s="3">
        <f>1000/640000*B39</f>
        <v>0</v>
      </c>
      <c r="J39" s="1" t="s">
        <v>36</v>
      </c>
    </row>
    <row r="40" spans="1:12" x14ac:dyDescent="0.2">
      <c r="A40" s="1" t="s">
        <v>35</v>
      </c>
      <c r="D40" s="1" t="s">
        <v>44</v>
      </c>
      <c r="E40" s="3">
        <f>5/256*B40</f>
        <v>0</v>
      </c>
      <c r="J40" s="1" t="s">
        <v>45</v>
      </c>
    </row>
    <row r="46" spans="1:12" x14ac:dyDescent="0.2">
      <c r="A46" s="1" t="s">
        <v>37</v>
      </c>
      <c r="B46" s="1">
        <f>SUM(B38:B40)</f>
        <v>1000000</v>
      </c>
    </row>
    <row r="47" spans="1:12" x14ac:dyDescent="0.2">
      <c r="A47" s="1" t="s">
        <v>38</v>
      </c>
      <c r="B47" s="1">
        <f>SUM(L:L)</f>
        <v>384765.625</v>
      </c>
    </row>
    <row r="48" spans="1:12" x14ac:dyDescent="0.2">
      <c r="A48" s="1" t="s">
        <v>39</v>
      </c>
      <c r="B48" s="1">
        <f>B46-B47</f>
        <v>615234.375</v>
      </c>
    </row>
    <row r="49" spans="1:2" x14ac:dyDescent="0.2">
      <c r="A49" s="1" t="s">
        <v>40</v>
      </c>
      <c r="B49" s="2">
        <f>B48/B46</f>
        <v>0.615234375</v>
      </c>
    </row>
  </sheetData>
  <sortState xmlns:xlrd2="http://schemas.microsoft.com/office/spreadsheetml/2017/richdata2" ref="A3:M36">
    <sortCondition ref="J3:J36"/>
    <sortCondition ref="A3:A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60D2-D857-7D42-B91A-1C15BBBDB9B7}">
  <dimension ref="A1:A7"/>
  <sheetViews>
    <sheetView workbookViewId="0">
      <selection activeCell="A7" sqref="A7"/>
    </sheetView>
  </sheetViews>
  <sheetFormatPr baseColWidth="10" defaultRowHeight="20" x14ac:dyDescent="0.2"/>
  <cols>
    <col min="1" max="1" width="37.69921875" customWidth="1"/>
  </cols>
  <sheetData>
    <row r="1" spans="1:1" x14ac:dyDescent="0.2">
      <c r="A1" t="s">
        <v>47</v>
      </c>
    </row>
    <row r="2" spans="1:1" x14ac:dyDescent="0.2">
      <c r="A2" t="s">
        <v>49</v>
      </c>
    </row>
    <row r="3" spans="1:1" x14ac:dyDescent="0.2">
      <c r="A3" t="s">
        <v>48</v>
      </c>
    </row>
    <row r="4" spans="1:1" x14ac:dyDescent="0.2">
      <c r="A4" t="s">
        <v>50</v>
      </c>
    </row>
    <row r="5" spans="1:1" x14ac:dyDescent="0.2">
      <c r="A5" t="s">
        <v>52</v>
      </c>
    </row>
    <row r="6" spans="1:1" x14ac:dyDescent="0.2">
      <c r="A6" t="s">
        <v>53</v>
      </c>
    </row>
    <row r="7" spans="1:1" x14ac:dyDescent="0.2">
      <c r="A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Miner</cp:lastModifiedBy>
  <dcterms:created xsi:type="dcterms:W3CDTF">2021-02-14T18:28:11Z</dcterms:created>
  <dcterms:modified xsi:type="dcterms:W3CDTF">2021-04-21T21:53:45Z</dcterms:modified>
</cp:coreProperties>
</file>