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S\OneDrive - hcmut.edu.vn\Desktop\New folder (2)\"/>
    </mc:Choice>
  </mc:AlternateContent>
  <xr:revisionPtr revIDLastSave="0" documentId="13_ncr:1_{954FA53D-1BB0-404F-B160-8261BEC8977D}" xr6:coauthVersionLast="47" xr6:coauthVersionMax="47" xr10:uidLastSave="{00000000-0000-0000-0000-000000000000}"/>
  <workbookProtection workbookAlgorithmName="SHA-512" workbookHashValue="9BLpFhoerb/gjGEg4rysgFYcvU1AAFBgSRscOVBLMjk/6E5VN1qckKf7OAqXi455hOTHcJMjor6BPqRQRpClJg==" workbookSaltValue="Du5MlVpUba/zC43EnNMXGA==" workbookSpinCount="100000" lockStructure="1"/>
  <bookViews>
    <workbookView xWindow="-90" yWindow="-90" windowWidth="19380" windowHeight="10260" xr2:uid="{00000000-000D-0000-FFFF-FFFF00000000}"/>
  </bookViews>
  <sheets>
    <sheet name="Weekly Report" sheetId="1" r:id="rId1"/>
    <sheet name="Monthly Report" sheetId="7" r:id="rId2"/>
    <sheet name="Annual Report" sheetId="8" r:id="rId3"/>
    <sheet name="Database" sheetId="9" r:id="rId4"/>
    <sheet name="Pareto" sheetId="5" state="hidden" r:id="rId5"/>
    <sheet name="Sheet2" sheetId="10" state="hidden" r:id="rId6"/>
    <sheet name="Sheet1" sheetId="3" state="hidden" r:id="rId7"/>
  </sheets>
  <definedNames>
    <definedName name="_xlnm._FilterDatabase" localSheetId="2" hidden="1">'Annual Report'!$AD$27:$AE$58</definedName>
    <definedName name="_xlnm._FilterDatabase" localSheetId="1" hidden="1">'Monthly Report'!$Y$27:$Z$58</definedName>
    <definedName name="_xlnm._FilterDatabase" localSheetId="4" hidden="1">Pareto!$Y$56:$AB$56</definedName>
    <definedName name="_xlnm._FilterDatabase" localSheetId="6" hidden="1">Sheet1!$A$1:$A$672</definedName>
    <definedName name="_xlnm._FilterDatabase" localSheetId="0" hidden="1">'Weekly Report'!$Y$27:$Z$58</definedName>
    <definedName name="ExternalData_1" localSheetId="3" hidden="1">Database!$A$1:$Y$1111</definedName>
    <definedName name="_xlnm.Extract" localSheetId="6">Sheet1!$E$1</definedName>
    <definedName name="_xlnm.Print_Area" localSheetId="1">'Monthly Report'!$A$1:$BH$137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9" i="8" l="1"/>
  <c r="CH6" i="8"/>
  <c r="CG6" i="8"/>
  <c r="Q48" i="8"/>
  <c r="CI6" i="8" l="1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49" i="5"/>
  <c r="AO12" i="5"/>
  <c r="AO11" i="5"/>
  <c r="AI11" i="5"/>
  <c r="AO10" i="5"/>
  <c r="AO9" i="5"/>
  <c r="AO8" i="5"/>
  <c r="AO7" i="5"/>
  <c r="AO6" i="5"/>
  <c r="AO5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49" i="5"/>
  <c r="AI12" i="5"/>
  <c r="AI10" i="5"/>
  <c r="AI9" i="5"/>
  <c r="AI8" i="5"/>
  <c r="AI7" i="5"/>
  <c r="AI6" i="5"/>
  <c r="AI5" i="5"/>
  <c r="AM12" i="5" l="1"/>
  <c r="AM19" i="5"/>
  <c r="AM27" i="5"/>
  <c r="AM35" i="5"/>
  <c r="AM43" i="5"/>
  <c r="AM8" i="5"/>
  <c r="AM11" i="5"/>
  <c r="AM18" i="5"/>
  <c r="AM26" i="5"/>
  <c r="AM34" i="5"/>
  <c r="AM49" i="5"/>
  <c r="AM20" i="5"/>
  <c r="AM28" i="5"/>
  <c r="AM36" i="5"/>
  <c r="AM44" i="5"/>
  <c r="AM7" i="5"/>
  <c r="AM13" i="5"/>
  <c r="AM21" i="5"/>
  <c r="AI50" i="5"/>
  <c r="AJ49" i="5" s="1"/>
  <c r="AM15" i="5"/>
  <c r="AM23" i="5"/>
  <c r="AM31" i="5"/>
  <c r="AM39" i="5"/>
  <c r="AM47" i="5"/>
  <c r="AM16" i="5"/>
  <c r="AM24" i="5"/>
  <c r="AM32" i="5"/>
  <c r="AM40" i="5"/>
  <c r="AM48" i="5"/>
  <c r="AM42" i="5"/>
  <c r="AM10" i="5"/>
  <c r="AM5" i="5"/>
  <c r="AM41" i="5"/>
  <c r="AM33" i="5"/>
  <c r="AM25" i="5"/>
  <c r="AM17" i="5"/>
  <c r="AM9" i="5"/>
  <c r="AG6" i="5"/>
  <c r="AM46" i="5"/>
  <c r="AM38" i="5"/>
  <c r="AM30" i="5"/>
  <c r="AM22" i="5"/>
  <c r="AM14" i="5"/>
  <c r="AM6" i="5"/>
  <c r="AM45" i="5"/>
  <c r="AM37" i="5"/>
  <c r="AM29" i="5"/>
  <c r="AO51" i="5"/>
  <c r="AP45" i="5" s="1"/>
  <c r="AG49" i="5"/>
  <c r="AG44" i="5"/>
  <c r="AG36" i="5"/>
  <c r="AG28" i="5"/>
  <c r="AG20" i="5"/>
  <c r="AG12" i="5"/>
  <c r="AG13" i="5"/>
  <c r="AG43" i="5"/>
  <c r="AG35" i="5"/>
  <c r="AG27" i="5"/>
  <c r="AG19" i="5"/>
  <c r="AG11" i="5"/>
  <c r="AG37" i="5"/>
  <c r="AG42" i="5"/>
  <c r="AG34" i="5"/>
  <c r="AG26" i="5"/>
  <c r="AG18" i="5"/>
  <c r="AG10" i="5"/>
  <c r="AG29" i="5"/>
  <c r="AG5" i="5"/>
  <c r="AG41" i="5"/>
  <c r="AG33" i="5"/>
  <c r="AG25" i="5"/>
  <c r="AG17" i="5"/>
  <c r="AG9" i="5"/>
  <c r="AG21" i="5"/>
  <c r="AG48" i="5"/>
  <c r="AG40" i="5"/>
  <c r="AG32" i="5"/>
  <c r="AG24" i="5"/>
  <c r="AG16" i="5"/>
  <c r="AG8" i="5"/>
  <c r="AG45" i="5"/>
  <c r="AG47" i="5"/>
  <c r="AG39" i="5"/>
  <c r="AG31" i="5"/>
  <c r="AG23" i="5"/>
  <c r="AG15" i="5"/>
  <c r="AG7" i="5"/>
  <c r="AG46" i="5"/>
  <c r="AG38" i="5"/>
  <c r="AG30" i="5"/>
  <c r="AG22" i="5"/>
  <c r="AG14" i="5"/>
  <c r="AP28" i="5" l="1"/>
  <c r="AP27" i="5"/>
  <c r="AP49" i="5"/>
  <c r="AP31" i="5"/>
  <c r="AP37" i="5"/>
  <c r="AP90" i="5" s="1"/>
  <c r="L102" i="8" s="1"/>
  <c r="AP34" i="5"/>
  <c r="AP58" i="5" s="1"/>
  <c r="L70" i="8" s="1"/>
  <c r="AH100" i="5"/>
  <c r="E112" i="8" s="1"/>
  <c r="AI97" i="5"/>
  <c r="F109" i="8" s="1"/>
  <c r="AH92" i="5"/>
  <c r="E104" i="8" s="1"/>
  <c r="AI89" i="5"/>
  <c r="F101" i="8" s="1"/>
  <c r="AH84" i="5"/>
  <c r="E96" i="8" s="1"/>
  <c r="AI81" i="5"/>
  <c r="F93" i="8" s="1"/>
  <c r="AH76" i="5"/>
  <c r="E88" i="8" s="1"/>
  <c r="AI73" i="5"/>
  <c r="F85" i="8" s="1"/>
  <c r="AH68" i="5"/>
  <c r="E80" i="8" s="1"/>
  <c r="AI65" i="5"/>
  <c r="F77" i="8" s="1"/>
  <c r="AH60" i="5"/>
  <c r="E72" i="8" s="1"/>
  <c r="AH97" i="5"/>
  <c r="E109" i="8" s="1"/>
  <c r="AI94" i="5"/>
  <c r="F106" i="8" s="1"/>
  <c r="AH89" i="5"/>
  <c r="E101" i="8" s="1"/>
  <c r="AI86" i="5"/>
  <c r="F98" i="8" s="1"/>
  <c r="AH81" i="5"/>
  <c r="E93" i="8" s="1"/>
  <c r="AI78" i="5"/>
  <c r="F90" i="8" s="1"/>
  <c r="AH73" i="5"/>
  <c r="E85" i="8" s="1"/>
  <c r="AI70" i="5"/>
  <c r="F82" i="8" s="1"/>
  <c r="AH65" i="5"/>
  <c r="E77" i="8" s="1"/>
  <c r="AI62" i="5"/>
  <c r="F74" i="8" s="1"/>
  <c r="AI99" i="5"/>
  <c r="F111" i="8" s="1"/>
  <c r="AH94" i="5"/>
  <c r="E106" i="8" s="1"/>
  <c r="AI91" i="5"/>
  <c r="F103" i="8" s="1"/>
  <c r="AH86" i="5"/>
  <c r="E98" i="8" s="1"/>
  <c r="AI83" i="5"/>
  <c r="F95" i="8" s="1"/>
  <c r="AH78" i="5"/>
  <c r="E90" i="8" s="1"/>
  <c r="AI75" i="5"/>
  <c r="F87" i="8" s="1"/>
  <c r="AH70" i="5"/>
  <c r="E82" i="8" s="1"/>
  <c r="AI67" i="5"/>
  <c r="F79" i="8" s="1"/>
  <c r="AH62" i="5"/>
  <c r="E74" i="8" s="1"/>
  <c r="AI59" i="5"/>
  <c r="F71" i="8" s="1"/>
  <c r="AJ57" i="5"/>
  <c r="AH99" i="5"/>
  <c r="E111" i="8" s="1"/>
  <c r="AI96" i="5"/>
  <c r="F108" i="8" s="1"/>
  <c r="AH91" i="5"/>
  <c r="E103" i="8" s="1"/>
  <c r="AI88" i="5"/>
  <c r="F100" i="8" s="1"/>
  <c r="AH83" i="5"/>
  <c r="E95" i="8" s="1"/>
  <c r="AI80" i="5"/>
  <c r="F92" i="8" s="1"/>
  <c r="AH75" i="5"/>
  <c r="E87" i="8" s="1"/>
  <c r="AI72" i="5"/>
  <c r="F84" i="8" s="1"/>
  <c r="AH67" i="5"/>
  <c r="E79" i="8" s="1"/>
  <c r="AI64" i="5"/>
  <c r="F76" i="8" s="1"/>
  <c r="AH59" i="5"/>
  <c r="E71" i="8" s="1"/>
  <c r="AI57" i="5"/>
  <c r="AI101" i="5"/>
  <c r="F113" i="8" s="1"/>
  <c r="AH96" i="5"/>
  <c r="E108" i="8" s="1"/>
  <c r="AI93" i="5"/>
  <c r="F105" i="8" s="1"/>
  <c r="AH88" i="5"/>
  <c r="E100" i="8" s="1"/>
  <c r="AI85" i="5"/>
  <c r="F97" i="8" s="1"/>
  <c r="AH80" i="5"/>
  <c r="E92" i="8" s="1"/>
  <c r="AI77" i="5"/>
  <c r="F89" i="8" s="1"/>
  <c r="AH72" i="5"/>
  <c r="E84" i="8" s="1"/>
  <c r="AI69" i="5"/>
  <c r="F81" i="8" s="1"/>
  <c r="AH64" i="5"/>
  <c r="E76" i="8" s="1"/>
  <c r="AI61" i="5"/>
  <c r="F73" i="8" s="1"/>
  <c r="AH57" i="5"/>
  <c r="E69" i="8" s="1"/>
  <c r="AH101" i="5"/>
  <c r="E113" i="8" s="1"/>
  <c r="AI98" i="5"/>
  <c r="F110" i="8" s="1"/>
  <c r="AH93" i="5"/>
  <c r="E105" i="8" s="1"/>
  <c r="AI90" i="5"/>
  <c r="F102" i="8" s="1"/>
  <c r="AH85" i="5"/>
  <c r="E97" i="8" s="1"/>
  <c r="AI82" i="5"/>
  <c r="F94" i="8" s="1"/>
  <c r="AH77" i="5"/>
  <c r="E89" i="8" s="1"/>
  <c r="AI74" i="5"/>
  <c r="F86" i="8" s="1"/>
  <c r="AH69" i="5"/>
  <c r="E81" i="8" s="1"/>
  <c r="AI66" i="5"/>
  <c r="F78" i="8" s="1"/>
  <c r="AH61" i="5"/>
  <c r="E73" i="8" s="1"/>
  <c r="AI58" i="5"/>
  <c r="F70" i="8" s="1"/>
  <c r="AH98" i="5"/>
  <c r="E110" i="8" s="1"/>
  <c r="AI95" i="5"/>
  <c r="F107" i="8" s="1"/>
  <c r="AH90" i="5"/>
  <c r="E102" i="8" s="1"/>
  <c r="AI87" i="5"/>
  <c r="F99" i="8" s="1"/>
  <c r="AH82" i="5"/>
  <c r="E94" i="8" s="1"/>
  <c r="AI79" i="5"/>
  <c r="F91" i="8" s="1"/>
  <c r="AH74" i="5"/>
  <c r="E86" i="8" s="1"/>
  <c r="AI71" i="5"/>
  <c r="F83" i="8" s="1"/>
  <c r="AH66" i="5"/>
  <c r="E78" i="8" s="1"/>
  <c r="AI63" i="5"/>
  <c r="F75" i="8" s="1"/>
  <c r="AH58" i="5"/>
  <c r="E70" i="8" s="1"/>
  <c r="AI100" i="5"/>
  <c r="F112" i="8" s="1"/>
  <c r="AH95" i="5"/>
  <c r="E107" i="8" s="1"/>
  <c r="AI92" i="5"/>
  <c r="F104" i="8" s="1"/>
  <c r="AH87" i="5"/>
  <c r="E99" i="8" s="1"/>
  <c r="AI84" i="5"/>
  <c r="F96" i="8" s="1"/>
  <c r="AH79" i="5"/>
  <c r="E91" i="8" s="1"/>
  <c r="AI76" i="5"/>
  <c r="F88" i="8" s="1"/>
  <c r="AH71" i="5"/>
  <c r="E83" i="8" s="1"/>
  <c r="AI68" i="5"/>
  <c r="F80" i="8" s="1"/>
  <c r="AH63" i="5"/>
  <c r="E75" i="8" s="1"/>
  <c r="AI60" i="5"/>
  <c r="F72" i="8" s="1"/>
  <c r="AP20" i="5"/>
  <c r="AP19" i="5"/>
  <c r="AP23" i="5"/>
  <c r="AP59" i="5" s="1"/>
  <c r="L71" i="8" s="1"/>
  <c r="AP29" i="5"/>
  <c r="AP12" i="5"/>
  <c r="AP48" i="5"/>
  <c r="AP101" i="5" s="1"/>
  <c r="L113" i="8" s="1"/>
  <c r="AP15" i="5"/>
  <c r="AP10" i="5"/>
  <c r="AP46" i="5"/>
  <c r="AP99" i="5" s="1"/>
  <c r="L111" i="8" s="1"/>
  <c r="AP26" i="5"/>
  <c r="AP41" i="5"/>
  <c r="AP94" i="5" s="1"/>
  <c r="L106" i="8" s="1"/>
  <c r="AP40" i="5"/>
  <c r="AP93" i="5" s="1"/>
  <c r="L105" i="8" s="1"/>
  <c r="AP38" i="5"/>
  <c r="AP91" i="5" s="1"/>
  <c r="L103" i="8" s="1"/>
  <c r="AP21" i="5"/>
  <c r="AP5" i="5"/>
  <c r="AP33" i="5"/>
  <c r="AP32" i="5"/>
  <c r="AP30" i="5"/>
  <c r="AP6" i="5"/>
  <c r="AP57" i="5" s="1"/>
  <c r="AP18" i="5"/>
  <c r="AP25" i="5"/>
  <c r="AP24" i="5"/>
  <c r="AP80" i="5" s="1"/>
  <c r="L92" i="8" s="1"/>
  <c r="AO101" i="5"/>
  <c r="K113" i="8" s="1"/>
  <c r="AP98" i="5"/>
  <c r="L110" i="8" s="1"/>
  <c r="AN96" i="5"/>
  <c r="J108" i="8" s="1"/>
  <c r="AO93" i="5"/>
  <c r="K105" i="8" s="1"/>
  <c r="AN88" i="5"/>
  <c r="J100" i="8" s="1"/>
  <c r="AO85" i="5"/>
  <c r="K97" i="8" s="1"/>
  <c r="AN80" i="5"/>
  <c r="J92" i="8" s="1"/>
  <c r="AO77" i="5"/>
  <c r="K89" i="8" s="1"/>
  <c r="AN72" i="5"/>
  <c r="J84" i="8" s="1"/>
  <c r="AO69" i="5"/>
  <c r="K81" i="8" s="1"/>
  <c r="AN64" i="5"/>
  <c r="J76" i="8" s="1"/>
  <c r="AO61" i="5"/>
  <c r="K73" i="8" s="1"/>
  <c r="AO57" i="5"/>
  <c r="AN101" i="5"/>
  <c r="J113" i="8" s="1"/>
  <c r="AO98" i="5"/>
  <c r="K110" i="8" s="1"/>
  <c r="AN93" i="5"/>
  <c r="J105" i="8" s="1"/>
  <c r="AO90" i="5"/>
  <c r="K102" i="8" s="1"/>
  <c r="AN85" i="5"/>
  <c r="J97" i="8" s="1"/>
  <c r="AO82" i="5"/>
  <c r="K94" i="8" s="1"/>
  <c r="AN77" i="5"/>
  <c r="J89" i="8" s="1"/>
  <c r="AO74" i="5"/>
  <c r="K86" i="8" s="1"/>
  <c r="AN69" i="5"/>
  <c r="J81" i="8" s="1"/>
  <c r="AO66" i="5"/>
  <c r="K78" i="8" s="1"/>
  <c r="AN61" i="5"/>
  <c r="J73" i="8" s="1"/>
  <c r="AO58" i="5"/>
  <c r="K70" i="8" s="1"/>
  <c r="AN57" i="5"/>
  <c r="J69" i="8" s="1"/>
  <c r="AN98" i="5"/>
  <c r="J110" i="8" s="1"/>
  <c r="AO95" i="5"/>
  <c r="K107" i="8" s="1"/>
  <c r="AN90" i="5"/>
  <c r="J102" i="8" s="1"/>
  <c r="AO87" i="5"/>
  <c r="K99" i="8" s="1"/>
  <c r="AN82" i="5"/>
  <c r="J94" i="8" s="1"/>
  <c r="AO79" i="5"/>
  <c r="K91" i="8" s="1"/>
  <c r="AN74" i="5"/>
  <c r="J86" i="8" s="1"/>
  <c r="AO71" i="5"/>
  <c r="K83" i="8" s="1"/>
  <c r="AN66" i="5"/>
  <c r="J78" i="8" s="1"/>
  <c r="AO63" i="5"/>
  <c r="K75" i="8" s="1"/>
  <c r="AN58" i="5"/>
  <c r="J70" i="8" s="1"/>
  <c r="AO100" i="5"/>
  <c r="K112" i="8" s="1"/>
  <c r="AN95" i="5"/>
  <c r="J107" i="8" s="1"/>
  <c r="AO92" i="5"/>
  <c r="K104" i="8" s="1"/>
  <c r="AN87" i="5"/>
  <c r="J99" i="8" s="1"/>
  <c r="AO84" i="5"/>
  <c r="K96" i="8" s="1"/>
  <c r="AN79" i="5"/>
  <c r="J91" i="8" s="1"/>
  <c r="AO76" i="5"/>
  <c r="K88" i="8" s="1"/>
  <c r="AN71" i="5"/>
  <c r="J83" i="8" s="1"/>
  <c r="AO68" i="5"/>
  <c r="K80" i="8" s="1"/>
  <c r="AN63" i="5"/>
  <c r="J75" i="8" s="1"/>
  <c r="AO60" i="5"/>
  <c r="K72" i="8" s="1"/>
  <c r="AN100" i="5"/>
  <c r="J112" i="8" s="1"/>
  <c r="AO97" i="5"/>
  <c r="K109" i="8" s="1"/>
  <c r="AN92" i="5"/>
  <c r="J104" i="8" s="1"/>
  <c r="AO89" i="5"/>
  <c r="K101" i="8" s="1"/>
  <c r="AN84" i="5"/>
  <c r="J96" i="8" s="1"/>
  <c r="AO81" i="5"/>
  <c r="K93" i="8" s="1"/>
  <c r="AN76" i="5"/>
  <c r="J88" i="8" s="1"/>
  <c r="AO73" i="5"/>
  <c r="K85" i="8" s="1"/>
  <c r="AN68" i="5"/>
  <c r="J80" i="8" s="1"/>
  <c r="AO65" i="5"/>
  <c r="K77" i="8" s="1"/>
  <c r="AN60" i="5"/>
  <c r="J72" i="8" s="1"/>
  <c r="AN97" i="5"/>
  <c r="J109" i="8" s="1"/>
  <c r="AO94" i="5"/>
  <c r="K106" i="8" s="1"/>
  <c r="AN89" i="5"/>
  <c r="J101" i="8" s="1"/>
  <c r="AO86" i="5"/>
  <c r="K98" i="8" s="1"/>
  <c r="AN81" i="5"/>
  <c r="J93" i="8" s="1"/>
  <c r="AO78" i="5"/>
  <c r="K90" i="8" s="1"/>
  <c r="AN73" i="5"/>
  <c r="J85" i="8" s="1"/>
  <c r="AO70" i="5"/>
  <c r="K82" i="8" s="1"/>
  <c r="AN65" i="5"/>
  <c r="J77" i="8" s="1"/>
  <c r="AO62" i="5"/>
  <c r="K74" i="8" s="1"/>
  <c r="AO99" i="5"/>
  <c r="K111" i="8" s="1"/>
  <c r="AN94" i="5"/>
  <c r="J106" i="8" s="1"/>
  <c r="AO91" i="5"/>
  <c r="K103" i="8" s="1"/>
  <c r="AN86" i="5"/>
  <c r="J98" i="8" s="1"/>
  <c r="AO83" i="5"/>
  <c r="K95" i="8" s="1"/>
  <c r="AN78" i="5"/>
  <c r="J90" i="8" s="1"/>
  <c r="AO75" i="5"/>
  <c r="K87" i="8" s="1"/>
  <c r="AN70" i="5"/>
  <c r="J82" i="8" s="1"/>
  <c r="AO67" i="5"/>
  <c r="K79" i="8" s="1"/>
  <c r="AN62" i="5"/>
  <c r="J74" i="8" s="1"/>
  <c r="AO59" i="5"/>
  <c r="K71" i="8" s="1"/>
  <c r="AN99" i="5"/>
  <c r="J111" i="8" s="1"/>
  <c r="AO96" i="5"/>
  <c r="K108" i="8" s="1"/>
  <c r="AN91" i="5"/>
  <c r="J103" i="8" s="1"/>
  <c r="AO88" i="5"/>
  <c r="K100" i="8" s="1"/>
  <c r="AN83" i="5"/>
  <c r="J95" i="8" s="1"/>
  <c r="AO80" i="5"/>
  <c r="K92" i="8" s="1"/>
  <c r="AN75" i="5"/>
  <c r="J87" i="8" s="1"/>
  <c r="AO72" i="5"/>
  <c r="K84" i="8" s="1"/>
  <c r="AN67" i="5"/>
  <c r="J79" i="8" s="1"/>
  <c r="AO64" i="5"/>
  <c r="K76" i="8" s="1"/>
  <c r="AN59" i="5"/>
  <c r="J71" i="8" s="1"/>
  <c r="AP9" i="5"/>
  <c r="AP22" i="5"/>
  <c r="AP13" i="5"/>
  <c r="AP11" i="5"/>
  <c r="AP17" i="5"/>
  <c r="AP44" i="5"/>
  <c r="AP97" i="5" s="1"/>
  <c r="L109" i="8" s="1"/>
  <c r="AP43" i="5"/>
  <c r="AP96" i="5" s="1"/>
  <c r="L108" i="8" s="1"/>
  <c r="AP16" i="5"/>
  <c r="AP47" i="5"/>
  <c r="AP100" i="5" s="1"/>
  <c r="L112" i="8" s="1"/>
  <c r="AP14" i="5"/>
  <c r="AP7" i="5"/>
  <c r="AP60" i="5" s="1"/>
  <c r="L72" i="8" s="1"/>
  <c r="AP42" i="5"/>
  <c r="AP95" i="5" s="1"/>
  <c r="L107" i="8" s="1"/>
  <c r="AP36" i="5"/>
  <c r="AP35" i="5"/>
  <c r="AP8" i="5"/>
  <c r="AP66" i="5" s="1"/>
  <c r="L78" i="8" s="1"/>
  <c r="AP39" i="5"/>
  <c r="AP92" i="5" s="1"/>
  <c r="L104" i="8" s="1"/>
  <c r="AP88" i="5" l="1"/>
  <c r="L100" i="8" s="1"/>
  <c r="AP70" i="5"/>
  <c r="L82" i="8" s="1"/>
  <c r="AP89" i="5"/>
  <c r="L101" i="8" s="1"/>
  <c r="AP79" i="5"/>
  <c r="L91" i="8" s="1"/>
  <c r="AP67" i="5"/>
  <c r="L79" i="8" s="1"/>
  <c r="AP86" i="5"/>
  <c r="L98" i="8" s="1"/>
  <c r="AP73" i="5"/>
  <c r="L85" i="8" s="1"/>
  <c r="AP69" i="5"/>
  <c r="L81" i="8" s="1"/>
  <c r="AP85" i="5"/>
  <c r="L97" i="8" s="1"/>
  <c r="AP87" i="5"/>
  <c r="L99" i="8" s="1"/>
  <c r="AP74" i="5"/>
  <c r="L86" i="8" s="1"/>
  <c r="AP82" i="5"/>
  <c r="L94" i="8" s="1"/>
  <c r="AP78" i="5"/>
  <c r="L90" i="8" s="1"/>
  <c r="AP71" i="5"/>
  <c r="L83" i="8" s="1"/>
  <c r="AP72" i="5"/>
  <c r="L84" i="8" s="1"/>
  <c r="AP76" i="5"/>
  <c r="L88" i="8" s="1"/>
  <c r="AP65" i="5"/>
  <c r="L77" i="8" s="1"/>
  <c r="AP77" i="5"/>
  <c r="L89" i="8" s="1"/>
  <c r="AP83" i="5"/>
  <c r="L95" i="8" s="1"/>
  <c r="AP64" i="5"/>
  <c r="L76" i="8" s="1"/>
  <c r="AP84" i="5"/>
  <c r="L96" i="8" s="1"/>
  <c r="AP81" i="5"/>
  <c r="L93" i="8" s="1"/>
  <c r="AP75" i="5"/>
  <c r="L87" i="8" s="1"/>
  <c r="AP68" i="5"/>
  <c r="L80" i="8" s="1"/>
  <c r="AP63" i="5"/>
  <c r="L75" i="8" s="1"/>
  <c r="AP62" i="5"/>
  <c r="L74" i="8" s="1"/>
  <c r="AP61" i="5"/>
  <c r="L73" i="8" s="1"/>
  <c r="DB90" i="8"/>
  <c r="DA90" i="8"/>
  <c r="CZ90" i="8"/>
  <c r="CY90" i="8"/>
  <c r="CX90" i="8"/>
  <c r="CW90" i="8"/>
  <c r="CV90" i="8"/>
  <c r="CU90" i="8"/>
  <c r="CT90" i="8"/>
  <c r="CS90" i="8"/>
  <c r="CR90" i="8"/>
  <c r="CQ90" i="8"/>
  <c r="DB80" i="8"/>
  <c r="DB81" i="8"/>
  <c r="DB82" i="8"/>
  <c r="DB83" i="8"/>
  <c r="DB84" i="8"/>
  <c r="DB85" i="8"/>
  <c r="DB86" i="8"/>
  <c r="DB87" i="8"/>
  <c r="DB88" i="8"/>
  <c r="DB89" i="8"/>
  <c r="DB55" i="8"/>
  <c r="DB56" i="8"/>
  <c r="DB57" i="8"/>
  <c r="DB58" i="8"/>
  <c r="DB59" i="8"/>
  <c r="DB60" i="8"/>
  <c r="DB61" i="8"/>
  <c r="DB62" i="8"/>
  <c r="DB63" i="8"/>
  <c r="DB64" i="8"/>
  <c r="DB65" i="8"/>
  <c r="DB66" i="8"/>
  <c r="DB67" i="8"/>
  <c r="DB68" i="8"/>
  <c r="DB69" i="8"/>
  <c r="DB70" i="8"/>
  <c r="DB71" i="8"/>
  <c r="DB72" i="8"/>
  <c r="DB73" i="8"/>
  <c r="DB74" i="8"/>
  <c r="DB75" i="8"/>
  <c r="DB76" i="8"/>
  <c r="DB77" i="8"/>
  <c r="DB78" i="8"/>
  <c r="DB79" i="8"/>
  <c r="DB54" i="8"/>
  <c r="DA80" i="8"/>
  <c r="DA81" i="8"/>
  <c r="DA82" i="8"/>
  <c r="DA83" i="8"/>
  <c r="DA84" i="8"/>
  <c r="DA85" i="8"/>
  <c r="DA86" i="8"/>
  <c r="DA87" i="8"/>
  <c r="DA88" i="8"/>
  <c r="DA89" i="8"/>
  <c r="DA55" i="8"/>
  <c r="DA56" i="8"/>
  <c r="DA57" i="8"/>
  <c r="DA58" i="8"/>
  <c r="DA59" i="8"/>
  <c r="DA60" i="8"/>
  <c r="DA61" i="8"/>
  <c r="DA62" i="8"/>
  <c r="DA63" i="8"/>
  <c r="DA64" i="8"/>
  <c r="DA65" i="8"/>
  <c r="DA66" i="8"/>
  <c r="DA67" i="8"/>
  <c r="DA68" i="8"/>
  <c r="DA69" i="8"/>
  <c r="DA70" i="8"/>
  <c r="DA71" i="8"/>
  <c r="DA72" i="8"/>
  <c r="DA73" i="8"/>
  <c r="DA74" i="8"/>
  <c r="DA75" i="8"/>
  <c r="DA76" i="8"/>
  <c r="DA77" i="8"/>
  <c r="DA78" i="8"/>
  <c r="DA79" i="8"/>
  <c r="DA54" i="8"/>
  <c r="CZ80" i="8"/>
  <c r="CZ81" i="8"/>
  <c r="CZ82" i="8"/>
  <c r="CZ83" i="8"/>
  <c r="CZ84" i="8"/>
  <c r="CZ85" i="8"/>
  <c r="CZ86" i="8"/>
  <c r="CZ87" i="8"/>
  <c r="CZ88" i="8"/>
  <c r="CZ89" i="8"/>
  <c r="CZ55" i="8"/>
  <c r="CZ56" i="8"/>
  <c r="CZ57" i="8"/>
  <c r="CZ58" i="8"/>
  <c r="CZ59" i="8"/>
  <c r="CZ60" i="8"/>
  <c r="CZ61" i="8"/>
  <c r="CZ62" i="8"/>
  <c r="CZ63" i="8"/>
  <c r="CZ64" i="8"/>
  <c r="CZ65" i="8"/>
  <c r="CZ66" i="8"/>
  <c r="CZ67" i="8"/>
  <c r="CZ68" i="8"/>
  <c r="CZ69" i="8"/>
  <c r="CZ70" i="8"/>
  <c r="CZ71" i="8"/>
  <c r="CZ72" i="8"/>
  <c r="CZ73" i="8"/>
  <c r="CZ74" i="8"/>
  <c r="CZ75" i="8"/>
  <c r="CZ76" i="8"/>
  <c r="CZ77" i="8"/>
  <c r="CZ78" i="8"/>
  <c r="CZ79" i="8"/>
  <c r="CZ54" i="8"/>
  <c r="CY84" i="8"/>
  <c r="CY80" i="8"/>
  <c r="CY81" i="8"/>
  <c r="CY82" i="8"/>
  <c r="CY83" i="8"/>
  <c r="CY85" i="8"/>
  <c r="CY86" i="8"/>
  <c r="CY87" i="8"/>
  <c r="CY88" i="8"/>
  <c r="CY89" i="8"/>
  <c r="CY55" i="8"/>
  <c r="CY56" i="8"/>
  <c r="CY57" i="8"/>
  <c r="CY58" i="8"/>
  <c r="CY59" i="8"/>
  <c r="CY60" i="8"/>
  <c r="CY61" i="8"/>
  <c r="CY62" i="8"/>
  <c r="CY63" i="8"/>
  <c r="CY64" i="8"/>
  <c r="CY65" i="8"/>
  <c r="CY66" i="8"/>
  <c r="CY67" i="8"/>
  <c r="CY68" i="8"/>
  <c r="CY69" i="8"/>
  <c r="CY70" i="8"/>
  <c r="CY71" i="8"/>
  <c r="CY72" i="8"/>
  <c r="CY73" i="8"/>
  <c r="CY74" i="8"/>
  <c r="CY75" i="8"/>
  <c r="CY76" i="8"/>
  <c r="CY77" i="8"/>
  <c r="CY78" i="8"/>
  <c r="CY79" i="8"/>
  <c r="CY54" i="8"/>
  <c r="CX80" i="8"/>
  <c r="CX81" i="8"/>
  <c r="CX82" i="8"/>
  <c r="CX83" i="8"/>
  <c r="CX84" i="8"/>
  <c r="CX85" i="8"/>
  <c r="CX86" i="8"/>
  <c r="CX87" i="8"/>
  <c r="CX88" i="8"/>
  <c r="CX89" i="8"/>
  <c r="CX55" i="8"/>
  <c r="CX56" i="8"/>
  <c r="CX57" i="8"/>
  <c r="CX58" i="8"/>
  <c r="CX59" i="8"/>
  <c r="CX60" i="8"/>
  <c r="CX61" i="8"/>
  <c r="CX62" i="8"/>
  <c r="CX63" i="8"/>
  <c r="CX64" i="8"/>
  <c r="CX65" i="8"/>
  <c r="CX66" i="8"/>
  <c r="CX67" i="8"/>
  <c r="CX68" i="8"/>
  <c r="CX69" i="8"/>
  <c r="CX70" i="8"/>
  <c r="CX71" i="8"/>
  <c r="CX72" i="8"/>
  <c r="CX73" i="8"/>
  <c r="CX74" i="8"/>
  <c r="CX75" i="8"/>
  <c r="CX76" i="8"/>
  <c r="CX77" i="8"/>
  <c r="CX78" i="8"/>
  <c r="CX79" i="8"/>
  <c r="CX54" i="8"/>
  <c r="CW80" i="8"/>
  <c r="CW81" i="8"/>
  <c r="CW82" i="8"/>
  <c r="CW83" i="8"/>
  <c r="CW84" i="8"/>
  <c r="CW85" i="8"/>
  <c r="CW86" i="8"/>
  <c r="CW87" i="8"/>
  <c r="CW88" i="8"/>
  <c r="CW89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54" i="8"/>
  <c r="CV80" i="8"/>
  <c r="CV81" i="8"/>
  <c r="CV82" i="8"/>
  <c r="CV83" i="8"/>
  <c r="CV84" i="8"/>
  <c r="CV85" i="8"/>
  <c r="CV86" i="8"/>
  <c r="CV87" i="8"/>
  <c r="CV88" i="8"/>
  <c r="CV89" i="8"/>
  <c r="CV55" i="8"/>
  <c r="CV56" i="8"/>
  <c r="CV57" i="8"/>
  <c r="CV58" i="8"/>
  <c r="CV59" i="8"/>
  <c r="CV60" i="8"/>
  <c r="CV61" i="8"/>
  <c r="CV62" i="8"/>
  <c r="CV63" i="8"/>
  <c r="CV64" i="8"/>
  <c r="CV65" i="8"/>
  <c r="CV66" i="8"/>
  <c r="CV67" i="8"/>
  <c r="CV68" i="8"/>
  <c r="CV69" i="8"/>
  <c r="CV70" i="8"/>
  <c r="CV71" i="8"/>
  <c r="CV72" i="8"/>
  <c r="CV73" i="8"/>
  <c r="CV74" i="8"/>
  <c r="CV75" i="8"/>
  <c r="CV76" i="8"/>
  <c r="CV77" i="8"/>
  <c r="CV78" i="8"/>
  <c r="CV79" i="8"/>
  <c r="CV54" i="8"/>
  <c r="CU80" i="8"/>
  <c r="CU81" i="8"/>
  <c r="CU82" i="8"/>
  <c r="CU83" i="8"/>
  <c r="CU84" i="8"/>
  <c r="CU85" i="8"/>
  <c r="CU86" i="8"/>
  <c r="CU87" i="8"/>
  <c r="CU88" i="8"/>
  <c r="CU89" i="8"/>
  <c r="CU55" i="8"/>
  <c r="CU56" i="8"/>
  <c r="CU57" i="8"/>
  <c r="CU58" i="8"/>
  <c r="CU59" i="8"/>
  <c r="CU60" i="8"/>
  <c r="CU61" i="8"/>
  <c r="CU62" i="8"/>
  <c r="CU63" i="8"/>
  <c r="CU64" i="8"/>
  <c r="CU65" i="8"/>
  <c r="CU66" i="8"/>
  <c r="CU67" i="8"/>
  <c r="CU68" i="8"/>
  <c r="CU69" i="8"/>
  <c r="CU70" i="8"/>
  <c r="CU71" i="8"/>
  <c r="CU72" i="8"/>
  <c r="CU73" i="8"/>
  <c r="CU74" i="8"/>
  <c r="CU75" i="8"/>
  <c r="CU76" i="8"/>
  <c r="CU77" i="8"/>
  <c r="CU78" i="8"/>
  <c r="CU79" i="8"/>
  <c r="CU54" i="8"/>
  <c r="CT80" i="8"/>
  <c r="CT81" i="8"/>
  <c r="CT82" i="8"/>
  <c r="CT83" i="8"/>
  <c r="CT84" i="8"/>
  <c r="CT85" i="8"/>
  <c r="CT86" i="8"/>
  <c r="CT87" i="8"/>
  <c r="CT88" i="8"/>
  <c r="CT89" i="8"/>
  <c r="CT55" i="8"/>
  <c r="CT56" i="8"/>
  <c r="CT57" i="8"/>
  <c r="CT58" i="8"/>
  <c r="CT59" i="8"/>
  <c r="CT60" i="8"/>
  <c r="CT61" i="8"/>
  <c r="CT62" i="8"/>
  <c r="CT63" i="8"/>
  <c r="CT64" i="8"/>
  <c r="CT65" i="8"/>
  <c r="CT66" i="8"/>
  <c r="CT67" i="8"/>
  <c r="CT68" i="8"/>
  <c r="CT69" i="8"/>
  <c r="CT70" i="8"/>
  <c r="CT71" i="8"/>
  <c r="CT72" i="8"/>
  <c r="CT73" i="8"/>
  <c r="CT74" i="8"/>
  <c r="CT75" i="8"/>
  <c r="CT76" i="8"/>
  <c r="CT77" i="8"/>
  <c r="CT78" i="8"/>
  <c r="CT79" i="8"/>
  <c r="CT54" i="8"/>
  <c r="CS80" i="8"/>
  <c r="CS81" i="8"/>
  <c r="CS82" i="8"/>
  <c r="CS83" i="8"/>
  <c r="CS84" i="8"/>
  <c r="CS85" i="8"/>
  <c r="CS86" i="8"/>
  <c r="CS87" i="8"/>
  <c r="CS88" i="8"/>
  <c r="CS89" i="8"/>
  <c r="CS55" i="8"/>
  <c r="CS56" i="8"/>
  <c r="CS57" i="8"/>
  <c r="CS58" i="8"/>
  <c r="CS59" i="8"/>
  <c r="CS60" i="8"/>
  <c r="CS61" i="8"/>
  <c r="CS62" i="8"/>
  <c r="CS63" i="8"/>
  <c r="CS64" i="8"/>
  <c r="CS65" i="8"/>
  <c r="CS66" i="8"/>
  <c r="CS67" i="8"/>
  <c r="CS68" i="8"/>
  <c r="CS69" i="8"/>
  <c r="CS70" i="8"/>
  <c r="CS71" i="8"/>
  <c r="CS72" i="8"/>
  <c r="CS73" i="8"/>
  <c r="CS74" i="8"/>
  <c r="CS75" i="8"/>
  <c r="CS76" i="8"/>
  <c r="CS77" i="8"/>
  <c r="CS78" i="8"/>
  <c r="CS79" i="8"/>
  <c r="CS54" i="8"/>
  <c r="CR80" i="8"/>
  <c r="CR81" i="8"/>
  <c r="CR82" i="8"/>
  <c r="CR83" i="8"/>
  <c r="CR84" i="8"/>
  <c r="CR85" i="8"/>
  <c r="CR86" i="8"/>
  <c r="CR87" i="8"/>
  <c r="CR88" i="8"/>
  <c r="CR89" i="8"/>
  <c r="CR55" i="8"/>
  <c r="CR56" i="8"/>
  <c r="CR57" i="8"/>
  <c r="CR58" i="8"/>
  <c r="CR59" i="8"/>
  <c r="CR60" i="8"/>
  <c r="CR61" i="8"/>
  <c r="CR62" i="8"/>
  <c r="CR63" i="8"/>
  <c r="CR64" i="8"/>
  <c r="CR65" i="8"/>
  <c r="CR66" i="8"/>
  <c r="CR67" i="8"/>
  <c r="CR68" i="8"/>
  <c r="CR69" i="8"/>
  <c r="CR70" i="8"/>
  <c r="CR71" i="8"/>
  <c r="CR72" i="8"/>
  <c r="CR73" i="8"/>
  <c r="CR74" i="8"/>
  <c r="CR75" i="8"/>
  <c r="CR76" i="8"/>
  <c r="CR77" i="8"/>
  <c r="CR78" i="8"/>
  <c r="CR79" i="8"/>
  <c r="CR54" i="8"/>
  <c r="CQ80" i="8"/>
  <c r="CQ81" i="8"/>
  <c r="CQ82" i="8"/>
  <c r="CQ83" i="8"/>
  <c r="CQ84" i="8"/>
  <c r="CQ85" i="8"/>
  <c r="CQ86" i="8"/>
  <c r="CQ87" i="8"/>
  <c r="CQ88" i="8"/>
  <c r="CQ89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54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DB49" i="8"/>
  <c r="DB50" i="8"/>
  <c r="DB51" i="8"/>
  <c r="DB47" i="8"/>
  <c r="DB48" i="8"/>
  <c r="DB17" i="8"/>
  <c r="DB18" i="8"/>
  <c r="DB19" i="8"/>
  <c r="DB20" i="8"/>
  <c r="DB21" i="8"/>
  <c r="DB22" i="8"/>
  <c r="DB23" i="8"/>
  <c r="DB24" i="8"/>
  <c r="DB25" i="8"/>
  <c r="DB26" i="8"/>
  <c r="DB27" i="8"/>
  <c r="DB28" i="8"/>
  <c r="DB29" i="8"/>
  <c r="DB30" i="8"/>
  <c r="DB31" i="8"/>
  <c r="DB32" i="8"/>
  <c r="DB33" i="8"/>
  <c r="DB34" i="8"/>
  <c r="DB35" i="8"/>
  <c r="DB36" i="8"/>
  <c r="DB37" i="8"/>
  <c r="DB38" i="8"/>
  <c r="DB39" i="8"/>
  <c r="DB40" i="8"/>
  <c r="DB41" i="8"/>
  <c r="DB42" i="8"/>
  <c r="DB43" i="8"/>
  <c r="DB44" i="8"/>
  <c r="DB45" i="8"/>
  <c r="DB46" i="8"/>
  <c r="DB16" i="8"/>
  <c r="DA49" i="8"/>
  <c r="DA50" i="8"/>
  <c r="DA51" i="8"/>
  <c r="DA47" i="8"/>
  <c r="DA48" i="8"/>
  <c r="DA17" i="8"/>
  <c r="DA18" i="8"/>
  <c r="DA19" i="8"/>
  <c r="DA20" i="8"/>
  <c r="DA21" i="8"/>
  <c r="DA22" i="8"/>
  <c r="DA23" i="8"/>
  <c r="DA24" i="8"/>
  <c r="DA25" i="8"/>
  <c r="DA26" i="8"/>
  <c r="DA27" i="8"/>
  <c r="DA28" i="8"/>
  <c r="DA29" i="8"/>
  <c r="DA30" i="8"/>
  <c r="DA31" i="8"/>
  <c r="DA32" i="8"/>
  <c r="DA33" i="8"/>
  <c r="DA34" i="8"/>
  <c r="DA35" i="8"/>
  <c r="DA36" i="8"/>
  <c r="DA37" i="8"/>
  <c r="DA38" i="8"/>
  <c r="DA39" i="8"/>
  <c r="DA40" i="8"/>
  <c r="DA41" i="8"/>
  <c r="DA42" i="8"/>
  <c r="DA43" i="8"/>
  <c r="DA44" i="8"/>
  <c r="DA45" i="8"/>
  <c r="DA46" i="8"/>
  <c r="DA16" i="8"/>
  <c r="CZ49" i="8"/>
  <c r="CZ50" i="8"/>
  <c r="CZ51" i="8"/>
  <c r="CZ47" i="8"/>
  <c r="CZ48" i="8"/>
  <c r="CZ17" i="8"/>
  <c r="CZ18" i="8"/>
  <c r="CZ19" i="8"/>
  <c r="CZ20" i="8"/>
  <c r="CZ21" i="8"/>
  <c r="CZ22" i="8"/>
  <c r="CZ23" i="8"/>
  <c r="CZ24" i="8"/>
  <c r="CZ25" i="8"/>
  <c r="CZ26" i="8"/>
  <c r="CZ27" i="8"/>
  <c r="CZ28" i="8"/>
  <c r="CZ29" i="8"/>
  <c r="CZ30" i="8"/>
  <c r="CZ31" i="8"/>
  <c r="CZ32" i="8"/>
  <c r="CZ33" i="8"/>
  <c r="CZ34" i="8"/>
  <c r="CZ35" i="8"/>
  <c r="CZ36" i="8"/>
  <c r="CZ37" i="8"/>
  <c r="CZ38" i="8"/>
  <c r="CZ39" i="8"/>
  <c r="CZ40" i="8"/>
  <c r="CZ41" i="8"/>
  <c r="CZ42" i="8"/>
  <c r="CZ43" i="8"/>
  <c r="CZ44" i="8"/>
  <c r="CZ45" i="8"/>
  <c r="CZ46" i="8"/>
  <c r="CZ16" i="8"/>
  <c r="CY49" i="8"/>
  <c r="CY50" i="8"/>
  <c r="CY51" i="8"/>
  <c r="CY47" i="8"/>
  <c r="CY48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16" i="8"/>
  <c r="CX49" i="8"/>
  <c r="CX50" i="8"/>
  <c r="CX51" i="8"/>
  <c r="CX47" i="8"/>
  <c r="CX48" i="8"/>
  <c r="CX17" i="8"/>
  <c r="CX18" i="8"/>
  <c r="CX19" i="8"/>
  <c r="CX20" i="8"/>
  <c r="CX21" i="8"/>
  <c r="CX22" i="8"/>
  <c r="CX23" i="8"/>
  <c r="CX24" i="8"/>
  <c r="CX25" i="8"/>
  <c r="CX26" i="8"/>
  <c r="CX27" i="8"/>
  <c r="CX28" i="8"/>
  <c r="CX29" i="8"/>
  <c r="CX30" i="8"/>
  <c r="CX31" i="8"/>
  <c r="CX32" i="8"/>
  <c r="CX33" i="8"/>
  <c r="CX34" i="8"/>
  <c r="CX35" i="8"/>
  <c r="CX36" i="8"/>
  <c r="CX37" i="8"/>
  <c r="CX38" i="8"/>
  <c r="CX39" i="8"/>
  <c r="CX40" i="8"/>
  <c r="CX41" i="8"/>
  <c r="CX42" i="8"/>
  <c r="CX43" i="8"/>
  <c r="CX44" i="8"/>
  <c r="CX45" i="8"/>
  <c r="CX46" i="8"/>
  <c r="CX16" i="8"/>
  <c r="CW49" i="8"/>
  <c r="CW50" i="8"/>
  <c r="CW51" i="8"/>
  <c r="CW47" i="8"/>
  <c r="CW48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16" i="8"/>
  <c r="CV49" i="8"/>
  <c r="CV50" i="8"/>
  <c r="CV51" i="8"/>
  <c r="CV47" i="8"/>
  <c r="CV48" i="8"/>
  <c r="CV17" i="8"/>
  <c r="CV18" i="8"/>
  <c r="CV19" i="8"/>
  <c r="CV20" i="8"/>
  <c r="CV21" i="8"/>
  <c r="CV22" i="8"/>
  <c r="CV23" i="8"/>
  <c r="CV24" i="8"/>
  <c r="CV25" i="8"/>
  <c r="CV26" i="8"/>
  <c r="CV27" i="8"/>
  <c r="CV28" i="8"/>
  <c r="CV29" i="8"/>
  <c r="CV30" i="8"/>
  <c r="CV31" i="8"/>
  <c r="CV32" i="8"/>
  <c r="CV33" i="8"/>
  <c r="CV34" i="8"/>
  <c r="CV35" i="8"/>
  <c r="CV36" i="8"/>
  <c r="CV37" i="8"/>
  <c r="CV38" i="8"/>
  <c r="CV39" i="8"/>
  <c r="CV40" i="8"/>
  <c r="CV41" i="8"/>
  <c r="CV42" i="8"/>
  <c r="CV43" i="8"/>
  <c r="CV44" i="8"/>
  <c r="CV45" i="8"/>
  <c r="CV46" i="8"/>
  <c r="CV16" i="8"/>
  <c r="CU49" i="8"/>
  <c r="CU50" i="8"/>
  <c r="CU51" i="8"/>
  <c r="CU47" i="8"/>
  <c r="CU48" i="8"/>
  <c r="CU17" i="8"/>
  <c r="CU18" i="8"/>
  <c r="CU19" i="8"/>
  <c r="CU20" i="8"/>
  <c r="CU21" i="8"/>
  <c r="CU22" i="8"/>
  <c r="CU23" i="8"/>
  <c r="CU24" i="8"/>
  <c r="CU25" i="8"/>
  <c r="CU26" i="8"/>
  <c r="CU27" i="8"/>
  <c r="CU28" i="8"/>
  <c r="CU29" i="8"/>
  <c r="CU30" i="8"/>
  <c r="CU31" i="8"/>
  <c r="CU32" i="8"/>
  <c r="CU33" i="8"/>
  <c r="CU34" i="8"/>
  <c r="CU35" i="8"/>
  <c r="CU36" i="8"/>
  <c r="CU37" i="8"/>
  <c r="CU38" i="8"/>
  <c r="CU39" i="8"/>
  <c r="CU40" i="8"/>
  <c r="CU41" i="8"/>
  <c r="CU42" i="8"/>
  <c r="CU43" i="8"/>
  <c r="CU44" i="8"/>
  <c r="CU45" i="8"/>
  <c r="CU46" i="8"/>
  <c r="CU16" i="8"/>
  <c r="CT49" i="8"/>
  <c r="CT50" i="8"/>
  <c r="CT51" i="8"/>
  <c r="CT47" i="8"/>
  <c r="CT48" i="8"/>
  <c r="CT17" i="8"/>
  <c r="CT18" i="8"/>
  <c r="CT19" i="8"/>
  <c r="CT20" i="8"/>
  <c r="CT21" i="8"/>
  <c r="CT22" i="8"/>
  <c r="CT23" i="8"/>
  <c r="CT24" i="8"/>
  <c r="CT25" i="8"/>
  <c r="CT26" i="8"/>
  <c r="CT27" i="8"/>
  <c r="CT28" i="8"/>
  <c r="CT29" i="8"/>
  <c r="CT30" i="8"/>
  <c r="CT31" i="8"/>
  <c r="CT32" i="8"/>
  <c r="CT33" i="8"/>
  <c r="CT34" i="8"/>
  <c r="CT35" i="8"/>
  <c r="CT36" i="8"/>
  <c r="CT37" i="8"/>
  <c r="CT38" i="8"/>
  <c r="CT39" i="8"/>
  <c r="CT40" i="8"/>
  <c r="CT41" i="8"/>
  <c r="CT42" i="8"/>
  <c r="CT43" i="8"/>
  <c r="CT44" i="8"/>
  <c r="CT45" i="8"/>
  <c r="CT46" i="8"/>
  <c r="CT16" i="8"/>
  <c r="CS49" i="8"/>
  <c r="CS50" i="8"/>
  <c r="CS51" i="8"/>
  <c r="CS47" i="8"/>
  <c r="CS48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33" i="8"/>
  <c r="CS34" i="8"/>
  <c r="CS35" i="8"/>
  <c r="CS36" i="8"/>
  <c r="CS37" i="8"/>
  <c r="CS38" i="8"/>
  <c r="CS39" i="8"/>
  <c r="CS40" i="8"/>
  <c r="CS41" i="8"/>
  <c r="CS42" i="8"/>
  <c r="CS43" i="8"/>
  <c r="CS44" i="8"/>
  <c r="CS45" i="8"/>
  <c r="CS46" i="8"/>
  <c r="CS16" i="8"/>
  <c r="CR49" i="8"/>
  <c r="CR50" i="8"/>
  <c r="CR51" i="8"/>
  <c r="CR47" i="8"/>
  <c r="CR48" i="8"/>
  <c r="CR17" i="8"/>
  <c r="CR18" i="8"/>
  <c r="CR19" i="8"/>
  <c r="CR20" i="8"/>
  <c r="CR21" i="8"/>
  <c r="CR22" i="8"/>
  <c r="CR23" i="8"/>
  <c r="CR24" i="8"/>
  <c r="CR25" i="8"/>
  <c r="CR26" i="8"/>
  <c r="CR27" i="8"/>
  <c r="CR28" i="8"/>
  <c r="CR29" i="8"/>
  <c r="CR30" i="8"/>
  <c r="CR31" i="8"/>
  <c r="CR32" i="8"/>
  <c r="CR33" i="8"/>
  <c r="CR34" i="8"/>
  <c r="CR35" i="8"/>
  <c r="CR36" i="8"/>
  <c r="CR37" i="8"/>
  <c r="CR38" i="8"/>
  <c r="CR39" i="8"/>
  <c r="CR40" i="8"/>
  <c r="CR41" i="8"/>
  <c r="CR42" i="8"/>
  <c r="CR43" i="8"/>
  <c r="CR44" i="8"/>
  <c r="CR45" i="8"/>
  <c r="CR46" i="8"/>
  <c r="CR16" i="8"/>
  <c r="CQ49" i="8"/>
  <c r="CQ50" i="8"/>
  <c r="CQ51" i="8"/>
  <c r="CQ47" i="8"/>
  <c r="CQ48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16" i="8"/>
  <c r="AO145" i="5"/>
  <c r="AO144" i="5"/>
  <c r="AO143" i="5"/>
  <c r="AO142" i="5"/>
  <c r="AO141" i="5"/>
  <c r="AO140" i="5"/>
  <c r="AO139" i="5"/>
  <c r="AO138" i="5"/>
  <c r="AO137" i="5"/>
  <c r="AO136" i="5"/>
  <c r="AO135" i="5"/>
  <c r="AO134" i="5"/>
  <c r="AO133" i="5"/>
  <c r="AO132" i="5"/>
  <c r="AO131" i="5"/>
  <c r="AO130" i="5"/>
  <c r="AO129" i="5"/>
  <c r="AO128" i="5"/>
  <c r="AO127" i="5"/>
  <c r="AO126" i="5"/>
  <c r="AO125" i="5"/>
  <c r="AO124" i="5"/>
  <c r="AO123" i="5"/>
  <c r="AO122" i="5"/>
  <c r="AO121" i="5"/>
  <c r="AO120" i="5"/>
  <c r="AO119" i="5"/>
  <c r="AO118" i="5"/>
  <c r="AO117" i="5"/>
  <c r="AO116" i="5"/>
  <c r="AO115" i="5"/>
  <c r="AO114" i="5"/>
  <c r="AO113" i="5"/>
  <c r="AO112" i="5"/>
  <c r="AO111" i="5"/>
  <c r="AO110" i="5"/>
  <c r="AO109" i="5"/>
  <c r="AI145" i="5"/>
  <c r="AI144" i="5"/>
  <c r="AI143" i="5"/>
  <c r="AI142" i="5"/>
  <c r="AI141" i="5"/>
  <c r="AI140" i="5"/>
  <c r="AI139" i="5"/>
  <c r="AI138" i="5"/>
  <c r="AI137" i="5"/>
  <c r="AI136" i="5"/>
  <c r="AI135" i="5"/>
  <c r="AI134" i="5"/>
  <c r="AI133" i="5"/>
  <c r="AI132" i="5"/>
  <c r="AI131" i="5"/>
  <c r="AI130" i="5"/>
  <c r="AI129" i="5"/>
  <c r="AI128" i="5"/>
  <c r="AI127" i="5"/>
  <c r="AI126" i="5"/>
  <c r="AI125" i="5"/>
  <c r="AI124" i="5"/>
  <c r="AI123" i="5"/>
  <c r="AI122" i="5"/>
  <c r="AI121" i="5"/>
  <c r="AI120" i="5"/>
  <c r="AI119" i="5"/>
  <c r="AI118" i="5"/>
  <c r="AI117" i="5"/>
  <c r="AI116" i="5"/>
  <c r="AI115" i="5"/>
  <c r="AI114" i="5"/>
  <c r="AI113" i="5"/>
  <c r="AI112" i="5"/>
  <c r="AI111" i="5"/>
  <c r="AI110" i="5"/>
  <c r="AI109" i="5"/>
  <c r="Q9" i="5" l="1"/>
  <c r="Z43" i="5" l="1"/>
  <c r="Z35" i="5"/>
  <c r="Z27" i="5"/>
  <c r="Z19" i="5"/>
  <c r="Z11" i="5"/>
  <c r="U47" i="5"/>
  <c r="U39" i="5"/>
  <c r="U31" i="5"/>
  <c r="U23" i="5"/>
  <c r="U15" i="5"/>
  <c r="U7" i="5"/>
  <c r="Z42" i="5"/>
  <c r="Z34" i="5"/>
  <c r="Z26" i="5"/>
  <c r="Z18" i="5"/>
  <c r="Z10" i="5"/>
  <c r="U46" i="5"/>
  <c r="U38" i="5"/>
  <c r="U30" i="5"/>
  <c r="U22" i="5"/>
  <c r="U14" i="5"/>
  <c r="U6" i="5"/>
  <c r="U20" i="5"/>
  <c r="Z47" i="5"/>
  <c r="Z39" i="5"/>
  <c r="Z31" i="5"/>
  <c r="Z23" i="5"/>
  <c r="Z15" i="5"/>
  <c r="Z7" i="5"/>
  <c r="U43" i="5"/>
  <c r="U35" i="5"/>
  <c r="U27" i="5"/>
  <c r="U19" i="5"/>
  <c r="U12" i="5"/>
  <c r="Z49" i="5"/>
  <c r="Z41" i="5"/>
  <c r="Z33" i="5"/>
  <c r="Z25" i="5"/>
  <c r="Z17" i="5"/>
  <c r="Z9" i="5"/>
  <c r="U45" i="5"/>
  <c r="U37" i="5"/>
  <c r="U29" i="5"/>
  <c r="U21" i="5"/>
  <c r="U13" i="5"/>
  <c r="U5" i="5"/>
  <c r="Z46" i="5"/>
  <c r="Z38" i="5"/>
  <c r="Z30" i="5"/>
  <c r="Z22" i="5"/>
  <c r="Z14" i="5"/>
  <c r="Z6" i="5"/>
  <c r="U42" i="5"/>
  <c r="U34" i="5"/>
  <c r="U26" i="5"/>
  <c r="U18" i="5"/>
  <c r="U10" i="5"/>
  <c r="U25" i="5"/>
  <c r="U9" i="5"/>
  <c r="Z45" i="5"/>
  <c r="Z37" i="5"/>
  <c r="Z29" i="5"/>
  <c r="Z21" i="5"/>
  <c r="Z13" i="5"/>
  <c r="Z5" i="5"/>
  <c r="U41" i="5"/>
  <c r="U33" i="5"/>
  <c r="U17" i="5"/>
  <c r="Z44" i="5"/>
  <c r="Z36" i="5"/>
  <c r="Z28" i="5"/>
  <c r="Z20" i="5"/>
  <c r="Z12" i="5"/>
  <c r="U48" i="5"/>
  <c r="U40" i="5"/>
  <c r="U32" i="5"/>
  <c r="U24" i="5"/>
  <c r="U16" i="5"/>
  <c r="U8" i="5"/>
  <c r="Z48" i="5"/>
  <c r="Z40" i="5"/>
  <c r="Z32" i="5"/>
  <c r="Z24" i="5"/>
  <c r="Z16" i="5"/>
  <c r="Z8" i="5"/>
  <c r="U44" i="5"/>
  <c r="U36" i="5"/>
  <c r="U28" i="5"/>
  <c r="U49" i="5"/>
  <c r="U11" i="5"/>
  <c r="AJ24" i="5"/>
  <c r="Z138" i="5"/>
  <c r="Z130" i="5"/>
  <c r="Z122" i="5"/>
  <c r="Z114" i="5"/>
  <c r="U144" i="5"/>
  <c r="U136" i="5"/>
  <c r="U128" i="5"/>
  <c r="U120" i="5"/>
  <c r="U112" i="5"/>
  <c r="Z145" i="5"/>
  <c r="Z137" i="5"/>
  <c r="Z129" i="5"/>
  <c r="Z121" i="5"/>
  <c r="Z113" i="5"/>
  <c r="U143" i="5"/>
  <c r="U135" i="5"/>
  <c r="U127" i="5"/>
  <c r="U119" i="5"/>
  <c r="U111" i="5"/>
  <c r="Z144" i="5"/>
  <c r="Z136" i="5"/>
  <c r="Z128" i="5"/>
  <c r="Z120" i="5"/>
  <c r="Z112" i="5"/>
  <c r="U142" i="5"/>
  <c r="U134" i="5"/>
  <c r="U126" i="5"/>
  <c r="U118" i="5"/>
  <c r="U110" i="5"/>
  <c r="Z124" i="5"/>
  <c r="U138" i="5"/>
  <c r="Z143" i="5"/>
  <c r="Z135" i="5"/>
  <c r="Z127" i="5"/>
  <c r="Z119" i="5"/>
  <c r="Z111" i="5"/>
  <c r="U141" i="5"/>
  <c r="U133" i="5"/>
  <c r="U125" i="5"/>
  <c r="U117" i="5"/>
  <c r="Z132" i="5"/>
  <c r="U145" i="5"/>
  <c r="Z142" i="5"/>
  <c r="Z134" i="5"/>
  <c r="Z126" i="5"/>
  <c r="Z118" i="5"/>
  <c r="Z110" i="5"/>
  <c r="U140" i="5"/>
  <c r="U132" i="5"/>
  <c r="U124" i="5"/>
  <c r="U116" i="5"/>
  <c r="U122" i="5"/>
  <c r="Z141" i="5"/>
  <c r="Z133" i="5"/>
  <c r="Z125" i="5"/>
  <c r="Z117" i="5"/>
  <c r="Z109" i="5"/>
  <c r="U139" i="5"/>
  <c r="U131" i="5"/>
  <c r="U123" i="5"/>
  <c r="U115" i="5"/>
  <c r="Z140" i="5"/>
  <c r="Z116" i="5"/>
  <c r="U114" i="5"/>
  <c r="Z139" i="5"/>
  <c r="Z131" i="5"/>
  <c r="Z123" i="5"/>
  <c r="Z115" i="5"/>
  <c r="U109" i="5"/>
  <c r="U137" i="5"/>
  <c r="U129" i="5"/>
  <c r="U121" i="5"/>
  <c r="U113" i="5"/>
  <c r="U130" i="5"/>
  <c r="K69" i="8"/>
  <c r="F69" i="8"/>
  <c r="AJ9" i="5"/>
  <c r="AJ15" i="5"/>
  <c r="AJ41" i="5"/>
  <c r="AJ18" i="5"/>
  <c r="AJ32" i="5"/>
  <c r="AJ27" i="5"/>
  <c r="AJ35" i="5"/>
  <c r="AJ6" i="5"/>
  <c r="AJ44" i="5"/>
  <c r="AJ97" i="5" s="1"/>
  <c r="G109" i="8" s="1"/>
  <c r="AJ25" i="5"/>
  <c r="AJ5" i="5"/>
  <c r="AJ48" i="5"/>
  <c r="AJ101" i="5" s="1"/>
  <c r="G113" i="8" s="1"/>
  <c r="AJ22" i="5"/>
  <c r="AJ42" i="5"/>
  <c r="AJ95" i="5" s="1"/>
  <c r="G107" i="8" s="1"/>
  <c r="AJ47" i="5"/>
  <c r="AJ100" i="5" s="1"/>
  <c r="G112" i="8" s="1"/>
  <c r="AJ33" i="5"/>
  <c r="AJ20" i="5"/>
  <c r="AJ29" i="5"/>
  <c r="AJ38" i="5"/>
  <c r="AJ8" i="5"/>
  <c r="AJ40" i="5"/>
  <c r="AJ43" i="5"/>
  <c r="AJ96" i="5" s="1"/>
  <c r="G108" i="8" s="1"/>
  <c r="AJ31" i="5"/>
  <c r="AJ17" i="5"/>
  <c r="AJ13" i="5"/>
  <c r="AJ12" i="5"/>
  <c r="AJ30" i="5"/>
  <c r="AJ11" i="5"/>
  <c r="AJ28" i="5"/>
  <c r="AJ37" i="5"/>
  <c r="AJ46" i="5"/>
  <c r="AJ99" i="5" s="1"/>
  <c r="G111" i="8" s="1"/>
  <c r="AJ16" i="5"/>
  <c r="AJ23" i="5"/>
  <c r="AJ26" i="5"/>
  <c r="AJ85" i="5" s="1"/>
  <c r="G97" i="8" s="1"/>
  <c r="AJ14" i="5"/>
  <c r="AJ34" i="5"/>
  <c r="AJ39" i="5"/>
  <c r="AJ21" i="5"/>
  <c r="AJ10" i="5"/>
  <c r="AJ19" i="5"/>
  <c r="AJ36" i="5"/>
  <c r="AJ45" i="5"/>
  <c r="AJ98" i="5" s="1"/>
  <c r="G110" i="8" s="1"/>
  <c r="AJ7" i="5"/>
  <c r="S11" i="5" l="1"/>
  <c r="S28" i="5"/>
  <c r="X48" i="5"/>
  <c r="X20" i="5"/>
  <c r="X13" i="5"/>
  <c r="S18" i="5"/>
  <c r="X38" i="5"/>
  <c r="X9" i="5"/>
  <c r="S27" i="5"/>
  <c r="X47" i="5"/>
  <c r="X10" i="5"/>
  <c r="S31" i="5"/>
  <c r="S36" i="5"/>
  <c r="S8" i="5"/>
  <c r="X28" i="5"/>
  <c r="X21" i="5"/>
  <c r="S26" i="5"/>
  <c r="X46" i="5"/>
  <c r="X17" i="5"/>
  <c r="S35" i="5"/>
  <c r="S20" i="5"/>
  <c r="X18" i="5"/>
  <c r="S39" i="5"/>
  <c r="S44" i="5"/>
  <c r="S16" i="5"/>
  <c r="X36" i="5"/>
  <c r="X29" i="5"/>
  <c r="S34" i="5"/>
  <c r="U50" i="5"/>
  <c r="S5" i="5"/>
  <c r="X25" i="5"/>
  <c r="S43" i="5"/>
  <c r="S6" i="5"/>
  <c r="X26" i="5"/>
  <c r="S47" i="5"/>
  <c r="X8" i="5"/>
  <c r="S24" i="5"/>
  <c r="X44" i="5"/>
  <c r="X37" i="5"/>
  <c r="S42" i="5"/>
  <c r="S13" i="5"/>
  <c r="X33" i="5"/>
  <c r="X7" i="5"/>
  <c r="S14" i="5"/>
  <c r="X34" i="5"/>
  <c r="X11" i="5"/>
  <c r="X16" i="5"/>
  <c r="S32" i="5"/>
  <c r="S17" i="5"/>
  <c r="X45" i="5"/>
  <c r="X6" i="5"/>
  <c r="S21" i="5"/>
  <c r="X41" i="5"/>
  <c r="X15" i="5"/>
  <c r="S22" i="5"/>
  <c r="X42" i="5"/>
  <c r="X19" i="5"/>
  <c r="AJ86" i="5"/>
  <c r="G98" i="8" s="1"/>
  <c r="X24" i="5"/>
  <c r="S40" i="5"/>
  <c r="S33" i="5"/>
  <c r="S9" i="5"/>
  <c r="X14" i="5"/>
  <c r="S29" i="5"/>
  <c r="X49" i="5"/>
  <c r="X23" i="5"/>
  <c r="S30" i="5"/>
  <c r="S7" i="5"/>
  <c r="X27" i="5"/>
  <c r="X32" i="5"/>
  <c r="S48" i="5"/>
  <c r="S41" i="5"/>
  <c r="S25" i="5"/>
  <c r="X22" i="5"/>
  <c r="S37" i="5"/>
  <c r="S12" i="5"/>
  <c r="X31" i="5"/>
  <c r="S38" i="5"/>
  <c r="S15" i="5"/>
  <c r="X35" i="5"/>
  <c r="S49" i="5"/>
  <c r="X40" i="5"/>
  <c r="X12" i="5"/>
  <c r="X5" i="5"/>
  <c r="Z50" i="5"/>
  <c r="AA44" i="5" s="1"/>
  <c r="S10" i="5"/>
  <c r="X30" i="5"/>
  <c r="S45" i="5"/>
  <c r="S19" i="5"/>
  <c r="X39" i="5"/>
  <c r="S46" i="5"/>
  <c r="S23" i="5"/>
  <c r="X43" i="5"/>
  <c r="AJ88" i="5"/>
  <c r="G100" i="8" s="1"/>
  <c r="AJ84" i="5"/>
  <c r="G96" i="8" s="1"/>
  <c r="AJ80" i="5"/>
  <c r="G92" i="8" s="1"/>
  <c r="AJ91" i="5"/>
  <c r="G103" i="8" s="1"/>
  <c r="AJ92" i="5"/>
  <c r="G104" i="8" s="1"/>
  <c r="AJ69" i="5"/>
  <c r="G81" i="8" s="1"/>
  <c r="AJ78" i="5"/>
  <c r="G90" i="8" s="1"/>
  <c r="AJ65" i="5"/>
  <c r="G77" i="8" s="1"/>
  <c r="AJ66" i="5"/>
  <c r="G78" i="8" s="1"/>
  <c r="AJ79" i="5"/>
  <c r="G91" i="8" s="1"/>
  <c r="AJ74" i="5"/>
  <c r="G86" i="8" s="1"/>
  <c r="AJ59" i="5"/>
  <c r="G71" i="8" s="1"/>
  <c r="AJ94" i="5"/>
  <c r="G106" i="8" s="1"/>
  <c r="AJ87" i="5"/>
  <c r="G99" i="8" s="1"/>
  <c r="AJ90" i="5"/>
  <c r="G102" i="8" s="1"/>
  <c r="AJ58" i="5"/>
  <c r="G70" i="8" s="1"/>
  <c r="AJ82" i="5"/>
  <c r="G94" i="8" s="1"/>
  <c r="AJ81" i="5"/>
  <c r="G93" i="8" s="1"/>
  <c r="AJ72" i="5"/>
  <c r="G84" i="8" s="1"/>
  <c r="AJ89" i="5"/>
  <c r="G101" i="8" s="1"/>
  <c r="AJ71" i="5"/>
  <c r="G83" i="8" s="1"/>
  <c r="AJ93" i="5"/>
  <c r="G105" i="8" s="1"/>
  <c r="AJ75" i="5"/>
  <c r="G87" i="8" s="1"/>
  <c r="AJ76" i="5"/>
  <c r="G88" i="8" s="1"/>
  <c r="AJ73" i="5"/>
  <c r="G85" i="8" s="1"/>
  <c r="AJ77" i="5"/>
  <c r="G89" i="8" s="1"/>
  <c r="AJ70" i="5"/>
  <c r="G82" i="8" s="1"/>
  <c r="AJ83" i="5"/>
  <c r="G95" i="8" s="1"/>
  <c r="AJ60" i="5"/>
  <c r="G72" i="8" s="1"/>
  <c r="AJ67" i="5"/>
  <c r="G79" i="8" s="1"/>
  <c r="AJ63" i="5"/>
  <c r="G75" i="8" s="1"/>
  <c r="AJ64" i="5"/>
  <c r="G76" i="8" s="1"/>
  <c r="AJ61" i="5"/>
  <c r="G73" i="8" s="1"/>
  <c r="AJ62" i="5"/>
  <c r="G74" i="8" s="1"/>
  <c r="AJ68" i="5"/>
  <c r="G80" i="8" s="1"/>
  <c r="Z147" i="5"/>
  <c r="U147" i="5"/>
  <c r="G69" i="8"/>
  <c r="AA39" i="5" l="1"/>
  <c r="AA12" i="5"/>
  <c r="AA31" i="5"/>
  <c r="AA16" i="5"/>
  <c r="AA35" i="5"/>
  <c r="AA22" i="5"/>
  <c r="AA5" i="5"/>
  <c r="AA23" i="5"/>
  <c r="AA19" i="5"/>
  <c r="AA27" i="5"/>
  <c r="AA14" i="5"/>
  <c r="AA43" i="5"/>
  <c r="AA30" i="5"/>
  <c r="AA40" i="5"/>
  <c r="AA32" i="5"/>
  <c r="AA49" i="5"/>
  <c r="AA62" i="5" s="1"/>
  <c r="L74" i="7" s="1"/>
  <c r="AA24" i="5"/>
  <c r="AA15" i="5"/>
  <c r="AA37" i="5"/>
  <c r="AA29" i="5"/>
  <c r="AA21" i="5"/>
  <c r="AA47" i="5"/>
  <c r="AA13" i="5"/>
  <c r="AA41" i="5"/>
  <c r="AA7" i="5"/>
  <c r="AA36" i="5"/>
  <c r="AA28" i="5"/>
  <c r="AA25" i="5"/>
  <c r="AA17" i="5"/>
  <c r="AA20" i="5"/>
  <c r="AA33" i="5"/>
  <c r="AA8" i="5"/>
  <c r="AA9" i="5"/>
  <c r="Y68" i="5"/>
  <c r="J80" i="7" s="1"/>
  <c r="Z57" i="5"/>
  <c r="K69" i="7" s="1"/>
  <c r="Y89" i="5"/>
  <c r="J101" i="7" s="1"/>
  <c r="Z70" i="5"/>
  <c r="K82" i="7" s="1"/>
  <c r="Z101" i="5"/>
  <c r="K113" i="7" s="1"/>
  <c r="Z69" i="5"/>
  <c r="K81" i="7" s="1"/>
  <c r="Y82" i="5"/>
  <c r="J94" i="7" s="1"/>
  <c r="Y92" i="5"/>
  <c r="J104" i="7" s="1"/>
  <c r="Z91" i="5"/>
  <c r="K103" i="7" s="1"/>
  <c r="Y96" i="5"/>
  <c r="J108" i="7" s="1"/>
  <c r="Z100" i="5"/>
  <c r="K112" i="7" s="1"/>
  <c r="Y63" i="5"/>
  <c r="J75" i="7" s="1"/>
  <c r="Z66" i="5"/>
  <c r="K78" i="7" s="1"/>
  <c r="Y88" i="5"/>
  <c r="J100" i="7" s="1"/>
  <c r="Z97" i="5"/>
  <c r="K109" i="7" s="1"/>
  <c r="Z65" i="5"/>
  <c r="K77" i="7" s="1"/>
  <c r="Y78" i="5"/>
  <c r="J90" i="7" s="1"/>
  <c r="Y87" i="5"/>
  <c r="J99" i="7" s="1"/>
  <c r="Z86" i="5"/>
  <c r="K98" i="7" s="1"/>
  <c r="Y91" i="5"/>
  <c r="J103" i="7" s="1"/>
  <c r="Z95" i="5"/>
  <c r="K107" i="7" s="1"/>
  <c r="Y100" i="5"/>
  <c r="J112" i="7" s="1"/>
  <c r="Y57" i="5"/>
  <c r="J69" i="7" s="1"/>
  <c r="Z62" i="5"/>
  <c r="K74" i="7" s="1"/>
  <c r="Y61" i="5"/>
  <c r="J73" i="7" s="1"/>
  <c r="Z60" i="5"/>
  <c r="K72" i="7" s="1"/>
  <c r="Y70" i="5"/>
  <c r="J82" i="7" s="1"/>
  <c r="Z84" i="5"/>
  <c r="K96" i="7" s="1"/>
  <c r="Y66" i="5"/>
  <c r="J78" i="7" s="1"/>
  <c r="Y84" i="5"/>
  <c r="J96" i="7" s="1"/>
  <c r="Z93" i="5"/>
  <c r="K105" i="7" s="1"/>
  <c r="Z61" i="5"/>
  <c r="K73" i="7" s="1"/>
  <c r="Y74" i="5"/>
  <c r="J86" i="7" s="1"/>
  <c r="Y81" i="5"/>
  <c r="J93" i="7" s="1"/>
  <c r="Z80" i="5"/>
  <c r="K92" i="7" s="1"/>
  <c r="Y85" i="5"/>
  <c r="J97" i="7" s="1"/>
  <c r="Z90" i="5"/>
  <c r="K102" i="7" s="1"/>
  <c r="Y95" i="5"/>
  <c r="J107" i="7" s="1"/>
  <c r="Z99" i="5"/>
  <c r="K111" i="7" s="1"/>
  <c r="Y99" i="5"/>
  <c r="J111" i="7" s="1"/>
  <c r="Z98" i="5"/>
  <c r="K110" i="7" s="1"/>
  <c r="Z75" i="5"/>
  <c r="K87" i="7" s="1"/>
  <c r="Y93" i="5"/>
  <c r="J105" i="7" s="1"/>
  <c r="Y75" i="5"/>
  <c r="J87" i="7" s="1"/>
  <c r="Z87" i="5"/>
  <c r="K99" i="7" s="1"/>
  <c r="Z81" i="5"/>
  <c r="K93" i="7" s="1"/>
  <c r="Y94" i="5"/>
  <c r="J106" i="7" s="1"/>
  <c r="Y62" i="5"/>
  <c r="J74" i="7" s="1"/>
  <c r="Y65" i="5"/>
  <c r="J77" i="7" s="1"/>
  <c r="Z64" i="5"/>
  <c r="K76" i="7" s="1"/>
  <c r="Y69" i="5"/>
  <c r="J81" i="7" s="1"/>
  <c r="Z74" i="5"/>
  <c r="K86" i="7" s="1"/>
  <c r="Y79" i="5"/>
  <c r="J91" i="7" s="1"/>
  <c r="Z83" i="5"/>
  <c r="K95" i="7" s="1"/>
  <c r="Y83" i="5"/>
  <c r="J95" i="7" s="1"/>
  <c r="Z82" i="5"/>
  <c r="K94" i="7" s="1"/>
  <c r="Y59" i="5"/>
  <c r="J71" i="7" s="1"/>
  <c r="Y72" i="5"/>
  <c r="J84" i="7" s="1"/>
  <c r="Z58" i="5"/>
  <c r="K70" i="7" s="1"/>
  <c r="Y67" i="5"/>
  <c r="J79" i="7" s="1"/>
  <c r="Z89" i="5"/>
  <c r="K101" i="7" s="1"/>
  <c r="Y80" i="5"/>
  <c r="J92" i="7" s="1"/>
  <c r="Z92" i="5"/>
  <c r="K104" i="7" s="1"/>
  <c r="Y98" i="5"/>
  <c r="J110" i="7" s="1"/>
  <c r="Z79" i="5"/>
  <c r="K91" i="7" s="1"/>
  <c r="Z77" i="5"/>
  <c r="K89" i="7" s="1"/>
  <c r="Y90" i="5"/>
  <c r="J102" i="7" s="1"/>
  <c r="Y58" i="5"/>
  <c r="J70" i="7" s="1"/>
  <c r="Y60" i="5"/>
  <c r="J72" i="7" s="1"/>
  <c r="Z59" i="5"/>
  <c r="K71" i="7" s="1"/>
  <c r="Y64" i="5"/>
  <c r="J76" i="7" s="1"/>
  <c r="Z68" i="5"/>
  <c r="K80" i="7" s="1"/>
  <c r="Y73" i="5"/>
  <c r="J85" i="7" s="1"/>
  <c r="Z78" i="5"/>
  <c r="K90" i="7" s="1"/>
  <c r="Y77" i="5"/>
  <c r="J89" i="7" s="1"/>
  <c r="Z76" i="5"/>
  <c r="K88" i="7" s="1"/>
  <c r="Z73" i="5"/>
  <c r="K85" i="7" s="1"/>
  <c r="Y86" i="5"/>
  <c r="J98" i="7" s="1"/>
  <c r="Y97" i="5"/>
  <c r="J109" i="7" s="1"/>
  <c r="Z96" i="5"/>
  <c r="K108" i="7" s="1"/>
  <c r="Y101" i="5"/>
  <c r="J113" i="7" s="1"/>
  <c r="Z63" i="5"/>
  <c r="K75" i="7" s="1"/>
  <c r="Z72" i="5"/>
  <c r="K84" i="7" s="1"/>
  <c r="Z71" i="5"/>
  <c r="K83" i="7" s="1"/>
  <c r="Z67" i="5"/>
  <c r="K79" i="7" s="1"/>
  <c r="Y76" i="5"/>
  <c r="J88" i="7" s="1"/>
  <c r="Z94" i="5"/>
  <c r="K106" i="7" s="1"/>
  <c r="Z85" i="5"/>
  <c r="K97" i="7" s="1"/>
  <c r="Y71" i="5"/>
  <c r="J83" i="7" s="1"/>
  <c r="Z88" i="5"/>
  <c r="K100" i="7" s="1"/>
  <c r="AA42" i="5"/>
  <c r="AA6" i="5"/>
  <c r="AA11" i="5"/>
  <c r="U70" i="5"/>
  <c r="F82" i="7" s="1"/>
  <c r="T94" i="5"/>
  <c r="E106" i="7" s="1"/>
  <c r="T57" i="5"/>
  <c r="E69" i="7" s="1"/>
  <c r="U65" i="5"/>
  <c r="F77" i="7" s="1"/>
  <c r="U69" i="5"/>
  <c r="F81" i="7" s="1"/>
  <c r="U73" i="5"/>
  <c r="F85" i="7" s="1"/>
  <c r="U77" i="5"/>
  <c r="F89" i="7" s="1"/>
  <c r="T86" i="5"/>
  <c r="E98" i="7" s="1"/>
  <c r="T96" i="5"/>
  <c r="E108" i="7" s="1"/>
  <c r="T58" i="5"/>
  <c r="E70" i="7" s="1"/>
  <c r="T67" i="5"/>
  <c r="E79" i="7" s="1"/>
  <c r="U86" i="5"/>
  <c r="F98" i="7" s="1"/>
  <c r="T88" i="5"/>
  <c r="E100" i="7" s="1"/>
  <c r="T85" i="5"/>
  <c r="E97" i="7" s="1"/>
  <c r="U83" i="5"/>
  <c r="F95" i="7" s="1"/>
  <c r="U98" i="5"/>
  <c r="F110" i="7" s="1"/>
  <c r="U66" i="5"/>
  <c r="F78" i="7" s="1"/>
  <c r="T89" i="5"/>
  <c r="E101" i="7" s="1"/>
  <c r="U99" i="5"/>
  <c r="F111" i="7" s="1"/>
  <c r="T61" i="5"/>
  <c r="E73" i="7" s="1"/>
  <c r="T65" i="5"/>
  <c r="E77" i="7" s="1"/>
  <c r="T69" i="5"/>
  <c r="E81" i="7" s="1"/>
  <c r="T73" i="5"/>
  <c r="E85" i="7" s="1"/>
  <c r="U81" i="5"/>
  <c r="F93" i="7" s="1"/>
  <c r="T90" i="5"/>
  <c r="E102" i="7" s="1"/>
  <c r="U100" i="5"/>
  <c r="F112" i="7" s="1"/>
  <c r="T62" i="5"/>
  <c r="E74" i="7" s="1"/>
  <c r="U101" i="5"/>
  <c r="F113" i="7" s="1"/>
  <c r="U94" i="5"/>
  <c r="F106" i="7" s="1"/>
  <c r="U62" i="5"/>
  <c r="F74" i="7" s="1"/>
  <c r="U84" i="5"/>
  <c r="F96" i="7" s="1"/>
  <c r="U93" i="5"/>
  <c r="F105" i="7" s="1"/>
  <c r="T98" i="5"/>
  <c r="E110" i="7" s="1"/>
  <c r="U60" i="5"/>
  <c r="F72" i="7" s="1"/>
  <c r="U64" i="5"/>
  <c r="F76" i="7" s="1"/>
  <c r="U68" i="5"/>
  <c r="F80" i="7" s="1"/>
  <c r="T77" i="5"/>
  <c r="E89" i="7" s="1"/>
  <c r="U85" i="5"/>
  <c r="F97" i="7" s="1"/>
  <c r="U95" i="5"/>
  <c r="F107" i="7" s="1"/>
  <c r="U57" i="5"/>
  <c r="F69" i="7" s="1"/>
  <c r="T97" i="5"/>
  <c r="E109" i="7" s="1"/>
  <c r="U79" i="5"/>
  <c r="F91" i="7" s="1"/>
  <c r="U80" i="5"/>
  <c r="F92" i="7" s="1"/>
  <c r="U90" i="5"/>
  <c r="F102" i="7" s="1"/>
  <c r="U58" i="5"/>
  <c r="F70" i="7" s="1"/>
  <c r="T80" i="5"/>
  <c r="E92" i="7" s="1"/>
  <c r="U88" i="5"/>
  <c r="F100" i="7" s="1"/>
  <c r="T93" i="5"/>
  <c r="E105" i="7" s="1"/>
  <c r="U97" i="5"/>
  <c r="F109" i="7" s="1"/>
  <c r="T60" i="5"/>
  <c r="E72" i="7" s="1"/>
  <c r="T64" i="5"/>
  <c r="E76" i="7" s="1"/>
  <c r="U72" i="5"/>
  <c r="F84" i="7" s="1"/>
  <c r="T81" i="5"/>
  <c r="E93" i="7" s="1"/>
  <c r="U89" i="5"/>
  <c r="F101" i="7" s="1"/>
  <c r="T99" i="5"/>
  <c r="E111" i="7" s="1"/>
  <c r="T84" i="5"/>
  <c r="E96" i="7" s="1"/>
  <c r="U59" i="5"/>
  <c r="F71" i="7" s="1"/>
  <c r="U82" i="5"/>
  <c r="F94" i="7" s="1"/>
  <c r="T95" i="5"/>
  <c r="E107" i="7" s="1"/>
  <c r="U87" i="5"/>
  <c r="F99" i="7" s="1"/>
  <c r="U63" i="5"/>
  <c r="F75" i="7" s="1"/>
  <c r="U78" i="5"/>
  <c r="F90" i="7" s="1"/>
  <c r="T91" i="5"/>
  <c r="E103" i="7" s="1"/>
  <c r="T66" i="5"/>
  <c r="E78" i="7" s="1"/>
  <c r="T75" i="5"/>
  <c r="E87" i="7" s="1"/>
  <c r="T79" i="5"/>
  <c r="E91" i="7" s="1"/>
  <c r="T83" i="5"/>
  <c r="E95" i="7" s="1"/>
  <c r="T87" i="5"/>
  <c r="E99" i="7" s="1"/>
  <c r="U96" i="5"/>
  <c r="F108" i="7" s="1"/>
  <c r="T59" i="5"/>
  <c r="E71" i="7" s="1"/>
  <c r="U67" i="5"/>
  <c r="F79" i="7" s="1"/>
  <c r="T76" i="5"/>
  <c r="E88" i="7" s="1"/>
  <c r="U75" i="5"/>
  <c r="F87" i="7" s="1"/>
  <c r="U92" i="5"/>
  <c r="F104" i="7" s="1"/>
  <c r="U76" i="5"/>
  <c r="F88" i="7" s="1"/>
  <c r="U74" i="5"/>
  <c r="F86" i="7" s="1"/>
  <c r="T100" i="5"/>
  <c r="E112" i="7" s="1"/>
  <c r="U61" i="5"/>
  <c r="F73" i="7" s="1"/>
  <c r="T70" i="5"/>
  <c r="E82" i="7" s="1"/>
  <c r="T74" i="5"/>
  <c r="E86" i="7" s="1"/>
  <c r="T78" i="5"/>
  <c r="E90" i="7" s="1"/>
  <c r="T82" i="5"/>
  <c r="E94" i="7" s="1"/>
  <c r="U91" i="5"/>
  <c r="F103" i="7" s="1"/>
  <c r="T101" i="5"/>
  <c r="E113" i="7" s="1"/>
  <c r="T63" i="5"/>
  <c r="E75" i="7" s="1"/>
  <c r="U71" i="5"/>
  <c r="F83" i="7" s="1"/>
  <c r="T68" i="5"/>
  <c r="E80" i="7" s="1"/>
  <c r="T71" i="5"/>
  <c r="E83" i="7" s="1"/>
  <c r="T92" i="5"/>
  <c r="E104" i="7" s="1"/>
  <c r="T72" i="5"/>
  <c r="E84" i="7" s="1"/>
  <c r="AA46" i="5"/>
  <c r="AA48" i="5"/>
  <c r="AA38" i="5"/>
  <c r="AA45" i="5"/>
  <c r="AA34" i="5"/>
  <c r="AA26" i="5"/>
  <c r="AA18" i="5"/>
  <c r="AA10" i="5"/>
  <c r="V49" i="5"/>
  <c r="AA109" i="5"/>
  <c r="AA125" i="5"/>
  <c r="AA135" i="5"/>
  <c r="AA136" i="5"/>
  <c r="AA122" i="5"/>
  <c r="AA117" i="5"/>
  <c r="AA127" i="5"/>
  <c r="AA121" i="5"/>
  <c r="AA138" i="5"/>
  <c r="AA143" i="5"/>
  <c r="AA140" i="5"/>
  <c r="AA111" i="5"/>
  <c r="AA123" i="5"/>
  <c r="AA131" i="5"/>
  <c r="AA128" i="5"/>
  <c r="AA113" i="5"/>
  <c r="AA126" i="5"/>
  <c r="AA132" i="5"/>
  <c r="AA115" i="5"/>
  <c r="AA119" i="5"/>
  <c r="AA134" i="5"/>
  <c r="AA124" i="5"/>
  <c r="AA141" i="5"/>
  <c r="AA120" i="5"/>
  <c r="AA114" i="5"/>
  <c r="AA118" i="5"/>
  <c r="AA110" i="5"/>
  <c r="AA112" i="5"/>
  <c r="AA130" i="5"/>
  <c r="AA137" i="5"/>
  <c r="AA142" i="5"/>
  <c r="AA133" i="5"/>
  <c r="AA145" i="5"/>
  <c r="AA144" i="5"/>
  <c r="AA129" i="5"/>
  <c r="AA116" i="5"/>
  <c r="AA139" i="5"/>
  <c r="V109" i="5"/>
  <c r="V126" i="5"/>
  <c r="V127" i="5"/>
  <c r="V128" i="5"/>
  <c r="V130" i="5"/>
  <c r="V117" i="5"/>
  <c r="V134" i="5"/>
  <c r="V135" i="5"/>
  <c r="V136" i="5"/>
  <c r="V138" i="5"/>
  <c r="V141" i="5"/>
  <c r="V111" i="5"/>
  <c r="V114" i="5"/>
  <c r="V142" i="5"/>
  <c r="V143" i="5"/>
  <c r="V144" i="5"/>
  <c r="V115" i="5"/>
  <c r="V129" i="5"/>
  <c r="V121" i="5"/>
  <c r="V137" i="5"/>
  <c r="V139" i="5"/>
  <c r="V131" i="5"/>
  <c r="V116" i="5"/>
  <c r="V145" i="5"/>
  <c r="V125" i="5"/>
  <c r="V110" i="5"/>
  <c r="V112" i="5"/>
  <c r="V132" i="5"/>
  <c r="V133" i="5"/>
  <c r="V118" i="5"/>
  <c r="V119" i="5"/>
  <c r="V120" i="5"/>
  <c r="V122" i="5"/>
  <c r="V140" i="5"/>
  <c r="V113" i="5"/>
  <c r="V123" i="5"/>
  <c r="V124" i="5"/>
  <c r="AM135" i="5"/>
  <c r="AM133" i="5"/>
  <c r="AM131" i="5"/>
  <c r="AM130" i="5"/>
  <c r="AM132" i="5"/>
  <c r="AM137" i="5"/>
  <c r="AM134" i="5"/>
  <c r="AM136" i="5"/>
  <c r="AG133" i="5"/>
  <c r="AG134" i="5"/>
  <c r="AG130" i="5"/>
  <c r="AG137" i="5"/>
  <c r="AG136" i="5"/>
  <c r="AG132" i="5"/>
  <c r="AG135" i="5"/>
  <c r="AG131" i="5"/>
  <c r="AG111" i="5"/>
  <c r="AG115" i="5"/>
  <c r="AG123" i="5"/>
  <c r="AG139" i="5"/>
  <c r="AG145" i="5"/>
  <c r="AG116" i="5"/>
  <c r="AG124" i="5"/>
  <c r="AG140" i="5"/>
  <c r="AM141" i="5"/>
  <c r="AM117" i="5"/>
  <c r="AM125" i="5"/>
  <c r="AG143" i="5"/>
  <c r="AM122" i="5"/>
  <c r="AG121" i="5"/>
  <c r="AG129" i="5"/>
  <c r="AG119" i="5"/>
  <c r="AM114" i="5"/>
  <c r="AG114" i="5"/>
  <c r="AG122" i="5"/>
  <c r="AG138" i="5"/>
  <c r="AG113" i="5"/>
  <c r="AM110" i="5"/>
  <c r="AM126" i="5"/>
  <c r="AM140" i="5"/>
  <c r="AM111" i="5"/>
  <c r="AM119" i="5"/>
  <c r="AM138" i="5"/>
  <c r="AM118" i="5"/>
  <c r="AM112" i="5"/>
  <c r="AM120" i="5"/>
  <c r="AM128" i="5"/>
  <c r="AM144" i="5"/>
  <c r="AM124" i="5"/>
  <c r="AM142" i="5"/>
  <c r="AG127" i="5"/>
  <c r="AG112" i="5"/>
  <c r="AG120" i="5"/>
  <c r="AG128" i="5"/>
  <c r="AG144" i="5"/>
  <c r="AM116" i="5"/>
  <c r="AM139" i="5"/>
  <c r="AM123" i="5"/>
  <c r="AM115" i="5"/>
  <c r="AG142" i="5"/>
  <c r="AG126" i="5"/>
  <c r="AG118" i="5"/>
  <c r="AG110" i="5"/>
  <c r="AM129" i="5"/>
  <c r="AM121" i="5"/>
  <c r="AM113" i="5"/>
  <c r="AG141" i="5"/>
  <c r="AG125" i="5"/>
  <c r="AG117" i="5"/>
  <c r="AI148" i="5"/>
  <c r="AG109" i="5"/>
  <c r="AM143" i="5"/>
  <c r="AM127" i="5"/>
  <c r="AM145" i="5"/>
  <c r="AM109" i="5"/>
  <c r="AO148" i="5"/>
  <c r="AH190" i="5" l="1"/>
  <c r="BV114" i="8" s="1"/>
  <c r="AH189" i="5"/>
  <c r="BV113" i="8" s="1"/>
  <c r="AI186" i="5"/>
  <c r="BW110" i="8" s="1"/>
  <c r="AH181" i="5"/>
  <c r="BV105" i="8" s="1"/>
  <c r="AI178" i="5"/>
  <c r="BW102" i="8" s="1"/>
  <c r="AH173" i="5"/>
  <c r="BV97" i="8" s="1"/>
  <c r="AI170" i="5"/>
  <c r="BW94" i="8" s="1"/>
  <c r="AH165" i="5"/>
  <c r="BV89" i="8" s="1"/>
  <c r="AI162" i="5"/>
  <c r="BW86" i="8" s="1"/>
  <c r="AH157" i="5"/>
  <c r="BV81" i="8" s="1"/>
  <c r="AI154" i="5"/>
  <c r="BW78" i="8" s="1"/>
  <c r="AH186" i="5"/>
  <c r="BV110" i="8" s="1"/>
  <c r="AI183" i="5"/>
  <c r="BW107" i="8" s="1"/>
  <c r="AH178" i="5"/>
  <c r="BV102" i="8" s="1"/>
  <c r="AI175" i="5"/>
  <c r="BW99" i="8" s="1"/>
  <c r="AH170" i="5"/>
  <c r="BV94" i="8" s="1"/>
  <c r="AI167" i="5"/>
  <c r="BW91" i="8" s="1"/>
  <c r="AH162" i="5"/>
  <c r="BV86" i="8" s="1"/>
  <c r="AI159" i="5"/>
  <c r="BW83" i="8" s="1"/>
  <c r="AH154" i="5"/>
  <c r="BV78" i="8" s="1"/>
  <c r="AI190" i="5"/>
  <c r="BW114" i="8" s="1"/>
  <c r="AI187" i="5"/>
  <c r="BW111" i="8" s="1"/>
  <c r="AH187" i="5"/>
  <c r="BV111" i="8" s="1"/>
  <c r="AI179" i="5"/>
  <c r="BW103" i="8" s="1"/>
  <c r="AH176" i="5"/>
  <c r="BV100" i="8" s="1"/>
  <c r="AH172" i="5"/>
  <c r="BV96" i="8" s="1"/>
  <c r="AI165" i="5"/>
  <c r="BW89" i="8" s="1"/>
  <c r="AI161" i="5"/>
  <c r="BW85" i="8" s="1"/>
  <c r="AH158" i="5"/>
  <c r="BV82" i="8" s="1"/>
  <c r="AI182" i="5"/>
  <c r="BW106" i="8" s="1"/>
  <c r="AH179" i="5"/>
  <c r="BV103" i="8" s="1"/>
  <c r="AH175" i="5"/>
  <c r="BV99" i="8" s="1"/>
  <c r="AI168" i="5"/>
  <c r="BW92" i="8" s="1"/>
  <c r="AI164" i="5"/>
  <c r="BW88" i="8" s="1"/>
  <c r="AH161" i="5"/>
  <c r="BV85" i="8" s="1"/>
  <c r="AH182" i="5"/>
  <c r="BV106" i="8" s="1"/>
  <c r="AI171" i="5"/>
  <c r="BW95" i="8" s="1"/>
  <c r="AH168" i="5"/>
  <c r="BV92" i="8" s="1"/>
  <c r="AH164" i="5"/>
  <c r="BV88" i="8" s="1"/>
  <c r="AI157" i="5"/>
  <c r="BW81" i="8" s="1"/>
  <c r="AI185" i="5"/>
  <c r="BW109" i="8" s="1"/>
  <c r="AI174" i="5"/>
  <c r="BW98" i="8" s="1"/>
  <c r="AH171" i="5"/>
  <c r="BV95" i="8" s="1"/>
  <c r="AH167" i="5"/>
  <c r="BV91" i="8" s="1"/>
  <c r="AI160" i="5"/>
  <c r="BW84" i="8" s="1"/>
  <c r="AI156" i="5"/>
  <c r="BW80" i="8" s="1"/>
  <c r="AI189" i="5"/>
  <c r="BW113" i="8" s="1"/>
  <c r="AH185" i="5"/>
  <c r="BV109" i="8" s="1"/>
  <c r="AI181" i="5"/>
  <c r="BW105" i="8" s="1"/>
  <c r="AI177" i="5"/>
  <c r="BW101" i="8" s="1"/>
  <c r="AH174" i="5"/>
  <c r="BV98" i="8" s="1"/>
  <c r="AI163" i="5"/>
  <c r="BW87" i="8" s="1"/>
  <c r="AH160" i="5"/>
  <c r="BV84" i="8" s="1"/>
  <c r="AH156" i="5"/>
  <c r="BV80" i="8" s="1"/>
  <c r="AI188" i="5"/>
  <c r="BW112" i="8" s="1"/>
  <c r="AI184" i="5"/>
  <c r="BW108" i="8" s="1"/>
  <c r="AI180" i="5"/>
  <c r="BW104" i="8" s="1"/>
  <c r="AH177" i="5"/>
  <c r="BV101" i="8" s="1"/>
  <c r="AI166" i="5"/>
  <c r="BW90" i="8" s="1"/>
  <c r="AH163" i="5"/>
  <c r="BV87" i="8" s="1"/>
  <c r="AH159" i="5"/>
  <c r="BV83" i="8" s="1"/>
  <c r="AH184" i="5"/>
  <c r="BV108" i="8" s="1"/>
  <c r="AI169" i="5"/>
  <c r="BW93" i="8" s="1"/>
  <c r="AI155" i="5"/>
  <c r="BW79" i="8" s="1"/>
  <c r="AI172" i="5"/>
  <c r="BW96" i="8" s="1"/>
  <c r="AI158" i="5"/>
  <c r="BW82" i="8" s="1"/>
  <c r="AH183" i="5"/>
  <c r="BV107" i="8" s="1"/>
  <c r="AH169" i="5"/>
  <c r="BV93" i="8" s="1"/>
  <c r="AH155" i="5"/>
  <c r="BV79" i="8" s="1"/>
  <c r="AH188" i="5"/>
  <c r="BV112" i="8" s="1"/>
  <c r="AI173" i="5"/>
  <c r="BW97" i="8" s="1"/>
  <c r="AH180" i="5"/>
  <c r="BV104" i="8" s="1"/>
  <c r="AH166" i="5"/>
  <c r="BV90" i="8" s="1"/>
  <c r="AI176" i="5"/>
  <c r="BW100" i="8" s="1"/>
  <c r="AO190" i="5"/>
  <c r="CB114" i="8" s="1"/>
  <c r="AN185" i="5"/>
  <c r="CA109" i="8" s="1"/>
  <c r="AO182" i="5"/>
  <c r="CB106" i="8" s="1"/>
  <c r="AN177" i="5"/>
  <c r="CA101" i="8" s="1"/>
  <c r="AO174" i="5"/>
  <c r="CB98" i="8" s="1"/>
  <c r="AN169" i="5"/>
  <c r="CA93" i="8" s="1"/>
  <c r="AO166" i="5"/>
  <c r="CB90" i="8" s="1"/>
  <c r="AN161" i="5"/>
  <c r="CA85" i="8" s="1"/>
  <c r="AO158" i="5"/>
  <c r="CB82" i="8" s="1"/>
  <c r="AO179" i="5"/>
  <c r="CB103" i="8" s="1"/>
  <c r="AO176" i="5"/>
  <c r="CB100" i="8" s="1"/>
  <c r="AO173" i="5"/>
  <c r="CB97" i="8" s="1"/>
  <c r="AO170" i="5"/>
  <c r="CB94" i="8" s="1"/>
  <c r="AO167" i="5"/>
  <c r="CB91" i="8" s="1"/>
  <c r="AO164" i="5"/>
  <c r="CB88" i="8" s="1"/>
  <c r="AO161" i="5"/>
  <c r="CB85" i="8" s="1"/>
  <c r="AN158" i="5"/>
  <c r="CA82" i="8" s="1"/>
  <c r="AN155" i="5"/>
  <c r="CA79" i="8" s="1"/>
  <c r="AO188" i="5"/>
  <c r="CB112" i="8" s="1"/>
  <c r="AO185" i="5"/>
  <c r="CB109" i="8" s="1"/>
  <c r="AN182" i="5"/>
  <c r="CA106" i="8" s="1"/>
  <c r="AN179" i="5"/>
  <c r="CA103" i="8" s="1"/>
  <c r="AN176" i="5"/>
  <c r="CA100" i="8" s="1"/>
  <c r="AN173" i="5"/>
  <c r="CA97" i="8" s="1"/>
  <c r="AN170" i="5"/>
  <c r="CA94" i="8" s="1"/>
  <c r="AN167" i="5"/>
  <c r="CA91" i="8" s="1"/>
  <c r="AN164" i="5"/>
  <c r="CA88" i="8" s="1"/>
  <c r="AO171" i="5"/>
  <c r="CB95" i="8" s="1"/>
  <c r="AO168" i="5"/>
  <c r="CB92" i="8" s="1"/>
  <c r="AO165" i="5"/>
  <c r="CB89" i="8" s="1"/>
  <c r="AO162" i="5"/>
  <c r="CB86" i="8" s="1"/>
  <c r="AO159" i="5"/>
  <c r="CB83" i="8" s="1"/>
  <c r="AO156" i="5"/>
  <c r="CB80" i="8" s="1"/>
  <c r="AN189" i="5"/>
  <c r="CA113" i="8" s="1"/>
  <c r="AN184" i="5"/>
  <c r="CA108" i="8" s="1"/>
  <c r="AN174" i="5"/>
  <c r="CA98" i="8" s="1"/>
  <c r="AO169" i="5"/>
  <c r="CB93" i="8" s="1"/>
  <c r="AO154" i="5"/>
  <c r="CB78" i="8" s="1"/>
  <c r="AN188" i="5"/>
  <c r="CA112" i="8" s="1"/>
  <c r="AO183" i="5"/>
  <c r="CB107" i="8" s="1"/>
  <c r="AO178" i="5"/>
  <c r="CB102" i="8" s="1"/>
  <c r="AO163" i="5"/>
  <c r="CB87" i="8" s="1"/>
  <c r="AN159" i="5"/>
  <c r="CA83" i="8" s="1"/>
  <c r="AN154" i="5"/>
  <c r="CA78" i="8" s="1"/>
  <c r="AO187" i="5"/>
  <c r="CB111" i="8" s="1"/>
  <c r="AN183" i="5"/>
  <c r="CA107" i="8" s="1"/>
  <c r="AN178" i="5"/>
  <c r="CA102" i="8" s="1"/>
  <c r="AN168" i="5"/>
  <c r="CA92" i="8" s="1"/>
  <c r="AN163" i="5"/>
  <c r="CA87" i="8" s="1"/>
  <c r="AN187" i="5"/>
  <c r="CA111" i="8" s="1"/>
  <c r="AO177" i="5"/>
  <c r="CB101" i="8" s="1"/>
  <c r="AO172" i="5"/>
  <c r="CB96" i="8" s="1"/>
  <c r="AO157" i="5"/>
  <c r="CB81" i="8" s="1"/>
  <c r="AO186" i="5"/>
  <c r="CB110" i="8" s="1"/>
  <c r="AO181" i="5"/>
  <c r="CB105" i="8" s="1"/>
  <c r="AN172" i="5"/>
  <c r="CA96" i="8" s="1"/>
  <c r="AN162" i="5"/>
  <c r="CA86" i="8" s="1"/>
  <c r="AN157" i="5"/>
  <c r="CA81" i="8" s="1"/>
  <c r="AN186" i="5"/>
  <c r="CA110" i="8" s="1"/>
  <c r="AN181" i="5"/>
  <c r="CA105" i="8" s="1"/>
  <c r="AN171" i="5"/>
  <c r="CA95" i="8" s="1"/>
  <c r="AN166" i="5"/>
  <c r="CA90" i="8" s="1"/>
  <c r="AO189" i="5"/>
  <c r="CB113" i="8" s="1"/>
  <c r="AO184" i="5"/>
  <c r="CB108" i="8" s="1"/>
  <c r="AN165" i="5"/>
  <c r="CA89" i="8" s="1"/>
  <c r="AN190" i="5"/>
  <c r="CA114" i="8" s="1"/>
  <c r="AO180" i="5"/>
  <c r="CB104" i="8" s="1"/>
  <c r="AO160" i="5"/>
  <c r="CB84" i="8" s="1"/>
  <c r="AN180" i="5"/>
  <c r="CA104" i="8" s="1"/>
  <c r="AN160" i="5"/>
  <c r="CA84" i="8" s="1"/>
  <c r="AO175" i="5"/>
  <c r="CB99" i="8" s="1"/>
  <c r="AN156" i="5"/>
  <c r="CA80" i="8" s="1"/>
  <c r="AO155" i="5"/>
  <c r="CB79" i="8" s="1"/>
  <c r="AN175" i="5"/>
  <c r="CA99" i="8" s="1"/>
  <c r="AP135" i="5"/>
  <c r="AP181" i="5" s="1"/>
  <c r="CC105" i="8" s="1"/>
  <c r="AP143" i="5"/>
  <c r="AP189" i="5" s="1"/>
  <c r="CC113" i="8" s="1"/>
  <c r="AP142" i="5"/>
  <c r="AP188" i="5" s="1"/>
  <c r="CC112" i="8" s="1"/>
  <c r="AP132" i="5"/>
  <c r="AP110" i="5"/>
  <c r="AP117" i="5"/>
  <c r="AP118" i="5"/>
  <c r="AP140" i="5"/>
  <c r="AP186" i="5" s="1"/>
  <c r="CC110" i="8" s="1"/>
  <c r="AP127" i="5"/>
  <c r="AP137" i="5"/>
  <c r="AP183" i="5" s="1"/>
  <c r="CC107" i="8" s="1"/>
  <c r="AP133" i="5"/>
  <c r="AP179" i="5" s="1"/>
  <c r="CC103" i="8" s="1"/>
  <c r="AP112" i="5"/>
  <c r="AP114" i="5"/>
  <c r="AP128" i="5"/>
  <c r="AP141" i="5"/>
  <c r="AP187" i="5" s="1"/>
  <c r="CC111" i="8" s="1"/>
  <c r="AP120" i="5"/>
  <c r="AP122" i="5"/>
  <c r="AP126" i="5"/>
  <c r="AP136" i="5"/>
  <c r="AP182" i="5" s="1"/>
  <c r="CC106" i="8" s="1"/>
  <c r="AP130" i="5"/>
  <c r="AP134" i="5"/>
  <c r="AP180" i="5" s="1"/>
  <c r="CC104" i="8" s="1"/>
  <c r="AP144" i="5"/>
  <c r="AP190" i="5" s="1"/>
  <c r="CC114" i="8" s="1"/>
  <c r="AP138" i="5"/>
  <c r="AP184" i="5" s="1"/>
  <c r="CC108" i="8" s="1"/>
  <c r="AP116" i="5"/>
  <c r="AP113" i="5"/>
  <c r="AP115" i="5"/>
  <c r="AP124" i="5"/>
  <c r="AP111" i="5"/>
  <c r="AP121" i="5"/>
  <c r="AP123" i="5"/>
  <c r="AP109" i="5"/>
  <c r="AP119" i="5"/>
  <c r="AP129" i="5"/>
  <c r="AP131" i="5"/>
  <c r="AP125" i="5"/>
  <c r="AP174" i="5" s="1"/>
  <c r="CC98" i="8" s="1"/>
  <c r="AP145" i="5"/>
  <c r="AP139" i="5"/>
  <c r="AP185" i="5" s="1"/>
  <c r="CC109" i="8" s="1"/>
  <c r="X137" i="5"/>
  <c r="S133" i="5"/>
  <c r="S135" i="5"/>
  <c r="S137" i="5"/>
  <c r="AJ127" i="5"/>
  <c r="AJ134" i="5"/>
  <c r="AJ130" i="5"/>
  <c r="AJ132" i="5"/>
  <c r="AJ133" i="5"/>
  <c r="AJ136" i="5"/>
  <c r="AJ135" i="5"/>
  <c r="AJ131" i="5"/>
  <c r="AJ137" i="5"/>
  <c r="X134" i="5"/>
  <c r="S131" i="5"/>
  <c r="S132" i="5"/>
  <c r="X130" i="5"/>
  <c r="S136" i="5"/>
  <c r="X132" i="5"/>
  <c r="X131" i="5"/>
  <c r="X136" i="5"/>
  <c r="X135" i="5"/>
  <c r="S130" i="5"/>
  <c r="X133" i="5"/>
  <c r="S134" i="5"/>
  <c r="AJ116" i="5"/>
  <c r="AJ109" i="5"/>
  <c r="AJ121" i="5"/>
  <c r="AJ125" i="5"/>
  <c r="AJ110" i="5"/>
  <c r="AJ122" i="5"/>
  <c r="AJ117" i="5"/>
  <c r="AJ145" i="5"/>
  <c r="AJ144" i="5"/>
  <c r="AJ190" i="5" s="1"/>
  <c r="BX114" i="8" s="1"/>
  <c r="L69" i="8"/>
  <c r="AJ114" i="5"/>
  <c r="AJ139" i="5"/>
  <c r="AJ128" i="5"/>
  <c r="AJ129" i="5"/>
  <c r="AJ123" i="5"/>
  <c r="AJ120" i="5"/>
  <c r="AJ113" i="5"/>
  <c r="AJ115" i="5"/>
  <c r="AJ112" i="5"/>
  <c r="AJ142" i="5"/>
  <c r="AJ188" i="5" s="1"/>
  <c r="BX112" i="8" s="1"/>
  <c r="AJ111" i="5"/>
  <c r="AJ143" i="5"/>
  <c r="AJ189" i="5" s="1"/>
  <c r="BX113" i="8" s="1"/>
  <c r="AJ140" i="5"/>
  <c r="AJ186" i="5" s="1"/>
  <c r="BX110" i="8" s="1"/>
  <c r="AJ126" i="5"/>
  <c r="AJ119" i="5"/>
  <c r="AJ124" i="5"/>
  <c r="AJ138" i="5"/>
  <c r="AJ118" i="5"/>
  <c r="AJ141" i="5"/>
  <c r="AJ187" i="5" s="1"/>
  <c r="BX111" i="8" s="1"/>
  <c r="X109" i="5"/>
  <c r="X141" i="5"/>
  <c r="X112" i="5"/>
  <c r="X143" i="5"/>
  <c r="X111" i="5"/>
  <c r="X144" i="5"/>
  <c r="X110" i="5"/>
  <c r="X139" i="5"/>
  <c r="X145" i="5"/>
  <c r="X140" i="5"/>
  <c r="X119" i="5"/>
  <c r="X129" i="5"/>
  <c r="X126" i="5"/>
  <c r="X127" i="5"/>
  <c r="X124" i="5"/>
  <c r="X114" i="5"/>
  <c r="X138" i="5"/>
  <c r="X125" i="5"/>
  <c r="X123" i="5"/>
  <c r="X115" i="5"/>
  <c r="X121" i="5"/>
  <c r="X142" i="5"/>
  <c r="X113" i="5"/>
  <c r="X122" i="5"/>
  <c r="X128" i="5"/>
  <c r="X116" i="5"/>
  <c r="X117" i="5"/>
  <c r="X118" i="5"/>
  <c r="X120" i="5"/>
  <c r="S116" i="5"/>
  <c r="S118" i="5"/>
  <c r="S110" i="5"/>
  <c r="S143" i="5"/>
  <c r="S109" i="5"/>
  <c r="S145" i="5"/>
  <c r="S139" i="5"/>
  <c r="S127" i="5"/>
  <c r="S124" i="5"/>
  <c r="S141" i="5"/>
  <c r="S129" i="5"/>
  <c r="S128" i="5"/>
  <c r="S119" i="5"/>
  <c r="S140" i="5"/>
  <c r="S120" i="5"/>
  <c r="S144" i="5"/>
  <c r="S123" i="5"/>
  <c r="S125" i="5"/>
  <c r="S122" i="5"/>
  <c r="S112" i="5"/>
  <c r="S142" i="5"/>
  <c r="S138" i="5"/>
  <c r="S114" i="5"/>
  <c r="S121" i="5"/>
  <c r="S113" i="5"/>
  <c r="S111" i="5"/>
  <c r="S115" i="5"/>
  <c r="S117" i="5"/>
  <c r="S126" i="5"/>
  <c r="AP162" i="5" l="1"/>
  <c r="CC86" i="8" s="1"/>
  <c r="AP178" i="5"/>
  <c r="CC102" i="8" s="1"/>
  <c r="AP165" i="5"/>
  <c r="CC89" i="8" s="1"/>
  <c r="AP175" i="5"/>
  <c r="CC99" i="8" s="1"/>
  <c r="AP166" i="5"/>
  <c r="CC90" i="8" s="1"/>
  <c r="AP173" i="5"/>
  <c r="CC97" i="8" s="1"/>
  <c r="AP169" i="5"/>
  <c r="CC93" i="8" s="1"/>
  <c r="AP159" i="5"/>
  <c r="CC83" i="8" s="1"/>
  <c r="AP172" i="5"/>
  <c r="CC96" i="8" s="1"/>
  <c r="AP177" i="5"/>
  <c r="CC101" i="8" s="1"/>
  <c r="AP158" i="5"/>
  <c r="CC82" i="8" s="1"/>
  <c r="AP161" i="5"/>
  <c r="CC85" i="8" s="1"/>
  <c r="AP163" i="5"/>
  <c r="CC87" i="8" s="1"/>
  <c r="AP171" i="5"/>
  <c r="CC95" i="8" s="1"/>
  <c r="AP176" i="5"/>
  <c r="CC100" i="8" s="1"/>
  <c r="AP168" i="5"/>
  <c r="CC92" i="8" s="1"/>
  <c r="AP167" i="5"/>
  <c r="CC91" i="8" s="1"/>
  <c r="AP170" i="5"/>
  <c r="CC94" i="8" s="1"/>
  <c r="AP164" i="5"/>
  <c r="CC88" i="8" s="1"/>
  <c r="AP160" i="5"/>
  <c r="CC84" i="8" s="1"/>
  <c r="AJ172" i="5"/>
  <c r="BX96" i="8" s="1"/>
  <c r="AP154" i="5"/>
  <c r="CC78" i="8" s="1"/>
  <c r="CD78" i="8" s="1"/>
  <c r="AJ163" i="5"/>
  <c r="BX87" i="8" s="1"/>
  <c r="AJ169" i="5"/>
  <c r="BX93" i="8" s="1"/>
  <c r="AP155" i="5"/>
  <c r="CC79" i="8" s="1"/>
  <c r="AJ158" i="5"/>
  <c r="BX82" i="8" s="1"/>
  <c r="AP157" i="5"/>
  <c r="CC81" i="8" s="1"/>
  <c r="AP156" i="5"/>
  <c r="CC80" i="8" s="1"/>
  <c r="AJ171" i="5"/>
  <c r="BX95" i="8" s="1"/>
  <c r="AJ179" i="5"/>
  <c r="BX103" i="8" s="1"/>
  <c r="AJ175" i="5"/>
  <c r="BX99" i="8" s="1"/>
  <c r="AJ164" i="5"/>
  <c r="BX88" i="8" s="1"/>
  <c r="AJ185" i="5"/>
  <c r="BX109" i="8" s="1"/>
  <c r="AJ183" i="5"/>
  <c r="BX107" i="8" s="1"/>
  <c r="AJ178" i="5"/>
  <c r="BX102" i="8" s="1"/>
  <c r="AJ165" i="5"/>
  <c r="BX89" i="8" s="1"/>
  <c r="AJ156" i="5"/>
  <c r="BX80" i="8" s="1"/>
  <c r="AJ160" i="5"/>
  <c r="BX84" i="8" s="1"/>
  <c r="AJ170" i="5"/>
  <c r="BX94" i="8" s="1"/>
  <c r="AJ181" i="5"/>
  <c r="BX105" i="8" s="1"/>
  <c r="AJ166" i="5"/>
  <c r="BX90" i="8" s="1"/>
  <c r="AJ167" i="5"/>
  <c r="BX91" i="8" s="1"/>
  <c r="AJ182" i="5"/>
  <c r="BX106" i="8" s="1"/>
  <c r="AJ168" i="5"/>
  <c r="BX92" i="8" s="1"/>
  <c r="AJ159" i="5"/>
  <c r="BX83" i="8" s="1"/>
  <c r="AJ184" i="5"/>
  <c r="BX108" i="8" s="1"/>
  <c r="AJ161" i="5"/>
  <c r="BX85" i="8" s="1"/>
  <c r="AJ176" i="5"/>
  <c r="BX100" i="8" s="1"/>
  <c r="AJ174" i="5"/>
  <c r="BX98" i="8" s="1"/>
  <c r="AJ177" i="5"/>
  <c r="BX101" i="8" s="1"/>
  <c r="AJ162" i="5"/>
  <c r="BX86" i="8" s="1"/>
  <c r="AJ157" i="5"/>
  <c r="BX81" i="8" s="1"/>
  <c r="AJ173" i="5"/>
  <c r="BX97" i="8" s="1"/>
  <c r="AJ180" i="5"/>
  <c r="BX104" i="8" s="1"/>
  <c r="AJ155" i="5"/>
  <c r="BX79" i="8" s="1"/>
  <c r="AJ154" i="5"/>
  <c r="BX78" i="8" s="1"/>
  <c r="BY78" i="8" s="1"/>
  <c r="U190" i="5"/>
  <c r="BR114" i="7" s="1"/>
  <c r="V187" i="5"/>
  <c r="BS111" i="7" s="1"/>
  <c r="T185" i="5"/>
  <c r="BQ109" i="7" s="1"/>
  <c r="U182" i="5"/>
  <c r="BR106" i="7" s="1"/>
  <c r="V179" i="5"/>
  <c r="BS103" i="7" s="1"/>
  <c r="T177" i="5"/>
  <c r="BQ101" i="7" s="1"/>
  <c r="U174" i="5"/>
  <c r="BR98" i="7" s="1"/>
  <c r="V171" i="5"/>
  <c r="BS95" i="7" s="1"/>
  <c r="T169" i="5"/>
  <c r="BQ93" i="7" s="1"/>
  <c r="U166" i="5"/>
  <c r="BR90" i="7" s="1"/>
  <c r="V163" i="5"/>
  <c r="BS87" i="7" s="1"/>
  <c r="T161" i="5"/>
  <c r="BQ85" i="7" s="1"/>
  <c r="U158" i="5"/>
  <c r="BR82" i="7" s="1"/>
  <c r="V155" i="5"/>
  <c r="BS79" i="7" s="1"/>
  <c r="T154" i="5"/>
  <c r="BQ78" i="7" s="1"/>
  <c r="T190" i="5"/>
  <c r="BQ114" i="7" s="1"/>
  <c r="U187" i="5"/>
  <c r="BR111" i="7" s="1"/>
  <c r="V184" i="5"/>
  <c r="BS108" i="7" s="1"/>
  <c r="T182" i="5"/>
  <c r="BQ106" i="7" s="1"/>
  <c r="U179" i="5"/>
  <c r="BR103" i="7" s="1"/>
  <c r="V176" i="5"/>
  <c r="BS100" i="7" s="1"/>
  <c r="T174" i="5"/>
  <c r="BQ98" i="7" s="1"/>
  <c r="U171" i="5"/>
  <c r="BR95" i="7" s="1"/>
  <c r="V168" i="5"/>
  <c r="BS92" i="7" s="1"/>
  <c r="T166" i="5"/>
  <c r="BQ90" i="7" s="1"/>
  <c r="U163" i="5"/>
  <c r="BR87" i="7" s="1"/>
  <c r="V160" i="5"/>
  <c r="BS84" i="7" s="1"/>
  <c r="T158" i="5"/>
  <c r="BQ82" i="7" s="1"/>
  <c r="U155" i="5"/>
  <c r="BR79" i="7" s="1"/>
  <c r="V189" i="5"/>
  <c r="BS113" i="7" s="1"/>
  <c r="T187" i="5"/>
  <c r="BQ111" i="7" s="1"/>
  <c r="U184" i="5"/>
  <c r="BR108" i="7" s="1"/>
  <c r="V181" i="5"/>
  <c r="BS105" i="7" s="1"/>
  <c r="T179" i="5"/>
  <c r="BQ103" i="7" s="1"/>
  <c r="U176" i="5"/>
  <c r="BR100" i="7" s="1"/>
  <c r="V173" i="5"/>
  <c r="BS97" i="7" s="1"/>
  <c r="T171" i="5"/>
  <c r="BQ95" i="7" s="1"/>
  <c r="U168" i="5"/>
  <c r="BR92" i="7" s="1"/>
  <c r="V165" i="5"/>
  <c r="BS89" i="7" s="1"/>
  <c r="T163" i="5"/>
  <c r="BQ87" i="7" s="1"/>
  <c r="U160" i="5"/>
  <c r="BR84" i="7" s="1"/>
  <c r="V157" i="5"/>
  <c r="BS81" i="7" s="1"/>
  <c r="T155" i="5"/>
  <c r="BQ79" i="7" s="1"/>
  <c r="U189" i="5"/>
  <c r="BR113" i="7" s="1"/>
  <c r="V186" i="5"/>
  <c r="BS110" i="7" s="1"/>
  <c r="T184" i="5"/>
  <c r="BQ108" i="7" s="1"/>
  <c r="U181" i="5"/>
  <c r="BR105" i="7" s="1"/>
  <c r="V178" i="5"/>
  <c r="BS102" i="7" s="1"/>
  <c r="T176" i="5"/>
  <c r="BQ100" i="7" s="1"/>
  <c r="U173" i="5"/>
  <c r="BR97" i="7" s="1"/>
  <c r="V170" i="5"/>
  <c r="BS94" i="7" s="1"/>
  <c r="T168" i="5"/>
  <c r="BQ92" i="7" s="1"/>
  <c r="U165" i="5"/>
  <c r="BR89" i="7" s="1"/>
  <c r="V162" i="5"/>
  <c r="BS86" i="7" s="1"/>
  <c r="T160" i="5"/>
  <c r="BQ84" i="7" s="1"/>
  <c r="U157" i="5"/>
  <c r="BR81" i="7" s="1"/>
  <c r="T189" i="5"/>
  <c r="BQ113" i="7" s="1"/>
  <c r="U186" i="5"/>
  <c r="BR110" i="7" s="1"/>
  <c r="V183" i="5"/>
  <c r="BS107" i="7" s="1"/>
  <c r="T181" i="5"/>
  <c r="BQ105" i="7" s="1"/>
  <c r="U178" i="5"/>
  <c r="BR102" i="7" s="1"/>
  <c r="V175" i="5"/>
  <c r="BS99" i="7" s="1"/>
  <c r="T173" i="5"/>
  <c r="BQ97" i="7" s="1"/>
  <c r="U170" i="5"/>
  <c r="BR94" i="7" s="1"/>
  <c r="V167" i="5"/>
  <c r="BS91" i="7" s="1"/>
  <c r="T165" i="5"/>
  <c r="BQ89" i="7" s="1"/>
  <c r="U162" i="5"/>
  <c r="BR86" i="7" s="1"/>
  <c r="V159" i="5"/>
  <c r="BS83" i="7" s="1"/>
  <c r="T157" i="5"/>
  <c r="BQ81" i="7" s="1"/>
  <c r="V188" i="5"/>
  <c r="BS112" i="7" s="1"/>
  <c r="T186" i="5"/>
  <c r="BQ110" i="7" s="1"/>
  <c r="U183" i="5"/>
  <c r="BR107" i="7" s="1"/>
  <c r="V180" i="5"/>
  <c r="BS104" i="7" s="1"/>
  <c r="T178" i="5"/>
  <c r="BQ102" i="7" s="1"/>
  <c r="U175" i="5"/>
  <c r="BR99" i="7" s="1"/>
  <c r="V172" i="5"/>
  <c r="BS96" i="7" s="1"/>
  <c r="T170" i="5"/>
  <c r="BQ94" i="7" s="1"/>
  <c r="U167" i="5"/>
  <c r="BR91" i="7" s="1"/>
  <c r="V164" i="5"/>
  <c r="BS88" i="7" s="1"/>
  <c r="T162" i="5"/>
  <c r="BQ86" i="7" s="1"/>
  <c r="U159" i="5"/>
  <c r="BR83" i="7" s="1"/>
  <c r="V156" i="5"/>
  <c r="BS80" i="7" s="1"/>
  <c r="T183" i="5"/>
  <c r="BQ107" i="7" s="1"/>
  <c r="U172" i="5"/>
  <c r="BR96" i="7" s="1"/>
  <c r="V161" i="5"/>
  <c r="BS85" i="7" s="1"/>
  <c r="V182" i="5"/>
  <c r="BS106" i="7" s="1"/>
  <c r="T172" i="5"/>
  <c r="BQ96" i="7" s="1"/>
  <c r="U161" i="5"/>
  <c r="BR85" i="7" s="1"/>
  <c r="U180" i="5"/>
  <c r="BR104" i="7" s="1"/>
  <c r="V169" i="5"/>
  <c r="BS93" i="7" s="1"/>
  <c r="T159" i="5"/>
  <c r="BQ83" i="7" s="1"/>
  <c r="V190" i="5"/>
  <c r="BS114" i="7" s="1"/>
  <c r="T180" i="5"/>
  <c r="BQ104" i="7" s="1"/>
  <c r="U169" i="5"/>
  <c r="BR93" i="7" s="1"/>
  <c r="V158" i="5"/>
  <c r="BS82" i="7" s="1"/>
  <c r="V185" i="5"/>
  <c r="BS109" i="7" s="1"/>
  <c r="T175" i="5"/>
  <c r="BQ99" i="7" s="1"/>
  <c r="U164" i="5"/>
  <c r="BR88" i="7" s="1"/>
  <c r="V154" i="5"/>
  <c r="BS78" i="7" s="1"/>
  <c r="U185" i="5"/>
  <c r="BR109" i="7" s="1"/>
  <c r="V174" i="5"/>
  <c r="BS98" i="7" s="1"/>
  <c r="T164" i="5"/>
  <c r="BQ88" i="7" s="1"/>
  <c r="U154" i="5"/>
  <c r="BR78" i="7" s="1"/>
  <c r="U156" i="5"/>
  <c r="BR80" i="7" s="1"/>
  <c r="U177" i="5"/>
  <c r="BR101" i="7" s="1"/>
  <c r="T156" i="5"/>
  <c r="BQ80" i="7" s="1"/>
  <c r="U188" i="5"/>
  <c r="BR112" i="7" s="1"/>
  <c r="T188" i="5"/>
  <c r="BQ112" i="7" s="1"/>
  <c r="V177" i="5"/>
  <c r="BS101" i="7" s="1"/>
  <c r="T167" i="5"/>
  <c r="BQ91" i="7" s="1"/>
  <c r="V166" i="5"/>
  <c r="BS90" i="7" s="1"/>
  <c r="Y189" i="5"/>
  <c r="BV113" i="7" s="1"/>
  <c r="Z186" i="5"/>
  <c r="BW110" i="7" s="1"/>
  <c r="AA183" i="5"/>
  <c r="BX107" i="7" s="1"/>
  <c r="Y181" i="5"/>
  <c r="BV105" i="7" s="1"/>
  <c r="Z178" i="5"/>
  <c r="BW102" i="7" s="1"/>
  <c r="AA175" i="5"/>
  <c r="BX99" i="7" s="1"/>
  <c r="Y173" i="5"/>
  <c r="BV97" i="7" s="1"/>
  <c r="Z170" i="5"/>
  <c r="BW94" i="7" s="1"/>
  <c r="AA167" i="5"/>
  <c r="BX91" i="7" s="1"/>
  <c r="Y165" i="5"/>
  <c r="BV89" i="7" s="1"/>
  <c r="Z162" i="5"/>
  <c r="BW86" i="7" s="1"/>
  <c r="AA159" i="5"/>
  <c r="BX83" i="7" s="1"/>
  <c r="Y157" i="5"/>
  <c r="BV81" i="7" s="1"/>
  <c r="AA188" i="5"/>
  <c r="BX112" i="7" s="1"/>
  <c r="Y186" i="5"/>
  <c r="BV110" i="7" s="1"/>
  <c r="Z183" i="5"/>
  <c r="BW107" i="7" s="1"/>
  <c r="AA180" i="5"/>
  <c r="BX104" i="7" s="1"/>
  <c r="Y178" i="5"/>
  <c r="BV102" i="7" s="1"/>
  <c r="Z175" i="5"/>
  <c r="BW99" i="7" s="1"/>
  <c r="AA172" i="5"/>
  <c r="BX96" i="7" s="1"/>
  <c r="Y170" i="5"/>
  <c r="BV94" i="7" s="1"/>
  <c r="Z167" i="5"/>
  <c r="BW91" i="7" s="1"/>
  <c r="AA164" i="5"/>
  <c r="BX88" i="7" s="1"/>
  <c r="Y162" i="5"/>
  <c r="BV86" i="7" s="1"/>
  <c r="Z159" i="5"/>
  <c r="BW83" i="7" s="1"/>
  <c r="AA156" i="5"/>
  <c r="BX80" i="7" s="1"/>
  <c r="Z188" i="5"/>
  <c r="BW112" i="7" s="1"/>
  <c r="AA185" i="5"/>
  <c r="BX109" i="7" s="1"/>
  <c r="Y183" i="5"/>
  <c r="BV107" i="7" s="1"/>
  <c r="Z180" i="5"/>
  <c r="BW104" i="7" s="1"/>
  <c r="AA177" i="5"/>
  <c r="BX101" i="7" s="1"/>
  <c r="Y175" i="5"/>
  <c r="BV99" i="7" s="1"/>
  <c r="Z172" i="5"/>
  <c r="BW96" i="7" s="1"/>
  <c r="AA169" i="5"/>
  <c r="BX93" i="7" s="1"/>
  <c r="Y167" i="5"/>
  <c r="BV91" i="7" s="1"/>
  <c r="Z164" i="5"/>
  <c r="BW88" i="7" s="1"/>
  <c r="AA161" i="5"/>
  <c r="BX85" i="7" s="1"/>
  <c r="Y159" i="5"/>
  <c r="BV83" i="7" s="1"/>
  <c r="Z156" i="5"/>
  <c r="BW80" i="7" s="1"/>
  <c r="AA190" i="5"/>
  <c r="BX114" i="7" s="1"/>
  <c r="Y188" i="5"/>
  <c r="BV112" i="7" s="1"/>
  <c r="Z185" i="5"/>
  <c r="BW109" i="7" s="1"/>
  <c r="AA182" i="5"/>
  <c r="BX106" i="7" s="1"/>
  <c r="Y180" i="5"/>
  <c r="BV104" i="7" s="1"/>
  <c r="Z177" i="5"/>
  <c r="BW101" i="7" s="1"/>
  <c r="AA174" i="5"/>
  <c r="BX98" i="7" s="1"/>
  <c r="Y172" i="5"/>
  <c r="BV96" i="7" s="1"/>
  <c r="Z169" i="5"/>
  <c r="BW93" i="7" s="1"/>
  <c r="AA166" i="5"/>
  <c r="BX90" i="7" s="1"/>
  <c r="Y164" i="5"/>
  <c r="BV88" i="7" s="1"/>
  <c r="Z161" i="5"/>
  <c r="BW85" i="7" s="1"/>
  <c r="AA158" i="5"/>
  <c r="BX82" i="7" s="1"/>
  <c r="Y156" i="5"/>
  <c r="BV80" i="7" s="1"/>
  <c r="AA154" i="5"/>
  <c r="BX78" i="7" s="1"/>
  <c r="Z190" i="5"/>
  <c r="BW114" i="7" s="1"/>
  <c r="AA187" i="5"/>
  <c r="BX111" i="7" s="1"/>
  <c r="Y185" i="5"/>
  <c r="BV109" i="7" s="1"/>
  <c r="Z182" i="5"/>
  <c r="BW106" i="7" s="1"/>
  <c r="AA179" i="5"/>
  <c r="BX103" i="7" s="1"/>
  <c r="Y177" i="5"/>
  <c r="BV101" i="7" s="1"/>
  <c r="Z174" i="5"/>
  <c r="BW98" i="7" s="1"/>
  <c r="AA171" i="5"/>
  <c r="BX95" i="7" s="1"/>
  <c r="Y169" i="5"/>
  <c r="BV93" i="7" s="1"/>
  <c r="Z166" i="5"/>
  <c r="BW90" i="7" s="1"/>
  <c r="AA163" i="5"/>
  <c r="BX87" i="7" s="1"/>
  <c r="Y161" i="5"/>
  <c r="BV85" i="7" s="1"/>
  <c r="Z158" i="5"/>
  <c r="BW82" i="7" s="1"/>
  <c r="AA155" i="5"/>
  <c r="BX79" i="7" s="1"/>
  <c r="Z154" i="5"/>
  <c r="BW78" i="7" s="1"/>
  <c r="Y190" i="5"/>
  <c r="BV114" i="7" s="1"/>
  <c r="Z187" i="5"/>
  <c r="BW111" i="7" s="1"/>
  <c r="AA184" i="5"/>
  <c r="BX108" i="7" s="1"/>
  <c r="Y182" i="5"/>
  <c r="BV106" i="7" s="1"/>
  <c r="Z179" i="5"/>
  <c r="BW103" i="7" s="1"/>
  <c r="AA176" i="5"/>
  <c r="BX100" i="7" s="1"/>
  <c r="Y174" i="5"/>
  <c r="BV98" i="7" s="1"/>
  <c r="Z171" i="5"/>
  <c r="BW95" i="7" s="1"/>
  <c r="AA168" i="5"/>
  <c r="BX92" i="7" s="1"/>
  <c r="Y166" i="5"/>
  <c r="BV90" i="7" s="1"/>
  <c r="Z163" i="5"/>
  <c r="BW87" i="7" s="1"/>
  <c r="AA160" i="5"/>
  <c r="BX84" i="7" s="1"/>
  <c r="Y158" i="5"/>
  <c r="BV82" i="7" s="1"/>
  <c r="Z155" i="5"/>
  <c r="BW79" i="7" s="1"/>
  <c r="Y154" i="5"/>
  <c r="BV78" i="7" s="1"/>
  <c r="AA189" i="5"/>
  <c r="BX113" i="7" s="1"/>
  <c r="Y179" i="5"/>
  <c r="BV103" i="7" s="1"/>
  <c r="Z168" i="5"/>
  <c r="BW92" i="7" s="1"/>
  <c r="AA157" i="5"/>
  <c r="BX81" i="7" s="1"/>
  <c r="Z189" i="5"/>
  <c r="BW113" i="7" s="1"/>
  <c r="AA178" i="5"/>
  <c r="BX102" i="7" s="1"/>
  <c r="Y168" i="5"/>
  <c r="BV92" i="7" s="1"/>
  <c r="Z157" i="5"/>
  <c r="BW81" i="7" s="1"/>
  <c r="Y187" i="5"/>
  <c r="BV111" i="7" s="1"/>
  <c r="Z176" i="5"/>
  <c r="BW100" i="7" s="1"/>
  <c r="AA165" i="5"/>
  <c r="BX89" i="7" s="1"/>
  <c r="Y155" i="5"/>
  <c r="BV79" i="7" s="1"/>
  <c r="AA186" i="5"/>
  <c r="BX110" i="7" s="1"/>
  <c r="Y176" i="5"/>
  <c r="BV100" i="7" s="1"/>
  <c r="Z165" i="5"/>
  <c r="BW89" i="7" s="1"/>
  <c r="AA181" i="5"/>
  <c r="BX105" i="7" s="1"/>
  <c r="Y171" i="5"/>
  <c r="BV95" i="7" s="1"/>
  <c r="Z160" i="5"/>
  <c r="BW84" i="7" s="1"/>
  <c r="Z181" i="5"/>
  <c r="BW105" i="7" s="1"/>
  <c r="AA170" i="5"/>
  <c r="BX94" i="7" s="1"/>
  <c r="Y160" i="5"/>
  <c r="BV84" i="7" s="1"/>
  <c r="Y163" i="5"/>
  <c r="BV87" i="7" s="1"/>
  <c r="Y184" i="5"/>
  <c r="BV108" i="7" s="1"/>
  <c r="AA162" i="5"/>
  <c r="BX86" i="7" s="1"/>
  <c r="Z184" i="5"/>
  <c r="BW108" i="7" s="1"/>
  <c r="AA173" i="5"/>
  <c r="BX97" i="7" s="1"/>
  <c r="Z173" i="5"/>
  <c r="BW97" i="7" s="1"/>
  <c r="CD79" i="8" l="1"/>
  <c r="CD80" i="8" s="1"/>
  <c r="CD81" i="8" s="1"/>
  <c r="CD82" i="8" s="1"/>
  <c r="CD83" i="8" s="1"/>
  <c r="CD84" i="8" s="1"/>
  <c r="CD85" i="8" s="1"/>
  <c r="CD86" i="8" s="1"/>
  <c r="CD87" i="8" s="1"/>
  <c r="CD88" i="8" s="1"/>
  <c r="CD89" i="8" s="1"/>
  <c r="CD90" i="8" s="1"/>
  <c r="CD91" i="8" s="1"/>
  <c r="CD92" i="8" s="1"/>
  <c r="CD93" i="8" s="1"/>
  <c r="CD94" i="8" s="1"/>
  <c r="CD95" i="8" s="1"/>
  <c r="CD96" i="8" s="1"/>
  <c r="CD97" i="8" s="1"/>
  <c r="CD98" i="8" s="1"/>
  <c r="CD99" i="8" s="1"/>
  <c r="CD100" i="8" s="1"/>
  <c r="CD101" i="8" s="1"/>
  <c r="CD102" i="8" s="1"/>
  <c r="CD103" i="8" s="1"/>
  <c r="CD104" i="8" s="1"/>
  <c r="CD105" i="8" s="1"/>
  <c r="CD106" i="8" s="1"/>
  <c r="CD107" i="8" s="1"/>
  <c r="CD108" i="8" s="1"/>
  <c r="CD109" i="8" s="1"/>
  <c r="CD110" i="8" s="1"/>
  <c r="CD111" i="8" s="1"/>
  <c r="CD112" i="8" s="1"/>
  <c r="CD113" i="8" s="1"/>
  <c r="CD114" i="8" s="1"/>
  <c r="BY79" i="8"/>
  <c r="BY80" i="8" s="1"/>
  <c r="BY81" i="8" s="1"/>
  <c r="BY82" i="8" s="1"/>
  <c r="BY83" i="8" s="1"/>
  <c r="BY84" i="8" s="1"/>
  <c r="BY85" i="8" s="1"/>
  <c r="BY86" i="8" s="1"/>
  <c r="BY87" i="8" s="1"/>
  <c r="BY88" i="8" s="1"/>
  <c r="BY89" i="8" s="1"/>
  <c r="BY90" i="8" s="1"/>
  <c r="BY91" i="8" s="1"/>
  <c r="BY92" i="8" s="1"/>
  <c r="BY93" i="8" s="1"/>
  <c r="BY94" i="8" s="1"/>
  <c r="BY95" i="8" s="1"/>
  <c r="BY96" i="8" s="1"/>
  <c r="BY97" i="8" s="1"/>
  <c r="BY98" i="8" s="1"/>
  <c r="BY99" i="8" s="1"/>
  <c r="BY100" i="8" s="1"/>
  <c r="BY101" i="8" s="1"/>
  <c r="BY102" i="8" s="1"/>
  <c r="BY103" i="8" s="1"/>
  <c r="BY104" i="8" s="1"/>
  <c r="BY105" i="8" s="1"/>
  <c r="BY106" i="8" s="1"/>
  <c r="BY107" i="8" s="1"/>
  <c r="BY108" i="8" s="1"/>
  <c r="BY109" i="8" s="1"/>
  <c r="BY110" i="8" s="1"/>
  <c r="BY111" i="8" s="1"/>
  <c r="BY112" i="8" s="1"/>
  <c r="BY113" i="8" s="1"/>
  <c r="BY114" i="8" s="1"/>
  <c r="BT78" i="7"/>
  <c r="BT79" i="7" s="1"/>
  <c r="BT80" i="7" s="1"/>
  <c r="BT81" i="7" s="1"/>
  <c r="BT82" i="7" s="1"/>
  <c r="BT83" i="7" s="1"/>
  <c r="BT84" i="7" s="1"/>
  <c r="BT85" i="7" s="1"/>
  <c r="BT86" i="7" s="1"/>
  <c r="BT87" i="7" s="1"/>
  <c r="BT88" i="7" s="1"/>
  <c r="BT89" i="7" s="1"/>
  <c r="BT90" i="7" s="1"/>
  <c r="BT91" i="7" s="1"/>
  <c r="BT92" i="7" s="1"/>
  <c r="BT93" i="7" s="1"/>
  <c r="BT94" i="7" s="1"/>
  <c r="BT95" i="7" s="1"/>
  <c r="BT96" i="7" s="1"/>
  <c r="BT97" i="7" s="1"/>
  <c r="BT98" i="7" s="1"/>
  <c r="BT99" i="7" s="1"/>
  <c r="BT100" i="7" s="1"/>
  <c r="BT101" i="7" s="1"/>
  <c r="BT102" i="7" s="1"/>
  <c r="BT103" i="7" s="1"/>
  <c r="BT104" i="7" s="1"/>
  <c r="BT105" i="7" s="1"/>
  <c r="BT106" i="7" s="1"/>
  <c r="BT107" i="7" s="1"/>
  <c r="BT108" i="7" s="1"/>
  <c r="BT109" i="7" s="1"/>
  <c r="BT110" i="7" s="1"/>
  <c r="BT111" i="7" s="1"/>
  <c r="BT112" i="7" s="1"/>
  <c r="BT113" i="7" s="1"/>
  <c r="BT114" i="7" s="1"/>
  <c r="BY78" i="7"/>
  <c r="BY79" i="7" s="1"/>
  <c r="BY80" i="7" s="1"/>
  <c r="BY81" i="7" s="1"/>
  <c r="BY82" i="7" s="1"/>
  <c r="BY83" i="7" s="1"/>
  <c r="BY84" i="7" s="1"/>
  <c r="BY85" i="7" s="1"/>
  <c r="BY86" i="7" s="1"/>
  <c r="BY87" i="7" s="1"/>
  <c r="BY88" i="7" s="1"/>
  <c r="BY89" i="7" s="1"/>
  <c r="BY90" i="7" s="1"/>
  <c r="BY91" i="7" s="1"/>
  <c r="BY92" i="7" s="1"/>
  <c r="BY93" i="7" s="1"/>
  <c r="BY94" i="7" s="1"/>
  <c r="BY95" i="7" s="1"/>
  <c r="BY96" i="7" s="1"/>
  <c r="BY97" i="7" s="1"/>
  <c r="BY98" i="7" s="1"/>
  <c r="BY99" i="7" s="1"/>
  <c r="BY100" i="7" s="1"/>
  <c r="BY101" i="7" s="1"/>
  <c r="BY102" i="7" s="1"/>
  <c r="BY103" i="7" s="1"/>
  <c r="BY104" i="7" s="1"/>
  <c r="BY105" i="7" s="1"/>
  <c r="BY106" i="7" s="1"/>
  <c r="BY107" i="7" s="1"/>
  <c r="BY108" i="7" s="1"/>
  <c r="BY109" i="7" s="1"/>
  <c r="BY110" i="7" s="1"/>
  <c r="BY111" i="7" s="1"/>
  <c r="BY112" i="7" s="1"/>
  <c r="BY113" i="7" s="1"/>
  <c r="BY114" i="7" s="1"/>
  <c r="CH4" i="8" l="1"/>
  <c r="CH42" i="8" s="1"/>
  <c r="CG4" i="8"/>
  <c r="CG42" i="8" s="1"/>
  <c r="CF4" i="8"/>
  <c r="CF42" i="8" s="1"/>
  <c r="CE4" i="8"/>
  <c r="CE42" i="8" s="1"/>
  <c r="CD4" i="8"/>
  <c r="CD42" i="8" s="1"/>
  <c r="CC4" i="8"/>
  <c r="CC42" i="8" s="1"/>
  <c r="CB4" i="8"/>
  <c r="CB42" i="8" s="1"/>
  <c r="CA4" i="8"/>
  <c r="CA42" i="8" s="1"/>
  <c r="BZ4" i="8"/>
  <c r="BZ42" i="8" s="1"/>
  <c r="BY4" i="8"/>
  <c r="BY42" i="8" s="1"/>
  <c r="BX4" i="8"/>
  <c r="BX42" i="8" s="1"/>
  <c r="BW4" i="8"/>
  <c r="BW42" i="8" s="1"/>
  <c r="CI14" i="8"/>
  <c r="M69" i="8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H69" i="8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BS14" i="7"/>
  <c r="BT14" i="7" s="1"/>
  <c r="BU14" i="7" s="1"/>
  <c r="BV14" i="7" s="1"/>
  <c r="BW14" i="7" s="1"/>
  <c r="BX14" i="7" s="1"/>
  <c r="BY14" i="7" s="1"/>
  <c r="CH53" i="8" l="1"/>
  <c r="CH55" i="8"/>
  <c r="CH47" i="8"/>
  <c r="CH45" i="8"/>
  <c r="CH51" i="8"/>
  <c r="CH44" i="8"/>
  <c r="CH52" i="8"/>
  <c r="CH54" i="8"/>
  <c r="CH56" i="8"/>
  <c r="CH49" i="8"/>
  <c r="CH46" i="8"/>
  <c r="CE51" i="8"/>
  <c r="CE53" i="8"/>
  <c r="CE54" i="8"/>
  <c r="CE47" i="8"/>
  <c r="CE46" i="8"/>
  <c r="CE52" i="8"/>
  <c r="CE45" i="8"/>
  <c r="CE49" i="8"/>
  <c r="CE44" i="8"/>
  <c r="CE56" i="8"/>
  <c r="CE55" i="8"/>
  <c r="CB49" i="8"/>
  <c r="CB45" i="8"/>
  <c r="CB52" i="8"/>
  <c r="CB51" i="8"/>
  <c r="CB46" i="8"/>
  <c r="CB54" i="8"/>
  <c r="CB55" i="8"/>
  <c r="CB44" i="8"/>
  <c r="CB56" i="8"/>
  <c r="CB53" i="8"/>
  <c r="CB47" i="8"/>
  <c r="BX49" i="8"/>
  <c r="BX54" i="8"/>
  <c r="BX44" i="8"/>
  <c r="BX53" i="8"/>
  <c r="BX51" i="8"/>
  <c r="BX46" i="8"/>
  <c r="BX55" i="8"/>
  <c r="BX47" i="8"/>
  <c r="BX52" i="8"/>
  <c r="BX56" i="8"/>
  <c r="BX45" i="8"/>
  <c r="CF44" i="8"/>
  <c r="CF47" i="8"/>
  <c r="CF45" i="8"/>
  <c r="CF56" i="8"/>
  <c r="CF49" i="8"/>
  <c r="CF55" i="8"/>
  <c r="CF54" i="8"/>
  <c r="CF52" i="8"/>
  <c r="CF46" i="8"/>
  <c r="CF53" i="8"/>
  <c r="CF51" i="8"/>
  <c r="CD49" i="8"/>
  <c r="CD52" i="8"/>
  <c r="CD45" i="8"/>
  <c r="CD53" i="8"/>
  <c r="CD54" i="8"/>
  <c r="CD47" i="8"/>
  <c r="CD51" i="8"/>
  <c r="CD56" i="8"/>
  <c r="CD46" i="8"/>
  <c r="CD44" i="8"/>
  <c r="CD55" i="8"/>
  <c r="CG46" i="8"/>
  <c r="CG55" i="8"/>
  <c r="CG44" i="8"/>
  <c r="CG53" i="8"/>
  <c r="CG49" i="8"/>
  <c r="CG51" i="8"/>
  <c r="CG45" i="8"/>
  <c r="CG52" i="8"/>
  <c r="CG47" i="8"/>
  <c r="CG56" i="8"/>
  <c r="CG54" i="8"/>
  <c r="BW53" i="8"/>
  <c r="BW45" i="8"/>
  <c r="BW47" i="8"/>
  <c r="BW44" i="8"/>
  <c r="BW54" i="8"/>
  <c r="BW55" i="8"/>
  <c r="BW56" i="8"/>
  <c r="BW46" i="8"/>
  <c r="BW49" i="8"/>
  <c r="BW51" i="8"/>
  <c r="BW52" i="8"/>
  <c r="BY49" i="8"/>
  <c r="BY53" i="8"/>
  <c r="BY47" i="8"/>
  <c r="BY56" i="8"/>
  <c r="BY51" i="8"/>
  <c r="BY44" i="8"/>
  <c r="BY54" i="8"/>
  <c r="BY55" i="8"/>
  <c r="BY45" i="8"/>
  <c r="BY52" i="8"/>
  <c r="BY46" i="8"/>
  <c r="BZ53" i="8"/>
  <c r="BZ51" i="8"/>
  <c r="BZ54" i="8"/>
  <c r="BZ55" i="8"/>
  <c r="BZ52" i="8"/>
  <c r="BZ56" i="8"/>
  <c r="BZ46" i="8"/>
  <c r="BZ49" i="8"/>
  <c r="BZ47" i="8"/>
  <c r="BZ44" i="8"/>
  <c r="BZ45" i="8"/>
  <c r="CC45" i="8"/>
  <c r="CC47" i="8"/>
  <c r="CC46" i="8"/>
  <c r="CC44" i="8"/>
  <c r="CC55" i="8"/>
  <c r="CC56" i="8"/>
  <c r="CC49" i="8"/>
  <c r="CC51" i="8"/>
  <c r="CC52" i="8"/>
  <c r="CC53" i="8"/>
  <c r="CC54" i="8"/>
  <c r="CA46" i="8"/>
  <c r="CA49" i="8"/>
  <c r="CA56" i="8"/>
  <c r="CA52" i="8"/>
  <c r="CA55" i="8"/>
  <c r="CA47" i="8"/>
  <c r="CA53" i="8"/>
  <c r="CA51" i="8"/>
  <c r="CA45" i="8"/>
  <c r="CA54" i="8"/>
  <c r="CA44" i="8"/>
  <c r="CI51" i="8" l="1"/>
  <c r="CI55" i="8"/>
  <c r="CI53" i="8"/>
  <c r="CI52" i="8"/>
  <c r="CI56" i="8"/>
  <c r="CI54" i="8"/>
  <c r="AA101" i="5"/>
  <c r="L113" i="7" s="1"/>
  <c r="BV14" i="1"/>
  <c r="BW14" i="1" s="1"/>
  <c r="BX14" i="1" s="1"/>
  <c r="BY14" i="1" s="1"/>
  <c r="BZ14" i="1" s="1"/>
  <c r="CA14" i="1" s="1"/>
  <c r="CB14" i="1" s="1"/>
  <c r="V31" i="5" l="1"/>
  <c r="V28" i="5"/>
  <c r="V27" i="5"/>
  <c r="V30" i="5"/>
  <c r="V29" i="5"/>
  <c r="V33" i="5"/>
  <c r="V26" i="5"/>
  <c r="V32" i="5"/>
  <c r="V88" i="5" s="1"/>
  <c r="G100" i="7" s="1"/>
  <c r="AA94" i="5"/>
  <c r="L106" i="7" s="1"/>
  <c r="AA87" i="5"/>
  <c r="L99" i="7" s="1"/>
  <c r="AA84" i="5"/>
  <c r="L96" i="7" s="1"/>
  <c r="AA82" i="5"/>
  <c r="L94" i="7" s="1"/>
  <c r="AA81" i="5"/>
  <c r="L93" i="7" s="1"/>
  <c r="AA83" i="5"/>
  <c r="L95" i="7" s="1"/>
  <c r="AA86" i="5"/>
  <c r="L98" i="7" s="1"/>
  <c r="AA85" i="5"/>
  <c r="L97" i="7" s="1"/>
  <c r="AA63" i="5"/>
  <c r="L75" i="7" s="1"/>
  <c r="AA71" i="5"/>
  <c r="L83" i="7" s="1"/>
  <c r="AA80" i="5"/>
  <c r="L92" i="7" s="1"/>
  <c r="AA95" i="5"/>
  <c r="L107" i="7" s="1"/>
  <c r="AA93" i="5"/>
  <c r="L105" i="7" s="1"/>
  <c r="AA91" i="5"/>
  <c r="L103" i="7" s="1"/>
  <c r="AA79" i="5"/>
  <c r="L91" i="7" s="1"/>
  <c r="V5" i="5"/>
  <c r="AA57" i="5"/>
  <c r="L69" i="7" s="1"/>
  <c r="M69" i="7" s="1"/>
  <c r="AA65" i="5"/>
  <c r="L77" i="7" s="1"/>
  <c r="AA69" i="5"/>
  <c r="L81" i="7" s="1"/>
  <c r="AA90" i="5"/>
  <c r="L102" i="7" s="1"/>
  <c r="AA74" i="5"/>
  <c r="L86" i="7" s="1"/>
  <c r="AA66" i="5"/>
  <c r="L78" i="7" s="1"/>
  <c r="V38" i="5"/>
  <c r="V39" i="5"/>
  <c r="V12" i="5"/>
  <c r="V18" i="5"/>
  <c r="V19" i="5"/>
  <c r="V40" i="5"/>
  <c r="AA76" i="5"/>
  <c r="L88" i="7" s="1"/>
  <c r="V47" i="5"/>
  <c r="V100" i="5" s="1"/>
  <c r="G112" i="7" s="1"/>
  <c r="V16" i="5"/>
  <c r="AA89" i="5"/>
  <c r="L101" i="7" s="1"/>
  <c r="AA72" i="5"/>
  <c r="L84" i="7" s="1"/>
  <c r="V25" i="5"/>
  <c r="V20" i="5"/>
  <c r="V23" i="5"/>
  <c r="V21" i="5"/>
  <c r="V15" i="5"/>
  <c r="AA60" i="5"/>
  <c r="L72" i="7" s="1"/>
  <c r="V45" i="5"/>
  <c r="V98" i="5" s="1"/>
  <c r="G110" i="7" s="1"/>
  <c r="V46" i="5"/>
  <c r="V99" i="5" s="1"/>
  <c r="G111" i="7" s="1"/>
  <c r="V36" i="5"/>
  <c r="V11" i="5"/>
  <c r="AA78" i="5"/>
  <c r="L90" i="7" s="1"/>
  <c r="V10" i="5"/>
  <c r="V35" i="5"/>
  <c r="AA99" i="5"/>
  <c r="L111" i="7" s="1"/>
  <c r="V37" i="5"/>
  <c r="AA58" i="5"/>
  <c r="L70" i="7" s="1"/>
  <c r="V13" i="5"/>
  <c r="AA67" i="5"/>
  <c r="L79" i="7" s="1"/>
  <c r="V34" i="5"/>
  <c r="V22" i="5"/>
  <c r="AA75" i="5"/>
  <c r="L87" i="7" s="1"/>
  <c r="AA96" i="5"/>
  <c r="L108" i="7" s="1"/>
  <c r="V8" i="5"/>
  <c r="AA70" i="5"/>
  <c r="L82" i="7" s="1"/>
  <c r="V43" i="5"/>
  <c r="V9" i="5"/>
  <c r="AA97" i="5"/>
  <c r="L109" i="7" s="1"/>
  <c r="AA88" i="5"/>
  <c r="L100" i="7" s="1"/>
  <c r="AA92" i="5"/>
  <c r="L104" i="7" s="1"/>
  <c r="AA59" i="5"/>
  <c r="L71" i="7" s="1"/>
  <c r="V44" i="5"/>
  <c r="V97" i="5" s="1"/>
  <c r="G109" i="7" s="1"/>
  <c r="AA100" i="5"/>
  <c r="L112" i="7" s="1"/>
  <c r="AA68" i="5"/>
  <c r="L80" i="7" s="1"/>
  <c r="V6" i="5"/>
  <c r="V7" i="5"/>
  <c r="V17" i="5"/>
  <c r="AA61" i="5"/>
  <c r="L73" i="7" s="1"/>
  <c r="V48" i="5"/>
  <c r="V101" i="5" s="1"/>
  <c r="G113" i="7" s="1"/>
  <c r="V24" i="5"/>
  <c r="AA64" i="5"/>
  <c r="L76" i="7" s="1"/>
  <c r="V14" i="5"/>
  <c r="V41" i="5"/>
  <c r="AA77" i="5"/>
  <c r="L89" i="7" s="1"/>
  <c r="AA98" i="5"/>
  <c r="L110" i="7" s="1"/>
  <c r="V42" i="5"/>
  <c r="Q42" i="8"/>
  <c r="AC18" i="8"/>
  <c r="Z18" i="8"/>
  <c r="AC17" i="8"/>
  <c r="Z17" i="8"/>
  <c r="AC16" i="8"/>
  <c r="Z16" i="8"/>
  <c r="AC15" i="8"/>
  <c r="Z15" i="8"/>
  <c r="AC14" i="8"/>
  <c r="Z14" i="8"/>
  <c r="R14" i="8"/>
  <c r="AC13" i="8"/>
  <c r="Z13" i="8"/>
  <c r="AC12" i="8"/>
  <c r="Z12" i="8"/>
  <c r="U12" i="8"/>
  <c r="AC11" i="8"/>
  <c r="Z11" i="8"/>
  <c r="AC10" i="8"/>
  <c r="Z10" i="8"/>
  <c r="AC9" i="8"/>
  <c r="Z9" i="8"/>
  <c r="AC8" i="8"/>
  <c r="Z8" i="8"/>
  <c r="AC7" i="8"/>
  <c r="Z7" i="8"/>
  <c r="BN5" i="8"/>
  <c r="BK5" i="8"/>
  <c r="N42" i="8"/>
  <c r="L42" i="8"/>
  <c r="V83" i="5" l="1"/>
  <c r="G95" i="7" s="1"/>
  <c r="V95" i="5"/>
  <c r="G107" i="7" s="1"/>
  <c r="V57" i="5"/>
  <c r="G69" i="7" s="1"/>
  <c r="H69" i="7" s="1"/>
  <c r="V60" i="5"/>
  <c r="G72" i="7" s="1"/>
  <c r="V93" i="5"/>
  <c r="G105" i="7" s="1"/>
  <c r="V91" i="5"/>
  <c r="G103" i="7" s="1"/>
  <c r="V86" i="5"/>
  <c r="G98" i="7" s="1"/>
  <c r="V62" i="5"/>
  <c r="G74" i="7" s="1"/>
  <c r="V76" i="5"/>
  <c r="G88" i="7" s="1"/>
  <c r="V65" i="5"/>
  <c r="G77" i="7" s="1"/>
  <c r="V71" i="5"/>
  <c r="G83" i="7" s="1"/>
  <c r="V59" i="5"/>
  <c r="G71" i="7" s="1"/>
  <c r="V72" i="5"/>
  <c r="G84" i="7" s="1"/>
  <c r="V92" i="5"/>
  <c r="G104" i="7" s="1"/>
  <c r="V85" i="5"/>
  <c r="G97" i="7" s="1"/>
  <c r="V87" i="5"/>
  <c r="G99" i="7" s="1"/>
  <c r="V89" i="5"/>
  <c r="G101" i="7" s="1"/>
  <c r="V94" i="5"/>
  <c r="G106" i="7" s="1"/>
  <c r="V96" i="5"/>
  <c r="G108" i="7" s="1"/>
  <c r="V58" i="5"/>
  <c r="G70" i="7" s="1"/>
  <c r="V90" i="5"/>
  <c r="G102" i="7" s="1"/>
  <c r="V84" i="5"/>
  <c r="G96" i="7" s="1"/>
  <c r="V70" i="5"/>
  <c r="G82" i="7" s="1"/>
  <c r="V66" i="5"/>
  <c r="G78" i="7" s="1"/>
  <c r="V81" i="5"/>
  <c r="G93" i="7" s="1"/>
  <c r="V61" i="5"/>
  <c r="G73" i="7" s="1"/>
  <c r="V64" i="5"/>
  <c r="G76" i="7" s="1"/>
  <c r="V63" i="5"/>
  <c r="G75" i="7" s="1"/>
  <c r="V80" i="5"/>
  <c r="G92" i="7" s="1"/>
  <c r="V77" i="5"/>
  <c r="G89" i="7" s="1"/>
  <c r="V79" i="5"/>
  <c r="G91" i="7" s="1"/>
  <c r="V78" i="5"/>
  <c r="G90" i="7" s="1"/>
  <c r="V74" i="5"/>
  <c r="G86" i="7" s="1"/>
  <c r="V82" i="5"/>
  <c r="G94" i="7" s="1"/>
  <c r="V68" i="5"/>
  <c r="G80" i="7" s="1"/>
  <c r="V67" i="5"/>
  <c r="G79" i="7" s="1"/>
  <c r="V75" i="5"/>
  <c r="G87" i="7" s="1"/>
  <c r="V69" i="5"/>
  <c r="G81" i="7" s="1"/>
  <c r="V73" i="5"/>
  <c r="G85" i="7" s="1"/>
  <c r="M70" i="7"/>
  <c r="AA73" i="5"/>
  <c r="L85" i="7" s="1"/>
  <c r="BM4" i="8"/>
  <c r="AK10" i="8" s="1"/>
  <c r="BM5" i="8"/>
  <c r="AE7" i="8"/>
  <c r="AG7" i="8" s="1"/>
  <c r="F42" i="8"/>
  <c r="M42" i="8"/>
  <c r="AS26" i="8"/>
  <c r="X8" i="7"/>
  <c r="X9" i="7"/>
  <c r="X10" i="7"/>
  <c r="X11" i="7"/>
  <c r="X12" i="7"/>
  <c r="X13" i="7"/>
  <c r="X14" i="7"/>
  <c r="X15" i="7"/>
  <c r="X16" i="7"/>
  <c r="X17" i="7"/>
  <c r="X18" i="7"/>
  <c r="X7" i="7"/>
  <c r="H70" i="7" l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AK12" i="8"/>
  <c r="AJ7" i="8"/>
  <c r="AJ12" i="8"/>
  <c r="AI7" i="8"/>
  <c r="AL10" i="8"/>
  <c r="AO7" i="8"/>
  <c r="AL12" i="8"/>
  <c r="AO10" i="8"/>
  <c r="AI10" i="8"/>
  <c r="AK7" i="8"/>
  <c r="AI12" i="8"/>
  <c r="J6" i="8"/>
  <c r="CE8" i="8"/>
  <c r="BW8" i="8"/>
  <c r="CA5" i="8"/>
  <c r="Q44" i="8"/>
  <c r="O44" i="8"/>
  <c r="M44" i="8"/>
  <c r="K44" i="8"/>
  <c r="I44" i="8"/>
  <c r="F44" i="8"/>
  <c r="P9" i="8"/>
  <c r="L9" i="8"/>
  <c r="I8" i="8"/>
  <c r="P6" i="8"/>
  <c r="L6" i="8"/>
  <c r="G6" i="8"/>
  <c r="CD8" i="8"/>
  <c r="CH5" i="8"/>
  <c r="BZ5" i="8"/>
  <c r="P48" i="8"/>
  <c r="N48" i="8"/>
  <c r="L44" i="8"/>
  <c r="J48" i="8"/>
  <c r="H48" i="8"/>
  <c r="G48" i="8"/>
  <c r="P8" i="8"/>
  <c r="L8" i="8"/>
  <c r="H9" i="8"/>
  <c r="P5" i="8"/>
  <c r="L5" i="8"/>
  <c r="G5" i="8"/>
  <c r="CE6" i="8"/>
  <c r="CE43" i="8" s="1"/>
  <c r="CE48" i="8" s="1"/>
  <c r="BW5" i="8"/>
  <c r="P44" i="8"/>
  <c r="J44" i="8"/>
  <c r="N9" i="8"/>
  <c r="G47" i="8"/>
  <c r="J9" i="8"/>
  <c r="I5" i="8"/>
  <c r="CC8" i="8"/>
  <c r="CG5" i="8"/>
  <c r="BY5" i="8"/>
  <c r="P47" i="8"/>
  <c r="N47" i="8"/>
  <c r="L45" i="8"/>
  <c r="J47" i="8"/>
  <c r="H47" i="8"/>
  <c r="G45" i="8"/>
  <c r="O9" i="8"/>
  <c r="K9" i="8"/>
  <c r="H8" i="8"/>
  <c r="O6" i="8"/>
  <c r="K6" i="8"/>
  <c r="K43" i="8" s="1"/>
  <c r="F6" i="8"/>
  <c r="CB8" i="8"/>
  <c r="CF5" i="8"/>
  <c r="BX5" i="8"/>
  <c r="P45" i="8"/>
  <c r="N45" i="8"/>
  <c r="L48" i="8"/>
  <c r="J45" i="8"/>
  <c r="H45" i="8"/>
  <c r="F48" i="8"/>
  <c r="O8" i="8"/>
  <c r="K8" i="8"/>
  <c r="G9" i="8"/>
  <c r="O5" i="8"/>
  <c r="J5" i="8"/>
  <c r="F5" i="8"/>
  <c r="BZ8" i="8"/>
  <c r="O48" i="8"/>
  <c r="K48" i="8"/>
  <c r="Q9" i="8"/>
  <c r="Q46" i="8" s="1"/>
  <c r="F9" i="8"/>
  <c r="CG8" i="8"/>
  <c r="BY8" i="8"/>
  <c r="CC5" i="8"/>
  <c r="Q47" i="8"/>
  <c r="O47" i="8"/>
  <c r="M47" i="8"/>
  <c r="K47" i="8"/>
  <c r="I47" i="8"/>
  <c r="G44" i="8"/>
  <c r="Q6" i="8"/>
  <c r="Q43" i="8" s="1"/>
  <c r="M9" i="8"/>
  <c r="J8" i="8"/>
  <c r="F8" i="8"/>
  <c r="M6" i="8"/>
  <c r="H6" i="8"/>
  <c r="CA8" i="8"/>
  <c r="N44" i="8"/>
  <c r="H44" i="8"/>
  <c r="K5" i="8"/>
  <c r="I6" i="8"/>
  <c r="CF8" i="8"/>
  <c r="BX8" i="8"/>
  <c r="CB5" i="8"/>
  <c r="Q45" i="8"/>
  <c r="O45" i="8"/>
  <c r="M45" i="8"/>
  <c r="K45" i="8"/>
  <c r="I45" i="8"/>
  <c r="F47" i="8"/>
  <c r="Q8" i="8"/>
  <c r="M8" i="8"/>
  <c r="I9" i="8"/>
  <c r="Q5" i="8"/>
  <c r="M5" i="8"/>
  <c r="H5" i="8"/>
  <c r="CE5" i="8"/>
  <c r="L47" i="8"/>
  <c r="F45" i="8"/>
  <c r="G8" i="8"/>
  <c r="N6" i="8"/>
  <c r="CH8" i="8"/>
  <c r="CD5" i="8"/>
  <c r="M48" i="8"/>
  <c r="I48" i="8"/>
  <c r="N8" i="8"/>
  <c r="N5" i="8"/>
  <c r="CG9" i="8"/>
  <c r="CG50" i="8" s="1"/>
  <c r="BY9" i="8"/>
  <c r="BY50" i="8" s="1"/>
  <c r="CD6" i="8"/>
  <c r="CD43" i="8" s="1"/>
  <c r="CD48" i="8" s="1"/>
  <c r="CB9" i="8"/>
  <c r="CB50" i="8" s="1"/>
  <c r="CF9" i="8"/>
  <c r="CF50" i="8" s="1"/>
  <c r="BX9" i="8"/>
  <c r="BX50" i="8" s="1"/>
  <c r="CC6" i="8"/>
  <c r="CC43" i="8" s="1"/>
  <c r="CC48" i="8" s="1"/>
  <c r="BZ6" i="8"/>
  <c r="BZ43" i="8" s="1"/>
  <c r="BZ48" i="8" s="1"/>
  <c r="CH43" i="8"/>
  <c r="CH48" i="8" s="1"/>
  <c r="CE9" i="8"/>
  <c r="CE50" i="8" s="1"/>
  <c r="BW9" i="8"/>
  <c r="BW50" i="8" s="1"/>
  <c r="CB6" i="8"/>
  <c r="CB43" i="8" s="1"/>
  <c r="CB48" i="8" s="1"/>
  <c r="CC9" i="8"/>
  <c r="CC50" i="8" s="1"/>
  <c r="CD9" i="8"/>
  <c r="CD50" i="8" s="1"/>
  <c r="CA6" i="8"/>
  <c r="CA43" i="8" s="1"/>
  <c r="CA48" i="8" s="1"/>
  <c r="BY6" i="8"/>
  <c r="BY43" i="8" s="1"/>
  <c r="BY48" i="8" s="1"/>
  <c r="CA9" i="8"/>
  <c r="CA50" i="8" s="1"/>
  <c r="CG43" i="8"/>
  <c r="CG48" i="8" s="1"/>
  <c r="BX6" i="8"/>
  <c r="BX43" i="8" s="1"/>
  <c r="BX48" i="8" s="1"/>
  <c r="CH50" i="8"/>
  <c r="BZ9" i="8"/>
  <c r="BZ50" i="8" s="1"/>
  <c r="CF6" i="8"/>
  <c r="CF43" i="8" s="1"/>
  <c r="CF48" i="8" s="1"/>
  <c r="BW6" i="8"/>
  <c r="AJ10" i="8"/>
  <c r="AL7" i="8"/>
  <c r="AO12" i="8"/>
  <c r="M71" i="7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AE22" i="8"/>
  <c r="AE21" i="8" s="1"/>
  <c r="AE18" i="8" s="1"/>
  <c r="AE17" i="8" s="1"/>
  <c r="AL28" i="8"/>
  <c r="AL29" i="8" s="1"/>
  <c r="G43" i="8"/>
  <c r="AU26" i="8"/>
  <c r="AT26" i="8"/>
  <c r="AS27" i="8"/>
  <c r="AO26" i="8"/>
  <c r="AO27" i="8" s="1"/>
  <c r="AF22" i="8"/>
  <c r="P12" i="7"/>
  <c r="I4" i="7"/>
  <c r="BU4" i="7" s="1"/>
  <c r="BU42" i="7" s="1"/>
  <c r="H4" i="7"/>
  <c r="BT4" i="7" s="1"/>
  <c r="BT42" i="7" s="1"/>
  <c r="G4" i="7"/>
  <c r="BS4" i="7" s="1"/>
  <c r="BS42" i="7" s="1"/>
  <c r="F4" i="7"/>
  <c r="BR4" i="7" s="1"/>
  <c r="BR42" i="7" s="1"/>
  <c r="U18" i="7"/>
  <c r="U17" i="7"/>
  <c r="U16" i="7"/>
  <c r="U15" i="7"/>
  <c r="U14" i="7"/>
  <c r="M14" i="7"/>
  <c r="G14" i="7"/>
  <c r="H14" i="7" s="1"/>
  <c r="I14" i="7" s="1"/>
  <c r="J14" i="7" s="1"/>
  <c r="K14" i="7" s="1"/>
  <c r="U13" i="7"/>
  <c r="U12" i="7"/>
  <c r="U11" i="7"/>
  <c r="U10" i="7"/>
  <c r="U9" i="7"/>
  <c r="U8" i="7"/>
  <c r="U7" i="7"/>
  <c r="BI5" i="7"/>
  <c r="BF5" i="7"/>
  <c r="BH4" i="7" l="1"/>
  <c r="BZ11" i="8"/>
  <c r="CG11" i="8"/>
  <c r="BX11" i="8"/>
  <c r="O10" i="8"/>
  <c r="BH5" i="7"/>
  <c r="CA11" i="8"/>
  <c r="CF11" i="8"/>
  <c r="CB10" i="8"/>
  <c r="CB12" i="8"/>
  <c r="BW43" i="8"/>
  <c r="BW48" i="8" s="1"/>
  <c r="BW7" i="8"/>
  <c r="CA7" i="8"/>
  <c r="CC7" i="8"/>
  <c r="CB11" i="8"/>
  <c r="CE7" i="8"/>
  <c r="CF7" i="8"/>
  <c r="BX12" i="8"/>
  <c r="BX10" i="8"/>
  <c r="J10" i="8"/>
  <c r="CC10" i="8"/>
  <c r="CC12" i="8"/>
  <c r="CB7" i="8"/>
  <c r="B15" i="8"/>
  <c r="BX7" i="8"/>
  <c r="BW12" i="8"/>
  <c r="BW10" i="8"/>
  <c r="CF12" i="8"/>
  <c r="CF10" i="8"/>
  <c r="AK28" i="8"/>
  <c r="AH28" i="8" s="1"/>
  <c r="AG28" i="8" s="1"/>
  <c r="CG7" i="8"/>
  <c r="CE10" i="8"/>
  <c r="CE12" i="8"/>
  <c r="BW11" i="8"/>
  <c r="BZ10" i="8"/>
  <c r="BZ12" i="8"/>
  <c r="CA10" i="8"/>
  <c r="CA12" i="8"/>
  <c r="CG12" i="8"/>
  <c r="CG10" i="8"/>
  <c r="Q10" i="8"/>
  <c r="CE11" i="8"/>
  <c r="AD28" i="8"/>
  <c r="BZ7" i="8"/>
  <c r="CC11" i="8"/>
  <c r="K10" i="8"/>
  <c r="P10" i="8"/>
  <c r="K7" i="8"/>
  <c r="Q11" i="8"/>
  <c r="M10" i="8"/>
  <c r="N10" i="8"/>
  <c r="Q7" i="8"/>
  <c r="J46" i="8"/>
  <c r="K12" i="8"/>
  <c r="K46" i="8"/>
  <c r="K11" i="8"/>
  <c r="Q12" i="8"/>
  <c r="L7" i="8"/>
  <c r="AQ27" i="8"/>
  <c r="AP27" i="8"/>
  <c r="AO28" i="8"/>
  <c r="X28" i="8"/>
  <c r="AO24" i="8"/>
  <c r="AQ26" i="8"/>
  <c r="AP26" i="8"/>
  <c r="AG22" i="8"/>
  <c r="AF21" i="8"/>
  <c r="AU27" i="8"/>
  <c r="AT27" i="8"/>
  <c r="AS28" i="8"/>
  <c r="AK29" i="8"/>
  <c r="AD29" i="8"/>
  <c r="AL30" i="8"/>
  <c r="Z7" i="7"/>
  <c r="AG28" i="7" s="1"/>
  <c r="BZ13" i="8" l="1"/>
  <c r="BX13" i="8"/>
  <c r="CG13" i="8"/>
  <c r="AM28" i="8"/>
  <c r="CA13" i="8"/>
  <c r="CF13" i="8"/>
  <c r="CE13" i="8"/>
  <c r="BW13" i="8"/>
  <c r="CC13" i="8"/>
  <c r="CB13" i="8"/>
  <c r="Q13" i="8"/>
  <c r="K13" i="8"/>
  <c r="AF20" i="8"/>
  <c r="AF18" i="8" s="1"/>
  <c r="AG21" i="8"/>
  <c r="AH22" i="8"/>
  <c r="AJ29" i="8"/>
  <c r="AH29" i="8" s="1"/>
  <c r="W28" i="8"/>
  <c r="AF28" i="8"/>
  <c r="AE28" i="8"/>
  <c r="AL31" i="8"/>
  <c r="AD30" i="8"/>
  <c r="AK30" i="8"/>
  <c r="Z28" i="8"/>
  <c r="AQ28" i="8"/>
  <c r="AP28" i="8"/>
  <c r="AO29" i="8"/>
  <c r="AU28" i="8"/>
  <c r="AT28" i="8"/>
  <c r="AS29" i="8"/>
  <c r="AF28" i="7"/>
  <c r="AC28" i="7" s="1"/>
  <c r="AH28" i="7" s="1"/>
  <c r="Y28" i="7"/>
  <c r="Z22" i="7"/>
  <c r="Z21" i="7" s="1"/>
  <c r="Z18" i="7" s="1"/>
  <c r="Z17" i="7" s="1"/>
  <c r="AB7" i="7"/>
  <c r="AG29" i="7" s="1"/>
  <c r="BJ18" i="8" l="1"/>
  <c r="AF17" i="8"/>
  <c r="AG29" i="8"/>
  <c r="AM29" i="8"/>
  <c r="X29" i="8"/>
  <c r="G42" i="8" s="1"/>
  <c r="U28" i="8"/>
  <c r="AJ30" i="8"/>
  <c r="AG20" i="8"/>
  <c r="AG18" i="8" s="1"/>
  <c r="AG17" i="8" s="1"/>
  <c r="AU29" i="8"/>
  <c r="AT29" i="8"/>
  <c r="AS30" i="8"/>
  <c r="AH21" i="8"/>
  <c r="AI22" i="8"/>
  <c r="AQ29" i="8"/>
  <c r="AP29" i="8"/>
  <c r="AO30" i="8"/>
  <c r="AD31" i="8"/>
  <c r="AK31" i="8"/>
  <c r="AL32" i="8"/>
  <c r="AA22" i="7"/>
  <c r="AB22" i="7" s="1"/>
  <c r="AG30" i="7"/>
  <c r="Y30" i="7" s="1"/>
  <c r="Y29" i="7"/>
  <c r="AF29" i="7"/>
  <c r="AE29" i="7" s="1"/>
  <c r="S28" i="7"/>
  <c r="AB28" i="7"/>
  <c r="AQ30" i="8" l="1"/>
  <c r="AP30" i="8"/>
  <c r="AO31" i="8"/>
  <c r="AH30" i="8"/>
  <c r="AU30" i="8"/>
  <c r="AT30" i="8"/>
  <c r="AS31" i="8"/>
  <c r="W29" i="8"/>
  <c r="AE29" i="8"/>
  <c r="AF29" i="8"/>
  <c r="AL33" i="8"/>
  <c r="AD32" i="8"/>
  <c r="AK32" i="8"/>
  <c r="Z29" i="8"/>
  <c r="AH20" i="8"/>
  <c r="AH18" i="8" s="1"/>
  <c r="AH17" i="8" s="1"/>
  <c r="AJ31" i="8"/>
  <c r="AH31" i="8" s="1"/>
  <c r="AJ22" i="8"/>
  <c r="AI21" i="8"/>
  <c r="AF30" i="7"/>
  <c r="AE30" i="7" s="1"/>
  <c r="AC30" i="7" s="1"/>
  <c r="Z28" i="7"/>
  <c r="R28" i="7"/>
  <c r="U28" i="7"/>
  <c r="P28" i="7" s="1"/>
  <c r="AA21" i="7"/>
  <c r="AA20" i="7" s="1"/>
  <c r="AA18" i="7" s="1"/>
  <c r="AA28" i="7"/>
  <c r="AG31" i="7"/>
  <c r="Y31" i="7" s="1"/>
  <c r="AC29" i="7"/>
  <c r="AB29" i="7" s="1"/>
  <c r="AC22" i="7"/>
  <c r="AB21" i="7"/>
  <c r="AK22" i="8" l="1"/>
  <c r="AJ21" i="8"/>
  <c r="U29" i="8"/>
  <c r="AM31" i="8"/>
  <c r="AG31" i="8"/>
  <c r="AJ32" i="8"/>
  <c r="AH32" i="8" s="1"/>
  <c r="AG30" i="8"/>
  <c r="AM30" i="8"/>
  <c r="X36" i="8"/>
  <c r="AD33" i="8"/>
  <c r="AK33" i="8"/>
  <c r="AL34" i="8"/>
  <c r="AQ31" i="8"/>
  <c r="AP31" i="8"/>
  <c r="AO32" i="8"/>
  <c r="AU31" i="8"/>
  <c r="AT31" i="8"/>
  <c r="AS32" i="8"/>
  <c r="AI20" i="8"/>
  <c r="AI18" i="8" s="1"/>
  <c r="AI17" i="8" s="1"/>
  <c r="AF31" i="7"/>
  <c r="AE31" i="7" s="1"/>
  <c r="AG32" i="7"/>
  <c r="AG33" i="7" s="1"/>
  <c r="AH29" i="7"/>
  <c r="AH30" i="7"/>
  <c r="AB30" i="7"/>
  <c r="AA17" i="7"/>
  <c r="BE18" i="7"/>
  <c r="Z29" i="7"/>
  <c r="AA29" i="7"/>
  <c r="AB20" i="7"/>
  <c r="AB18" i="7" s="1"/>
  <c r="AB17" i="7" s="1"/>
  <c r="AD22" i="7"/>
  <c r="AC21" i="7"/>
  <c r="Y32" i="7" l="1"/>
  <c r="AT32" i="8"/>
  <c r="AU32" i="8"/>
  <c r="AS33" i="8"/>
  <c r="F43" i="8"/>
  <c r="F7" i="8"/>
  <c r="AK34" i="8"/>
  <c r="AD34" i="8"/>
  <c r="AL35" i="8"/>
  <c r="F46" i="8"/>
  <c r="F12" i="8"/>
  <c r="F10" i="8"/>
  <c r="AJ33" i="8"/>
  <c r="AH33" i="8" s="1"/>
  <c r="AF30" i="8"/>
  <c r="AE30" i="8"/>
  <c r="W36" i="8"/>
  <c r="X37" i="8"/>
  <c r="Z36" i="8"/>
  <c r="AG32" i="8"/>
  <c r="AM32" i="8"/>
  <c r="AJ20" i="8"/>
  <c r="AJ18" i="8" s="1"/>
  <c r="AJ17" i="8" s="1"/>
  <c r="AQ32" i="8"/>
  <c r="AP32" i="8"/>
  <c r="AO33" i="8"/>
  <c r="AL22" i="8"/>
  <c r="AK21" i="8"/>
  <c r="AE31" i="8"/>
  <c r="AF31" i="8"/>
  <c r="F11" i="8"/>
  <c r="AF32" i="7"/>
  <c r="AE32" i="7" s="1"/>
  <c r="AC32" i="7" s="1"/>
  <c r="AC31" i="7"/>
  <c r="AB31" i="7" s="1"/>
  <c r="Z30" i="7"/>
  <c r="AA30" i="7"/>
  <c r="Y33" i="7"/>
  <c r="AG34" i="7"/>
  <c r="AF33" i="7"/>
  <c r="AE22" i="7"/>
  <c r="AD21" i="7"/>
  <c r="AC20" i="7"/>
  <c r="AC18" i="7" s="1"/>
  <c r="AC17" i="7" s="1"/>
  <c r="AH31" i="7" l="1"/>
  <c r="AM33" i="8"/>
  <c r="AG33" i="8"/>
  <c r="AJ34" i="8"/>
  <c r="AH34" i="8" s="1"/>
  <c r="X38" i="8"/>
  <c r="Z37" i="8"/>
  <c r="F13" i="8"/>
  <c r="AK20" i="8"/>
  <c r="AK18" i="8" s="1"/>
  <c r="AK17" i="8" s="1"/>
  <c r="AU33" i="8"/>
  <c r="AT33" i="8"/>
  <c r="AS34" i="8"/>
  <c r="AM22" i="8"/>
  <c r="AL21" i="8"/>
  <c r="AF32" i="8"/>
  <c r="AE32" i="8"/>
  <c r="AQ33" i="8"/>
  <c r="AP33" i="8"/>
  <c r="AO34" i="8"/>
  <c r="AK35" i="8"/>
  <c r="AD35" i="8"/>
  <c r="AL36" i="8"/>
  <c r="AE33" i="7"/>
  <c r="Y34" i="7"/>
  <c r="AG35" i="7"/>
  <c r="AF34" i="7"/>
  <c r="AH32" i="7"/>
  <c r="AB32" i="7"/>
  <c r="AD20" i="7"/>
  <c r="AD18" i="7" s="1"/>
  <c r="AD17" i="7" s="1"/>
  <c r="AF22" i="7"/>
  <c r="AE21" i="7"/>
  <c r="AA31" i="7"/>
  <c r="Z31" i="7"/>
  <c r="AL20" i="8" l="1"/>
  <c r="AL18" i="8" s="1"/>
  <c r="AL17" i="8" s="1"/>
  <c r="X39" i="8"/>
  <c r="Z38" i="8"/>
  <c r="AG34" i="8"/>
  <c r="AM34" i="8"/>
  <c r="AL37" i="8"/>
  <c r="AD36" i="8"/>
  <c r="AK36" i="8"/>
  <c r="AJ35" i="8"/>
  <c r="AH35" i="8"/>
  <c r="AM21" i="8"/>
  <c r="AN22" i="8"/>
  <c r="AU34" i="8"/>
  <c r="AT34" i="8"/>
  <c r="AS35" i="8"/>
  <c r="AE33" i="8"/>
  <c r="AF33" i="8"/>
  <c r="AQ34" i="8"/>
  <c r="AP34" i="8"/>
  <c r="AO35" i="8"/>
  <c r="AC33" i="7"/>
  <c r="AH33" i="7" s="1"/>
  <c r="AD10" i="7"/>
  <c r="AD12" i="7"/>
  <c r="F42" i="7"/>
  <c r="AD7" i="7"/>
  <c r="AE34" i="7"/>
  <c r="AC34" i="7" s="1"/>
  <c r="AE20" i="7"/>
  <c r="AE18" i="7" s="1"/>
  <c r="AE17" i="7" s="1"/>
  <c r="AG22" i="7"/>
  <c r="AF21" i="7"/>
  <c r="Y35" i="7"/>
  <c r="AG36" i="7"/>
  <c r="AF35" i="7"/>
  <c r="AA32" i="7"/>
  <c r="Z32" i="7"/>
  <c r="AG35" i="8" l="1"/>
  <c r="AM35" i="8"/>
  <c r="AQ35" i="8"/>
  <c r="AP35" i="8"/>
  <c r="AO36" i="8"/>
  <c r="AF34" i="8"/>
  <c r="AE34" i="8"/>
  <c r="AU35" i="8"/>
  <c r="AT35" i="8"/>
  <c r="AS36" i="8"/>
  <c r="X40" i="8"/>
  <c r="Z39" i="8"/>
  <c r="AJ36" i="8"/>
  <c r="AH36" i="8" s="1"/>
  <c r="AO22" i="8"/>
  <c r="AN21" i="8"/>
  <c r="AM20" i="8"/>
  <c r="AM18" i="8" s="1"/>
  <c r="AM17" i="8" s="1"/>
  <c r="AL38" i="8"/>
  <c r="AD37" i="8"/>
  <c r="AK37" i="8"/>
  <c r="AB33" i="7"/>
  <c r="Z33" i="7" s="1"/>
  <c r="AB34" i="7"/>
  <c r="AH34" i="7"/>
  <c r="AG21" i="7"/>
  <c r="AH22" i="7"/>
  <c r="AE35" i="7"/>
  <c r="AG37" i="7"/>
  <c r="Y36" i="7"/>
  <c r="AF36" i="7"/>
  <c r="AF20" i="7"/>
  <c r="AF18" i="7" s="1"/>
  <c r="AF17" i="7" s="1"/>
  <c r="AA33" i="7" l="1"/>
  <c r="AG36" i="8"/>
  <c r="AM36" i="8"/>
  <c r="AU36" i="8"/>
  <c r="AT36" i="8"/>
  <c r="AS37" i="8"/>
  <c r="AQ36" i="8"/>
  <c r="AP36" i="8"/>
  <c r="AO37" i="8"/>
  <c r="AN20" i="8"/>
  <c r="AN18" i="8" s="1"/>
  <c r="AN17" i="8" s="1"/>
  <c r="AP22" i="8"/>
  <c r="AO21" i="8"/>
  <c r="AJ37" i="8"/>
  <c r="AH37" i="8" s="1"/>
  <c r="AF35" i="8"/>
  <c r="AE35" i="8"/>
  <c r="AL39" i="8"/>
  <c r="AD38" i="8"/>
  <c r="AK38" i="8"/>
  <c r="X41" i="8"/>
  <c r="Z40" i="8"/>
  <c r="AC35" i="7"/>
  <c r="AB35" i="7" s="1"/>
  <c r="AG20" i="7"/>
  <c r="AG18" i="7" s="1"/>
  <c r="AG17" i="7" s="1"/>
  <c r="AA34" i="7"/>
  <c r="Z34" i="7"/>
  <c r="AE36" i="7"/>
  <c r="AC36" i="7" s="1"/>
  <c r="AF37" i="7"/>
  <c r="AG38" i="7"/>
  <c r="Y37" i="7"/>
  <c r="AI22" i="7"/>
  <c r="AH21" i="7"/>
  <c r="AH35" i="7" l="1"/>
  <c r="AP37" i="8"/>
  <c r="AQ37" i="8"/>
  <c r="AO38" i="8"/>
  <c r="AL40" i="8"/>
  <c r="AD39" i="8"/>
  <c r="AK39" i="8"/>
  <c r="AM37" i="8"/>
  <c r="AG37" i="8"/>
  <c r="AU37" i="8"/>
  <c r="AT37" i="8"/>
  <c r="AS38" i="8"/>
  <c r="AO20" i="8"/>
  <c r="AO18" i="8" s="1"/>
  <c r="AO17" i="8" s="1"/>
  <c r="AQ22" i="8"/>
  <c r="AP21" i="8"/>
  <c r="X42" i="8"/>
  <c r="Z42" i="8" s="1"/>
  <c r="Z41" i="8"/>
  <c r="AJ38" i="8"/>
  <c r="AH38" i="8" s="1"/>
  <c r="AF36" i="8"/>
  <c r="AE36" i="8"/>
  <c r="AB36" i="7"/>
  <c r="AH36" i="7"/>
  <c r="AF38" i="7"/>
  <c r="AG39" i="7"/>
  <c r="Y38" i="7"/>
  <c r="AE37" i="7"/>
  <c r="AC37" i="7" s="1"/>
  <c r="AJ22" i="7"/>
  <c r="AI21" i="7"/>
  <c r="AA35" i="7"/>
  <c r="Z35" i="7"/>
  <c r="AH20" i="7"/>
  <c r="AH18" i="7" s="1"/>
  <c r="AH17" i="7" s="1"/>
  <c r="AP20" i="8" l="1"/>
  <c r="AP18" i="8" s="1"/>
  <c r="AP17" i="8" s="1"/>
  <c r="AJ39" i="8"/>
  <c r="AH39" i="8" s="1"/>
  <c r="AR22" i="8"/>
  <c r="AQ21" i="8"/>
  <c r="AK40" i="8"/>
  <c r="AD40" i="8"/>
  <c r="AL41" i="8"/>
  <c r="AU38" i="8"/>
  <c r="AT38" i="8"/>
  <c r="AS39" i="8"/>
  <c r="AQ38" i="8"/>
  <c r="AP38" i="8"/>
  <c r="AO39" i="8"/>
  <c r="AM38" i="8"/>
  <c r="AG38" i="8"/>
  <c r="X23" i="8"/>
  <c r="AA27" i="8"/>
  <c r="AA2" i="8"/>
  <c r="AA4" i="8"/>
  <c r="AA5" i="8"/>
  <c r="AF37" i="8"/>
  <c r="AE37" i="8"/>
  <c r="AA3" i="8"/>
  <c r="AB37" i="7"/>
  <c r="AH37" i="7"/>
  <c r="AK22" i="7"/>
  <c r="AJ21" i="7"/>
  <c r="AE38" i="7"/>
  <c r="AC38" i="7" s="1"/>
  <c r="AI20" i="7"/>
  <c r="AI18" i="7" s="1"/>
  <c r="AI17" i="7" s="1"/>
  <c r="AF39" i="7"/>
  <c r="Y39" i="7"/>
  <c r="AG40" i="7"/>
  <c r="AA36" i="7"/>
  <c r="Z36" i="7"/>
  <c r="AE38" i="8" l="1"/>
  <c r="AF38" i="8"/>
  <c r="AK41" i="8"/>
  <c r="AD41" i="8"/>
  <c r="AL42" i="8"/>
  <c r="AP39" i="8"/>
  <c r="AQ39" i="8"/>
  <c r="AO40" i="8"/>
  <c r="AJ40" i="8"/>
  <c r="AH40" i="8" s="1"/>
  <c r="AQ20" i="8"/>
  <c r="AQ18" i="8" s="1"/>
  <c r="AQ17" i="8" s="1"/>
  <c r="AU39" i="8"/>
  <c r="AT39" i="8"/>
  <c r="AS40" i="8"/>
  <c r="AM39" i="8"/>
  <c r="AG39" i="8"/>
  <c r="AS22" i="8"/>
  <c r="AR21" i="8"/>
  <c r="AF40" i="7"/>
  <c r="AG41" i="7"/>
  <c r="Y40" i="7"/>
  <c r="AE39" i="7"/>
  <c r="AC39" i="7" s="1"/>
  <c r="AL22" i="7"/>
  <c r="AK21" i="7"/>
  <c r="AH38" i="7"/>
  <c r="AB38" i="7"/>
  <c r="AJ20" i="7"/>
  <c r="AJ18" i="7" s="1"/>
  <c r="AJ17" i="7" s="1"/>
  <c r="AA37" i="7"/>
  <c r="Z37" i="7"/>
  <c r="AQ40" i="8" l="1"/>
  <c r="AP40" i="8"/>
  <c r="AO41" i="8"/>
  <c r="AU40" i="8"/>
  <c r="AT40" i="8"/>
  <c r="AS41" i="8"/>
  <c r="AL43" i="8"/>
  <c r="AK42" i="8"/>
  <c r="AD42" i="8"/>
  <c r="AR20" i="8"/>
  <c r="AR18" i="8" s="1"/>
  <c r="AR17" i="8" s="1"/>
  <c r="AJ41" i="8"/>
  <c r="AH41" i="8" s="1"/>
  <c r="AG40" i="8"/>
  <c r="AM40" i="8"/>
  <c r="AT22" i="8"/>
  <c r="AS21" i="8"/>
  <c r="AF39" i="8"/>
  <c r="AE39" i="8"/>
  <c r="AH39" i="7"/>
  <c r="AB39" i="7"/>
  <c r="AA38" i="7"/>
  <c r="Z38" i="7"/>
  <c r="AK20" i="7"/>
  <c r="AK18" i="7" s="1"/>
  <c r="AK17" i="7" s="1"/>
  <c r="AM22" i="7"/>
  <c r="AL21" i="7"/>
  <c r="Y41" i="7"/>
  <c r="AG42" i="7"/>
  <c r="AF41" i="7"/>
  <c r="AE40" i="7"/>
  <c r="AC40" i="7" s="1"/>
  <c r="AJ42" i="8" l="1"/>
  <c r="AH42" i="8" s="1"/>
  <c r="AK43" i="8"/>
  <c r="AL44" i="8"/>
  <c r="AD43" i="8"/>
  <c r="AE40" i="8"/>
  <c r="AF40" i="8"/>
  <c r="AU41" i="8"/>
  <c r="AT41" i="8"/>
  <c r="AS42" i="8"/>
  <c r="AG41" i="8"/>
  <c r="AM41" i="8"/>
  <c r="AU22" i="8"/>
  <c r="AT21" i="8"/>
  <c r="AQ41" i="8"/>
  <c r="AP41" i="8"/>
  <c r="AO42" i="8"/>
  <c r="AS20" i="8"/>
  <c r="AS18" i="8" s="1"/>
  <c r="AS17" i="8" s="1"/>
  <c r="AL20" i="7"/>
  <c r="AL18" i="7" s="1"/>
  <c r="AL17" i="7" s="1"/>
  <c r="AH40" i="7"/>
  <c r="AB40" i="7"/>
  <c r="AN22" i="7"/>
  <c r="AM21" i="7"/>
  <c r="AE41" i="7"/>
  <c r="AC41" i="7" s="1"/>
  <c r="AA39" i="7"/>
  <c r="Z39" i="7"/>
  <c r="AG43" i="7"/>
  <c r="Y42" i="7"/>
  <c r="AF42" i="7"/>
  <c r="AG42" i="8" l="1"/>
  <c r="AM42" i="8"/>
  <c r="AQ42" i="8"/>
  <c r="AP42" i="8"/>
  <c r="AO43" i="8"/>
  <c r="AT20" i="8"/>
  <c r="AT18" i="8" s="1"/>
  <c r="AT17" i="8" s="1"/>
  <c r="AU21" i="8"/>
  <c r="AV22" i="8"/>
  <c r="AL45" i="8"/>
  <c r="AK44" i="8"/>
  <c r="AD44" i="8"/>
  <c r="AF41" i="8"/>
  <c r="AE41" i="8"/>
  <c r="AJ43" i="8"/>
  <c r="AH43" i="8" s="1"/>
  <c r="AU42" i="8"/>
  <c r="AT42" i="8"/>
  <c r="AS43" i="8"/>
  <c r="AB41" i="7"/>
  <c r="AH41" i="7"/>
  <c r="AO22" i="7"/>
  <c r="AN21" i="7"/>
  <c r="Z40" i="7"/>
  <c r="AA40" i="7"/>
  <c r="AE42" i="7"/>
  <c r="AC42" i="7" s="1"/>
  <c r="AF43" i="7"/>
  <c r="AG44" i="7"/>
  <c r="Y43" i="7"/>
  <c r="AM20" i="7"/>
  <c r="AM18" i="7" s="1"/>
  <c r="AM17" i="7" s="1"/>
  <c r="AG43" i="8" l="1"/>
  <c r="AM43" i="8"/>
  <c r="AU20" i="8"/>
  <c r="AU18" i="8" s="1"/>
  <c r="AU17" i="8" s="1"/>
  <c r="AF42" i="8"/>
  <c r="AE42" i="8"/>
  <c r="AQ43" i="8"/>
  <c r="AP43" i="8"/>
  <c r="AO44" i="8"/>
  <c r="AW22" i="8"/>
  <c r="AV21" i="8"/>
  <c r="AU43" i="8"/>
  <c r="AT43" i="8"/>
  <c r="AS44" i="8"/>
  <c r="AJ44" i="8"/>
  <c r="AH44" i="8" s="1"/>
  <c r="AL46" i="8"/>
  <c r="AD45" i="8"/>
  <c r="AK45" i="8"/>
  <c r="AH42" i="7"/>
  <c r="AB42" i="7"/>
  <c r="AE43" i="7"/>
  <c r="AC43" i="7" s="1"/>
  <c r="AN20" i="7"/>
  <c r="AN18" i="7" s="1"/>
  <c r="AN17" i="7" s="1"/>
  <c r="AF44" i="7"/>
  <c r="Y44" i="7"/>
  <c r="AG45" i="7"/>
  <c r="AO21" i="7"/>
  <c r="AP22" i="7"/>
  <c r="AA41" i="7"/>
  <c r="Z41" i="7"/>
  <c r="AG44" i="8" l="1"/>
  <c r="AM44" i="8"/>
  <c r="AT44" i="8"/>
  <c r="AU44" i="8"/>
  <c r="AS45" i="8"/>
  <c r="AL47" i="8"/>
  <c r="AD46" i="8"/>
  <c r="AK46" i="8"/>
  <c r="AV20" i="8"/>
  <c r="AV18" i="8" s="1"/>
  <c r="AV17" i="8" s="1"/>
  <c r="AJ45" i="8"/>
  <c r="AH45" i="8" s="1"/>
  <c r="AX22" i="8"/>
  <c r="AW21" i="8"/>
  <c r="AQ44" i="8"/>
  <c r="AP44" i="8"/>
  <c r="AO45" i="8"/>
  <c r="AE43" i="8"/>
  <c r="AF43" i="8"/>
  <c r="AH43" i="7"/>
  <c r="AB43" i="7"/>
  <c r="AO20" i="7"/>
  <c r="AO18" i="7" s="1"/>
  <c r="AO17" i="7" s="1"/>
  <c r="Y45" i="7"/>
  <c r="AG46" i="7"/>
  <c r="AF45" i="7"/>
  <c r="AP21" i="7"/>
  <c r="AQ22" i="7"/>
  <c r="AE44" i="7"/>
  <c r="AC44" i="7" s="1"/>
  <c r="Z42" i="7"/>
  <c r="AA42" i="7"/>
  <c r="AJ46" i="8" l="1"/>
  <c r="AH46" i="8" s="1"/>
  <c r="AW20" i="8"/>
  <c r="AW18" i="8" s="1"/>
  <c r="AW17" i="8" s="1"/>
  <c r="AL48" i="8"/>
  <c r="AD47" i="8"/>
  <c r="AK47" i="8"/>
  <c r="AY22" i="8"/>
  <c r="AX21" i="8"/>
  <c r="AT45" i="8"/>
  <c r="AU45" i="8"/>
  <c r="AS46" i="8"/>
  <c r="AG45" i="8"/>
  <c r="AM45" i="8"/>
  <c r="AQ45" i="8"/>
  <c r="AP45" i="8"/>
  <c r="AO46" i="8"/>
  <c r="AF44" i="8"/>
  <c r="AE44" i="8"/>
  <c r="AH44" i="7"/>
  <c r="AB44" i="7"/>
  <c r="AR22" i="7"/>
  <c r="AQ21" i="7"/>
  <c r="AP20" i="7"/>
  <c r="AP18" i="7" s="1"/>
  <c r="AP17" i="7" s="1"/>
  <c r="AE45" i="7"/>
  <c r="AC45" i="7" s="1"/>
  <c r="AA43" i="7"/>
  <c r="Z43" i="7"/>
  <c r="AF46" i="7"/>
  <c r="AG47" i="7"/>
  <c r="Y46" i="7"/>
  <c r="AM46" i="8" l="1"/>
  <c r="AG46" i="8"/>
  <c r="AZ22" i="8"/>
  <c r="AY21" i="8"/>
  <c r="AJ47" i="8"/>
  <c r="AH47" i="8" s="1"/>
  <c r="AF45" i="8"/>
  <c r="AE45" i="8"/>
  <c r="AD48" i="8"/>
  <c r="AK48" i="8"/>
  <c r="AL49" i="8"/>
  <c r="AU46" i="8"/>
  <c r="AT46" i="8"/>
  <c r="AS47" i="8"/>
  <c r="AP46" i="8"/>
  <c r="AQ46" i="8"/>
  <c r="AO47" i="8"/>
  <c r="AX20" i="8"/>
  <c r="AX18" i="8" s="1"/>
  <c r="AX17" i="8" s="1"/>
  <c r="AB45" i="7"/>
  <c r="AH45" i="7"/>
  <c r="AQ20" i="7"/>
  <c r="AQ18" i="7" s="1"/>
  <c r="AQ17" i="7" s="1"/>
  <c r="AS22" i="7"/>
  <c r="AR21" i="7"/>
  <c r="Y47" i="7"/>
  <c r="AF47" i="7"/>
  <c r="AG48" i="7"/>
  <c r="AA44" i="7"/>
  <c r="Z44" i="7"/>
  <c r="AE46" i="7"/>
  <c r="AC46" i="7" s="1"/>
  <c r="AU47" i="8" l="1"/>
  <c r="AT47" i="8"/>
  <c r="AS48" i="8"/>
  <c r="AM47" i="8"/>
  <c r="AG47" i="8"/>
  <c r="AY20" i="8"/>
  <c r="AY18" i="8" s="1"/>
  <c r="AY17" i="8" s="1"/>
  <c r="AK49" i="8"/>
  <c r="AL50" i="8"/>
  <c r="AD49" i="8"/>
  <c r="BA22" i="8"/>
  <c r="AZ21" i="8"/>
  <c r="AJ48" i="8"/>
  <c r="AH48" i="8" s="1"/>
  <c r="AF46" i="8"/>
  <c r="AE46" i="8"/>
  <c r="AQ47" i="8"/>
  <c r="AP47" i="8"/>
  <c r="AO48" i="8"/>
  <c r="AB46" i="7"/>
  <c r="AH46" i="7"/>
  <c r="AF48" i="7"/>
  <c r="Y48" i="7"/>
  <c r="AG49" i="7"/>
  <c r="AR20" i="7"/>
  <c r="AR18" i="7" s="1"/>
  <c r="AR17" i="7" s="1"/>
  <c r="AT22" i="7"/>
  <c r="AS21" i="7"/>
  <c r="AE47" i="7"/>
  <c r="AC47" i="7" s="1"/>
  <c r="AA45" i="7"/>
  <c r="Z45" i="7"/>
  <c r="AM48" i="8" l="1"/>
  <c r="AG48" i="8"/>
  <c r="AJ49" i="8"/>
  <c r="AH49" i="8" s="1"/>
  <c r="AE47" i="8"/>
  <c r="AF47" i="8"/>
  <c r="AZ20" i="8"/>
  <c r="AZ18" i="8" s="1"/>
  <c r="AZ17" i="8" s="1"/>
  <c r="AQ48" i="8"/>
  <c r="AP48" i="8"/>
  <c r="AO49" i="8"/>
  <c r="BB22" i="8"/>
  <c r="BA21" i="8"/>
  <c r="AU48" i="8"/>
  <c r="AT48" i="8"/>
  <c r="AS49" i="8"/>
  <c r="AD50" i="8"/>
  <c r="AL51" i="8"/>
  <c r="AK50" i="8"/>
  <c r="AH47" i="7"/>
  <c r="AB47" i="7"/>
  <c r="AF49" i="7"/>
  <c r="AG50" i="7"/>
  <c r="Y49" i="7"/>
  <c r="AU22" i="7"/>
  <c r="AT21" i="7"/>
  <c r="AE48" i="7"/>
  <c r="AC48" i="7" s="1"/>
  <c r="AS20" i="7"/>
  <c r="AS18" i="7" s="1"/>
  <c r="AS17" i="7" s="1"/>
  <c r="AA46" i="7"/>
  <c r="Z46" i="7"/>
  <c r="AU49" i="8" l="1"/>
  <c r="AT49" i="8"/>
  <c r="AS50" i="8"/>
  <c r="BA20" i="8"/>
  <c r="BA18" i="8" s="1"/>
  <c r="BA17" i="8" s="1"/>
  <c r="BC22" i="8"/>
  <c r="BB21" i="8"/>
  <c r="AG49" i="8"/>
  <c r="AM49" i="8"/>
  <c r="AJ50" i="8"/>
  <c r="AH50" i="8" s="1"/>
  <c r="AQ49" i="8"/>
  <c r="AP49" i="8"/>
  <c r="AO50" i="8"/>
  <c r="AL52" i="8"/>
  <c r="AD51" i="8"/>
  <c r="AK51" i="8"/>
  <c r="AF48" i="8"/>
  <c r="AE48" i="8"/>
  <c r="AG51" i="7"/>
  <c r="Y50" i="7"/>
  <c r="AF50" i="7"/>
  <c r="AB48" i="7"/>
  <c r="AH48" i="7"/>
  <c r="AE49" i="7"/>
  <c r="AC49" i="7" s="1"/>
  <c r="AT20" i="7"/>
  <c r="AT18" i="7" s="1"/>
  <c r="AT17" i="7" s="1"/>
  <c r="AA47" i="7"/>
  <c r="Z47" i="7"/>
  <c r="AV22" i="7"/>
  <c r="AU21" i="7"/>
  <c r="AG50" i="8" l="1"/>
  <c r="AM50" i="8"/>
  <c r="AF49" i="8"/>
  <c r="AE49" i="8"/>
  <c r="BB20" i="8"/>
  <c r="BB18" i="8" s="1"/>
  <c r="BB17" i="8" s="1"/>
  <c r="AQ50" i="8"/>
  <c r="AP50" i="8"/>
  <c r="AO51" i="8"/>
  <c r="BC21" i="8"/>
  <c r="BD22" i="8"/>
  <c r="AD52" i="8"/>
  <c r="AK52" i="8"/>
  <c r="AL53" i="8"/>
  <c r="AU50" i="8"/>
  <c r="AT50" i="8"/>
  <c r="AS51" i="8"/>
  <c r="AJ51" i="8"/>
  <c r="AH51" i="8" s="1"/>
  <c r="AB49" i="7"/>
  <c r="AH49" i="7"/>
  <c r="AG52" i="7"/>
  <c r="AF51" i="7"/>
  <c r="Y51" i="7"/>
  <c r="AU20" i="7"/>
  <c r="AU18" i="7" s="1"/>
  <c r="AU17" i="7" s="1"/>
  <c r="AW22" i="7"/>
  <c r="AV21" i="7"/>
  <c r="Z48" i="7"/>
  <c r="AA48" i="7"/>
  <c r="AE50" i="7"/>
  <c r="AC50" i="7" s="1"/>
  <c r="AG51" i="8" l="1"/>
  <c r="AM51" i="8"/>
  <c r="AJ52" i="8"/>
  <c r="AH52" i="8" s="1"/>
  <c r="AK53" i="8"/>
  <c r="AL54" i="8"/>
  <c r="AD53" i="8"/>
  <c r="BD21" i="8"/>
  <c r="BE22" i="8"/>
  <c r="BC20" i="8"/>
  <c r="BC18" i="8" s="1"/>
  <c r="BC17" i="8" s="1"/>
  <c r="AU51" i="8"/>
  <c r="AT51" i="8"/>
  <c r="AS52" i="8"/>
  <c r="AQ51" i="8"/>
  <c r="AP51" i="8"/>
  <c r="AO52" i="8"/>
  <c r="AF50" i="8"/>
  <c r="AE50" i="8"/>
  <c r="AB50" i="7"/>
  <c r="AH50" i="7"/>
  <c r="AV20" i="7"/>
  <c r="AV18" i="7" s="1"/>
  <c r="AV17" i="7" s="1"/>
  <c r="AW21" i="7"/>
  <c r="AX22" i="7"/>
  <c r="AE51" i="7"/>
  <c r="AC51" i="7" s="1"/>
  <c r="AG53" i="7"/>
  <c r="AF52" i="7"/>
  <c r="Y52" i="7"/>
  <c r="Z49" i="7"/>
  <c r="AA49" i="7"/>
  <c r="BD20" i="8" l="1"/>
  <c r="BD18" i="8" s="1"/>
  <c r="BD17" i="8" s="1"/>
  <c r="AU52" i="8"/>
  <c r="AT52" i="8"/>
  <c r="AS53" i="8"/>
  <c r="AL55" i="8"/>
  <c r="AD54" i="8"/>
  <c r="AK54" i="8"/>
  <c r="AJ53" i="8"/>
  <c r="AH53" i="8" s="1"/>
  <c r="AM52" i="8"/>
  <c r="AG52" i="8"/>
  <c r="AQ52" i="8"/>
  <c r="AP52" i="8"/>
  <c r="AO53" i="8"/>
  <c r="BF22" i="8"/>
  <c r="BE21" i="8"/>
  <c r="AF51" i="8"/>
  <c r="AE51" i="8"/>
  <c r="AG54" i="7"/>
  <c r="AF53" i="7"/>
  <c r="Y53" i="7"/>
  <c r="AX21" i="7"/>
  <c r="AY22" i="7"/>
  <c r="AW20" i="7"/>
  <c r="AW18" i="7" s="1"/>
  <c r="AW17" i="7" s="1"/>
  <c r="AE52" i="7"/>
  <c r="AC52" i="7" s="1"/>
  <c r="AB51" i="7"/>
  <c r="AH51" i="7"/>
  <c r="AA50" i="7"/>
  <c r="Z50" i="7"/>
  <c r="AG53" i="8" l="1"/>
  <c r="AM53" i="8"/>
  <c r="BF21" i="8"/>
  <c r="BG22" i="8"/>
  <c r="AJ54" i="8"/>
  <c r="AH54" i="8" s="1"/>
  <c r="BE20" i="8"/>
  <c r="BE18" i="8" s="1"/>
  <c r="BE17" i="8" s="1"/>
  <c r="AQ53" i="8"/>
  <c r="AP53" i="8"/>
  <c r="AO54" i="8"/>
  <c r="AL56" i="8"/>
  <c r="AD55" i="8"/>
  <c r="AK55" i="8"/>
  <c r="AU53" i="8"/>
  <c r="AT53" i="8"/>
  <c r="AS54" i="8"/>
  <c r="AE52" i="8"/>
  <c r="AF52" i="8"/>
  <c r="AH52" i="7"/>
  <c r="AB52" i="7"/>
  <c r="AX20" i="7"/>
  <c r="AX18" i="7" s="1"/>
  <c r="AX17" i="7" s="1"/>
  <c r="AA51" i="7"/>
  <c r="Z51" i="7"/>
  <c r="AZ22" i="7"/>
  <c r="AY21" i="7"/>
  <c r="AE53" i="7"/>
  <c r="AC53" i="7" s="1"/>
  <c r="Y54" i="7"/>
  <c r="AG55" i="7"/>
  <c r="AF54" i="7"/>
  <c r="AG54" i="8" l="1"/>
  <c r="AM54" i="8"/>
  <c r="AJ55" i="8"/>
  <c r="AH55" i="8" s="1"/>
  <c r="AD56" i="8"/>
  <c r="AK56" i="8"/>
  <c r="AL57" i="8"/>
  <c r="BH22" i="8"/>
  <c r="BG21" i="8"/>
  <c r="AQ54" i="8"/>
  <c r="AP54" i="8"/>
  <c r="AO55" i="8"/>
  <c r="BF20" i="8"/>
  <c r="BF18" i="8" s="1"/>
  <c r="BF17" i="8" s="1"/>
  <c r="AU54" i="8"/>
  <c r="AT54" i="8"/>
  <c r="AS55" i="8"/>
  <c r="AF53" i="8"/>
  <c r="AE53" i="8"/>
  <c r="AH53" i="7"/>
  <c r="AB53" i="7"/>
  <c r="AY20" i="7"/>
  <c r="AY18" i="7" s="1"/>
  <c r="AY17" i="7" s="1"/>
  <c r="AG56" i="7"/>
  <c r="Y55" i="7"/>
  <c r="AF55" i="7"/>
  <c r="BA22" i="7"/>
  <c r="AZ21" i="7"/>
  <c r="AA52" i="7"/>
  <c r="Z52" i="7"/>
  <c r="AE54" i="7"/>
  <c r="AC54" i="7" s="1"/>
  <c r="BI22" i="8" l="1"/>
  <c r="BI21" i="8" s="1"/>
  <c r="BH21" i="8"/>
  <c r="AK57" i="8"/>
  <c r="AL58" i="8"/>
  <c r="AD57" i="8"/>
  <c r="AJ56" i="8"/>
  <c r="AH56" i="8" s="1"/>
  <c r="AP55" i="8"/>
  <c r="AQ55" i="8"/>
  <c r="AO56" i="8"/>
  <c r="AM55" i="8"/>
  <c r="AG55" i="8"/>
  <c r="AU55" i="8"/>
  <c r="AT55" i="8"/>
  <c r="AS56" i="8"/>
  <c r="BG20" i="8"/>
  <c r="BG18" i="8" s="1"/>
  <c r="BG17" i="8" s="1"/>
  <c r="AF54" i="8"/>
  <c r="AE54" i="8"/>
  <c r="AH54" i="7"/>
  <c r="AB54" i="7"/>
  <c r="AZ20" i="7"/>
  <c r="AZ18" i="7" s="1"/>
  <c r="AZ17" i="7" s="1"/>
  <c r="BB22" i="7"/>
  <c r="BA21" i="7"/>
  <c r="AA53" i="7"/>
  <c r="Z53" i="7"/>
  <c r="AE55" i="7"/>
  <c r="AC55" i="7" s="1"/>
  <c r="Y56" i="7"/>
  <c r="AG57" i="7"/>
  <c r="AF56" i="7"/>
  <c r="AM56" i="8" l="1"/>
  <c r="AG56" i="8"/>
  <c r="AU56" i="8"/>
  <c r="AT56" i="8"/>
  <c r="AS57" i="8"/>
  <c r="AF55" i="8"/>
  <c r="AE55" i="8"/>
  <c r="AD58" i="8"/>
  <c r="AK58" i="8"/>
  <c r="AJ57" i="8"/>
  <c r="AH57" i="8" s="1"/>
  <c r="AQ56" i="8"/>
  <c r="AP56" i="8"/>
  <c r="AO57" i="8"/>
  <c r="BH20" i="8"/>
  <c r="BH18" i="8" s="1"/>
  <c r="BH17" i="8" s="1"/>
  <c r="BI18" i="8"/>
  <c r="BI20" i="8"/>
  <c r="AB55" i="7"/>
  <c r="AH55" i="7"/>
  <c r="AE56" i="7"/>
  <c r="AC56" i="7" s="1"/>
  <c r="BC22" i="7"/>
  <c r="BB21" i="7"/>
  <c r="Y57" i="7"/>
  <c r="AG58" i="7"/>
  <c r="AF57" i="7"/>
  <c r="AA54" i="7"/>
  <c r="Z54" i="7"/>
  <c r="BA20" i="7"/>
  <c r="BA18" i="7" s="1"/>
  <c r="BA17" i="7" s="1"/>
  <c r="AU57" i="8" l="1"/>
  <c r="AT57" i="8"/>
  <c r="AS58" i="8"/>
  <c r="AQ57" i="8"/>
  <c r="AP57" i="8"/>
  <c r="AO58" i="8"/>
  <c r="AG57" i="8"/>
  <c r="AM57" i="8"/>
  <c r="AF56" i="8"/>
  <c r="AE56" i="8"/>
  <c r="BI17" i="8"/>
  <c r="AH58" i="8"/>
  <c r="AJ58" i="8"/>
  <c r="AH56" i="7"/>
  <c r="AB56" i="7"/>
  <c r="BD22" i="7"/>
  <c r="BD21" i="7" s="1"/>
  <c r="BC21" i="7"/>
  <c r="Y58" i="7"/>
  <c r="AF58" i="7"/>
  <c r="AE57" i="7"/>
  <c r="AC57" i="7" s="1"/>
  <c r="BB20" i="7"/>
  <c r="BB18" i="7" s="1"/>
  <c r="BB17" i="7" s="1"/>
  <c r="AA55" i="7"/>
  <c r="Z55" i="7"/>
  <c r="AF57" i="8" l="1"/>
  <c r="AE57" i="8"/>
  <c r="AQ58" i="8"/>
  <c r="AP58" i="8"/>
  <c r="AO59" i="8"/>
  <c r="W69" i="8"/>
  <c r="W45" i="8"/>
  <c r="W37" i="8"/>
  <c r="W61" i="8"/>
  <c r="W53" i="8"/>
  <c r="AG58" i="8"/>
  <c r="AM58" i="8"/>
  <c r="X44" i="8"/>
  <c r="X68" i="8"/>
  <c r="X52" i="8"/>
  <c r="X60" i="8"/>
  <c r="X30" i="8"/>
  <c r="H42" i="8" s="1"/>
  <c r="AU58" i="8"/>
  <c r="AT58" i="8"/>
  <c r="AS59" i="8"/>
  <c r="AH57" i="7"/>
  <c r="AB57" i="7"/>
  <c r="BC20" i="7"/>
  <c r="BC18" i="7" s="1"/>
  <c r="BC17" i="7" s="1"/>
  <c r="AA56" i="7"/>
  <c r="Z56" i="7"/>
  <c r="AE58" i="7"/>
  <c r="X69" i="8" l="1"/>
  <c r="Z68" i="8"/>
  <c r="X53" i="8"/>
  <c r="Z52" i="8"/>
  <c r="Z44" i="8"/>
  <c r="X45" i="8"/>
  <c r="AQ59" i="8"/>
  <c r="AP59" i="8"/>
  <c r="AO60" i="8"/>
  <c r="X61" i="8"/>
  <c r="Z60" i="8"/>
  <c r="AT59" i="8"/>
  <c r="AU59" i="8"/>
  <c r="AS60" i="8"/>
  <c r="AF58" i="8"/>
  <c r="AE58" i="8"/>
  <c r="W44" i="8"/>
  <c r="AB28" i="8"/>
  <c r="B13" i="8"/>
  <c r="W60" i="8"/>
  <c r="W68" i="8"/>
  <c r="W52" i="8"/>
  <c r="AA28" i="8"/>
  <c r="AG25" i="8"/>
  <c r="X31" i="8"/>
  <c r="I42" i="8" s="1"/>
  <c r="Z30" i="8"/>
  <c r="B15" i="7"/>
  <c r="Q15" i="5" s="1"/>
  <c r="R53" i="7"/>
  <c r="R61" i="7"/>
  <c r="R29" i="7"/>
  <c r="R69" i="7"/>
  <c r="R37" i="7"/>
  <c r="R45" i="7"/>
  <c r="BD20" i="7"/>
  <c r="BD18" i="7" s="1"/>
  <c r="BD17" i="7" s="1"/>
  <c r="AC58" i="7"/>
  <c r="S29" i="7" s="1"/>
  <c r="AE12" i="7"/>
  <c r="AE10" i="7"/>
  <c r="G42" i="7"/>
  <c r="AE7" i="7"/>
  <c r="AA57" i="7"/>
  <c r="Z57" i="7"/>
  <c r="CG80" i="7" l="1"/>
  <c r="CG38" i="7"/>
  <c r="CG52" i="7"/>
  <c r="CG63" i="7"/>
  <c r="CG44" i="7"/>
  <c r="CG25" i="7"/>
  <c r="CG73" i="7"/>
  <c r="CG58" i="7"/>
  <c r="CG87" i="7"/>
  <c r="CG45" i="7"/>
  <c r="CG29" i="7"/>
  <c r="CG88" i="7"/>
  <c r="CG46" i="7"/>
  <c r="CG47" i="7"/>
  <c r="CG71" i="7"/>
  <c r="CG90" i="7"/>
  <c r="CG33" i="7"/>
  <c r="CG18" i="7"/>
  <c r="CG66" i="7"/>
  <c r="CG60" i="7"/>
  <c r="CG20" i="7"/>
  <c r="CG57" i="7"/>
  <c r="CG61" i="7"/>
  <c r="CG49" i="7"/>
  <c r="CG23" i="7"/>
  <c r="CG79" i="7"/>
  <c r="CG83" i="7"/>
  <c r="CG41" i="7"/>
  <c r="CG26" i="7"/>
  <c r="CG74" i="7"/>
  <c r="CG68" i="7"/>
  <c r="CG54" i="7"/>
  <c r="CG69" i="7"/>
  <c r="CG81" i="7"/>
  <c r="CG31" i="7"/>
  <c r="CG48" i="7"/>
  <c r="CG56" i="7"/>
  <c r="CG59" i="7"/>
  <c r="CG34" i="7"/>
  <c r="CG19" i="7"/>
  <c r="CG76" i="7"/>
  <c r="CG70" i="7"/>
  <c r="CG43" i="7"/>
  <c r="CG77" i="7"/>
  <c r="CG89" i="7"/>
  <c r="CG39" i="7"/>
  <c r="CG24" i="7"/>
  <c r="CG64" i="7"/>
  <c r="CG28" i="7"/>
  <c r="CG42" i="7"/>
  <c r="CG27" i="7"/>
  <c r="CG50" i="7"/>
  <c r="CG40" i="7"/>
  <c r="CG51" i="7"/>
  <c r="BR49" i="7" s="1"/>
  <c r="CG62" i="7"/>
  <c r="CG16" i="7"/>
  <c r="CG32" i="7"/>
  <c r="CG72" i="7"/>
  <c r="CG84" i="7"/>
  <c r="CG86" i="7"/>
  <c r="CG35" i="7"/>
  <c r="CG21" i="7"/>
  <c r="CG22" i="7"/>
  <c r="CG82" i="7"/>
  <c r="CG30" i="7"/>
  <c r="CG78" i="7"/>
  <c r="CG55" i="7"/>
  <c r="CG67" i="7"/>
  <c r="CG17" i="7"/>
  <c r="CG65" i="7"/>
  <c r="CG85" i="7"/>
  <c r="CG75" i="7"/>
  <c r="CG37" i="7"/>
  <c r="CG36" i="7"/>
  <c r="BR5" i="7"/>
  <c r="BR8" i="7"/>
  <c r="F47" i="7"/>
  <c r="BR6" i="7"/>
  <c r="BR43" i="7" s="1"/>
  <c r="F5" i="7"/>
  <c r="BR9" i="7"/>
  <c r="BR50" i="7" s="1"/>
  <c r="F48" i="7"/>
  <c r="F8" i="7"/>
  <c r="F44" i="7"/>
  <c r="F6" i="7"/>
  <c r="F9" i="7"/>
  <c r="F45" i="7"/>
  <c r="AH58" i="7"/>
  <c r="G11" i="8"/>
  <c r="G7" i="8"/>
  <c r="G46" i="8"/>
  <c r="G12" i="8"/>
  <c r="G10" i="8"/>
  <c r="H11" i="8"/>
  <c r="L43" i="8"/>
  <c r="X32" i="8"/>
  <c r="J42" i="8" s="1"/>
  <c r="Z31" i="8"/>
  <c r="AB29" i="8"/>
  <c r="AA22" i="8"/>
  <c r="L46" i="8"/>
  <c r="L12" i="8"/>
  <c r="L10" i="8"/>
  <c r="AU60" i="8"/>
  <c r="AT60" i="8"/>
  <c r="AS61" i="8"/>
  <c r="X46" i="8"/>
  <c r="Z45" i="8"/>
  <c r="X54" i="8"/>
  <c r="Z53" i="8"/>
  <c r="U30" i="8"/>
  <c r="Z61" i="8"/>
  <c r="X62" i="8"/>
  <c r="L11" i="8"/>
  <c r="AQ60" i="8"/>
  <c r="AP60" i="8"/>
  <c r="AO61" i="8"/>
  <c r="Z69" i="8"/>
  <c r="X70" i="8"/>
  <c r="S30" i="7"/>
  <c r="U29" i="7"/>
  <c r="P29" i="7" s="1"/>
  <c r="AB58" i="7"/>
  <c r="W28" i="7" s="1"/>
  <c r="S68" i="7"/>
  <c r="S44" i="7"/>
  <c r="S36" i="7"/>
  <c r="S52" i="7"/>
  <c r="S60" i="7"/>
  <c r="AF10" i="7"/>
  <c r="AF7" i="7"/>
  <c r="H42" i="7"/>
  <c r="AF12" i="7"/>
  <c r="BR48" i="7" l="1"/>
  <c r="BR47" i="7"/>
  <c r="BR55" i="7"/>
  <c r="BR44" i="7"/>
  <c r="BR52" i="7"/>
  <c r="BR53" i="7"/>
  <c r="BR51" i="7"/>
  <c r="BR54" i="7"/>
  <c r="BR56" i="7"/>
  <c r="BR45" i="7"/>
  <c r="BR46" i="7"/>
  <c r="BR11" i="7"/>
  <c r="BR10" i="7"/>
  <c r="BR12" i="7"/>
  <c r="BR7" i="7"/>
  <c r="B15" i="5"/>
  <c r="Z58" i="7"/>
  <c r="V28" i="7"/>
  <c r="W29" i="7" s="1"/>
  <c r="AA58" i="7"/>
  <c r="AB25" i="7"/>
  <c r="G13" i="8"/>
  <c r="N11" i="8"/>
  <c r="J12" i="8"/>
  <c r="H43" i="8"/>
  <c r="H7" i="8"/>
  <c r="J7" i="8"/>
  <c r="J43" i="8"/>
  <c r="J11" i="8"/>
  <c r="I46" i="8"/>
  <c r="I12" i="8"/>
  <c r="I10" i="8"/>
  <c r="H46" i="8"/>
  <c r="H12" i="8"/>
  <c r="H13" i="8" s="1"/>
  <c r="H10" i="8"/>
  <c r="I11" i="8"/>
  <c r="I7" i="8"/>
  <c r="I43" i="8"/>
  <c r="Z62" i="8"/>
  <c r="X63" i="8"/>
  <c r="X55" i="8"/>
  <c r="Z54" i="8"/>
  <c r="X47" i="8"/>
  <c r="Z46" i="8"/>
  <c r="AU61" i="8"/>
  <c r="AT61" i="8"/>
  <c r="AS62" i="8"/>
  <c r="AC33" i="8"/>
  <c r="AC32" i="8"/>
  <c r="Z70" i="8"/>
  <c r="X71" i="8"/>
  <c r="M43" i="8"/>
  <c r="M7" i="8"/>
  <c r="M46" i="8"/>
  <c r="M12" i="8"/>
  <c r="U31" i="8"/>
  <c r="AQ61" i="8"/>
  <c r="AP61" i="8"/>
  <c r="AO62" i="8"/>
  <c r="M11" i="8"/>
  <c r="X33" i="8"/>
  <c r="K42" i="8" s="1"/>
  <c r="Z32" i="8"/>
  <c r="N43" i="8"/>
  <c r="N7" i="8"/>
  <c r="L13" i="8"/>
  <c r="N46" i="8"/>
  <c r="N12" i="8"/>
  <c r="F7" i="7"/>
  <c r="F43" i="7"/>
  <c r="F10" i="7"/>
  <c r="F46" i="7"/>
  <c r="F12" i="7"/>
  <c r="B13" i="7"/>
  <c r="R68" i="7"/>
  <c r="R36" i="7"/>
  <c r="R52" i="7"/>
  <c r="R44" i="7"/>
  <c r="R60" i="7"/>
  <c r="U30" i="7"/>
  <c r="P30" i="7" s="1"/>
  <c r="S31" i="7"/>
  <c r="S61" i="7"/>
  <c r="U60" i="7"/>
  <c r="S53" i="7"/>
  <c r="U52" i="7"/>
  <c r="S37" i="7"/>
  <c r="U36" i="7"/>
  <c r="S45" i="7"/>
  <c r="U44" i="7"/>
  <c r="S69" i="7"/>
  <c r="U68" i="7"/>
  <c r="I42" i="7"/>
  <c r="AG7" i="7"/>
  <c r="AG10" i="7"/>
  <c r="AG12" i="7"/>
  <c r="CI80" i="7" l="1"/>
  <c r="CI88" i="7"/>
  <c r="CI61" i="7"/>
  <c r="CI69" i="7"/>
  <c r="CI77" i="7"/>
  <c r="CI51" i="7"/>
  <c r="CI22" i="7"/>
  <c r="CI30" i="7"/>
  <c r="CI38" i="7"/>
  <c r="CI46" i="7"/>
  <c r="CI36" i="7"/>
  <c r="CI90" i="7"/>
  <c r="CI81" i="7"/>
  <c r="CI89" i="7"/>
  <c r="CI62" i="7"/>
  <c r="CI70" i="7"/>
  <c r="CI78" i="7"/>
  <c r="CI47" i="7"/>
  <c r="CI23" i="7"/>
  <c r="CI31" i="7"/>
  <c r="CI39" i="7"/>
  <c r="CI16" i="7"/>
  <c r="CI82" i="7"/>
  <c r="CI55" i="7"/>
  <c r="CI63" i="7"/>
  <c r="CI71" i="7"/>
  <c r="CI79" i="7"/>
  <c r="CI48" i="7"/>
  <c r="CI24" i="7"/>
  <c r="CI32" i="7"/>
  <c r="CI40" i="7"/>
  <c r="CI86" i="7"/>
  <c r="CI20" i="7"/>
  <c r="CI83" i="7"/>
  <c r="CI56" i="7"/>
  <c r="CI64" i="7"/>
  <c r="CI72" i="7"/>
  <c r="CI54" i="7"/>
  <c r="CI17" i="7"/>
  <c r="CI25" i="7"/>
  <c r="CI33" i="7"/>
  <c r="CI41" i="7"/>
  <c r="CI75" i="7"/>
  <c r="CI44" i="7"/>
  <c r="CI84" i="7"/>
  <c r="CI57" i="7"/>
  <c r="CI65" i="7"/>
  <c r="CI73" i="7"/>
  <c r="CI18" i="7"/>
  <c r="CI26" i="7"/>
  <c r="CI34" i="7"/>
  <c r="CI42" i="7"/>
  <c r="CI67" i="7"/>
  <c r="CI85" i="7"/>
  <c r="CI58" i="7"/>
  <c r="CI66" i="7"/>
  <c r="CI74" i="7"/>
  <c r="CI19" i="7"/>
  <c r="CI27" i="7"/>
  <c r="CI35" i="7"/>
  <c r="CI43" i="7"/>
  <c r="CI49" i="7"/>
  <c r="CI87" i="7"/>
  <c r="CI60" i="7"/>
  <c r="CI68" i="7"/>
  <c r="CI76" i="7"/>
  <c r="CI52" i="7"/>
  <c r="CI50" i="7"/>
  <c r="CI21" i="7"/>
  <c r="CI29" i="7"/>
  <c r="CI37" i="7"/>
  <c r="CI45" i="7"/>
  <c r="CI59" i="7"/>
  <c r="CI28" i="7"/>
  <c r="CJ90" i="7"/>
  <c r="CJ84" i="7"/>
  <c r="CJ57" i="7"/>
  <c r="CJ65" i="7"/>
  <c r="CJ73" i="7"/>
  <c r="CJ18" i="7"/>
  <c r="CJ26" i="7"/>
  <c r="CJ34" i="7"/>
  <c r="CJ42" i="7"/>
  <c r="CJ79" i="7"/>
  <c r="CJ85" i="7"/>
  <c r="CJ58" i="7"/>
  <c r="CJ66" i="7"/>
  <c r="CJ74" i="7"/>
  <c r="CJ19" i="7"/>
  <c r="CJ27" i="7"/>
  <c r="CJ35" i="7"/>
  <c r="CJ43" i="7"/>
  <c r="CJ71" i="7"/>
  <c r="CJ52" i="7"/>
  <c r="CJ40" i="7"/>
  <c r="CJ86" i="7"/>
  <c r="CJ59" i="7"/>
  <c r="CJ67" i="7"/>
  <c r="CJ75" i="7"/>
  <c r="CJ49" i="7"/>
  <c r="CJ20" i="7"/>
  <c r="CJ28" i="7"/>
  <c r="CJ36" i="7"/>
  <c r="CJ44" i="7"/>
  <c r="CJ55" i="7"/>
  <c r="CJ48" i="7"/>
  <c r="CJ87" i="7"/>
  <c r="CJ60" i="7"/>
  <c r="CJ68" i="7"/>
  <c r="CJ76" i="7"/>
  <c r="CJ50" i="7"/>
  <c r="CJ21" i="7"/>
  <c r="CJ29" i="7"/>
  <c r="CJ37" i="7"/>
  <c r="CJ45" i="7"/>
  <c r="CJ82" i="7"/>
  <c r="CJ24" i="7"/>
  <c r="CJ80" i="7"/>
  <c r="CJ88" i="7"/>
  <c r="CJ61" i="7"/>
  <c r="CJ69" i="7"/>
  <c r="CJ77" i="7"/>
  <c r="CJ51" i="7"/>
  <c r="CJ22" i="7"/>
  <c r="CJ30" i="7"/>
  <c r="CJ38" i="7"/>
  <c r="CJ46" i="7"/>
  <c r="CJ32" i="7"/>
  <c r="CJ81" i="7"/>
  <c r="CJ89" i="7"/>
  <c r="CJ62" i="7"/>
  <c r="CJ70" i="7"/>
  <c r="CJ78" i="7"/>
  <c r="CJ47" i="7"/>
  <c r="CJ23" i="7"/>
  <c r="CJ31" i="7"/>
  <c r="CJ39" i="7"/>
  <c r="CJ16" i="7"/>
  <c r="CJ63" i="7"/>
  <c r="CJ83" i="7"/>
  <c r="CJ56" i="7"/>
  <c r="CJ64" i="7"/>
  <c r="CJ72" i="7"/>
  <c r="CJ54" i="7"/>
  <c r="CJ17" i="7"/>
  <c r="CJ25" i="7"/>
  <c r="CJ33" i="7"/>
  <c r="CJ41" i="7"/>
  <c r="CH84" i="7"/>
  <c r="CH57" i="7"/>
  <c r="CH65" i="7"/>
  <c r="CH73" i="7"/>
  <c r="CH52" i="7"/>
  <c r="CH18" i="7"/>
  <c r="CH26" i="7"/>
  <c r="CH34" i="7"/>
  <c r="CH42" i="7"/>
  <c r="CH71" i="7"/>
  <c r="CH85" i="7"/>
  <c r="CH58" i="7"/>
  <c r="CH66" i="7"/>
  <c r="CH74" i="7"/>
  <c r="CH19" i="7"/>
  <c r="CH27" i="7"/>
  <c r="CH35" i="7"/>
  <c r="CH43" i="7"/>
  <c r="CH55" i="7"/>
  <c r="CH32" i="7"/>
  <c r="CH90" i="7"/>
  <c r="CH86" i="7"/>
  <c r="CH59" i="7"/>
  <c r="CH67" i="7"/>
  <c r="CH75" i="7"/>
  <c r="CH49" i="7"/>
  <c r="CH20" i="7"/>
  <c r="CH28" i="7"/>
  <c r="CH36" i="7"/>
  <c r="CH44" i="7"/>
  <c r="CH63" i="7"/>
  <c r="CH24" i="7"/>
  <c r="CH87" i="7"/>
  <c r="CH60" i="7"/>
  <c r="CH68" i="7"/>
  <c r="CH76" i="7"/>
  <c r="CH50" i="7"/>
  <c r="CH21" i="7"/>
  <c r="CH29" i="7"/>
  <c r="CH37" i="7"/>
  <c r="CH45" i="7"/>
  <c r="CH80" i="7"/>
  <c r="CH88" i="7"/>
  <c r="CH61" i="7"/>
  <c r="CH69" i="7"/>
  <c r="CH77" i="7"/>
  <c r="CH51" i="7"/>
  <c r="CH22" i="7"/>
  <c r="CH30" i="7"/>
  <c r="CH38" i="7"/>
  <c r="CH46" i="7"/>
  <c r="CH48" i="7"/>
  <c r="CH81" i="7"/>
  <c r="CH89" i="7"/>
  <c r="CH62" i="7"/>
  <c r="CH70" i="7"/>
  <c r="CH78" i="7"/>
  <c r="CH47" i="7"/>
  <c r="CH23" i="7"/>
  <c r="CH31" i="7"/>
  <c r="CH39" i="7"/>
  <c r="CH16" i="7"/>
  <c r="CH82" i="7"/>
  <c r="CH40" i="7"/>
  <c r="CH83" i="7"/>
  <c r="CH56" i="7"/>
  <c r="CH64" i="7"/>
  <c r="CH72" i="7"/>
  <c r="CH54" i="7"/>
  <c r="CH17" i="7"/>
  <c r="CH25" i="7"/>
  <c r="CH33" i="7"/>
  <c r="CH41" i="7"/>
  <c r="CH79" i="7"/>
  <c r="CL84" i="7"/>
  <c r="CL57" i="7"/>
  <c r="CL65" i="7"/>
  <c r="CL73" i="7"/>
  <c r="CL18" i="7"/>
  <c r="CL26" i="7"/>
  <c r="CL34" i="7"/>
  <c r="CL42" i="7"/>
  <c r="CL90" i="7"/>
  <c r="CL48" i="7"/>
  <c r="CL85" i="7"/>
  <c r="CL58" i="7"/>
  <c r="CL66" i="7"/>
  <c r="CL74" i="7"/>
  <c r="CL19" i="7"/>
  <c r="CL27" i="7"/>
  <c r="CL35" i="7"/>
  <c r="CL43" i="7"/>
  <c r="CL86" i="7"/>
  <c r="CL59" i="7"/>
  <c r="CL67" i="7"/>
  <c r="CL75" i="7"/>
  <c r="CL49" i="7"/>
  <c r="CL20" i="7"/>
  <c r="CL28" i="7"/>
  <c r="CL36" i="7"/>
  <c r="CL44" i="7"/>
  <c r="CL63" i="7"/>
  <c r="CL87" i="7"/>
  <c r="CL60" i="7"/>
  <c r="CL68" i="7"/>
  <c r="CL76" i="7"/>
  <c r="CL50" i="7"/>
  <c r="CL21" i="7"/>
  <c r="CL29" i="7"/>
  <c r="CL37" i="7"/>
  <c r="CL45" i="7"/>
  <c r="CL71" i="7"/>
  <c r="CL32" i="7"/>
  <c r="CL80" i="7"/>
  <c r="CL88" i="7"/>
  <c r="CL61" i="7"/>
  <c r="CL69" i="7"/>
  <c r="CL77" i="7"/>
  <c r="CL52" i="7"/>
  <c r="CL51" i="7"/>
  <c r="CL22" i="7"/>
  <c r="CL30" i="7"/>
  <c r="CL38" i="7"/>
  <c r="CL46" i="7"/>
  <c r="CL82" i="7"/>
  <c r="CL40" i="7"/>
  <c r="CL81" i="7"/>
  <c r="CL89" i="7"/>
  <c r="CL62" i="7"/>
  <c r="CL70" i="7"/>
  <c r="CL78" i="7"/>
  <c r="CL47" i="7"/>
  <c r="CL23" i="7"/>
  <c r="CL31" i="7"/>
  <c r="CL39" i="7"/>
  <c r="CL16" i="7"/>
  <c r="CL55" i="7"/>
  <c r="CL83" i="7"/>
  <c r="CL56" i="7"/>
  <c r="CL64" i="7"/>
  <c r="CL72" i="7"/>
  <c r="CL54" i="7"/>
  <c r="CL17" i="7"/>
  <c r="CL25" i="7"/>
  <c r="CL33" i="7"/>
  <c r="CL41" i="7"/>
  <c r="CL79" i="7"/>
  <c r="CL24" i="7"/>
  <c r="AN26" i="7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N52" i="7" s="1"/>
  <c r="AN53" i="7" s="1"/>
  <c r="AN54" i="7" s="1"/>
  <c r="AN55" i="7" s="1"/>
  <c r="AN56" i="7" s="1"/>
  <c r="AN57" i="7" s="1"/>
  <c r="AN58" i="7" s="1"/>
  <c r="AN59" i="7" s="1"/>
  <c r="AN60" i="7" s="1"/>
  <c r="AN61" i="7" s="1"/>
  <c r="AN62" i="7" s="1"/>
  <c r="AN63" i="7" s="1"/>
  <c r="AN64" i="7" s="1"/>
  <c r="AN65" i="7" s="1"/>
  <c r="AN66" i="7" s="1"/>
  <c r="AN67" i="7" s="1"/>
  <c r="AN68" i="7" s="1"/>
  <c r="AN69" i="7" s="1"/>
  <c r="AN70" i="7" s="1"/>
  <c r="AN71" i="7" s="1"/>
  <c r="AN72" i="7" s="1"/>
  <c r="AN73" i="7" s="1"/>
  <c r="AN74" i="7" s="1"/>
  <c r="AN75" i="7" s="1"/>
  <c r="AN76" i="7" s="1"/>
  <c r="AN77" i="7" s="1"/>
  <c r="AN78" i="7" s="1"/>
  <c r="AN79" i="7" s="1"/>
  <c r="AN80" i="7" s="1"/>
  <c r="AN81" i="7" s="1"/>
  <c r="AN82" i="7" s="1"/>
  <c r="AN83" i="7" s="1"/>
  <c r="AN84" i="7" s="1"/>
  <c r="AN85" i="7" s="1"/>
  <c r="AN86" i="7" s="1"/>
  <c r="AN87" i="7" s="1"/>
  <c r="AN88" i="7" s="1"/>
  <c r="AN89" i="7" s="1"/>
  <c r="AN90" i="7" s="1"/>
  <c r="AN91" i="7" s="1"/>
  <c r="AN92" i="7" s="1"/>
  <c r="AN93" i="7" s="1"/>
  <c r="AN94" i="7" s="1"/>
  <c r="AN95" i="7" s="1"/>
  <c r="AN96" i="7" s="1"/>
  <c r="AN97" i="7" s="1"/>
  <c r="AN98" i="7" s="1"/>
  <c r="AN99" i="7" s="1"/>
  <c r="AN100" i="7" s="1"/>
  <c r="AN101" i="7" s="1"/>
  <c r="AN102" i="7" s="1"/>
  <c r="AN103" i="7" s="1"/>
  <c r="AN104" i="7" s="1"/>
  <c r="AN105" i="7" s="1"/>
  <c r="AN106" i="7" s="1"/>
  <c r="AN107" i="7" s="1"/>
  <c r="AN108" i="7" s="1"/>
  <c r="AN109" i="7" s="1"/>
  <c r="AN110" i="7" s="1"/>
  <c r="AN111" i="7" s="1"/>
  <c r="AN112" i="7" s="1"/>
  <c r="AN113" i="7" s="1"/>
  <c r="AN114" i="7" s="1"/>
  <c r="AN115" i="7" s="1"/>
  <c r="AN116" i="7" s="1"/>
  <c r="AN117" i="7" s="1"/>
  <c r="AN118" i="7" s="1"/>
  <c r="AN119" i="7" s="1"/>
  <c r="AN120" i="7" s="1"/>
  <c r="AN121" i="7" s="1"/>
  <c r="AN122" i="7" s="1"/>
  <c r="AN123" i="7" s="1"/>
  <c r="AN124" i="7" s="1"/>
  <c r="AN125" i="7" s="1"/>
  <c r="AN126" i="7" s="1"/>
  <c r="AN127" i="7" s="1"/>
  <c r="AN128" i="7" s="1"/>
  <c r="AN129" i="7" s="1"/>
  <c r="AN130" i="7" s="1"/>
  <c r="AN131" i="7" s="1"/>
  <c r="AN132" i="7" s="1"/>
  <c r="AN133" i="7" s="1"/>
  <c r="AN134" i="7" s="1"/>
  <c r="AN135" i="7" s="1"/>
  <c r="AN136" i="7" s="1"/>
  <c r="AN137" i="7" s="1"/>
  <c r="AN138" i="7" s="1"/>
  <c r="AN139" i="7" s="1"/>
  <c r="AN140" i="7" s="1"/>
  <c r="AN141" i="7" s="1"/>
  <c r="AN142" i="7" s="1"/>
  <c r="AN143" i="7" s="1"/>
  <c r="AN144" i="7" s="1"/>
  <c r="AN145" i="7" s="1"/>
  <c r="AN146" i="7" s="1"/>
  <c r="AN147" i="7" s="1"/>
  <c r="AN148" i="7" s="1"/>
  <c r="AN149" i="7" s="1"/>
  <c r="AN150" i="7" s="1"/>
  <c r="AN151" i="7" s="1"/>
  <c r="AN152" i="7" s="1"/>
  <c r="AN153" i="7" s="1"/>
  <c r="AN154" i="7" s="1"/>
  <c r="AN155" i="7" s="1"/>
  <c r="AN156" i="7" s="1"/>
  <c r="AN157" i="7" s="1"/>
  <c r="AN158" i="7" s="1"/>
  <c r="AN159" i="7" s="1"/>
  <c r="AN160" i="7" s="1"/>
  <c r="AN161" i="7" s="1"/>
  <c r="AN162" i="7" s="1"/>
  <c r="AN163" i="7" s="1"/>
  <c r="AN164" i="7" s="1"/>
  <c r="AN165" i="7" s="1"/>
  <c r="AN166" i="7" s="1"/>
  <c r="AN167" i="7" s="1"/>
  <c r="AN168" i="7" s="1"/>
  <c r="AN169" i="7" s="1"/>
  <c r="AN170" i="7" s="1"/>
  <c r="AN171" i="7" s="1"/>
  <c r="AN172" i="7" s="1"/>
  <c r="AN173" i="7" s="1"/>
  <c r="AN174" i="7" s="1"/>
  <c r="AN175" i="7" s="1"/>
  <c r="AN176" i="7" s="1"/>
  <c r="AN177" i="7" s="1"/>
  <c r="AN178" i="7" s="1"/>
  <c r="AN179" i="7" s="1"/>
  <c r="AN180" i="7" s="1"/>
  <c r="AN181" i="7" s="1"/>
  <c r="AN182" i="7" s="1"/>
  <c r="AN183" i="7" s="1"/>
  <c r="AN184" i="7" s="1"/>
  <c r="AN185" i="7" s="1"/>
  <c r="AN186" i="7" s="1"/>
  <c r="AN187" i="7" s="1"/>
  <c r="AN188" i="7" s="1"/>
  <c r="AN189" i="7" s="1"/>
  <c r="AN190" i="7" s="1"/>
  <c r="AN191" i="7" s="1"/>
  <c r="AN192" i="7" s="1"/>
  <c r="AN193" i="7" s="1"/>
  <c r="AN194" i="7" s="1"/>
  <c r="AN195" i="7" s="1"/>
  <c r="AN196" i="7" s="1"/>
  <c r="AN197" i="7" s="1"/>
  <c r="AN198" i="7" s="1"/>
  <c r="AN199" i="7" s="1"/>
  <c r="AN200" i="7" s="1"/>
  <c r="AN201" i="7" s="1"/>
  <c r="AN202" i="7" s="1"/>
  <c r="AN203" i="7" s="1"/>
  <c r="AN204" i="7" s="1"/>
  <c r="AN205" i="7" s="1"/>
  <c r="AN206" i="7" s="1"/>
  <c r="AN207" i="7" s="1"/>
  <c r="AN208" i="7" s="1"/>
  <c r="AN209" i="7" s="1"/>
  <c r="AN210" i="7" s="1"/>
  <c r="AN211" i="7" s="1"/>
  <c r="AN212" i="7" s="1"/>
  <c r="AN213" i="7" s="1"/>
  <c r="AN214" i="7" s="1"/>
  <c r="AN215" i="7" s="1"/>
  <c r="AN216" i="7" s="1"/>
  <c r="AN217" i="7" s="1"/>
  <c r="AN218" i="7" s="1"/>
  <c r="AN219" i="7" s="1"/>
  <c r="AN220" i="7" s="1"/>
  <c r="AN221" i="7" s="1"/>
  <c r="AN222" i="7" s="1"/>
  <c r="AN223" i="7" s="1"/>
  <c r="AN224" i="7" s="1"/>
  <c r="AN225" i="7" s="1"/>
  <c r="AN226" i="7" s="1"/>
  <c r="AN227" i="7" s="1"/>
  <c r="AN228" i="7" s="1"/>
  <c r="AN229" i="7" s="1"/>
  <c r="AN230" i="7" s="1"/>
  <c r="AN231" i="7" s="1"/>
  <c r="AN232" i="7" s="1"/>
  <c r="AN233" i="7" s="1"/>
  <c r="AN234" i="7" s="1"/>
  <c r="AN235" i="7" s="1"/>
  <c r="AN236" i="7" s="1"/>
  <c r="AN237" i="7" s="1"/>
  <c r="AN238" i="7" s="1"/>
  <c r="AN239" i="7" s="1"/>
  <c r="AN240" i="7" s="1"/>
  <c r="AN241" i="7" s="1"/>
  <c r="AN242" i="7" s="1"/>
  <c r="AN243" i="7" s="1"/>
  <c r="AN244" i="7" s="1"/>
  <c r="AN245" i="7" s="1"/>
  <c r="AN246" i="7" s="1"/>
  <c r="AN247" i="7" s="1"/>
  <c r="AN248" i="7" s="1"/>
  <c r="AN249" i="7" s="1"/>
  <c r="AN250" i="7" s="1"/>
  <c r="AN251" i="7" s="1"/>
  <c r="AN252" i="7" s="1"/>
  <c r="AN253" i="7" s="1"/>
  <c r="AN254" i="7" s="1"/>
  <c r="AN255" i="7" s="1"/>
  <c r="AN256" i="7" s="1"/>
  <c r="AN257" i="7" s="1"/>
  <c r="AN258" i="7" s="1"/>
  <c r="AN259" i="7" s="1"/>
  <c r="AN260" i="7" s="1"/>
  <c r="AN261" i="7" s="1"/>
  <c r="AN262" i="7" s="1"/>
  <c r="AN263" i="7" s="1"/>
  <c r="AN264" i="7" s="1"/>
  <c r="AN265" i="7" s="1"/>
  <c r="AN266" i="7" s="1"/>
  <c r="AN267" i="7" s="1"/>
  <c r="AN268" i="7" s="1"/>
  <c r="AN269" i="7" s="1"/>
  <c r="AN270" i="7" s="1"/>
  <c r="AN271" i="7" s="1"/>
  <c r="AN272" i="7" s="1"/>
  <c r="AN273" i="7" s="1"/>
  <c r="AN274" i="7" s="1"/>
  <c r="AN275" i="7" s="1"/>
  <c r="AN276" i="7" s="1"/>
  <c r="AN277" i="7" s="1"/>
  <c r="AN278" i="7" s="1"/>
  <c r="AN279" i="7" s="1"/>
  <c r="AN280" i="7" s="1"/>
  <c r="AN281" i="7" s="1"/>
  <c r="AN282" i="7" s="1"/>
  <c r="AN283" i="7" s="1"/>
  <c r="AN284" i="7" s="1"/>
  <c r="AN285" i="7" s="1"/>
  <c r="AN286" i="7" s="1"/>
  <c r="AN287" i="7" s="1"/>
  <c r="AN288" i="7" s="1"/>
  <c r="AN289" i="7" s="1"/>
  <c r="AN290" i="7" s="1"/>
  <c r="AN291" i="7" s="1"/>
  <c r="AN292" i="7" s="1"/>
  <c r="AN293" i="7" s="1"/>
  <c r="AN294" i="7" s="1"/>
  <c r="AN295" i="7" s="1"/>
  <c r="AN296" i="7" s="1"/>
  <c r="AN297" i="7" s="1"/>
  <c r="AN298" i="7" s="1"/>
  <c r="AN299" i="7" s="1"/>
  <c r="AN300" i="7" s="1"/>
  <c r="AN301" i="7" s="1"/>
  <c r="AN302" i="7" s="1"/>
  <c r="AN303" i="7" s="1"/>
  <c r="AN304" i="7" s="1"/>
  <c r="AN305" i="7" s="1"/>
  <c r="AN306" i="7" s="1"/>
  <c r="AN307" i="7" s="1"/>
  <c r="AN308" i="7" s="1"/>
  <c r="AN309" i="7" s="1"/>
  <c r="AN310" i="7" s="1"/>
  <c r="AN311" i="7" s="1"/>
  <c r="AN312" i="7" s="1"/>
  <c r="AN313" i="7" s="1"/>
  <c r="AN314" i="7" s="1"/>
  <c r="AN315" i="7" s="1"/>
  <c r="AN316" i="7" s="1"/>
  <c r="AN317" i="7" s="1"/>
  <c r="AN318" i="7" s="1"/>
  <c r="AN319" i="7" s="1"/>
  <c r="AN320" i="7" s="1"/>
  <c r="AN321" i="7" s="1"/>
  <c r="AN322" i="7" s="1"/>
  <c r="AN323" i="7" s="1"/>
  <c r="AN324" i="7" s="1"/>
  <c r="AN325" i="7" s="1"/>
  <c r="AN326" i="7" s="1"/>
  <c r="AN327" i="7" s="1"/>
  <c r="AN328" i="7" s="1"/>
  <c r="AN329" i="7" s="1"/>
  <c r="AN330" i="7" s="1"/>
  <c r="AN331" i="7" s="1"/>
  <c r="AN332" i="7" s="1"/>
  <c r="AN333" i="7" s="1"/>
  <c r="AN334" i="7" s="1"/>
  <c r="AN335" i="7" s="1"/>
  <c r="AN336" i="7" s="1"/>
  <c r="AN337" i="7" s="1"/>
  <c r="AN338" i="7" s="1"/>
  <c r="AN339" i="7" s="1"/>
  <c r="AN340" i="7" s="1"/>
  <c r="AN341" i="7" s="1"/>
  <c r="AN342" i="7" s="1"/>
  <c r="AN343" i="7" s="1"/>
  <c r="AN344" i="7" s="1"/>
  <c r="AN345" i="7" s="1"/>
  <c r="AN346" i="7" s="1"/>
  <c r="AN347" i="7" s="1"/>
  <c r="AN348" i="7" s="1"/>
  <c r="AN349" i="7" s="1"/>
  <c r="AN350" i="7" s="1"/>
  <c r="AN351" i="7" s="1"/>
  <c r="AN352" i="7" s="1"/>
  <c r="AN353" i="7" s="1"/>
  <c r="AN354" i="7" s="1"/>
  <c r="AN355" i="7" s="1"/>
  <c r="AN356" i="7" s="1"/>
  <c r="AN357" i="7" s="1"/>
  <c r="AN358" i="7" s="1"/>
  <c r="AN359" i="7" s="1"/>
  <c r="AN360" i="7" s="1"/>
  <c r="AN361" i="7" s="1"/>
  <c r="AN362" i="7" s="1"/>
  <c r="AN363" i="7" s="1"/>
  <c r="AN364" i="7" s="1"/>
  <c r="AN365" i="7" s="1"/>
  <c r="AN366" i="7" s="1"/>
  <c r="AN367" i="7" s="1"/>
  <c r="AN368" i="7" s="1"/>
  <c r="AN369" i="7" s="1"/>
  <c r="AN370" i="7" s="1"/>
  <c r="AN371" i="7" s="1"/>
  <c r="AN372" i="7" s="1"/>
  <c r="AN373" i="7" s="1"/>
  <c r="AN374" i="7" s="1"/>
  <c r="AN375" i="7" s="1"/>
  <c r="AN376" i="7" s="1"/>
  <c r="AN377" i="7" s="1"/>
  <c r="AN378" i="7" s="1"/>
  <c r="AN379" i="7" s="1"/>
  <c r="AN380" i="7" s="1"/>
  <c r="AN381" i="7" s="1"/>
  <c r="AN382" i="7" s="1"/>
  <c r="AN383" i="7" s="1"/>
  <c r="AN384" i="7" s="1"/>
  <c r="AN385" i="7" s="1"/>
  <c r="AN386" i="7" s="1"/>
  <c r="AN387" i="7" s="1"/>
  <c r="AN388" i="7" s="1"/>
  <c r="AN389" i="7" s="1"/>
  <c r="AN390" i="7" s="1"/>
  <c r="AN391" i="7" s="1"/>
  <c r="AN392" i="7" s="1"/>
  <c r="AN393" i="7" s="1"/>
  <c r="AN394" i="7" s="1"/>
  <c r="AN395" i="7" s="1"/>
  <c r="AN396" i="7" s="1"/>
  <c r="AN397" i="7" s="1"/>
  <c r="AN398" i="7" s="1"/>
  <c r="AN399" i="7" s="1"/>
  <c r="AN400" i="7" s="1"/>
  <c r="AN401" i="7" s="1"/>
  <c r="AN402" i="7" s="1"/>
  <c r="AN403" i="7" s="1"/>
  <c r="AN404" i="7" s="1"/>
  <c r="AN405" i="7" s="1"/>
  <c r="AN406" i="7" s="1"/>
  <c r="AN407" i="7" s="1"/>
  <c r="AN408" i="7" s="1"/>
  <c r="AN409" i="7" s="1"/>
  <c r="AN410" i="7" s="1"/>
  <c r="AN411" i="7" s="1"/>
  <c r="AN412" i="7" s="1"/>
  <c r="AN413" i="7" s="1"/>
  <c r="AN414" i="7" s="1"/>
  <c r="AN415" i="7" s="1"/>
  <c r="AN416" i="7" s="1"/>
  <c r="AN417" i="7" s="1"/>
  <c r="AN418" i="7" s="1"/>
  <c r="AN419" i="7" s="1"/>
  <c r="AN420" i="7" s="1"/>
  <c r="AN421" i="7" s="1"/>
  <c r="AN422" i="7" s="1"/>
  <c r="AN423" i="7" s="1"/>
  <c r="AN424" i="7" s="1"/>
  <c r="AN425" i="7" s="1"/>
  <c r="AN426" i="7" s="1"/>
  <c r="AN427" i="7" s="1"/>
  <c r="AN428" i="7" s="1"/>
  <c r="AN429" i="7" s="1"/>
  <c r="AN430" i="7" s="1"/>
  <c r="AN431" i="7" s="1"/>
  <c r="AN432" i="7" s="1"/>
  <c r="AN433" i="7" s="1"/>
  <c r="AN434" i="7" s="1"/>
  <c r="AN435" i="7" s="1"/>
  <c r="AN436" i="7" s="1"/>
  <c r="AN437" i="7" s="1"/>
  <c r="AN438" i="7" s="1"/>
  <c r="AN439" i="7" s="1"/>
  <c r="AN440" i="7" s="1"/>
  <c r="AN441" i="7" s="1"/>
  <c r="AN442" i="7" s="1"/>
  <c r="AN443" i="7" s="1"/>
  <c r="AN444" i="7" s="1"/>
  <c r="AN445" i="7" s="1"/>
  <c r="AN446" i="7" s="1"/>
  <c r="AN447" i="7" s="1"/>
  <c r="AN448" i="7" s="1"/>
  <c r="AN449" i="7" s="1"/>
  <c r="AN450" i="7" s="1"/>
  <c r="AN451" i="7" s="1"/>
  <c r="AN452" i="7" s="1"/>
  <c r="AN453" i="7" s="1"/>
  <c r="AN454" i="7" s="1"/>
  <c r="AN455" i="7" s="1"/>
  <c r="AN456" i="7" s="1"/>
  <c r="AN457" i="7" s="1"/>
  <c r="AN458" i="7" s="1"/>
  <c r="AN459" i="7" s="1"/>
  <c r="AN460" i="7" s="1"/>
  <c r="AN461" i="7" s="1"/>
  <c r="AN462" i="7" s="1"/>
  <c r="AN463" i="7" s="1"/>
  <c r="AN464" i="7" s="1"/>
  <c r="AN465" i="7" s="1"/>
  <c r="AN466" i="7" s="1"/>
  <c r="AN467" i="7" s="1"/>
  <c r="AN468" i="7" s="1"/>
  <c r="AN469" i="7" s="1"/>
  <c r="AN470" i="7" s="1"/>
  <c r="AN471" i="7" s="1"/>
  <c r="AN472" i="7" s="1"/>
  <c r="AN473" i="7" s="1"/>
  <c r="AN474" i="7" s="1"/>
  <c r="AN475" i="7" s="1"/>
  <c r="AN476" i="7" s="1"/>
  <c r="AN477" i="7" s="1"/>
  <c r="AN478" i="7" s="1"/>
  <c r="AN479" i="7" s="1"/>
  <c r="AN480" i="7" s="1"/>
  <c r="AN481" i="7" s="1"/>
  <c r="AN482" i="7" s="1"/>
  <c r="AN483" i="7" s="1"/>
  <c r="AN484" i="7" s="1"/>
  <c r="AN485" i="7" s="1"/>
  <c r="AN486" i="7" s="1"/>
  <c r="AN487" i="7" s="1"/>
  <c r="AN488" i="7" s="1"/>
  <c r="AN489" i="7" s="1"/>
  <c r="AN490" i="7" s="1"/>
  <c r="AN491" i="7" s="1"/>
  <c r="AN492" i="7" s="1"/>
  <c r="AN493" i="7" s="1"/>
  <c r="AN494" i="7" s="1"/>
  <c r="AN495" i="7" s="1"/>
  <c r="AN496" i="7" s="1"/>
  <c r="AN497" i="7" s="1"/>
  <c r="AN498" i="7" s="1"/>
  <c r="AN499" i="7" s="1"/>
  <c r="AN500" i="7" s="1"/>
  <c r="AN501" i="7" s="1"/>
  <c r="AN502" i="7" s="1"/>
  <c r="AN503" i="7" s="1"/>
  <c r="AN504" i="7" s="1"/>
  <c r="AN505" i="7" s="1"/>
  <c r="AN506" i="7" s="1"/>
  <c r="AN507" i="7" s="1"/>
  <c r="AN508" i="7" s="1"/>
  <c r="AN509" i="7" s="1"/>
  <c r="AN510" i="7" s="1"/>
  <c r="AN511" i="7" s="1"/>
  <c r="AN512" i="7" s="1"/>
  <c r="AN513" i="7" s="1"/>
  <c r="AN514" i="7" s="1"/>
  <c r="AN515" i="7" s="1"/>
  <c r="AN516" i="7" s="1"/>
  <c r="AN517" i="7" s="1"/>
  <c r="AN518" i="7" s="1"/>
  <c r="AN519" i="7" s="1"/>
  <c r="AN520" i="7" s="1"/>
  <c r="AN521" i="7" s="1"/>
  <c r="AN522" i="7" s="1"/>
  <c r="AN523" i="7" s="1"/>
  <c r="AN524" i="7" s="1"/>
  <c r="AN525" i="7" s="1"/>
  <c r="AN526" i="7" s="1"/>
  <c r="AN527" i="7" s="1"/>
  <c r="AN528" i="7" s="1"/>
  <c r="AN529" i="7" s="1"/>
  <c r="AN530" i="7" s="1"/>
  <c r="AN531" i="7" s="1"/>
  <c r="AN532" i="7" s="1"/>
  <c r="AN533" i="7" s="1"/>
  <c r="AN534" i="7" s="1"/>
  <c r="AN535" i="7" s="1"/>
  <c r="AN536" i="7" s="1"/>
  <c r="AN537" i="7" s="1"/>
  <c r="AN538" i="7" s="1"/>
  <c r="AN539" i="7" s="1"/>
  <c r="AN540" i="7" s="1"/>
  <c r="AN541" i="7" s="1"/>
  <c r="AN542" i="7" s="1"/>
  <c r="AN543" i="7" s="1"/>
  <c r="AN544" i="7" s="1"/>
  <c r="AN545" i="7" s="1"/>
  <c r="AN546" i="7" s="1"/>
  <c r="AN547" i="7" s="1"/>
  <c r="AN548" i="7" s="1"/>
  <c r="AN549" i="7" s="1"/>
  <c r="AN550" i="7" s="1"/>
  <c r="AN551" i="7" s="1"/>
  <c r="AN552" i="7" s="1"/>
  <c r="AN553" i="7" s="1"/>
  <c r="AN554" i="7" s="1"/>
  <c r="AN555" i="7" s="1"/>
  <c r="AN556" i="7" s="1"/>
  <c r="AN557" i="7" s="1"/>
  <c r="AN558" i="7" s="1"/>
  <c r="AN559" i="7" s="1"/>
  <c r="AN560" i="7" s="1"/>
  <c r="AN561" i="7" s="1"/>
  <c r="AN562" i="7" s="1"/>
  <c r="AN563" i="7" s="1"/>
  <c r="AN564" i="7" s="1"/>
  <c r="AN565" i="7" s="1"/>
  <c r="AN566" i="7" s="1"/>
  <c r="AN567" i="7" s="1"/>
  <c r="AN568" i="7" s="1"/>
  <c r="AN569" i="7" s="1"/>
  <c r="AN570" i="7" s="1"/>
  <c r="AN571" i="7" s="1"/>
  <c r="AN572" i="7" s="1"/>
  <c r="AN573" i="7" s="1"/>
  <c r="AN574" i="7" s="1"/>
  <c r="AN575" i="7" s="1"/>
  <c r="AN576" i="7" s="1"/>
  <c r="AN577" i="7" s="1"/>
  <c r="AN578" i="7" s="1"/>
  <c r="AN579" i="7" s="1"/>
  <c r="AN580" i="7" s="1"/>
  <c r="AN581" i="7" s="1"/>
  <c r="AN582" i="7" s="1"/>
  <c r="AN583" i="7" s="1"/>
  <c r="AN584" i="7" s="1"/>
  <c r="AN585" i="7" s="1"/>
  <c r="AN586" i="7" s="1"/>
  <c r="AN587" i="7" s="1"/>
  <c r="AN588" i="7" s="1"/>
  <c r="AN589" i="7" s="1"/>
  <c r="AN590" i="7" s="1"/>
  <c r="AN591" i="7" s="1"/>
  <c r="AN592" i="7" s="1"/>
  <c r="AN593" i="7" s="1"/>
  <c r="AN594" i="7" s="1"/>
  <c r="AN595" i="7" s="1"/>
  <c r="AN596" i="7" s="1"/>
  <c r="AN597" i="7" s="1"/>
  <c r="AN598" i="7" s="1"/>
  <c r="AN599" i="7" s="1"/>
  <c r="AN600" i="7" s="1"/>
  <c r="AN601" i="7" s="1"/>
  <c r="AN602" i="7" s="1"/>
  <c r="AN603" i="7" s="1"/>
  <c r="AN604" i="7" s="1"/>
  <c r="AN605" i="7" s="1"/>
  <c r="AN606" i="7" s="1"/>
  <c r="AN607" i="7" s="1"/>
  <c r="AN608" i="7" s="1"/>
  <c r="AN609" i="7" s="1"/>
  <c r="AN610" i="7" s="1"/>
  <c r="AN611" i="7" s="1"/>
  <c r="AN612" i="7" s="1"/>
  <c r="AN613" i="7" s="1"/>
  <c r="AN614" i="7" s="1"/>
  <c r="AN615" i="7" s="1"/>
  <c r="AN616" i="7" s="1"/>
  <c r="AN617" i="7" s="1"/>
  <c r="AN618" i="7" s="1"/>
  <c r="AN619" i="7" s="1"/>
  <c r="AN620" i="7" s="1"/>
  <c r="AN621" i="7" s="1"/>
  <c r="AN622" i="7" s="1"/>
  <c r="AN623" i="7" s="1"/>
  <c r="AN624" i="7" s="1"/>
  <c r="AN625" i="7" s="1"/>
  <c r="AN626" i="7" s="1"/>
  <c r="AN627" i="7" s="1"/>
  <c r="AN628" i="7" s="1"/>
  <c r="AN629" i="7" s="1"/>
  <c r="AN630" i="7" s="1"/>
  <c r="AN631" i="7" s="1"/>
  <c r="AN632" i="7" s="1"/>
  <c r="AN633" i="7" s="1"/>
  <c r="AN634" i="7" s="1"/>
  <c r="AN635" i="7" s="1"/>
  <c r="AN636" i="7" s="1"/>
  <c r="AN637" i="7" s="1"/>
  <c r="AN638" i="7" s="1"/>
  <c r="AN639" i="7" s="1"/>
  <c r="AN640" i="7" s="1"/>
  <c r="AN641" i="7" s="1"/>
  <c r="AN642" i="7" s="1"/>
  <c r="AN643" i="7" s="1"/>
  <c r="AN644" i="7" s="1"/>
  <c r="AN645" i="7" s="1"/>
  <c r="AN646" i="7" s="1"/>
  <c r="AN647" i="7" s="1"/>
  <c r="AN648" i="7" s="1"/>
  <c r="AN649" i="7" s="1"/>
  <c r="AN650" i="7" s="1"/>
  <c r="AN651" i="7" s="1"/>
  <c r="AN652" i="7" s="1"/>
  <c r="AN653" i="7" s="1"/>
  <c r="AN654" i="7" s="1"/>
  <c r="AN655" i="7" s="1"/>
  <c r="AN656" i="7" s="1"/>
  <c r="AN657" i="7" s="1"/>
  <c r="AN658" i="7" s="1"/>
  <c r="AN659" i="7" s="1"/>
  <c r="AN660" i="7" s="1"/>
  <c r="AN661" i="7" s="1"/>
  <c r="AN662" i="7" s="1"/>
  <c r="AN663" i="7" s="1"/>
  <c r="AN664" i="7" s="1"/>
  <c r="AN665" i="7" s="1"/>
  <c r="AN666" i="7" s="1"/>
  <c r="AN667" i="7" s="1"/>
  <c r="AN668" i="7" s="1"/>
  <c r="AN669" i="7" s="1"/>
  <c r="AN670" i="7" s="1"/>
  <c r="AN671" i="7" s="1"/>
  <c r="AN672" i="7" s="1"/>
  <c r="AN673" i="7" s="1"/>
  <c r="AN674" i="7" s="1"/>
  <c r="AN675" i="7" s="1"/>
  <c r="AN676" i="7" s="1"/>
  <c r="AN677" i="7" s="1"/>
  <c r="AN678" i="7" s="1"/>
  <c r="AN679" i="7" s="1"/>
  <c r="AN680" i="7" s="1"/>
  <c r="AN681" i="7" s="1"/>
  <c r="AN682" i="7" s="1"/>
  <c r="AN683" i="7" s="1"/>
  <c r="AN684" i="7" s="1"/>
  <c r="AN685" i="7" s="1"/>
  <c r="AN686" i="7" s="1"/>
  <c r="AN687" i="7" s="1"/>
  <c r="AN688" i="7" s="1"/>
  <c r="AN689" i="7" s="1"/>
  <c r="AN690" i="7" s="1"/>
  <c r="AN691" i="7" s="1"/>
  <c r="AN692" i="7" s="1"/>
  <c r="AN693" i="7" s="1"/>
  <c r="AN694" i="7" s="1"/>
  <c r="AN695" i="7" s="1"/>
  <c r="AN696" i="7" s="1"/>
  <c r="AN697" i="7" s="1"/>
  <c r="AN698" i="7" s="1"/>
  <c r="AN699" i="7" s="1"/>
  <c r="AN700" i="7" s="1"/>
  <c r="AN701" i="7" s="1"/>
  <c r="AN702" i="7" s="1"/>
  <c r="AN703" i="7" s="1"/>
  <c r="AN704" i="7" s="1"/>
  <c r="AN705" i="7" s="1"/>
  <c r="AN706" i="7" s="1"/>
  <c r="AN707" i="7" s="1"/>
  <c r="AN708" i="7" s="1"/>
  <c r="AN709" i="7" s="1"/>
  <c r="AN710" i="7" s="1"/>
  <c r="AN711" i="7" s="1"/>
  <c r="AN712" i="7" s="1"/>
  <c r="AN713" i="7" s="1"/>
  <c r="AN714" i="7" s="1"/>
  <c r="AN715" i="7" s="1"/>
  <c r="AN716" i="7" s="1"/>
  <c r="AN717" i="7" s="1"/>
  <c r="AN718" i="7" s="1"/>
  <c r="AN719" i="7" s="1"/>
  <c r="AN720" i="7" s="1"/>
  <c r="AN721" i="7" s="1"/>
  <c r="AN722" i="7" s="1"/>
  <c r="AN723" i="7" s="1"/>
  <c r="AN724" i="7" s="1"/>
  <c r="AN725" i="7" s="1"/>
  <c r="AN726" i="7" s="1"/>
  <c r="AN727" i="7" s="1"/>
  <c r="AN728" i="7" s="1"/>
  <c r="AN729" i="7" s="1"/>
  <c r="AN730" i="7" s="1"/>
  <c r="AN731" i="7" s="1"/>
  <c r="AN732" i="7" s="1"/>
  <c r="AN733" i="7" s="1"/>
  <c r="AN734" i="7" s="1"/>
  <c r="AN735" i="7" s="1"/>
  <c r="AN736" i="7" s="1"/>
  <c r="AN737" i="7" s="1"/>
  <c r="AN738" i="7" s="1"/>
  <c r="AN739" i="7" s="1"/>
  <c r="AN740" i="7" s="1"/>
  <c r="AN741" i="7" s="1"/>
  <c r="AN742" i="7" s="1"/>
  <c r="AN743" i="7" s="1"/>
  <c r="AN744" i="7" s="1"/>
  <c r="AN745" i="7" s="1"/>
  <c r="AN746" i="7" s="1"/>
  <c r="Q13" i="5"/>
  <c r="CK80" i="7"/>
  <c r="CK88" i="7"/>
  <c r="CK61" i="7"/>
  <c r="CK69" i="7"/>
  <c r="CK77" i="7"/>
  <c r="CK51" i="7"/>
  <c r="CK22" i="7"/>
  <c r="CK30" i="7"/>
  <c r="CK38" i="7"/>
  <c r="CK46" i="7"/>
  <c r="CK67" i="7"/>
  <c r="CK44" i="7"/>
  <c r="CK81" i="7"/>
  <c r="CK89" i="7"/>
  <c r="CK62" i="7"/>
  <c r="CK70" i="7"/>
  <c r="CK78" i="7"/>
  <c r="CK47" i="7"/>
  <c r="CK23" i="7"/>
  <c r="CK31" i="7"/>
  <c r="CK39" i="7"/>
  <c r="CK16" i="7"/>
  <c r="CK86" i="7"/>
  <c r="CK28" i="7"/>
  <c r="CK82" i="7"/>
  <c r="CK55" i="7"/>
  <c r="CK63" i="7"/>
  <c r="CK71" i="7"/>
  <c r="CK79" i="7"/>
  <c r="CK48" i="7"/>
  <c r="CK24" i="7"/>
  <c r="CK32" i="7"/>
  <c r="CK40" i="7"/>
  <c r="CK49" i="7"/>
  <c r="CK83" i="7"/>
  <c r="CK56" i="7"/>
  <c r="CK64" i="7"/>
  <c r="CK72" i="7"/>
  <c r="CK54" i="7"/>
  <c r="CK17" i="7"/>
  <c r="CK25" i="7"/>
  <c r="CK33" i="7"/>
  <c r="CK41" i="7"/>
  <c r="CK84" i="7"/>
  <c r="CK57" i="7"/>
  <c r="CK65" i="7"/>
  <c r="CK73" i="7"/>
  <c r="CK18" i="7"/>
  <c r="CK26" i="7"/>
  <c r="CK34" i="7"/>
  <c r="CK42" i="7"/>
  <c r="CK59" i="7"/>
  <c r="CK85" i="7"/>
  <c r="CK58" i="7"/>
  <c r="CK66" i="7"/>
  <c r="CK74" i="7"/>
  <c r="CK52" i="7"/>
  <c r="CK19" i="7"/>
  <c r="CK27" i="7"/>
  <c r="CK35" i="7"/>
  <c r="CK43" i="7"/>
  <c r="CK20" i="7"/>
  <c r="CK90" i="7"/>
  <c r="CK87" i="7"/>
  <c r="CK60" i="7"/>
  <c r="CK68" i="7"/>
  <c r="CK76" i="7"/>
  <c r="CK50" i="7"/>
  <c r="CK21" i="7"/>
  <c r="CK29" i="7"/>
  <c r="CK37" i="7"/>
  <c r="CK45" i="7"/>
  <c r="CK75" i="7"/>
  <c r="CK36" i="7"/>
  <c r="BS5" i="7"/>
  <c r="BS8" i="7"/>
  <c r="BT8" i="7"/>
  <c r="BT5" i="7"/>
  <c r="BU8" i="7"/>
  <c r="BU5" i="7"/>
  <c r="H44" i="7"/>
  <c r="H8" i="7"/>
  <c r="H48" i="7"/>
  <c r="H6" i="7"/>
  <c r="H47" i="7"/>
  <c r="H5" i="7"/>
  <c r="H9" i="7"/>
  <c r="H45" i="7"/>
  <c r="BT6" i="7"/>
  <c r="BT43" i="7" s="1"/>
  <c r="BT9" i="7"/>
  <c r="BT50" i="7" s="1"/>
  <c r="I6" i="7"/>
  <c r="I43" i="7" s="1"/>
  <c r="I47" i="7"/>
  <c r="I5" i="7"/>
  <c r="I44" i="7"/>
  <c r="I48" i="7"/>
  <c r="I9" i="7"/>
  <c r="I45" i="7"/>
  <c r="I8" i="7"/>
  <c r="BU6" i="7"/>
  <c r="BU43" i="7" s="1"/>
  <c r="BU9" i="7"/>
  <c r="BU50" i="7" s="1"/>
  <c r="G5" i="7"/>
  <c r="G45" i="7"/>
  <c r="G9" i="7"/>
  <c r="G44" i="7"/>
  <c r="G8" i="7"/>
  <c r="G6" i="7"/>
  <c r="G43" i="7" s="1"/>
  <c r="G47" i="7"/>
  <c r="G48" i="7"/>
  <c r="BS6" i="7"/>
  <c r="BS43" i="7" s="1"/>
  <c r="BS9" i="7"/>
  <c r="BS50" i="7" s="1"/>
  <c r="BR13" i="7"/>
  <c r="N13" i="8"/>
  <c r="B13" i="5"/>
  <c r="C13" i="5" s="1"/>
  <c r="I13" i="8"/>
  <c r="J13" i="8"/>
  <c r="M13" i="8"/>
  <c r="AU62" i="8"/>
  <c r="AT62" i="8"/>
  <c r="AS63" i="8"/>
  <c r="AQ62" i="8"/>
  <c r="AP62" i="8"/>
  <c r="AO63" i="8"/>
  <c r="Z71" i="8"/>
  <c r="X72" i="8"/>
  <c r="X48" i="8"/>
  <c r="Z47" i="8"/>
  <c r="U32" i="8"/>
  <c r="X34" i="8"/>
  <c r="Z33" i="8"/>
  <c r="AC26" i="8"/>
  <c r="X56" i="8"/>
  <c r="Z55" i="8"/>
  <c r="P42" i="8"/>
  <c r="U8" i="8"/>
  <c r="AN7" i="8"/>
  <c r="AN12" i="8"/>
  <c r="W7" i="8"/>
  <c r="U4" i="8"/>
  <c r="U11" i="8"/>
  <c r="V7" i="8"/>
  <c r="U9" i="8"/>
  <c r="AN10" i="8"/>
  <c r="U7" i="8"/>
  <c r="U6" i="8"/>
  <c r="Z63" i="8"/>
  <c r="X64" i="8"/>
  <c r="AJ26" i="7"/>
  <c r="AJ27" i="7" s="1"/>
  <c r="S32" i="7"/>
  <c r="U32" i="7" s="1"/>
  <c r="U31" i="7"/>
  <c r="P31" i="7" s="1"/>
  <c r="S38" i="7"/>
  <c r="U37" i="7"/>
  <c r="S54" i="7"/>
  <c r="U53" i="7"/>
  <c r="S70" i="7"/>
  <c r="U69" i="7"/>
  <c r="S46" i="7"/>
  <c r="U45" i="7"/>
  <c r="S62" i="7"/>
  <c r="U61" i="7"/>
  <c r="X33" i="7"/>
  <c r="K4" i="7" s="1"/>
  <c r="X32" i="7"/>
  <c r="BS49" i="7" l="1"/>
  <c r="BS52" i="7" s="1"/>
  <c r="BS55" i="7"/>
  <c r="BU49" i="7"/>
  <c r="BU53" i="7" s="1"/>
  <c r="BS48" i="7"/>
  <c r="BS46" i="7"/>
  <c r="BU46" i="7"/>
  <c r="BT47" i="7"/>
  <c r="BU55" i="7"/>
  <c r="BT44" i="7"/>
  <c r="BT49" i="7"/>
  <c r="BU45" i="7"/>
  <c r="BU48" i="7"/>
  <c r="BT55" i="7"/>
  <c r="BS47" i="7"/>
  <c r="BU47" i="7"/>
  <c r="BT48" i="7"/>
  <c r="BT46" i="7"/>
  <c r="BS44" i="7"/>
  <c r="BS45" i="7"/>
  <c r="BU44" i="7"/>
  <c r="BT45" i="7"/>
  <c r="AO26" i="7"/>
  <c r="AP26" i="7"/>
  <c r="BU11" i="7"/>
  <c r="BT11" i="7"/>
  <c r="C11" i="5"/>
  <c r="BS11" i="7"/>
  <c r="BW5" i="7"/>
  <c r="BW8" i="7"/>
  <c r="BW11" i="7" s="1"/>
  <c r="K8" i="7"/>
  <c r="K45" i="7"/>
  <c r="K44" i="7"/>
  <c r="K6" i="7"/>
  <c r="K5" i="7"/>
  <c r="K9" i="7"/>
  <c r="K48" i="7"/>
  <c r="K47" i="7"/>
  <c r="BW4" i="7"/>
  <c r="BW42" i="7" s="1"/>
  <c r="BW9" i="7"/>
  <c r="BW50" i="7" s="1"/>
  <c r="BW55" i="7" s="1"/>
  <c r="BW6" i="7"/>
  <c r="BW43" i="7" s="1"/>
  <c r="BW48" i="7" s="1"/>
  <c r="BU12" i="7"/>
  <c r="BU10" i="7"/>
  <c r="I10" i="7"/>
  <c r="BS7" i="7"/>
  <c r="BS10" i="7"/>
  <c r="BS12" i="7"/>
  <c r="BT10" i="7"/>
  <c r="BT12" i="7"/>
  <c r="G10" i="7"/>
  <c r="BU7" i="7"/>
  <c r="BT7" i="7"/>
  <c r="I11" i="7"/>
  <c r="P11" i="8"/>
  <c r="P43" i="8"/>
  <c r="P7" i="8"/>
  <c r="X57" i="8"/>
  <c r="Z56" i="8"/>
  <c r="AU63" i="8"/>
  <c r="AT63" i="8"/>
  <c r="AS64" i="8"/>
  <c r="O42" i="8"/>
  <c r="AM7" i="8"/>
  <c r="R5" i="8"/>
  <c r="AM12" i="8"/>
  <c r="AM10" i="8"/>
  <c r="X49" i="8"/>
  <c r="Z48" i="8"/>
  <c r="Z72" i="8"/>
  <c r="X73" i="8"/>
  <c r="U33" i="8"/>
  <c r="Z64" i="8"/>
  <c r="X65" i="8"/>
  <c r="P46" i="8"/>
  <c r="P12" i="8"/>
  <c r="Z34" i="8"/>
  <c r="AQ63" i="8"/>
  <c r="AP63" i="8"/>
  <c r="AO64" i="8"/>
  <c r="I7" i="7"/>
  <c r="AJ24" i="7"/>
  <c r="AK26" i="7"/>
  <c r="AL26" i="7"/>
  <c r="I12" i="7"/>
  <c r="I46" i="7"/>
  <c r="AL27" i="7"/>
  <c r="AK27" i="7"/>
  <c r="AJ28" i="7"/>
  <c r="H10" i="7"/>
  <c r="H46" i="7"/>
  <c r="H12" i="7"/>
  <c r="H7" i="7"/>
  <c r="H43" i="7"/>
  <c r="G12" i="7"/>
  <c r="G46" i="7"/>
  <c r="H11" i="7"/>
  <c r="G11" i="7"/>
  <c r="G7" i="7"/>
  <c r="S33" i="7"/>
  <c r="S34" i="7" s="1"/>
  <c r="P32" i="7"/>
  <c r="S47" i="7"/>
  <c r="U46" i="7"/>
  <c r="S71" i="7"/>
  <c r="U70" i="7"/>
  <c r="S39" i="7"/>
  <c r="U38" i="7"/>
  <c r="X26" i="7"/>
  <c r="J4" i="7"/>
  <c r="S63" i="7"/>
  <c r="U62" i="7"/>
  <c r="S55" i="7"/>
  <c r="U54" i="7"/>
  <c r="AP27" i="7"/>
  <c r="AO27" i="7"/>
  <c r="K42" i="7"/>
  <c r="R7" i="7"/>
  <c r="P4" i="7"/>
  <c r="Q7" i="7"/>
  <c r="P8" i="7"/>
  <c r="AI12" i="7"/>
  <c r="P11" i="7"/>
  <c r="AI10" i="7"/>
  <c r="P9" i="7"/>
  <c r="P7" i="7"/>
  <c r="P6" i="7"/>
  <c r="AI7" i="7"/>
  <c r="BW47" i="7" l="1"/>
  <c r="BW46" i="7"/>
  <c r="BW45" i="7"/>
  <c r="BW44" i="7"/>
  <c r="BW49" i="7"/>
  <c r="BS54" i="7"/>
  <c r="BS53" i="7"/>
  <c r="BS51" i="7"/>
  <c r="BS56" i="7"/>
  <c r="BU56" i="7"/>
  <c r="BU52" i="7"/>
  <c r="BU54" i="7"/>
  <c r="BU51" i="7"/>
  <c r="BT54" i="7"/>
  <c r="BT53" i="7"/>
  <c r="BT56" i="7"/>
  <c r="BT51" i="7"/>
  <c r="BT52" i="7"/>
  <c r="BU13" i="7"/>
  <c r="BT13" i="7"/>
  <c r="I13" i="7"/>
  <c r="K10" i="7"/>
  <c r="BV8" i="7"/>
  <c r="BY8" i="7" s="1"/>
  <c r="BV5" i="7"/>
  <c r="BY5" i="7" s="1"/>
  <c r="BS13" i="7"/>
  <c r="BW7" i="7"/>
  <c r="BW12" i="7"/>
  <c r="BW13" i="7" s="1"/>
  <c r="BW10" i="7"/>
  <c r="J6" i="7"/>
  <c r="J48" i="7"/>
  <c r="J47" i="7"/>
  <c r="J5" i="7"/>
  <c r="J9" i="7"/>
  <c r="J8" i="7"/>
  <c r="M8" i="7" s="1"/>
  <c r="J45" i="7"/>
  <c r="J44" i="7"/>
  <c r="BV6" i="7"/>
  <c r="BV43" i="7" s="1"/>
  <c r="BV48" i="7" s="1"/>
  <c r="BV4" i="7"/>
  <c r="BV42" i="7" s="1"/>
  <c r="BV9" i="7"/>
  <c r="V27" i="8"/>
  <c r="V28" i="8"/>
  <c r="P13" i="8"/>
  <c r="H13" i="7"/>
  <c r="U34" i="8"/>
  <c r="V29" i="8"/>
  <c r="V33" i="8"/>
  <c r="Z27" i="8"/>
  <c r="W27" i="8"/>
  <c r="V31" i="8"/>
  <c r="Z4" i="8"/>
  <c r="W35" i="8"/>
  <c r="V32" i="8"/>
  <c r="V34" i="8"/>
  <c r="O11" i="8"/>
  <c r="R11" i="8" s="1"/>
  <c r="R8" i="8"/>
  <c r="Z73" i="8"/>
  <c r="X74" i="8"/>
  <c r="Z74" i="8" s="1"/>
  <c r="X58" i="8"/>
  <c r="Z58" i="8" s="1"/>
  <c r="Z57" i="8"/>
  <c r="O46" i="8"/>
  <c r="R46" i="8" s="1"/>
  <c r="O12" i="8"/>
  <c r="R9" i="8"/>
  <c r="O43" i="8"/>
  <c r="R43" i="8" s="1"/>
  <c r="O7" i="8"/>
  <c r="R6" i="8"/>
  <c r="R7" i="8" s="1"/>
  <c r="AQ64" i="8"/>
  <c r="AP64" i="8"/>
  <c r="AO65" i="8"/>
  <c r="Z65" i="8"/>
  <c r="X66" i="8"/>
  <c r="Z66" i="8" s="1"/>
  <c r="X50" i="8"/>
  <c r="Z50" i="8" s="1"/>
  <c r="Z49" i="8"/>
  <c r="R45" i="8"/>
  <c r="R47" i="8"/>
  <c r="V30" i="8"/>
  <c r="AU64" i="8"/>
  <c r="AT64" i="8"/>
  <c r="AS65" i="8"/>
  <c r="AK28" i="7"/>
  <c r="AL28" i="7"/>
  <c r="AJ29" i="7"/>
  <c r="U33" i="7"/>
  <c r="U34" i="7"/>
  <c r="F11" i="7" s="1"/>
  <c r="F13" i="7" s="1"/>
  <c r="S56" i="7"/>
  <c r="U55" i="7"/>
  <c r="S72" i="7"/>
  <c r="U71" i="7"/>
  <c r="S40" i="7"/>
  <c r="U39" i="7"/>
  <c r="S64" i="7"/>
  <c r="U63" i="7"/>
  <c r="AH10" i="7"/>
  <c r="AH7" i="7"/>
  <c r="J42" i="7"/>
  <c r="AH12" i="7"/>
  <c r="AP28" i="7"/>
  <c r="AO28" i="7"/>
  <c r="S48" i="7"/>
  <c r="U47" i="7"/>
  <c r="K11" i="7"/>
  <c r="K46" i="7"/>
  <c r="K12" i="7"/>
  <c r="K7" i="7"/>
  <c r="K43" i="7"/>
  <c r="L42" i="7"/>
  <c r="AJ7" i="7"/>
  <c r="AJ12" i="7"/>
  <c r="AJ10" i="7"/>
  <c r="BW56" i="7" l="1"/>
  <c r="BW52" i="7"/>
  <c r="BW53" i="7"/>
  <c r="BW51" i="7"/>
  <c r="BW54" i="7"/>
  <c r="BV47" i="7"/>
  <c r="BY47" i="7" s="1"/>
  <c r="BV44" i="7"/>
  <c r="BY44" i="7" s="1"/>
  <c r="BV49" i="7"/>
  <c r="BV45" i="7"/>
  <c r="BY45" i="7" s="1"/>
  <c r="BV46" i="7"/>
  <c r="BY46" i="7" s="1"/>
  <c r="BV50" i="7"/>
  <c r="BV11" i="7"/>
  <c r="BY11" i="7" s="1"/>
  <c r="BV10" i="7"/>
  <c r="BV12" i="7"/>
  <c r="BY9" i="7"/>
  <c r="BY10" i="7" s="1"/>
  <c r="BV7" i="7"/>
  <c r="BY6" i="7"/>
  <c r="BY7" i="7" s="1"/>
  <c r="R48" i="8"/>
  <c r="R44" i="8"/>
  <c r="R10" i="8"/>
  <c r="AD27" i="8"/>
  <c r="AB27" i="8"/>
  <c r="AC27" i="8"/>
  <c r="AE27" i="8"/>
  <c r="AU65" i="8"/>
  <c r="AT65" i="8"/>
  <c r="AS66" i="8"/>
  <c r="O13" i="8"/>
  <c r="R12" i="8"/>
  <c r="R13" i="8" s="1"/>
  <c r="AQ65" i="8"/>
  <c r="AP65" i="8"/>
  <c r="AO66" i="8"/>
  <c r="J10" i="7"/>
  <c r="AL29" i="7"/>
  <c r="AK29" i="7"/>
  <c r="AJ30" i="7"/>
  <c r="P33" i="7"/>
  <c r="Q28" i="7"/>
  <c r="R27" i="7"/>
  <c r="R35" i="7"/>
  <c r="Q27" i="7"/>
  <c r="Q30" i="7"/>
  <c r="Q32" i="7"/>
  <c r="U4" i="7"/>
  <c r="Q31" i="7"/>
  <c r="U27" i="7"/>
  <c r="Q34" i="7"/>
  <c r="P34" i="7"/>
  <c r="Q29" i="7"/>
  <c r="Q33" i="7"/>
  <c r="J43" i="7"/>
  <c r="M43" i="7" s="1"/>
  <c r="J7" i="7"/>
  <c r="S49" i="7"/>
  <c r="U48" i="7"/>
  <c r="J12" i="7"/>
  <c r="J46" i="7"/>
  <c r="M46" i="7" s="1"/>
  <c r="S41" i="7"/>
  <c r="U40" i="7"/>
  <c r="AO29" i="7"/>
  <c r="AP29" i="7"/>
  <c r="S73" i="7"/>
  <c r="U72" i="7"/>
  <c r="S65" i="7"/>
  <c r="U64" i="7"/>
  <c r="J11" i="7"/>
  <c r="S57" i="7"/>
  <c r="U56" i="7"/>
  <c r="M9" i="7"/>
  <c r="M10" i="7" s="1"/>
  <c r="M6" i="7"/>
  <c r="K13" i="7"/>
  <c r="BV53" i="7" l="1"/>
  <c r="BY53" i="7" s="1"/>
  <c r="BV52" i="7"/>
  <c r="BY52" i="7" s="1"/>
  <c r="BV51" i="7"/>
  <c r="BY51" i="7" s="1"/>
  <c r="BV54" i="7"/>
  <c r="BY54" i="7" s="1"/>
  <c r="BV56" i="7"/>
  <c r="BY56" i="7" s="1"/>
  <c r="BV55" i="7"/>
  <c r="BY55" i="7" s="1"/>
  <c r="BY50" i="7"/>
  <c r="BY49" i="7"/>
  <c r="BY48" i="7"/>
  <c r="BY43" i="7"/>
  <c r="BV13" i="7"/>
  <c r="BY12" i="7"/>
  <c r="BY13" i="7" s="1"/>
  <c r="CI50" i="8"/>
  <c r="CI46" i="8"/>
  <c r="CD11" i="8"/>
  <c r="CI47" i="8"/>
  <c r="CI45" i="8"/>
  <c r="AQ66" i="8"/>
  <c r="AP66" i="8"/>
  <c r="AO67" i="8"/>
  <c r="AU66" i="8"/>
  <c r="AT66" i="8"/>
  <c r="AS67" i="8"/>
  <c r="AL30" i="7"/>
  <c r="AK30" i="7"/>
  <c r="AJ31" i="7"/>
  <c r="J13" i="7"/>
  <c r="M48" i="7"/>
  <c r="M45" i="7"/>
  <c r="M47" i="7"/>
  <c r="M12" i="7"/>
  <c r="M44" i="7"/>
  <c r="S50" i="7"/>
  <c r="U50" i="7" s="1"/>
  <c r="U49" i="7"/>
  <c r="AP30" i="7"/>
  <c r="AO30" i="7"/>
  <c r="S66" i="7"/>
  <c r="U66" i="7" s="1"/>
  <c r="U65" i="7"/>
  <c r="S42" i="7"/>
  <c r="U42" i="7" s="1"/>
  <c r="U41" i="7"/>
  <c r="S58" i="7"/>
  <c r="U58" i="7" s="1"/>
  <c r="U57" i="7"/>
  <c r="S74" i="7"/>
  <c r="U74" i="7" s="1"/>
  <c r="U73" i="7"/>
  <c r="CD12" i="8" l="1"/>
  <c r="CD13" i="8" s="1"/>
  <c r="CD10" i="8"/>
  <c r="BY11" i="8"/>
  <c r="CI11" i="8" s="1"/>
  <c r="CI8" i="8"/>
  <c r="CI48" i="8"/>
  <c r="BY12" i="8"/>
  <c r="BY10" i="8"/>
  <c r="CI9" i="8"/>
  <c r="CI49" i="8"/>
  <c r="CI5" i="8"/>
  <c r="CI44" i="8"/>
  <c r="CD7" i="8"/>
  <c r="CI43" i="8"/>
  <c r="BY7" i="8"/>
  <c r="AT67" i="8"/>
  <c r="AU67" i="8"/>
  <c r="AS68" i="8"/>
  <c r="AQ67" i="8"/>
  <c r="AP67" i="8"/>
  <c r="AO68" i="8"/>
  <c r="AK31" i="7"/>
  <c r="AL31" i="7"/>
  <c r="AJ32" i="7"/>
  <c r="V4" i="7"/>
  <c r="V5" i="7"/>
  <c r="V27" i="7"/>
  <c r="V22" i="7" s="1"/>
  <c r="V2" i="7"/>
  <c r="V3" i="7"/>
  <c r="W27" i="7"/>
  <c r="X27" i="7"/>
  <c r="Z27" i="7"/>
  <c r="Y27" i="7"/>
  <c r="S23" i="7"/>
  <c r="AP31" i="7"/>
  <c r="AO31" i="7"/>
  <c r="CI7" i="8" l="1"/>
  <c r="BY13" i="8"/>
  <c r="CI12" i="8"/>
  <c r="CI13" i="8" s="1"/>
  <c r="CI10" i="8"/>
  <c r="AQ68" i="8"/>
  <c r="AP68" i="8"/>
  <c r="AO69" i="8"/>
  <c r="AU68" i="8"/>
  <c r="AT68" i="8"/>
  <c r="AS69" i="8"/>
  <c r="AK32" i="7"/>
  <c r="AL32" i="7"/>
  <c r="AJ33" i="7"/>
  <c r="M5" i="7"/>
  <c r="M7" i="7" s="1"/>
  <c r="AP32" i="7"/>
  <c r="AO32" i="7"/>
  <c r="AU69" i="8" l="1"/>
  <c r="AT69" i="8"/>
  <c r="AS70" i="8"/>
  <c r="AQ69" i="8"/>
  <c r="AP69" i="8"/>
  <c r="AO70" i="8"/>
  <c r="AK33" i="7"/>
  <c r="AL33" i="7"/>
  <c r="AJ34" i="7"/>
  <c r="G13" i="7"/>
  <c r="M11" i="7"/>
  <c r="M13" i="7" s="1"/>
  <c r="AP33" i="7"/>
  <c r="AO33" i="7"/>
  <c r="AQ70" i="8" l="1"/>
  <c r="AP70" i="8"/>
  <c r="AO71" i="8"/>
  <c r="AU70" i="8"/>
  <c r="AT70" i="8"/>
  <c r="AS71" i="8"/>
  <c r="AJ35" i="7"/>
  <c r="AK34" i="7"/>
  <c r="AL34" i="7"/>
  <c r="AP34" i="7"/>
  <c r="AO34" i="7"/>
  <c r="AU71" i="8" l="1"/>
  <c r="AT71" i="8"/>
  <c r="AS72" i="8"/>
  <c r="AQ71" i="8"/>
  <c r="AP71" i="8"/>
  <c r="AO72" i="8"/>
  <c r="AJ36" i="7"/>
  <c r="AK35" i="7"/>
  <c r="AL35" i="7"/>
  <c r="AO35" i="7"/>
  <c r="AP35" i="7"/>
  <c r="AQ72" i="8" l="1"/>
  <c r="AP72" i="8"/>
  <c r="AO73" i="8"/>
  <c r="AU72" i="8"/>
  <c r="AT72" i="8"/>
  <c r="AS73" i="8"/>
  <c r="AJ37" i="7"/>
  <c r="AK36" i="7"/>
  <c r="AL36" i="7"/>
  <c r="AO36" i="7"/>
  <c r="AP36" i="7"/>
  <c r="AU73" i="8" l="1"/>
  <c r="AT73" i="8"/>
  <c r="AS74" i="8"/>
  <c r="AQ73" i="8"/>
  <c r="AP73" i="8"/>
  <c r="AO74" i="8"/>
  <c r="AJ38" i="7"/>
  <c r="AK37" i="7"/>
  <c r="AL37" i="7"/>
  <c r="AP37" i="7"/>
  <c r="AO37" i="7"/>
  <c r="AQ74" i="8" l="1"/>
  <c r="AP74" i="8"/>
  <c r="AO75" i="8"/>
  <c r="AU74" i="8"/>
  <c r="AT74" i="8"/>
  <c r="AS75" i="8"/>
  <c r="AJ39" i="7"/>
  <c r="AL38" i="7"/>
  <c r="AK38" i="7"/>
  <c r="AO38" i="7"/>
  <c r="AP38" i="7"/>
  <c r="AT75" i="8" l="1"/>
  <c r="AU75" i="8"/>
  <c r="AS76" i="8"/>
  <c r="AQ75" i="8"/>
  <c r="AP75" i="8"/>
  <c r="AO76" i="8"/>
  <c r="AJ40" i="7"/>
  <c r="AL39" i="7"/>
  <c r="AK39" i="7"/>
  <c r="AP39" i="7"/>
  <c r="AO39" i="7"/>
  <c r="AQ76" i="8" l="1"/>
  <c r="AP76" i="8"/>
  <c r="AO77" i="8"/>
  <c r="AU76" i="8"/>
  <c r="AT76" i="8"/>
  <c r="AS77" i="8"/>
  <c r="AJ41" i="7"/>
  <c r="AK40" i="7"/>
  <c r="AL40" i="7"/>
  <c r="AP40" i="7"/>
  <c r="AO40" i="7"/>
  <c r="AU77" i="8" l="1"/>
  <c r="AT77" i="8"/>
  <c r="AS78" i="8"/>
  <c r="AQ77" i="8"/>
  <c r="AP77" i="8"/>
  <c r="AO78" i="8"/>
  <c r="AJ42" i="7"/>
  <c r="AK41" i="7"/>
  <c r="AL41" i="7"/>
  <c r="AO41" i="7"/>
  <c r="AP41" i="7"/>
  <c r="AQ78" i="8" l="1"/>
  <c r="AP78" i="8"/>
  <c r="AO79" i="8"/>
  <c r="AU78" i="8"/>
  <c r="AT78" i="8"/>
  <c r="AS79" i="8"/>
  <c r="AJ43" i="7"/>
  <c r="AL42" i="7"/>
  <c r="AK42" i="7"/>
  <c r="AO42" i="7"/>
  <c r="AP42" i="7"/>
  <c r="AT79" i="8" l="1"/>
  <c r="AU79" i="8"/>
  <c r="AS80" i="8"/>
  <c r="AQ79" i="8"/>
  <c r="AP79" i="8"/>
  <c r="AO80" i="8"/>
  <c r="AJ44" i="7"/>
  <c r="AL43" i="7"/>
  <c r="AK43" i="7"/>
  <c r="AP43" i="7"/>
  <c r="AO43" i="7"/>
  <c r="AQ80" i="8" l="1"/>
  <c r="AP80" i="8"/>
  <c r="AO81" i="8"/>
  <c r="AU80" i="8"/>
  <c r="AT80" i="8"/>
  <c r="AS81" i="8"/>
  <c r="AJ45" i="7"/>
  <c r="AL44" i="7"/>
  <c r="AK44" i="7"/>
  <c r="AO44" i="7"/>
  <c r="AP44" i="7"/>
  <c r="AU81" i="8" l="1"/>
  <c r="AT81" i="8"/>
  <c r="AS82" i="8"/>
  <c r="AQ81" i="8"/>
  <c r="AP81" i="8"/>
  <c r="AO82" i="8"/>
  <c r="AJ46" i="7"/>
  <c r="AL45" i="7"/>
  <c r="AK45" i="7"/>
  <c r="AP45" i="7"/>
  <c r="AO45" i="7"/>
  <c r="AQ82" i="8" l="1"/>
  <c r="AP82" i="8"/>
  <c r="AO83" i="8"/>
  <c r="AU82" i="8"/>
  <c r="AT82" i="8"/>
  <c r="AS83" i="8"/>
  <c r="AJ47" i="7"/>
  <c r="AL46" i="7"/>
  <c r="AK46" i="7"/>
  <c r="AO46" i="7"/>
  <c r="AP46" i="7"/>
  <c r="AT83" i="8" l="1"/>
  <c r="AU83" i="8"/>
  <c r="AS84" i="8"/>
  <c r="AQ83" i="8"/>
  <c r="AP83" i="8"/>
  <c r="AO84" i="8"/>
  <c r="AJ48" i="7"/>
  <c r="AK47" i="7"/>
  <c r="AL47" i="7"/>
  <c r="AO47" i="7"/>
  <c r="AP47" i="7"/>
  <c r="AQ84" i="8" l="1"/>
  <c r="AP84" i="8"/>
  <c r="AO85" i="8"/>
  <c r="AU84" i="8"/>
  <c r="AT84" i="8"/>
  <c r="AS85" i="8"/>
  <c r="AJ49" i="7"/>
  <c r="AK48" i="7"/>
  <c r="AL48" i="7"/>
  <c r="AO48" i="7"/>
  <c r="AP48" i="7"/>
  <c r="AU85" i="8" l="1"/>
  <c r="AT85" i="8"/>
  <c r="AS86" i="8"/>
  <c r="AQ85" i="8"/>
  <c r="AP85" i="8"/>
  <c r="AO86" i="8"/>
  <c r="AJ50" i="7"/>
  <c r="AL49" i="7"/>
  <c r="AK49" i="7"/>
  <c r="AO49" i="7"/>
  <c r="AP49" i="7"/>
  <c r="AQ86" i="8" l="1"/>
  <c r="AP86" i="8"/>
  <c r="AO87" i="8"/>
  <c r="AU86" i="8"/>
  <c r="AT86" i="8"/>
  <c r="AS87" i="8"/>
  <c r="AJ51" i="7"/>
  <c r="AL50" i="7"/>
  <c r="AK50" i="7"/>
  <c r="AO50" i="7"/>
  <c r="AP50" i="7"/>
  <c r="AT87" i="8" l="1"/>
  <c r="AU87" i="8"/>
  <c r="AS88" i="8"/>
  <c r="AQ87" i="8"/>
  <c r="AP87" i="8"/>
  <c r="AO88" i="8"/>
  <c r="AJ52" i="7"/>
  <c r="AK51" i="7"/>
  <c r="AL51" i="7"/>
  <c r="AO51" i="7"/>
  <c r="AP51" i="7"/>
  <c r="AQ88" i="8" l="1"/>
  <c r="AP88" i="8"/>
  <c r="AO89" i="8"/>
  <c r="AU88" i="8"/>
  <c r="AT88" i="8"/>
  <c r="AS89" i="8"/>
  <c r="AJ53" i="7"/>
  <c r="AL52" i="7"/>
  <c r="AK52" i="7"/>
  <c r="AP52" i="7"/>
  <c r="AO52" i="7"/>
  <c r="AU89" i="8" l="1"/>
  <c r="AT89" i="8"/>
  <c r="AS90" i="8"/>
  <c r="AQ89" i="8"/>
  <c r="AP89" i="8"/>
  <c r="AO90" i="8"/>
  <c r="AJ54" i="7"/>
  <c r="AK53" i="7"/>
  <c r="AL53" i="7"/>
  <c r="AP53" i="7"/>
  <c r="AO53" i="7"/>
  <c r="AQ90" i="8" l="1"/>
  <c r="AP90" i="8"/>
  <c r="AO91" i="8"/>
  <c r="AU90" i="8"/>
  <c r="AT90" i="8"/>
  <c r="AS91" i="8"/>
  <c r="AJ55" i="7"/>
  <c r="AK54" i="7"/>
  <c r="AL54" i="7"/>
  <c r="AP54" i="7"/>
  <c r="AO54" i="7"/>
  <c r="AT91" i="8" l="1"/>
  <c r="AU91" i="8"/>
  <c r="AS92" i="8"/>
  <c r="AQ91" i="8"/>
  <c r="AP91" i="8"/>
  <c r="AO92" i="8"/>
  <c r="AJ56" i="7"/>
  <c r="AK55" i="7"/>
  <c r="AL55" i="7"/>
  <c r="AP55" i="7"/>
  <c r="AO55" i="7"/>
  <c r="AQ92" i="8" l="1"/>
  <c r="AP92" i="8"/>
  <c r="AO93" i="8"/>
  <c r="AU92" i="8"/>
  <c r="AT92" i="8"/>
  <c r="AS93" i="8"/>
  <c r="AJ57" i="7"/>
  <c r="AL56" i="7"/>
  <c r="AK56" i="7"/>
  <c r="AP56" i="7"/>
  <c r="AO56" i="7"/>
  <c r="AU93" i="8" l="1"/>
  <c r="AT93" i="8"/>
  <c r="AS94" i="8"/>
  <c r="AQ93" i="8"/>
  <c r="AP93" i="8"/>
  <c r="AO94" i="8"/>
  <c r="AJ58" i="7"/>
  <c r="AK57" i="7"/>
  <c r="AL57" i="7"/>
  <c r="AP57" i="7"/>
  <c r="AO57" i="7"/>
  <c r="AQ94" i="8" l="1"/>
  <c r="AP94" i="8"/>
  <c r="AO95" i="8"/>
  <c r="AU94" i="8"/>
  <c r="AT94" i="8"/>
  <c r="AS95" i="8"/>
  <c r="AJ59" i="7"/>
  <c r="AL58" i="7"/>
  <c r="AK58" i="7"/>
  <c r="AP58" i="7"/>
  <c r="AO58" i="7"/>
  <c r="AT95" i="8" l="1"/>
  <c r="AU95" i="8"/>
  <c r="AS96" i="8"/>
  <c r="AQ95" i="8"/>
  <c r="AP95" i="8"/>
  <c r="AO96" i="8"/>
  <c r="AJ60" i="7"/>
  <c r="AL59" i="7"/>
  <c r="AK59" i="7"/>
  <c r="AO59" i="7"/>
  <c r="AP59" i="7"/>
  <c r="AQ96" i="8" l="1"/>
  <c r="AP96" i="8"/>
  <c r="AO97" i="8"/>
  <c r="AU96" i="8"/>
  <c r="AT96" i="8"/>
  <c r="AS97" i="8"/>
  <c r="AJ61" i="7"/>
  <c r="AL60" i="7"/>
  <c r="AK60" i="7"/>
  <c r="AO60" i="7"/>
  <c r="AP60" i="7"/>
  <c r="AU97" i="8" l="1"/>
  <c r="AT97" i="8"/>
  <c r="AS98" i="8"/>
  <c r="AQ97" i="8"/>
  <c r="AP97" i="8"/>
  <c r="AO98" i="8"/>
  <c r="AJ62" i="7"/>
  <c r="AK61" i="7"/>
  <c r="AL61" i="7"/>
  <c r="AP61" i="7"/>
  <c r="AO61" i="7"/>
  <c r="BI5" i="1"/>
  <c r="AQ98" i="8" l="1"/>
  <c r="AP98" i="8"/>
  <c r="AO99" i="8"/>
  <c r="AU98" i="8"/>
  <c r="AT98" i="8"/>
  <c r="AS99" i="8"/>
  <c r="AJ63" i="7"/>
  <c r="AK62" i="7"/>
  <c r="AL62" i="7"/>
  <c r="AO62" i="7"/>
  <c r="AP62" i="7"/>
  <c r="AT99" i="8" l="1"/>
  <c r="AU99" i="8"/>
  <c r="AS100" i="8"/>
  <c r="AQ99" i="8"/>
  <c r="AP99" i="8"/>
  <c r="AO100" i="8"/>
  <c r="AJ64" i="7"/>
  <c r="AL63" i="7"/>
  <c r="AK63" i="7"/>
  <c r="AO63" i="7"/>
  <c r="AP63" i="7"/>
  <c r="P12" i="1"/>
  <c r="BF5" i="1"/>
  <c r="BH4" i="1" s="1"/>
  <c r="G14" i="1"/>
  <c r="H14" i="1" s="1"/>
  <c r="I14" i="1" s="1"/>
  <c r="J14" i="1" s="1"/>
  <c r="K14" i="1" s="1"/>
  <c r="L14" i="1" s="1"/>
  <c r="M14" i="1" s="1"/>
  <c r="AQ100" i="8" l="1"/>
  <c r="AP100" i="8"/>
  <c r="AO101" i="8"/>
  <c r="AU100" i="8"/>
  <c r="AT100" i="8"/>
  <c r="AS101" i="8"/>
  <c r="AJ65" i="7"/>
  <c r="AL64" i="7"/>
  <c r="AK64" i="7"/>
  <c r="AO64" i="7"/>
  <c r="AP64" i="7"/>
  <c r="BH5" i="1"/>
  <c r="U18" i="1"/>
  <c r="U7" i="1"/>
  <c r="U8" i="1"/>
  <c r="U9" i="1"/>
  <c r="U10" i="1"/>
  <c r="U11" i="1"/>
  <c r="U12" i="1"/>
  <c r="U13" i="1"/>
  <c r="U14" i="1"/>
  <c r="U15" i="1"/>
  <c r="U16" i="1"/>
  <c r="U17" i="1"/>
  <c r="X7" i="1"/>
  <c r="AU101" i="8" l="1"/>
  <c r="AT101" i="8"/>
  <c r="AS102" i="8"/>
  <c r="AQ101" i="8"/>
  <c r="AP101" i="8"/>
  <c r="AO102" i="8"/>
  <c r="AJ66" i="7"/>
  <c r="AL65" i="7"/>
  <c r="AK65" i="7"/>
  <c r="AO65" i="7"/>
  <c r="AP65" i="7"/>
  <c r="Z7" i="1"/>
  <c r="AG28" i="1" s="1"/>
  <c r="AQ102" i="8" l="1"/>
  <c r="AP102" i="8"/>
  <c r="AO103" i="8"/>
  <c r="AU102" i="8"/>
  <c r="AT102" i="8"/>
  <c r="AS103" i="8"/>
  <c r="AJ67" i="7"/>
  <c r="AK66" i="7"/>
  <c r="AL66" i="7"/>
  <c r="AO66" i="7"/>
  <c r="AP66" i="7"/>
  <c r="AF28" i="1"/>
  <c r="AC28" i="1" s="1"/>
  <c r="Y28" i="1"/>
  <c r="AB7" i="1"/>
  <c r="AG29" i="1" s="1"/>
  <c r="Z22" i="1"/>
  <c r="Z21" i="1" s="1"/>
  <c r="Z18" i="1" s="1"/>
  <c r="AT103" i="8" l="1"/>
  <c r="AU103" i="8"/>
  <c r="AS104" i="8"/>
  <c r="AQ103" i="8"/>
  <c r="AP103" i="8"/>
  <c r="AO104" i="8"/>
  <c r="AJ68" i="7"/>
  <c r="AL67" i="7"/>
  <c r="AK67" i="7"/>
  <c r="AP67" i="7"/>
  <c r="AO67" i="7"/>
  <c r="Y29" i="1"/>
  <c r="AF29" i="1"/>
  <c r="AE29" i="1" s="1"/>
  <c r="AB28" i="1"/>
  <c r="AH28" i="1"/>
  <c r="AG30" i="1"/>
  <c r="Z17" i="1"/>
  <c r="AA22" i="1"/>
  <c r="AQ104" i="8" l="1"/>
  <c r="AP104" i="8"/>
  <c r="AO105" i="8"/>
  <c r="AT104" i="8"/>
  <c r="AU104" i="8"/>
  <c r="AS105" i="8"/>
  <c r="AJ69" i="7"/>
  <c r="AK68" i="7"/>
  <c r="AL68" i="7"/>
  <c r="AO68" i="7"/>
  <c r="AP68" i="7"/>
  <c r="Y30" i="1"/>
  <c r="AF30" i="1"/>
  <c r="AE30" i="1" s="1"/>
  <c r="AC30" i="1" s="1"/>
  <c r="Z28" i="1"/>
  <c r="AA28" i="1"/>
  <c r="AC29" i="1"/>
  <c r="AG31" i="1"/>
  <c r="AB22" i="1"/>
  <c r="AA21" i="1"/>
  <c r="AU105" i="8" l="1"/>
  <c r="AT105" i="8"/>
  <c r="AS106" i="8"/>
  <c r="AP105" i="8"/>
  <c r="AQ105" i="8"/>
  <c r="AO106" i="8"/>
  <c r="AJ70" i="7"/>
  <c r="AK69" i="7"/>
  <c r="AL69" i="7"/>
  <c r="AO69" i="7"/>
  <c r="AP69" i="7"/>
  <c r="Y31" i="1"/>
  <c r="AF31" i="1"/>
  <c r="AE31" i="1" s="1"/>
  <c r="AB29" i="1"/>
  <c r="Z29" i="1" s="1"/>
  <c r="AH29" i="1"/>
  <c r="AB30" i="1"/>
  <c r="AH30" i="1"/>
  <c r="AG32" i="1"/>
  <c r="AA20" i="1"/>
  <c r="AA18" i="1" s="1"/>
  <c r="AC22" i="1"/>
  <c r="AB21" i="1"/>
  <c r="AQ106" i="8" l="1"/>
  <c r="AP106" i="8"/>
  <c r="AO107" i="8"/>
  <c r="AT106" i="8"/>
  <c r="AU106" i="8"/>
  <c r="AS107" i="8"/>
  <c r="AJ71" i="7"/>
  <c r="AL70" i="7"/>
  <c r="AK70" i="7"/>
  <c r="AP70" i="7"/>
  <c r="AO70" i="7"/>
  <c r="Y32" i="1"/>
  <c r="AF32" i="1"/>
  <c r="AE32" i="1" s="1"/>
  <c r="AC32" i="1" s="1"/>
  <c r="AH32" i="1" s="1"/>
  <c r="Z30" i="1"/>
  <c r="AA30" i="1"/>
  <c r="AA29" i="1"/>
  <c r="AC31" i="1"/>
  <c r="AG33" i="1"/>
  <c r="BE18" i="1"/>
  <c r="AA17" i="1"/>
  <c r="AB20" i="1"/>
  <c r="AB18" i="1" s="1"/>
  <c r="AD22" i="1"/>
  <c r="AC21" i="1"/>
  <c r="AU107" i="8" l="1"/>
  <c r="AT107" i="8"/>
  <c r="AS108" i="8"/>
  <c r="AQ107" i="8"/>
  <c r="AP107" i="8"/>
  <c r="AO108" i="8"/>
  <c r="AJ72" i="7"/>
  <c r="AK71" i="7"/>
  <c r="AL71" i="7"/>
  <c r="AP71" i="7"/>
  <c r="AO71" i="7"/>
  <c r="Y33" i="1"/>
  <c r="AF33" i="1"/>
  <c r="AE33" i="1" s="1"/>
  <c r="AB31" i="1"/>
  <c r="AH31" i="1"/>
  <c r="AB32" i="1"/>
  <c r="AG34" i="1"/>
  <c r="AB17" i="1"/>
  <c r="AC20" i="1"/>
  <c r="AC18" i="1" s="1"/>
  <c r="AE22" i="1"/>
  <c r="AD21" i="1"/>
  <c r="AP108" i="8" l="1"/>
  <c r="AQ108" i="8"/>
  <c r="AO109" i="8"/>
  <c r="AT108" i="8"/>
  <c r="AU108" i="8"/>
  <c r="AS109" i="8"/>
  <c r="AJ73" i="7"/>
  <c r="AK72" i="7"/>
  <c r="AL72" i="7"/>
  <c r="AO72" i="7"/>
  <c r="AP72" i="7"/>
  <c r="Y34" i="1"/>
  <c r="AF34" i="1"/>
  <c r="Z32" i="1"/>
  <c r="AA32" i="1"/>
  <c r="Z31" i="1"/>
  <c r="AA31" i="1"/>
  <c r="AC33" i="1"/>
  <c r="AG35" i="1"/>
  <c r="AC17" i="1"/>
  <c r="AD20" i="1"/>
  <c r="AD18" i="1" s="1"/>
  <c r="AD17" i="1" s="1"/>
  <c r="AF22" i="1"/>
  <c r="AE21" i="1"/>
  <c r="AT109" i="8" l="1"/>
  <c r="AU109" i="8"/>
  <c r="AS110" i="8"/>
  <c r="AQ109" i="8"/>
  <c r="AP109" i="8"/>
  <c r="AO110" i="8"/>
  <c r="AJ74" i="7"/>
  <c r="AK73" i="7"/>
  <c r="AL73" i="7"/>
  <c r="AO73" i="7"/>
  <c r="AP73" i="7"/>
  <c r="Y35" i="1"/>
  <c r="AF35" i="1"/>
  <c r="AB33" i="1"/>
  <c r="AH33" i="1"/>
  <c r="AE34" i="1"/>
  <c r="AC34" i="1" s="1"/>
  <c r="AG36" i="1"/>
  <c r="AE20" i="1"/>
  <c r="AE18" i="1" s="1"/>
  <c r="AE17" i="1" s="1"/>
  <c r="AG22" i="1"/>
  <c r="AF21" i="1"/>
  <c r="AQ110" i="8" l="1"/>
  <c r="AP110" i="8"/>
  <c r="AO111" i="8"/>
  <c r="AU110" i="8"/>
  <c r="AT110" i="8"/>
  <c r="AS111" i="8"/>
  <c r="AJ75" i="7"/>
  <c r="AK74" i="7"/>
  <c r="AL74" i="7"/>
  <c r="AO74" i="7"/>
  <c r="AP74" i="7"/>
  <c r="Y36" i="1"/>
  <c r="AF36" i="1"/>
  <c r="Z33" i="1"/>
  <c r="AA33" i="1"/>
  <c r="AB34" i="1"/>
  <c r="AH34" i="1"/>
  <c r="AE35" i="1"/>
  <c r="AC35" i="1" s="1"/>
  <c r="AG37" i="1"/>
  <c r="AF20" i="1"/>
  <c r="AF18" i="1" s="1"/>
  <c r="AF17" i="1" s="1"/>
  <c r="AH22" i="1"/>
  <c r="AG21" i="1"/>
  <c r="AU111" i="8" l="1"/>
  <c r="AT111" i="8"/>
  <c r="AS112" i="8"/>
  <c r="AQ111" i="8"/>
  <c r="AP111" i="8"/>
  <c r="AO112" i="8"/>
  <c r="AJ76" i="7"/>
  <c r="AL75" i="7"/>
  <c r="AK75" i="7"/>
  <c r="AP75" i="7"/>
  <c r="AO75" i="7"/>
  <c r="Y37" i="1"/>
  <c r="AF37" i="1"/>
  <c r="Z34" i="1"/>
  <c r="AA34" i="1"/>
  <c r="AB35" i="1"/>
  <c r="AH35" i="1"/>
  <c r="AE36" i="1"/>
  <c r="AC36" i="1" s="1"/>
  <c r="AG38" i="1"/>
  <c r="AG20" i="1"/>
  <c r="AI22" i="1"/>
  <c r="AH21" i="1"/>
  <c r="AQ112" i="8" l="1"/>
  <c r="AP112" i="8"/>
  <c r="AO113" i="8"/>
  <c r="AT112" i="8"/>
  <c r="AU112" i="8"/>
  <c r="AS113" i="8"/>
  <c r="AJ77" i="7"/>
  <c r="AK76" i="7"/>
  <c r="AL76" i="7"/>
  <c r="AO76" i="7"/>
  <c r="AP76" i="7"/>
  <c r="Y38" i="1"/>
  <c r="AF38" i="1"/>
  <c r="Z35" i="1"/>
  <c r="AA35" i="1"/>
  <c r="AB36" i="1"/>
  <c r="AH36" i="1"/>
  <c r="AG39" i="1"/>
  <c r="AE37" i="1"/>
  <c r="AC37" i="1" s="1"/>
  <c r="AH20" i="1"/>
  <c r="AG18" i="1"/>
  <c r="AG17" i="1" s="1"/>
  <c r="AJ22" i="1"/>
  <c r="AI21" i="1"/>
  <c r="AU113" i="8" l="1"/>
  <c r="AT113" i="8"/>
  <c r="AS114" i="8"/>
  <c r="AP113" i="8"/>
  <c r="AQ113" i="8"/>
  <c r="AO114" i="8"/>
  <c r="AJ78" i="7"/>
  <c r="AK77" i="7"/>
  <c r="AL77" i="7"/>
  <c r="AO77" i="7"/>
  <c r="AP77" i="7"/>
  <c r="Y39" i="1"/>
  <c r="AF39" i="1"/>
  <c r="Z36" i="1"/>
  <c r="AA36" i="1"/>
  <c r="AB37" i="1"/>
  <c r="AH37" i="1"/>
  <c r="AG40" i="1"/>
  <c r="AE38" i="1"/>
  <c r="AC38" i="1" s="1"/>
  <c r="AI20" i="1"/>
  <c r="AI18" i="1" s="1"/>
  <c r="AH18" i="1"/>
  <c r="AH17" i="1" s="1"/>
  <c r="AK22" i="1"/>
  <c r="AJ21" i="1"/>
  <c r="AP114" i="8" l="1"/>
  <c r="AQ114" i="8"/>
  <c r="AO115" i="8"/>
  <c r="AU114" i="8"/>
  <c r="AT114" i="8"/>
  <c r="AS115" i="8"/>
  <c r="AJ79" i="7"/>
  <c r="AL78" i="7"/>
  <c r="AK78" i="7"/>
  <c r="AP78" i="7"/>
  <c r="AO78" i="7"/>
  <c r="Y40" i="1"/>
  <c r="AF40" i="1"/>
  <c r="Z37" i="1"/>
  <c r="AA37" i="1"/>
  <c r="AB38" i="1"/>
  <c r="AH38" i="1"/>
  <c r="AE39" i="1"/>
  <c r="AC39" i="1" s="1"/>
  <c r="AG41" i="1"/>
  <c r="AI17" i="1"/>
  <c r="AJ20" i="1"/>
  <c r="AL22" i="1"/>
  <c r="AK21" i="1"/>
  <c r="AU115" i="8" l="1"/>
  <c r="AT115" i="8"/>
  <c r="AS116" i="8"/>
  <c r="AQ115" i="8"/>
  <c r="AP115" i="8"/>
  <c r="AO116" i="8"/>
  <c r="AJ80" i="7"/>
  <c r="AL79" i="7"/>
  <c r="AK79" i="7"/>
  <c r="AP79" i="7"/>
  <c r="AO79" i="7"/>
  <c r="AE40" i="1"/>
  <c r="AC40" i="1" s="1"/>
  <c r="AB40" i="1" s="1"/>
  <c r="Y41" i="1"/>
  <c r="AF41" i="1"/>
  <c r="Z38" i="1"/>
  <c r="AA38" i="1"/>
  <c r="AB39" i="1"/>
  <c r="AH39" i="1"/>
  <c r="AG42" i="1"/>
  <c r="AK20" i="1"/>
  <c r="AJ18" i="1"/>
  <c r="AJ17" i="1" s="1"/>
  <c r="AM22" i="1"/>
  <c r="AL21" i="1"/>
  <c r="AE41" i="1" l="1"/>
  <c r="AC41" i="1" s="1"/>
  <c r="AH41" i="1" s="1"/>
  <c r="AP116" i="8"/>
  <c r="AQ116" i="8"/>
  <c r="AO117" i="8"/>
  <c r="AT116" i="8"/>
  <c r="AU116" i="8"/>
  <c r="AS117" i="8"/>
  <c r="AJ81" i="7"/>
  <c r="AL80" i="7"/>
  <c r="AK80" i="7"/>
  <c r="AO80" i="7"/>
  <c r="AP80" i="7"/>
  <c r="AH40" i="1"/>
  <c r="Y42" i="1"/>
  <c r="AF42" i="1"/>
  <c r="Z40" i="1"/>
  <c r="AA40" i="1"/>
  <c r="Z39" i="1"/>
  <c r="AA39" i="1"/>
  <c r="AG43" i="1"/>
  <c r="AL20" i="1"/>
  <c r="AK18" i="1"/>
  <c r="AK17" i="1" s="1"/>
  <c r="AN22" i="1"/>
  <c r="AM21" i="1"/>
  <c r="AE42" i="1" l="1"/>
  <c r="AC42" i="1" s="1"/>
  <c r="AB42" i="1" s="1"/>
  <c r="AB41" i="1"/>
  <c r="AA41" i="1" s="1"/>
  <c r="AU117" i="8"/>
  <c r="AT117" i="8"/>
  <c r="AS118" i="8"/>
  <c r="AQ117" i="8"/>
  <c r="AP117" i="8"/>
  <c r="AO118" i="8"/>
  <c r="AJ82" i="7"/>
  <c r="AK81" i="7"/>
  <c r="AL81" i="7"/>
  <c r="AO81" i="7"/>
  <c r="AP81" i="7"/>
  <c r="Y43" i="1"/>
  <c r="AF43" i="1"/>
  <c r="AG44" i="1"/>
  <c r="AM20" i="1"/>
  <c r="AM18" i="1" s="1"/>
  <c r="AL18" i="1"/>
  <c r="AL17" i="1" s="1"/>
  <c r="AO22" i="1"/>
  <c r="AN21" i="1"/>
  <c r="AE43" i="1" l="1"/>
  <c r="AC43" i="1" s="1"/>
  <c r="AB43" i="1" s="1"/>
  <c r="AH42" i="1"/>
  <c r="Z41" i="1"/>
  <c r="AP118" i="8"/>
  <c r="AQ118" i="8"/>
  <c r="AO119" i="8"/>
  <c r="AT118" i="8"/>
  <c r="AU118" i="8"/>
  <c r="AS119" i="8"/>
  <c r="AJ83" i="7"/>
  <c r="AK82" i="7"/>
  <c r="AL82" i="7"/>
  <c r="AP82" i="7"/>
  <c r="AO82" i="7"/>
  <c r="Y44" i="1"/>
  <c r="AF44" i="1"/>
  <c r="AE44" i="1" s="1"/>
  <c r="AC44" i="1" s="1"/>
  <c r="Z42" i="1"/>
  <c r="AA42" i="1"/>
  <c r="AM17" i="1"/>
  <c r="AG45" i="1"/>
  <c r="AF45" i="1" s="1"/>
  <c r="AN20" i="1"/>
  <c r="AP22" i="1"/>
  <c r="AO21" i="1"/>
  <c r="AH43" i="1" l="1"/>
  <c r="AU119" i="8"/>
  <c r="AT119" i="8"/>
  <c r="AS120" i="8"/>
  <c r="AQ119" i="8"/>
  <c r="AP119" i="8"/>
  <c r="AO120" i="8"/>
  <c r="AJ84" i="7"/>
  <c r="AK83" i="7"/>
  <c r="AL83" i="7"/>
  <c r="AP83" i="7"/>
  <c r="AO83" i="7"/>
  <c r="Z43" i="1"/>
  <c r="AA43" i="1"/>
  <c r="Y45" i="1"/>
  <c r="AB44" i="1"/>
  <c r="AH44" i="1"/>
  <c r="AG46" i="1"/>
  <c r="AO20" i="1"/>
  <c r="AN18" i="1"/>
  <c r="AN17" i="1" s="1"/>
  <c r="AQ22" i="1"/>
  <c r="AP21" i="1"/>
  <c r="AQ120" i="8" l="1"/>
  <c r="AP120" i="8"/>
  <c r="AO121" i="8"/>
  <c r="AU120" i="8"/>
  <c r="AT120" i="8"/>
  <c r="AS121" i="8"/>
  <c r="AJ85" i="7"/>
  <c r="AK84" i="7"/>
  <c r="AL84" i="7"/>
  <c r="AO84" i="7"/>
  <c r="AP84" i="7"/>
  <c r="Y46" i="1"/>
  <c r="AF46" i="1"/>
  <c r="Z44" i="1"/>
  <c r="AA44" i="1"/>
  <c r="AE45" i="1"/>
  <c r="AG47" i="1"/>
  <c r="AP20" i="1"/>
  <c r="AP18" i="1" s="1"/>
  <c r="AO18" i="1"/>
  <c r="AO17" i="1" s="1"/>
  <c r="AR22" i="1"/>
  <c r="AQ21" i="1"/>
  <c r="AT121" i="8" l="1"/>
  <c r="AU121" i="8"/>
  <c r="AS122" i="8"/>
  <c r="AP121" i="8"/>
  <c r="AQ121" i="8"/>
  <c r="AO122" i="8"/>
  <c r="AJ86" i="7"/>
  <c r="AK85" i="7"/>
  <c r="AL85" i="7"/>
  <c r="AO85" i="7"/>
  <c r="AP85" i="7"/>
  <c r="Y47" i="1"/>
  <c r="AF47" i="1"/>
  <c r="AC45" i="1"/>
  <c r="AP17" i="1"/>
  <c r="AG48" i="1"/>
  <c r="AE46" i="1"/>
  <c r="AC46" i="1" s="1"/>
  <c r="AQ20" i="1"/>
  <c r="AS22" i="1"/>
  <c r="AR21" i="1"/>
  <c r="AQ122" i="8" l="1"/>
  <c r="AP122" i="8"/>
  <c r="AO123" i="8"/>
  <c r="AU122" i="8"/>
  <c r="AT122" i="8"/>
  <c r="AS123" i="8"/>
  <c r="AJ87" i="7"/>
  <c r="AL86" i="7"/>
  <c r="AK86" i="7"/>
  <c r="AP86" i="7"/>
  <c r="AO86" i="7"/>
  <c r="Y48" i="1"/>
  <c r="AF48" i="1"/>
  <c r="AH45" i="1"/>
  <c r="AB45" i="1"/>
  <c r="AB46" i="1"/>
  <c r="AH46" i="1"/>
  <c r="AE47" i="1"/>
  <c r="AC47" i="1" s="1"/>
  <c r="AG49" i="1"/>
  <c r="AR20" i="1"/>
  <c r="AR18" i="1" s="1"/>
  <c r="AQ18" i="1"/>
  <c r="AQ17" i="1" s="1"/>
  <c r="AT22" i="1"/>
  <c r="AS21" i="1"/>
  <c r="AU123" i="8" l="1"/>
  <c r="AT123" i="8"/>
  <c r="AS124" i="8"/>
  <c r="AQ123" i="8"/>
  <c r="AP123" i="8"/>
  <c r="AO124" i="8"/>
  <c r="AJ88" i="7"/>
  <c r="AL87" i="7"/>
  <c r="AK87" i="7"/>
  <c r="AP87" i="7"/>
  <c r="AO87" i="7"/>
  <c r="Y49" i="1"/>
  <c r="AF49" i="1"/>
  <c r="AE48" i="1"/>
  <c r="AC48" i="1" s="1"/>
  <c r="AH48" i="1" s="1"/>
  <c r="Z46" i="1"/>
  <c r="AA46" i="1"/>
  <c r="Z45" i="1"/>
  <c r="AA45" i="1"/>
  <c r="AB47" i="1"/>
  <c r="AH47" i="1"/>
  <c r="AR17" i="1"/>
  <c r="AG50" i="1"/>
  <c r="AS20" i="1"/>
  <c r="AU22" i="1"/>
  <c r="AT21" i="1"/>
  <c r="AQ124" i="8" l="1"/>
  <c r="AP124" i="8"/>
  <c r="AO125" i="8"/>
  <c r="AT124" i="8"/>
  <c r="AU124" i="8"/>
  <c r="AS125" i="8"/>
  <c r="AJ89" i="7"/>
  <c r="AK88" i="7"/>
  <c r="AL88" i="7"/>
  <c r="AO88" i="7"/>
  <c r="AP88" i="7"/>
  <c r="Y50" i="1"/>
  <c r="AF50" i="1"/>
  <c r="AE49" i="1"/>
  <c r="AC49" i="1" s="1"/>
  <c r="AB49" i="1" s="1"/>
  <c r="AB48" i="1"/>
  <c r="AA48" i="1" s="1"/>
  <c r="Z47" i="1"/>
  <c r="AA47" i="1"/>
  <c r="AG51" i="1"/>
  <c r="AT20" i="1"/>
  <c r="AT18" i="1" s="1"/>
  <c r="AS18" i="1"/>
  <c r="AS17" i="1" s="1"/>
  <c r="AV22" i="1"/>
  <c r="AU21" i="1"/>
  <c r="AU125" i="8" l="1"/>
  <c r="AT125" i="8"/>
  <c r="AS126" i="8"/>
  <c r="AP125" i="8"/>
  <c r="AQ125" i="8"/>
  <c r="AO126" i="8"/>
  <c r="AJ90" i="7"/>
  <c r="AL89" i="7"/>
  <c r="AK89" i="7"/>
  <c r="AO89" i="7"/>
  <c r="AP89" i="7"/>
  <c r="AE50" i="1"/>
  <c r="AC50" i="1" s="1"/>
  <c r="AB50" i="1" s="1"/>
  <c r="Y51" i="1"/>
  <c r="AF51" i="1"/>
  <c r="Z48" i="1"/>
  <c r="AH49" i="1"/>
  <c r="Z49" i="1"/>
  <c r="AA49" i="1"/>
  <c r="AT17" i="1"/>
  <c r="AG52" i="1"/>
  <c r="AU20" i="1"/>
  <c r="AW22" i="1"/>
  <c r="AV21" i="1"/>
  <c r="AQ126" i="8" l="1"/>
  <c r="AP126" i="8"/>
  <c r="AO127" i="8"/>
  <c r="AU126" i="8"/>
  <c r="AT126" i="8"/>
  <c r="AS127" i="8"/>
  <c r="AJ91" i="7"/>
  <c r="AK90" i="7"/>
  <c r="AL90" i="7"/>
  <c r="AO90" i="7"/>
  <c r="AP90" i="7"/>
  <c r="AH50" i="1"/>
  <c r="Y52" i="1"/>
  <c r="AF52" i="1"/>
  <c r="Z50" i="1"/>
  <c r="AA50" i="1"/>
  <c r="AG53" i="1"/>
  <c r="AE51" i="1"/>
  <c r="AC51" i="1" s="1"/>
  <c r="AV20" i="1"/>
  <c r="AU18" i="1"/>
  <c r="AU17" i="1" s="1"/>
  <c r="AX22" i="1"/>
  <c r="AW21" i="1"/>
  <c r="AU127" i="8" l="1"/>
  <c r="AT127" i="8"/>
  <c r="AS128" i="8"/>
  <c r="AQ127" i="8"/>
  <c r="AP127" i="8"/>
  <c r="AO128" i="8"/>
  <c r="AJ92" i="7"/>
  <c r="AL91" i="7"/>
  <c r="AK91" i="7"/>
  <c r="AP91" i="7"/>
  <c r="AO91" i="7"/>
  <c r="Y53" i="1"/>
  <c r="AF53" i="1"/>
  <c r="AB51" i="1"/>
  <c r="AH51" i="1"/>
  <c r="AE52" i="1"/>
  <c r="AC52" i="1" s="1"/>
  <c r="AG54" i="1"/>
  <c r="AW20" i="1"/>
  <c r="AV18" i="1"/>
  <c r="AV17" i="1" s="1"/>
  <c r="AY22" i="1"/>
  <c r="AX21" i="1"/>
  <c r="AQ128" i="8" l="1"/>
  <c r="AP128" i="8"/>
  <c r="AO129" i="8"/>
  <c r="AT128" i="8"/>
  <c r="AU128" i="8"/>
  <c r="AS129" i="8"/>
  <c r="AJ93" i="7"/>
  <c r="AL92" i="7"/>
  <c r="AK92" i="7"/>
  <c r="AO92" i="7"/>
  <c r="AP92" i="7"/>
  <c r="Y54" i="1"/>
  <c r="AF54" i="1"/>
  <c r="Z51" i="1"/>
  <c r="AA51" i="1"/>
  <c r="AB52" i="1"/>
  <c r="AH52" i="1"/>
  <c r="AG55" i="1"/>
  <c r="AE53" i="1"/>
  <c r="AC53" i="1" s="1"/>
  <c r="AX20" i="1"/>
  <c r="AW18" i="1"/>
  <c r="AW17" i="1" s="1"/>
  <c r="AZ22" i="1"/>
  <c r="AY21" i="1"/>
  <c r="AU129" i="8" l="1"/>
  <c r="AT129" i="8"/>
  <c r="AS130" i="8"/>
  <c r="AP129" i="8"/>
  <c r="AQ129" i="8"/>
  <c r="AO130" i="8"/>
  <c r="AJ94" i="7"/>
  <c r="AL93" i="7"/>
  <c r="AK93" i="7"/>
  <c r="AO93" i="7"/>
  <c r="AP93" i="7"/>
  <c r="Y55" i="1"/>
  <c r="AF55" i="1"/>
  <c r="Z52" i="1"/>
  <c r="AA52" i="1"/>
  <c r="AB53" i="1"/>
  <c r="AH53" i="1"/>
  <c r="AE54" i="1"/>
  <c r="AC54" i="1" s="1"/>
  <c r="AG56" i="1"/>
  <c r="AY20" i="1"/>
  <c r="AX18" i="1"/>
  <c r="AX17" i="1" s="1"/>
  <c r="BA22" i="1"/>
  <c r="AZ21" i="1"/>
  <c r="AQ130" i="8" l="1"/>
  <c r="AP130" i="8"/>
  <c r="AO131" i="8"/>
  <c r="AU130" i="8"/>
  <c r="AT130" i="8"/>
  <c r="AS131" i="8"/>
  <c r="AJ95" i="7"/>
  <c r="AL94" i="7"/>
  <c r="AK94" i="7"/>
  <c r="AP94" i="7"/>
  <c r="AO94" i="7"/>
  <c r="AE55" i="1"/>
  <c r="AC55" i="1" s="1"/>
  <c r="AB55" i="1" s="1"/>
  <c r="Y56" i="1"/>
  <c r="AF56" i="1"/>
  <c r="Z53" i="1"/>
  <c r="AA53" i="1"/>
  <c r="AB54" i="1"/>
  <c r="AH54" i="1"/>
  <c r="AG57" i="1"/>
  <c r="AZ20" i="1"/>
  <c r="AY18" i="1"/>
  <c r="AY17" i="1" s="1"/>
  <c r="BB22" i="1"/>
  <c r="BA21" i="1"/>
  <c r="AU131" i="8" l="1"/>
  <c r="AT131" i="8"/>
  <c r="AS132" i="8"/>
  <c r="AQ131" i="8"/>
  <c r="AP131" i="8"/>
  <c r="AO132" i="8"/>
  <c r="AJ96" i="7"/>
  <c r="AK95" i="7"/>
  <c r="AL95" i="7"/>
  <c r="AP95" i="7"/>
  <c r="AO95" i="7"/>
  <c r="AH55" i="1"/>
  <c r="Y57" i="1"/>
  <c r="AF57" i="1"/>
  <c r="Z54" i="1"/>
  <c r="AA54" i="1"/>
  <c r="Z55" i="1"/>
  <c r="AA55" i="1"/>
  <c r="AE56" i="1"/>
  <c r="AC56" i="1" s="1"/>
  <c r="AG58" i="1"/>
  <c r="AF58" i="1" s="1"/>
  <c r="BA20" i="1"/>
  <c r="BA18" i="1" s="1"/>
  <c r="AZ18" i="1"/>
  <c r="AZ17" i="1" s="1"/>
  <c r="BC22" i="1"/>
  <c r="BB21" i="1"/>
  <c r="AQ132" i="8" l="1"/>
  <c r="AP132" i="8"/>
  <c r="AO133" i="8"/>
  <c r="AT132" i="8"/>
  <c r="AU132" i="8"/>
  <c r="AS133" i="8"/>
  <c r="AJ97" i="7"/>
  <c r="AK96" i="7"/>
  <c r="AL96" i="7"/>
  <c r="AO96" i="7"/>
  <c r="AP96" i="7"/>
  <c r="AE57" i="1"/>
  <c r="AC57" i="1" s="1"/>
  <c r="AH57" i="1" s="1"/>
  <c r="AB56" i="1"/>
  <c r="AH56" i="1"/>
  <c r="Y58" i="1"/>
  <c r="BA17" i="1"/>
  <c r="BB20" i="1"/>
  <c r="BB18" i="1" s="1"/>
  <c r="BB17" i="1" s="1"/>
  <c r="BD22" i="1"/>
  <c r="BD21" i="1" s="1"/>
  <c r="BC21" i="1"/>
  <c r="AU133" i="8" l="1"/>
  <c r="AT133" i="8"/>
  <c r="AS134" i="8"/>
  <c r="AP133" i="8"/>
  <c r="AQ133" i="8"/>
  <c r="AO134" i="8"/>
  <c r="AJ98" i="7"/>
  <c r="AK97" i="7"/>
  <c r="AL97" i="7"/>
  <c r="AO97" i="7"/>
  <c r="AP97" i="7"/>
  <c r="AE58" i="1"/>
  <c r="B15" i="1" s="1"/>
  <c r="AB57" i="1"/>
  <c r="Z56" i="1"/>
  <c r="AA56" i="1"/>
  <c r="BC20" i="1"/>
  <c r="BD20" i="1" s="1"/>
  <c r="BD18" i="1" s="1"/>
  <c r="AQ134" i="8" l="1"/>
  <c r="AP134" i="8"/>
  <c r="AO135" i="8"/>
  <c r="AU134" i="8"/>
  <c r="AT134" i="8"/>
  <c r="AS135" i="8"/>
  <c r="AJ99" i="7"/>
  <c r="AK98" i="7"/>
  <c r="AL98" i="7"/>
  <c r="AO98" i="7"/>
  <c r="AP98" i="7"/>
  <c r="AC58" i="1"/>
  <c r="AB58" i="1" s="1"/>
  <c r="Z57" i="1"/>
  <c r="AA57" i="1"/>
  <c r="BC18" i="1"/>
  <c r="AU135" i="8" l="1"/>
  <c r="AT135" i="8"/>
  <c r="AS136" i="8"/>
  <c r="AQ135" i="8"/>
  <c r="AP135" i="8"/>
  <c r="AO136" i="8"/>
  <c r="AJ100" i="7"/>
  <c r="AK99" i="7"/>
  <c r="AL99" i="7"/>
  <c r="AO99" i="7"/>
  <c r="AP99" i="7"/>
  <c r="AH58" i="1"/>
  <c r="B13" i="1"/>
  <c r="AA58" i="1"/>
  <c r="W28" i="1"/>
  <c r="V28" i="1"/>
  <c r="AB25" i="1"/>
  <c r="Z58" i="1"/>
  <c r="BC17" i="1"/>
  <c r="BD17" i="1"/>
  <c r="L145" i="5" l="1"/>
  <c r="L137" i="5"/>
  <c r="L129" i="5"/>
  <c r="L121" i="5"/>
  <c r="L113" i="5"/>
  <c r="F142" i="5"/>
  <c r="F134" i="5"/>
  <c r="F126" i="5"/>
  <c r="F118" i="5"/>
  <c r="F110" i="5"/>
  <c r="L43" i="5"/>
  <c r="L35" i="5"/>
  <c r="L27" i="5"/>
  <c r="L19" i="5"/>
  <c r="L11" i="5"/>
  <c r="F48" i="5"/>
  <c r="F40" i="5"/>
  <c r="F32" i="5"/>
  <c r="F24" i="5"/>
  <c r="F16" i="5"/>
  <c r="F8" i="5"/>
  <c r="F17" i="5"/>
  <c r="L144" i="5"/>
  <c r="L136" i="5"/>
  <c r="L128" i="5"/>
  <c r="L120" i="5"/>
  <c r="L112" i="5"/>
  <c r="F141" i="5"/>
  <c r="F133" i="5"/>
  <c r="F125" i="5"/>
  <c r="F117" i="5"/>
  <c r="F109" i="5"/>
  <c r="L42" i="5"/>
  <c r="L34" i="5"/>
  <c r="L26" i="5"/>
  <c r="L18" i="5"/>
  <c r="L10" i="5"/>
  <c r="F47" i="5"/>
  <c r="F39" i="5"/>
  <c r="F31" i="5"/>
  <c r="F23" i="5"/>
  <c r="F15" i="5"/>
  <c r="F7" i="5"/>
  <c r="F34" i="5"/>
  <c r="L138" i="5"/>
  <c r="F143" i="5"/>
  <c r="L44" i="5"/>
  <c r="L12" i="5"/>
  <c r="L143" i="5"/>
  <c r="L135" i="5"/>
  <c r="L127" i="5"/>
  <c r="L119" i="5"/>
  <c r="L111" i="5"/>
  <c r="F140" i="5"/>
  <c r="F132" i="5"/>
  <c r="F124" i="5"/>
  <c r="F116" i="5"/>
  <c r="L49" i="5"/>
  <c r="L41" i="5"/>
  <c r="L33" i="5"/>
  <c r="L25" i="5"/>
  <c r="L17" i="5"/>
  <c r="L9" i="5"/>
  <c r="F46" i="5"/>
  <c r="F38" i="5"/>
  <c r="F30" i="5"/>
  <c r="F22" i="5"/>
  <c r="F14" i="5"/>
  <c r="F6" i="5"/>
  <c r="L132" i="5"/>
  <c r="L116" i="5"/>
  <c r="F137" i="5"/>
  <c r="F113" i="5"/>
  <c r="L38" i="5"/>
  <c r="L14" i="5"/>
  <c r="F43" i="5"/>
  <c r="F19" i="5"/>
  <c r="L131" i="5"/>
  <c r="F144" i="5"/>
  <c r="F120" i="5"/>
  <c r="L45" i="5"/>
  <c r="L21" i="5"/>
  <c r="F42" i="5"/>
  <c r="F10" i="5"/>
  <c r="L114" i="5"/>
  <c r="F119" i="5"/>
  <c r="F111" i="5"/>
  <c r="L20" i="5"/>
  <c r="F33" i="5"/>
  <c r="L142" i="5"/>
  <c r="L134" i="5"/>
  <c r="L126" i="5"/>
  <c r="L118" i="5"/>
  <c r="L110" i="5"/>
  <c r="F139" i="5"/>
  <c r="F131" i="5"/>
  <c r="F123" i="5"/>
  <c r="F115" i="5"/>
  <c r="L48" i="5"/>
  <c r="L40" i="5"/>
  <c r="L32" i="5"/>
  <c r="L24" i="5"/>
  <c r="L16" i="5"/>
  <c r="L8" i="5"/>
  <c r="F45" i="5"/>
  <c r="F37" i="5"/>
  <c r="F29" i="5"/>
  <c r="F21" i="5"/>
  <c r="F13" i="5"/>
  <c r="F5" i="5"/>
  <c r="L140" i="5"/>
  <c r="L124" i="5"/>
  <c r="F145" i="5"/>
  <c r="F129" i="5"/>
  <c r="L46" i="5"/>
  <c r="L22" i="5"/>
  <c r="F35" i="5"/>
  <c r="F11" i="5"/>
  <c r="L123" i="5"/>
  <c r="F136" i="5"/>
  <c r="F112" i="5"/>
  <c r="L29" i="5"/>
  <c r="L5" i="5"/>
  <c r="F18" i="5"/>
  <c r="L122" i="5"/>
  <c r="F135" i="5"/>
  <c r="L36" i="5"/>
  <c r="F41" i="5"/>
  <c r="F25" i="5"/>
  <c r="L141" i="5"/>
  <c r="L133" i="5"/>
  <c r="L125" i="5"/>
  <c r="L117" i="5"/>
  <c r="L109" i="5"/>
  <c r="F138" i="5"/>
  <c r="F130" i="5"/>
  <c r="F122" i="5"/>
  <c r="F114" i="5"/>
  <c r="L47" i="5"/>
  <c r="L39" i="5"/>
  <c r="L31" i="5"/>
  <c r="L23" i="5"/>
  <c r="L15" i="5"/>
  <c r="L7" i="5"/>
  <c r="F44" i="5"/>
  <c r="F36" i="5"/>
  <c r="F28" i="5"/>
  <c r="F20" i="5"/>
  <c r="F12" i="5"/>
  <c r="A17" i="1"/>
  <c r="A18" i="1" s="1"/>
  <c r="F121" i="5"/>
  <c r="L30" i="5"/>
  <c r="L6" i="5"/>
  <c r="F27" i="5"/>
  <c r="L139" i="5"/>
  <c r="L115" i="5"/>
  <c r="F128" i="5"/>
  <c r="L37" i="5"/>
  <c r="L13" i="5"/>
  <c r="F26" i="5"/>
  <c r="L130" i="5"/>
  <c r="F127" i="5"/>
  <c r="L28" i="5"/>
  <c r="F49" i="5"/>
  <c r="F9" i="5"/>
  <c r="AQ136" i="8"/>
  <c r="AP136" i="8"/>
  <c r="AO137" i="8"/>
  <c r="AT136" i="8"/>
  <c r="AU136" i="8"/>
  <c r="AS137" i="8"/>
  <c r="AJ101" i="7"/>
  <c r="AL100" i="7"/>
  <c r="AK100" i="7"/>
  <c r="AO100" i="7"/>
  <c r="AP100" i="7"/>
  <c r="F4" i="1"/>
  <c r="W29" i="1"/>
  <c r="X33" i="1" s="1"/>
  <c r="V22" i="1"/>
  <c r="A19" i="1" l="1"/>
  <c r="BU6" i="1"/>
  <c r="BU43" i="1" s="1"/>
  <c r="F45" i="1"/>
  <c r="F48" i="1"/>
  <c r="F44" i="1"/>
  <c r="BU8" i="1"/>
  <c r="F47" i="1"/>
  <c r="BU5" i="1"/>
  <c r="F5" i="1"/>
  <c r="F9" i="1"/>
  <c r="F6" i="1"/>
  <c r="F43" i="1" s="1"/>
  <c r="F8" i="1"/>
  <c r="AD7" i="1"/>
  <c r="AD10" i="1"/>
  <c r="F42" i="1"/>
  <c r="BU9" i="1"/>
  <c r="BU50" i="1" s="1"/>
  <c r="G4" i="1"/>
  <c r="BU4" i="1"/>
  <c r="AD12" i="1"/>
  <c r="AU137" i="8"/>
  <c r="AT137" i="8"/>
  <c r="AS138" i="8"/>
  <c r="AP137" i="8"/>
  <c r="AQ137" i="8"/>
  <c r="AO138" i="8"/>
  <c r="AJ102" i="7"/>
  <c r="AK101" i="7"/>
  <c r="AL101" i="7"/>
  <c r="AO101" i="7"/>
  <c r="AP101" i="7"/>
  <c r="X32" i="1"/>
  <c r="X26" i="1" s="1"/>
  <c r="F46" i="1" l="1"/>
  <c r="F10" i="1"/>
  <c r="J22" i="5"/>
  <c r="J12" i="5"/>
  <c r="D23" i="5"/>
  <c r="J30" i="5"/>
  <c r="J47" i="5"/>
  <c r="J41" i="5"/>
  <c r="J34" i="5"/>
  <c r="J20" i="5"/>
  <c r="J37" i="5"/>
  <c r="D45" i="5"/>
  <c r="D38" i="5"/>
  <c r="D31" i="5"/>
  <c r="D35" i="5"/>
  <c r="D25" i="5"/>
  <c r="J26" i="5"/>
  <c r="D44" i="5"/>
  <c r="D18" i="5"/>
  <c r="J38" i="5"/>
  <c r="J8" i="5"/>
  <c r="J48" i="5"/>
  <c r="J42" i="5"/>
  <c r="J28" i="5"/>
  <c r="J45" i="5"/>
  <c r="D10" i="5"/>
  <c r="D46" i="5"/>
  <c r="D39" i="5"/>
  <c r="D21" i="5"/>
  <c r="D33" i="5"/>
  <c r="J33" i="5"/>
  <c r="J29" i="5"/>
  <c r="J46" i="5"/>
  <c r="J24" i="5"/>
  <c r="J16" i="5"/>
  <c r="J11" i="5"/>
  <c r="J36" i="5"/>
  <c r="D11" i="5"/>
  <c r="D27" i="5"/>
  <c r="D19" i="5"/>
  <c r="D47" i="5"/>
  <c r="D8" i="5"/>
  <c r="D41" i="5"/>
  <c r="J39" i="5"/>
  <c r="D30" i="5"/>
  <c r="D17" i="5"/>
  <c r="J7" i="5"/>
  <c r="J40" i="5"/>
  <c r="J32" i="5"/>
  <c r="J27" i="5"/>
  <c r="J44" i="5"/>
  <c r="D12" i="5"/>
  <c r="D29" i="5"/>
  <c r="D5" i="5"/>
  <c r="F50" i="5"/>
  <c r="G29" i="5" s="1"/>
  <c r="D43" i="5"/>
  <c r="D24" i="5"/>
  <c r="D49" i="5"/>
  <c r="J15" i="5"/>
  <c r="J9" i="5"/>
  <c r="J49" i="5"/>
  <c r="J43" i="5"/>
  <c r="L50" i="5"/>
  <c r="J5" i="5"/>
  <c r="D20" i="5"/>
  <c r="D6" i="5"/>
  <c r="D37" i="5"/>
  <c r="D13" i="5"/>
  <c r="D40" i="5"/>
  <c r="D26" i="5"/>
  <c r="J6" i="5"/>
  <c r="J23" i="5"/>
  <c r="J17" i="5"/>
  <c r="J10" i="5"/>
  <c r="J19" i="5"/>
  <c r="J13" i="5"/>
  <c r="D28" i="5"/>
  <c r="D14" i="5"/>
  <c r="D7" i="5"/>
  <c r="D16" i="5"/>
  <c r="D48" i="5"/>
  <c r="D34" i="5"/>
  <c r="J14" i="5"/>
  <c r="J31" i="5"/>
  <c r="J25" i="5"/>
  <c r="J18" i="5"/>
  <c r="J35" i="5"/>
  <c r="J21" i="5"/>
  <c r="D36" i="5"/>
  <c r="D22" i="5"/>
  <c r="D15" i="5"/>
  <c r="D32" i="5"/>
  <c r="D9" i="5"/>
  <c r="D42" i="5"/>
  <c r="L147" i="5"/>
  <c r="M144" i="5" s="1"/>
  <c r="J134" i="5"/>
  <c r="J135" i="5"/>
  <c r="J137" i="5"/>
  <c r="J136" i="5"/>
  <c r="J130" i="5"/>
  <c r="J132" i="5"/>
  <c r="J133" i="5"/>
  <c r="J131" i="5"/>
  <c r="D137" i="5"/>
  <c r="D133" i="5"/>
  <c r="D131" i="5"/>
  <c r="D134" i="5"/>
  <c r="D136" i="5"/>
  <c r="D132" i="5"/>
  <c r="D135" i="5"/>
  <c r="D130" i="5"/>
  <c r="D145" i="5"/>
  <c r="J119" i="5"/>
  <c r="J114" i="5"/>
  <c r="J129" i="5"/>
  <c r="J141" i="5"/>
  <c r="D111" i="5"/>
  <c r="D138" i="5"/>
  <c r="D119" i="5"/>
  <c r="D125" i="5"/>
  <c r="J127" i="5"/>
  <c r="J122" i="5"/>
  <c r="J116" i="5"/>
  <c r="J110" i="5"/>
  <c r="D112" i="5"/>
  <c r="D113" i="5"/>
  <c r="D141" i="5"/>
  <c r="J143" i="5"/>
  <c r="J138" i="5"/>
  <c r="J124" i="5"/>
  <c r="J113" i="5"/>
  <c r="D120" i="5"/>
  <c r="D127" i="5"/>
  <c r="D116" i="5"/>
  <c r="D143" i="5"/>
  <c r="D117" i="5"/>
  <c r="J112" i="5"/>
  <c r="J140" i="5"/>
  <c r="J118" i="5"/>
  <c r="D128" i="5"/>
  <c r="D124" i="5"/>
  <c r="D110" i="5"/>
  <c r="J125" i="5"/>
  <c r="J120" i="5"/>
  <c r="J115" i="5"/>
  <c r="J109" i="5"/>
  <c r="J126" i="5"/>
  <c r="D144" i="5"/>
  <c r="D115" i="5"/>
  <c r="D140" i="5"/>
  <c r="D118" i="5"/>
  <c r="J145" i="5"/>
  <c r="J128" i="5"/>
  <c r="J123" i="5"/>
  <c r="J121" i="5"/>
  <c r="J142" i="5"/>
  <c r="D121" i="5"/>
  <c r="D123" i="5"/>
  <c r="D129" i="5"/>
  <c r="D126" i="5"/>
  <c r="D122" i="5"/>
  <c r="J144" i="5"/>
  <c r="J139" i="5"/>
  <c r="J117" i="5"/>
  <c r="J111" i="5"/>
  <c r="D114" i="5"/>
  <c r="D139" i="5"/>
  <c r="D109" i="5"/>
  <c r="F147" i="5"/>
  <c r="D142" i="5"/>
  <c r="G48" i="1"/>
  <c r="G45" i="1"/>
  <c r="G44" i="1"/>
  <c r="G47" i="1"/>
  <c r="BV5" i="1"/>
  <c r="BV8" i="1"/>
  <c r="G5" i="1"/>
  <c r="G8" i="1"/>
  <c r="G6" i="1"/>
  <c r="G43" i="1" s="1"/>
  <c r="AE10" i="1"/>
  <c r="G42" i="1"/>
  <c r="AE7" i="1"/>
  <c r="AJ26" i="1"/>
  <c r="AL26" i="1" s="1"/>
  <c r="AS41" i="1"/>
  <c r="AS42" i="1"/>
  <c r="AS40" i="1"/>
  <c r="AS39" i="1"/>
  <c r="AS38" i="1"/>
  <c r="AS45" i="1"/>
  <c r="AS37" i="1"/>
  <c r="AS44" i="1"/>
  <c r="AS36" i="1"/>
  <c r="AS43" i="1"/>
  <c r="AS35" i="1"/>
  <c r="AS27" i="1"/>
  <c r="AS29" i="1"/>
  <c r="AS34" i="1"/>
  <c r="AS26" i="1"/>
  <c r="AS28" i="1"/>
  <c r="AS33" i="1"/>
  <c r="AS25" i="1"/>
  <c r="AS32" i="1"/>
  <c r="AS31" i="1"/>
  <c r="AS30" i="1"/>
  <c r="BV6" i="1"/>
  <c r="BV43" i="1" s="1"/>
  <c r="BV9" i="1"/>
  <c r="BV50" i="1" s="1"/>
  <c r="G9" i="1"/>
  <c r="AZ44" i="1"/>
  <c r="AZ36" i="1"/>
  <c r="AZ28" i="1"/>
  <c r="AZ38" i="1"/>
  <c r="AZ43" i="1"/>
  <c r="AZ35" i="1"/>
  <c r="AZ27" i="1"/>
  <c r="AZ29" i="1"/>
  <c r="AZ42" i="1"/>
  <c r="AZ34" i="1"/>
  <c r="AZ26" i="1"/>
  <c r="AZ30" i="1"/>
  <c r="AZ45" i="1"/>
  <c r="AZ41" i="1"/>
  <c r="AZ33" i="1"/>
  <c r="AZ25" i="1"/>
  <c r="AZ37" i="1"/>
  <c r="AZ40" i="1"/>
  <c r="AZ32" i="1"/>
  <c r="AZ39" i="1"/>
  <c r="AZ31" i="1"/>
  <c r="AN26" i="1"/>
  <c r="AN27" i="1" s="1"/>
  <c r="H4" i="1"/>
  <c r="AE12" i="1"/>
  <c r="BU42" i="1"/>
  <c r="BV4" i="1"/>
  <c r="F7" i="1"/>
  <c r="AQ138" i="8"/>
  <c r="AP138" i="8"/>
  <c r="AO139" i="8"/>
  <c r="AU138" i="8"/>
  <c r="AT138" i="8"/>
  <c r="AS139" i="8"/>
  <c r="AJ103" i="7"/>
  <c r="AK102" i="7"/>
  <c r="AL102" i="7"/>
  <c r="AP102" i="7"/>
  <c r="AO102" i="7"/>
  <c r="G14" i="5" l="1"/>
  <c r="G9" i="5"/>
  <c r="G22" i="5"/>
  <c r="G42" i="5"/>
  <c r="G36" i="5"/>
  <c r="G34" i="5"/>
  <c r="G7" i="5"/>
  <c r="G43" i="5"/>
  <c r="G17" i="5"/>
  <c r="G37" i="5"/>
  <c r="G33" i="5"/>
  <c r="G19" i="5"/>
  <c r="G10" i="5"/>
  <c r="G18" i="5"/>
  <c r="G13" i="5"/>
  <c r="K57" i="5"/>
  <c r="J69" i="1" s="1"/>
  <c r="K63" i="5"/>
  <c r="J75" i="1" s="1"/>
  <c r="K69" i="5"/>
  <c r="J81" i="1" s="1"/>
  <c r="L68" i="5"/>
  <c r="K80" i="1" s="1"/>
  <c r="L72" i="5"/>
  <c r="K84" i="1" s="1"/>
  <c r="L66" i="5"/>
  <c r="K78" i="1" s="1"/>
  <c r="K65" i="5"/>
  <c r="J77" i="1" s="1"/>
  <c r="L91" i="5"/>
  <c r="K103" i="1" s="1"/>
  <c r="K93" i="5"/>
  <c r="J105" i="1" s="1"/>
  <c r="K97" i="5"/>
  <c r="J109" i="1" s="1"/>
  <c r="K101" i="5"/>
  <c r="J113" i="1" s="1"/>
  <c r="K77" i="5"/>
  <c r="J89" i="1" s="1"/>
  <c r="L78" i="5"/>
  <c r="K90" i="1" s="1"/>
  <c r="K96" i="5"/>
  <c r="J108" i="1" s="1"/>
  <c r="K72" i="5"/>
  <c r="J84" i="1" s="1"/>
  <c r="L96" i="5"/>
  <c r="K108" i="1" s="1"/>
  <c r="L76" i="5"/>
  <c r="K88" i="1" s="1"/>
  <c r="L87" i="5"/>
  <c r="K99" i="1" s="1"/>
  <c r="L57" i="5"/>
  <c r="K69" i="1" s="1"/>
  <c r="L64" i="5"/>
  <c r="K76" i="1" s="1"/>
  <c r="K85" i="5"/>
  <c r="J97" i="1" s="1"/>
  <c r="L71" i="5"/>
  <c r="K83" i="1" s="1"/>
  <c r="L69" i="5"/>
  <c r="K81" i="1" s="1"/>
  <c r="K100" i="5"/>
  <c r="J112" i="1" s="1"/>
  <c r="L85" i="5"/>
  <c r="K97" i="1" s="1"/>
  <c r="K99" i="5"/>
  <c r="J111" i="1" s="1"/>
  <c r="L84" i="5"/>
  <c r="K96" i="1" s="1"/>
  <c r="L65" i="5"/>
  <c r="K77" i="1" s="1"/>
  <c r="K61" i="5"/>
  <c r="J73" i="1" s="1"/>
  <c r="K62" i="5"/>
  <c r="J74" i="1" s="1"/>
  <c r="K68" i="5"/>
  <c r="J80" i="1" s="1"/>
  <c r="L70" i="5"/>
  <c r="K82" i="1" s="1"/>
  <c r="L88" i="5"/>
  <c r="K100" i="1" s="1"/>
  <c r="L58" i="5"/>
  <c r="K70" i="1" s="1"/>
  <c r="L61" i="5"/>
  <c r="K73" i="1" s="1"/>
  <c r="L97" i="5"/>
  <c r="K109" i="1" s="1"/>
  <c r="L101" i="5"/>
  <c r="K113" i="1" s="1"/>
  <c r="L83" i="5"/>
  <c r="K95" i="1" s="1"/>
  <c r="K92" i="5"/>
  <c r="J104" i="1" s="1"/>
  <c r="L62" i="5"/>
  <c r="K74" i="1" s="1"/>
  <c r="K64" i="5"/>
  <c r="J76" i="1" s="1"/>
  <c r="K66" i="5"/>
  <c r="J78" i="1" s="1"/>
  <c r="L81" i="5"/>
  <c r="K93" i="1" s="1"/>
  <c r="K89" i="5"/>
  <c r="J101" i="1" s="1"/>
  <c r="L90" i="5"/>
  <c r="K102" i="1" s="1"/>
  <c r="L89" i="5"/>
  <c r="K101" i="1" s="1"/>
  <c r="L93" i="5"/>
  <c r="K105" i="1" s="1"/>
  <c r="K82" i="5"/>
  <c r="J94" i="1" s="1"/>
  <c r="K86" i="5"/>
  <c r="J98" i="1" s="1"/>
  <c r="K84" i="5"/>
  <c r="J96" i="1" s="1"/>
  <c r="L77" i="5"/>
  <c r="K89" i="1" s="1"/>
  <c r="L59" i="5"/>
  <c r="K71" i="1" s="1"/>
  <c r="L100" i="5"/>
  <c r="K112" i="1" s="1"/>
  <c r="L60" i="5"/>
  <c r="K72" i="1" s="1"/>
  <c r="K67" i="5"/>
  <c r="J79" i="1" s="1"/>
  <c r="K98" i="5"/>
  <c r="J110" i="1" s="1"/>
  <c r="K79" i="5"/>
  <c r="J91" i="1" s="1"/>
  <c r="L94" i="5"/>
  <c r="K106" i="1" s="1"/>
  <c r="K78" i="5"/>
  <c r="J90" i="1" s="1"/>
  <c r="K59" i="5"/>
  <c r="J71" i="1" s="1"/>
  <c r="K95" i="5"/>
  <c r="J107" i="1" s="1"/>
  <c r="L80" i="5"/>
  <c r="K92" i="1" s="1"/>
  <c r="K94" i="5"/>
  <c r="J106" i="1" s="1"/>
  <c r="L63" i="5"/>
  <c r="K75" i="1" s="1"/>
  <c r="K90" i="5"/>
  <c r="J102" i="1" s="1"/>
  <c r="K60" i="5"/>
  <c r="J72" i="1" s="1"/>
  <c r="L73" i="5"/>
  <c r="K85" i="1" s="1"/>
  <c r="L86" i="5"/>
  <c r="K98" i="1" s="1"/>
  <c r="L95" i="5"/>
  <c r="K107" i="1" s="1"/>
  <c r="K83" i="5"/>
  <c r="J95" i="1" s="1"/>
  <c r="L98" i="5"/>
  <c r="K110" i="1" s="1"/>
  <c r="K91" i="5"/>
  <c r="J103" i="1" s="1"/>
  <c r="L79" i="5"/>
  <c r="K91" i="1" s="1"/>
  <c r="K76" i="5"/>
  <c r="J88" i="1" s="1"/>
  <c r="L82" i="5"/>
  <c r="K94" i="1" s="1"/>
  <c r="K71" i="5"/>
  <c r="J83" i="1" s="1"/>
  <c r="K73" i="5"/>
  <c r="J85" i="1" s="1"/>
  <c r="K70" i="5"/>
  <c r="J82" i="1" s="1"/>
  <c r="K74" i="5"/>
  <c r="J86" i="1" s="1"/>
  <c r="L74" i="5"/>
  <c r="K86" i="1" s="1"/>
  <c r="K75" i="5"/>
  <c r="J87" i="1" s="1"/>
  <c r="L92" i="5"/>
  <c r="K104" i="1" s="1"/>
  <c r="L99" i="5"/>
  <c r="K111" i="1" s="1"/>
  <c r="K87" i="5"/>
  <c r="J99" i="1" s="1"/>
  <c r="L75" i="5"/>
  <c r="K87" i="1" s="1"/>
  <c r="K80" i="5"/>
  <c r="J92" i="1" s="1"/>
  <c r="K58" i="5"/>
  <c r="J70" i="1" s="1"/>
  <c r="K81" i="5"/>
  <c r="J93" i="1" s="1"/>
  <c r="K88" i="5"/>
  <c r="J100" i="1" s="1"/>
  <c r="L67" i="5"/>
  <c r="K79" i="1" s="1"/>
  <c r="G24" i="5"/>
  <c r="G12" i="5"/>
  <c r="G47" i="5"/>
  <c r="G31" i="5"/>
  <c r="G30" i="5"/>
  <c r="G21" i="5"/>
  <c r="G44" i="5"/>
  <c r="G38" i="5"/>
  <c r="G39" i="5"/>
  <c r="G32" i="5"/>
  <c r="G48" i="5"/>
  <c r="G28" i="5"/>
  <c r="G26" i="5"/>
  <c r="G6" i="5"/>
  <c r="G5" i="5"/>
  <c r="G41" i="5"/>
  <c r="G27" i="5"/>
  <c r="G25" i="5"/>
  <c r="G45" i="5"/>
  <c r="G23" i="5"/>
  <c r="G46" i="5"/>
  <c r="G15" i="5"/>
  <c r="G16" i="5"/>
  <c r="G40" i="5"/>
  <c r="G20" i="5"/>
  <c r="G49" i="5"/>
  <c r="E86" i="5"/>
  <c r="E98" i="1" s="1"/>
  <c r="F57" i="5"/>
  <c r="F69" i="1" s="1"/>
  <c r="F78" i="5"/>
  <c r="F90" i="1" s="1"/>
  <c r="E89" i="5"/>
  <c r="E101" i="1" s="1"/>
  <c r="F81" i="5"/>
  <c r="F93" i="1" s="1"/>
  <c r="F85" i="5"/>
  <c r="F97" i="1" s="1"/>
  <c r="E81" i="5"/>
  <c r="E93" i="1" s="1"/>
  <c r="F95" i="5"/>
  <c r="F107" i="1" s="1"/>
  <c r="F58" i="5"/>
  <c r="F70" i="1" s="1"/>
  <c r="F76" i="5"/>
  <c r="F88" i="1" s="1"/>
  <c r="E83" i="5"/>
  <c r="E95" i="1" s="1"/>
  <c r="E61" i="5"/>
  <c r="E73" i="1" s="1"/>
  <c r="F99" i="5"/>
  <c r="F111" i="1" s="1"/>
  <c r="F82" i="5"/>
  <c r="F94" i="1" s="1"/>
  <c r="E93" i="5"/>
  <c r="E105" i="1" s="1"/>
  <c r="E75" i="5"/>
  <c r="E87" i="1" s="1"/>
  <c r="F74" i="5"/>
  <c r="F86" i="1" s="1"/>
  <c r="F77" i="5"/>
  <c r="F89" i="1" s="1"/>
  <c r="E71" i="5"/>
  <c r="E83" i="1" s="1"/>
  <c r="E77" i="5"/>
  <c r="E89" i="1" s="1"/>
  <c r="F91" i="5"/>
  <c r="F103" i="1" s="1"/>
  <c r="E78" i="5"/>
  <c r="E90" i="1" s="1"/>
  <c r="F69" i="5"/>
  <c r="F81" i="1" s="1"/>
  <c r="F79" i="5"/>
  <c r="F91" i="1" s="1"/>
  <c r="E97" i="5"/>
  <c r="E109" i="1" s="1"/>
  <c r="E79" i="5"/>
  <c r="E91" i="1" s="1"/>
  <c r="F67" i="5"/>
  <c r="F79" i="1" s="1"/>
  <c r="F71" i="5"/>
  <c r="F83" i="1" s="1"/>
  <c r="F63" i="5"/>
  <c r="F75" i="1" s="1"/>
  <c r="E74" i="5"/>
  <c r="E86" i="1" s="1"/>
  <c r="E60" i="5"/>
  <c r="E72" i="1" s="1"/>
  <c r="F73" i="5"/>
  <c r="F85" i="1" s="1"/>
  <c r="F87" i="5"/>
  <c r="F99" i="1" s="1"/>
  <c r="E99" i="5"/>
  <c r="E111" i="1" s="1"/>
  <c r="F65" i="5"/>
  <c r="F77" i="1" s="1"/>
  <c r="E76" i="5"/>
  <c r="E88" i="1" s="1"/>
  <c r="E90" i="5"/>
  <c r="E102" i="1" s="1"/>
  <c r="E80" i="5"/>
  <c r="E92" i="1" s="1"/>
  <c r="F75" i="5"/>
  <c r="F87" i="1" s="1"/>
  <c r="F101" i="5"/>
  <c r="F113" i="1" s="1"/>
  <c r="E68" i="5"/>
  <c r="E80" i="1" s="1"/>
  <c r="F100" i="5"/>
  <c r="F112" i="1" s="1"/>
  <c r="F70" i="5"/>
  <c r="F82" i="1" s="1"/>
  <c r="E100" i="5"/>
  <c r="E112" i="1" s="1"/>
  <c r="E70" i="5"/>
  <c r="E82" i="1" s="1"/>
  <c r="E84" i="5"/>
  <c r="E96" i="1" s="1"/>
  <c r="E95" i="5"/>
  <c r="E107" i="1" s="1"/>
  <c r="E58" i="5"/>
  <c r="E70" i="1" s="1"/>
  <c r="F72" i="5"/>
  <c r="F84" i="1" s="1"/>
  <c r="E85" i="5"/>
  <c r="E97" i="1" s="1"/>
  <c r="E72" i="5"/>
  <c r="E84" i="1" s="1"/>
  <c r="F97" i="5"/>
  <c r="F109" i="1" s="1"/>
  <c r="E64" i="5"/>
  <c r="E76" i="1" s="1"/>
  <c r="F96" i="5"/>
  <c r="F108" i="1" s="1"/>
  <c r="E67" i="5"/>
  <c r="E79" i="1" s="1"/>
  <c r="E96" i="5"/>
  <c r="E108" i="1" s="1"/>
  <c r="F66" i="5"/>
  <c r="F78" i="1" s="1"/>
  <c r="F80" i="5"/>
  <c r="F92" i="1" s="1"/>
  <c r="E91" i="5"/>
  <c r="E103" i="1" s="1"/>
  <c r="F98" i="5"/>
  <c r="F110" i="1" s="1"/>
  <c r="E69" i="5"/>
  <c r="E81" i="1" s="1"/>
  <c r="F84" i="5"/>
  <c r="F96" i="1" s="1"/>
  <c r="E98" i="5"/>
  <c r="E110" i="1" s="1"/>
  <c r="F68" i="5"/>
  <c r="F80" i="1" s="1"/>
  <c r="F93" i="5"/>
  <c r="F105" i="1" s="1"/>
  <c r="F60" i="5"/>
  <c r="F72" i="1" s="1"/>
  <c r="F92" i="5"/>
  <c r="F104" i="1" s="1"/>
  <c r="E63" i="5"/>
  <c r="E75" i="1" s="1"/>
  <c r="E92" i="5"/>
  <c r="E104" i="1" s="1"/>
  <c r="F62" i="5"/>
  <c r="F74" i="1" s="1"/>
  <c r="E73" i="5"/>
  <c r="E85" i="1" s="1"/>
  <c r="E87" i="5"/>
  <c r="E99" i="1" s="1"/>
  <c r="F94" i="5"/>
  <c r="F106" i="1" s="1"/>
  <c r="E65" i="5"/>
  <c r="E77" i="1" s="1"/>
  <c r="E101" i="5"/>
  <c r="E113" i="1" s="1"/>
  <c r="F86" i="5"/>
  <c r="F98" i="1" s="1"/>
  <c r="E94" i="5"/>
  <c r="E106" i="1" s="1"/>
  <c r="F64" i="5"/>
  <c r="F76" i="1" s="1"/>
  <c r="F89" i="5"/>
  <c r="F101" i="1" s="1"/>
  <c r="E57" i="5"/>
  <c r="E69" i="1" s="1"/>
  <c r="F88" i="5"/>
  <c r="F100" i="1" s="1"/>
  <c r="F59" i="5"/>
  <c r="F71" i="1" s="1"/>
  <c r="E88" i="5"/>
  <c r="E100" i="1" s="1"/>
  <c r="E59" i="5"/>
  <c r="E71" i="1" s="1"/>
  <c r="E66" i="5"/>
  <c r="E78" i="1" s="1"/>
  <c r="F83" i="5"/>
  <c r="F95" i="1" s="1"/>
  <c r="F90" i="5"/>
  <c r="F102" i="1" s="1"/>
  <c r="F61" i="5"/>
  <c r="F73" i="1" s="1"/>
  <c r="E82" i="5"/>
  <c r="E94" i="1" s="1"/>
  <c r="E62" i="5"/>
  <c r="E74" i="1" s="1"/>
  <c r="G8" i="5"/>
  <c r="G11" i="5"/>
  <c r="G35" i="5"/>
  <c r="M16" i="5"/>
  <c r="M49" i="5"/>
  <c r="M26" i="5"/>
  <c r="M34" i="5"/>
  <c r="M41" i="5"/>
  <c r="M33" i="5"/>
  <c r="M17" i="5"/>
  <c r="M43" i="5"/>
  <c r="M48" i="5"/>
  <c r="M25" i="5"/>
  <c r="M19" i="5"/>
  <c r="M27" i="5"/>
  <c r="M35" i="5"/>
  <c r="M18" i="5"/>
  <c r="M14" i="5"/>
  <c r="M12" i="5"/>
  <c r="M47" i="5"/>
  <c r="M15" i="5"/>
  <c r="M45" i="5"/>
  <c r="M97" i="5" s="1"/>
  <c r="L109" i="1" s="1"/>
  <c r="M46" i="5"/>
  <c r="M30" i="5"/>
  <c r="M31" i="5"/>
  <c r="M42" i="5"/>
  <c r="M22" i="5"/>
  <c r="M37" i="5"/>
  <c r="M44" i="5"/>
  <c r="M28" i="5"/>
  <c r="M29" i="5"/>
  <c r="M40" i="5"/>
  <c r="M38" i="5"/>
  <c r="M36" i="5"/>
  <c r="M39" i="5"/>
  <c r="M13" i="5"/>
  <c r="M24" i="5"/>
  <c r="M21" i="5"/>
  <c r="M32" i="5"/>
  <c r="M20" i="5"/>
  <c r="M23" i="5"/>
  <c r="CT80" i="1"/>
  <c r="CT88" i="1"/>
  <c r="CT61" i="1"/>
  <c r="CT69" i="1"/>
  <c r="CT77" i="1"/>
  <c r="CT17" i="1"/>
  <c r="CT25" i="1"/>
  <c r="CT33" i="1"/>
  <c r="CT41" i="1"/>
  <c r="CT66" i="1"/>
  <c r="CT81" i="1"/>
  <c r="CT54" i="1"/>
  <c r="CT62" i="1"/>
  <c r="CT70" i="1"/>
  <c r="CT78" i="1"/>
  <c r="CT51" i="1"/>
  <c r="CT18" i="1"/>
  <c r="CT26" i="1"/>
  <c r="CT34" i="1"/>
  <c r="CT42" i="1"/>
  <c r="CT85" i="1"/>
  <c r="CT15" i="1"/>
  <c r="CT82" i="1"/>
  <c r="CT55" i="1"/>
  <c r="CT63" i="1"/>
  <c r="CT71" i="1"/>
  <c r="CT53" i="1"/>
  <c r="CT48" i="1"/>
  <c r="CT19" i="1"/>
  <c r="CT27" i="1"/>
  <c r="CT35" i="1"/>
  <c r="CT43" i="1"/>
  <c r="CT44" i="1"/>
  <c r="CT74" i="1"/>
  <c r="CT22" i="1"/>
  <c r="CT83" i="1"/>
  <c r="CT56" i="1"/>
  <c r="CT64" i="1"/>
  <c r="CT72" i="1"/>
  <c r="CT49" i="1"/>
  <c r="CT20" i="1"/>
  <c r="CT28" i="1"/>
  <c r="CT36" i="1"/>
  <c r="CT84" i="1"/>
  <c r="CT57" i="1"/>
  <c r="CT65" i="1"/>
  <c r="CT73" i="1"/>
  <c r="CT50" i="1"/>
  <c r="CT21" i="1"/>
  <c r="CT29" i="1"/>
  <c r="CT37" i="1"/>
  <c r="CT45" i="1"/>
  <c r="CT38" i="1"/>
  <c r="CT89" i="1"/>
  <c r="CT86" i="1"/>
  <c r="CT59" i="1"/>
  <c r="CT67" i="1"/>
  <c r="CT75" i="1"/>
  <c r="CT47" i="1"/>
  <c r="CT23" i="1"/>
  <c r="CT31" i="1"/>
  <c r="CT39" i="1"/>
  <c r="CT30" i="1"/>
  <c r="CT79" i="1"/>
  <c r="CT87" i="1"/>
  <c r="CT60" i="1"/>
  <c r="CT68" i="1"/>
  <c r="CT76" i="1"/>
  <c r="CT16" i="1"/>
  <c r="CT24" i="1"/>
  <c r="CT32" i="1"/>
  <c r="CT40" i="1"/>
  <c r="CT58" i="1"/>
  <c r="CT46" i="1"/>
  <c r="M113" i="5"/>
  <c r="M119" i="5"/>
  <c r="M125" i="5"/>
  <c r="M138" i="5"/>
  <c r="M118" i="5"/>
  <c r="M127" i="5"/>
  <c r="M141" i="5"/>
  <c r="M139" i="5"/>
  <c r="M120" i="5"/>
  <c r="M116" i="5"/>
  <c r="M117" i="5"/>
  <c r="M124" i="5"/>
  <c r="M122" i="5"/>
  <c r="M131" i="5"/>
  <c r="M135" i="5"/>
  <c r="M130" i="5"/>
  <c r="M126" i="5"/>
  <c r="M137" i="5"/>
  <c r="M110" i="5"/>
  <c r="M136" i="5"/>
  <c r="M114" i="5"/>
  <c r="M121" i="5"/>
  <c r="M132" i="5"/>
  <c r="M143" i="5"/>
  <c r="M188" i="5" s="1"/>
  <c r="CA113" i="1" s="1"/>
  <c r="M140" i="5"/>
  <c r="M134" i="5"/>
  <c r="K189" i="5"/>
  <c r="BY114" i="1" s="1"/>
  <c r="L186" i="5"/>
  <c r="BZ111" i="1" s="1"/>
  <c r="K181" i="5"/>
  <c r="BY106" i="1" s="1"/>
  <c r="L178" i="5"/>
  <c r="BZ103" i="1" s="1"/>
  <c r="K173" i="5"/>
  <c r="BY98" i="1" s="1"/>
  <c r="L170" i="5"/>
  <c r="BZ95" i="1" s="1"/>
  <c r="K165" i="5"/>
  <c r="BY90" i="1" s="1"/>
  <c r="L162" i="5"/>
  <c r="BZ87" i="1" s="1"/>
  <c r="K157" i="5"/>
  <c r="BY82" i="1" s="1"/>
  <c r="L154" i="5"/>
  <c r="BZ79" i="1" s="1"/>
  <c r="K186" i="5"/>
  <c r="BY111" i="1" s="1"/>
  <c r="L183" i="5"/>
  <c r="BZ108" i="1" s="1"/>
  <c r="K178" i="5"/>
  <c r="BY103" i="1" s="1"/>
  <c r="L175" i="5"/>
  <c r="BZ100" i="1" s="1"/>
  <c r="K170" i="5"/>
  <c r="BY95" i="1" s="1"/>
  <c r="L167" i="5"/>
  <c r="BZ92" i="1" s="1"/>
  <c r="K162" i="5"/>
  <c r="BY87" i="1" s="1"/>
  <c r="L159" i="5"/>
  <c r="BZ84" i="1" s="1"/>
  <c r="K154" i="5"/>
  <c r="BY79" i="1" s="1"/>
  <c r="K182" i="5"/>
  <c r="BY107" i="1" s="1"/>
  <c r="L171" i="5"/>
  <c r="BZ96" i="1" s="1"/>
  <c r="L188" i="5"/>
  <c r="BZ113" i="1" s="1"/>
  <c r="K183" i="5"/>
  <c r="BY108" i="1" s="1"/>
  <c r="L180" i="5"/>
  <c r="BZ105" i="1" s="1"/>
  <c r="K175" i="5"/>
  <c r="BY100" i="1" s="1"/>
  <c r="L172" i="5"/>
  <c r="BZ97" i="1" s="1"/>
  <c r="K167" i="5"/>
  <c r="BY92" i="1" s="1"/>
  <c r="L164" i="5"/>
  <c r="BZ89" i="1" s="1"/>
  <c r="K159" i="5"/>
  <c r="BY84" i="1" s="1"/>
  <c r="L156" i="5"/>
  <c r="BZ81" i="1" s="1"/>
  <c r="K166" i="5"/>
  <c r="BY91" i="1" s="1"/>
  <c r="K188" i="5"/>
  <c r="BY113" i="1" s="1"/>
  <c r="L185" i="5"/>
  <c r="BZ110" i="1" s="1"/>
  <c r="K180" i="5"/>
  <c r="BY105" i="1" s="1"/>
  <c r="L177" i="5"/>
  <c r="BZ102" i="1" s="1"/>
  <c r="K172" i="5"/>
  <c r="BY97" i="1" s="1"/>
  <c r="L169" i="5"/>
  <c r="BZ94" i="1" s="1"/>
  <c r="K164" i="5"/>
  <c r="BY89" i="1" s="1"/>
  <c r="L161" i="5"/>
  <c r="BZ86" i="1" s="1"/>
  <c r="K156" i="5"/>
  <c r="BY81" i="1" s="1"/>
  <c r="L153" i="5"/>
  <c r="BZ78" i="1" s="1"/>
  <c r="L179" i="5"/>
  <c r="BZ104" i="1" s="1"/>
  <c r="K158" i="5"/>
  <c r="BY83" i="1" s="1"/>
  <c r="K185" i="5"/>
  <c r="BY110" i="1" s="1"/>
  <c r="L182" i="5"/>
  <c r="BZ107" i="1" s="1"/>
  <c r="K177" i="5"/>
  <c r="BY102" i="1" s="1"/>
  <c r="L174" i="5"/>
  <c r="BZ99" i="1" s="1"/>
  <c r="K169" i="5"/>
  <c r="BY94" i="1" s="1"/>
  <c r="L166" i="5"/>
  <c r="BZ91" i="1" s="1"/>
  <c r="K161" i="5"/>
  <c r="BY86" i="1" s="1"/>
  <c r="L158" i="5"/>
  <c r="BZ83" i="1" s="1"/>
  <c r="K153" i="5"/>
  <c r="BY78" i="1" s="1"/>
  <c r="L187" i="5"/>
  <c r="BZ112" i="1" s="1"/>
  <c r="K174" i="5"/>
  <c r="BY99" i="1" s="1"/>
  <c r="L163" i="5"/>
  <c r="BZ88" i="1" s="1"/>
  <c r="L155" i="5"/>
  <c r="BZ80" i="1" s="1"/>
  <c r="K187" i="5"/>
  <c r="BY112" i="1" s="1"/>
  <c r="L184" i="5"/>
  <c r="BZ109" i="1" s="1"/>
  <c r="K179" i="5"/>
  <c r="BY104" i="1" s="1"/>
  <c r="L176" i="5"/>
  <c r="BZ101" i="1" s="1"/>
  <c r="K171" i="5"/>
  <c r="BY96" i="1" s="1"/>
  <c r="L168" i="5"/>
  <c r="BZ93" i="1" s="1"/>
  <c r="K163" i="5"/>
  <c r="BY88" i="1" s="1"/>
  <c r="L160" i="5"/>
  <c r="BZ85" i="1" s="1"/>
  <c r="K155" i="5"/>
  <c r="BY80" i="1" s="1"/>
  <c r="K184" i="5"/>
  <c r="BY109" i="1" s="1"/>
  <c r="L181" i="5"/>
  <c r="BZ106" i="1" s="1"/>
  <c r="K176" i="5"/>
  <c r="BY101" i="1" s="1"/>
  <c r="L173" i="5"/>
  <c r="BZ98" i="1" s="1"/>
  <c r="K168" i="5"/>
  <c r="BY93" i="1" s="1"/>
  <c r="L157" i="5"/>
  <c r="BZ82" i="1" s="1"/>
  <c r="L189" i="5"/>
  <c r="BZ114" i="1" s="1"/>
  <c r="L165" i="5"/>
  <c r="BZ90" i="1" s="1"/>
  <c r="K160" i="5"/>
  <c r="BY85" i="1" s="1"/>
  <c r="E186" i="5"/>
  <c r="BT111" i="1" s="1"/>
  <c r="F183" i="5"/>
  <c r="BU108" i="1" s="1"/>
  <c r="E178" i="5"/>
  <c r="BT103" i="1" s="1"/>
  <c r="F175" i="5"/>
  <c r="BU100" i="1" s="1"/>
  <c r="E170" i="5"/>
  <c r="BT95" i="1" s="1"/>
  <c r="F167" i="5"/>
  <c r="BU92" i="1" s="1"/>
  <c r="E162" i="5"/>
  <c r="BT87" i="1" s="1"/>
  <c r="F159" i="5"/>
  <c r="BU84" i="1" s="1"/>
  <c r="E154" i="5"/>
  <c r="BT79" i="1" s="1"/>
  <c r="E171" i="5"/>
  <c r="BT96" i="1" s="1"/>
  <c r="F162" i="5"/>
  <c r="BU87" i="1" s="1"/>
  <c r="F188" i="5"/>
  <c r="BU113" i="1" s="1"/>
  <c r="E183" i="5"/>
  <c r="BT108" i="1" s="1"/>
  <c r="F180" i="5"/>
  <c r="BU105" i="1" s="1"/>
  <c r="E175" i="5"/>
  <c r="BT100" i="1" s="1"/>
  <c r="F172" i="5"/>
  <c r="BU97" i="1" s="1"/>
  <c r="E167" i="5"/>
  <c r="BT92" i="1" s="1"/>
  <c r="F164" i="5"/>
  <c r="BU89" i="1" s="1"/>
  <c r="E159" i="5"/>
  <c r="BT84" i="1" s="1"/>
  <c r="F156" i="5"/>
  <c r="BU81" i="1" s="1"/>
  <c r="E187" i="5"/>
  <c r="BT112" i="1" s="1"/>
  <c r="F176" i="5"/>
  <c r="BU101" i="1" s="1"/>
  <c r="E163" i="5"/>
  <c r="BT88" i="1" s="1"/>
  <c r="E155" i="5"/>
  <c r="BT80" i="1" s="1"/>
  <c r="F154" i="5"/>
  <c r="BU79" i="1" s="1"/>
  <c r="E188" i="5"/>
  <c r="BT113" i="1" s="1"/>
  <c r="F185" i="5"/>
  <c r="BU110" i="1" s="1"/>
  <c r="E180" i="5"/>
  <c r="BT105" i="1" s="1"/>
  <c r="F177" i="5"/>
  <c r="BU102" i="1" s="1"/>
  <c r="E172" i="5"/>
  <c r="BT97" i="1" s="1"/>
  <c r="F169" i="5"/>
  <c r="BU94" i="1" s="1"/>
  <c r="E164" i="5"/>
  <c r="BT89" i="1" s="1"/>
  <c r="F161" i="5"/>
  <c r="BU86" i="1" s="1"/>
  <c r="E156" i="5"/>
  <c r="BT81" i="1" s="1"/>
  <c r="F153" i="5"/>
  <c r="BU78" i="1" s="1"/>
  <c r="E179" i="5"/>
  <c r="BT104" i="1" s="1"/>
  <c r="E185" i="5"/>
  <c r="BT110" i="1" s="1"/>
  <c r="F182" i="5"/>
  <c r="BU107" i="1" s="1"/>
  <c r="E177" i="5"/>
  <c r="BT102" i="1" s="1"/>
  <c r="F174" i="5"/>
  <c r="BU99" i="1" s="1"/>
  <c r="E169" i="5"/>
  <c r="BT94" i="1" s="1"/>
  <c r="F166" i="5"/>
  <c r="BU91" i="1" s="1"/>
  <c r="E161" i="5"/>
  <c r="BT86" i="1" s="1"/>
  <c r="F158" i="5"/>
  <c r="BU83" i="1" s="1"/>
  <c r="E153" i="5"/>
  <c r="BT78" i="1" s="1"/>
  <c r="F184" i="5"/>
  <c r="BU109" i="1" s="1"/>
  <c r="F160" i="5"/>
  <c r="BU85" i="1" s="1"/>
  <c r="E181" i="5"/>
  <c r="BT106" i="1" s="1"/>
  <c r="E165" i="5"/>
  <c r="BT90" i="1" s="1"/>
  <c r="F187" i="5"/>
  <c r="BU112" i="1" s="1"/>
  <c r="E182" i="5"/>
  <c r="BT107" i="1" s="1"/>
  <c r="F179" i="5"/>
  <c r="BU104" i="1" s="1"/>
  <c r="E174" i="5"/>
  <c r="BT99" i="1" s="1"/>
  <c r="F171" i="5"/>
  <c r="BU96" i="1" s="1"/>
  <c r="E166" i="5"/>
  <c r="BT91" i="1" s="1"/>
  <c r="F163" i="5"/>
  <c r="BU88" i="1" s="1"/>
  <c r="E158" i="5"/>
  <c r="BT83" i="1" s="1"/>
  <c r="F155" i="5"/>
  <c r="BU80" i="1" s="1"/>
  <c r="F168" i="5"/>
  <c r="BU93" i="1" s="1"/>
  <c r="E173" i="5"/>
  <c r="BT98" i="1" s="1"/>
  <c r="F189" i="5"/>
  <c r="BU114" i="1" s="1"/>
  <c r="E184" i="5"/>
  <c r="BT109" i="1" s="1"/>
  <c r="F181" i="5"/>
  <c r="BU106" i="1" s="1"/>
  <c r="E176" i="5"/>
  <c r="BT101" i="1" s="1"/>
  <c r="F173" i="5"/>
  <c r="BU98" i="1" s="1"/>
  <c r="E168" i="5"/>
  <c r="BT93" i="1" s="1"/>
  <c r="F165" i="5"/>
  <c r="BU90" i="1" s="1"/>
  <c r="E160" i="5"/>
  <c r="BT85" i="1" s="1"/>
  <c r="F157" i="5"/>
  <c r="BU82" i="1" s="1"/>
  <c r="E189" i="5"/>
  <c r="BT114" i="1" s="1"/>
  <c r="F178" i="5"/>
  <c r="BU103" i="1" s="1"/>
  <c r="F186" i="5"/>
  <c r="BU111" i="1" s="1"/>
  <c r="F170" i="5"/>
  <c r="BU95" i="1" s="1"/>
  <c r="E157" i="5"/>
  <c r="BT82" i="1" s="1"/>
  <c r="M145" i="5"/>
  <c r="M189" i="5" s="1"/>
  <c r="CA114" i="1" s="1"/>
  <c r="M112" i="5"/>
  <c r="M128" i="5"/>
  <c r="M109" i="5"/>
  <c r="M111" i="5"/>
  <c r="M115" i="5"/>
  <c r="M123" i="5"/>
  <c r="M133" i="5"/>
  <c r="M142" i="5"/>
  <c r="M129" i="5"/>
  <c r="G111" i="5"/>
  <c r="G136" i="5"/>
  <c r="G132" i="5"/>
  <c r="G130" i="5"/>
  <c r="G134" i="5"/>
  <c r="G133" i="5"/>
  <c r="G135" i="5"/>
  <c r="G131" i="5"/>
  <c r="G137" i="5"/>
  <c r="M8" i="5"/>
  <c r="G114" i="5"/>
  <c r="G110" i="5"/>
  <c r="M6" i="5"/>
  <c r="M9" i="5"/>
  <c r="G142" i="5"/>
  <c r="G129" i="5"/>
  <c r="M10" i="5"/>
  <c r="G144" i="5"/>
  <c r="G116" i="5"/>
  <c r="M7" i="5"/>
  <c r="G125" i="5"/>
  <c r="G122" i="5"/>
  <c r="G124" i="5"/>
  <c r="G117" i="5"/>
  <c r="G112" i="5"/>
  <c r="G123" i="5"/>
  <c r="G118" i="5"/>
  <c r="G127" i="5"/>
  <c r="G119" i="5"/>
  <c r="G109" i="5"/>
  <c r="G141" i="5"/>
  <c r="G121" i="5"/>
  <c r="G140" i="5"/>
  <c r="G120" i="5"/>
  <c r="M11" i="5"/>
  <c r="G138" i="5"/>
  <c r="G145" i="5"/>
  <c r="G139" i="5"/>
  <c r="G128" i="5"/>
  <c r="G113" i="5"/>
  <c r="M5" i="5"/>
  <c r="G126" i="5"/>
  <c r="G115" i="5"/>
  <c r="G143" i="5"/>
  <c r="H47" i="1"/>
  <c r="BW5" i="1"/>
  <c r="H45" i="1"/>
  <c r="H48" i="1"/>
  <c r="BW8" i="1"/>
  <c r="H44" i="1"/>
  <c r="H9" i="1"/>
  <c r="H5" i="1"/>
  <c r="H8" i="1"/>
  <c r="H6" i="1"/>
  <c r="H43" i="1" s="1"/>
  <c r="AF12" i="1"/>
  <c r="BW6" i="1"/>
  <c r="BW43" i="1" s="1"/>
  <c r="H42" i="1"/>
  <c r="AF7" i="1"/>
  <c r="I4" i="1"/>
  <c r="AF10" i="1"/>
  <c r="BW9" i="1"/>
  <c r="BW50" i="1" s="1"/>
  <c r="F11" i="1"/>
  <c r="AO26" i="1"/>
  <c r="AP26" i="1"/>
  <c r="AJ27" i="1"/>
  <c r="AJ28" i="1" s="1"/>
  <c r="AJ24" i="1"/>
  <c r="AK26" i="1"/>
  <c r="BW4" i="1"/>
  <c r="BV42" i="1"/>
  <c r="BU7" i="1"/>
  <c r="BU10" i="1" s="1"/>
  <c r="BU12" i="1"/>
  <c r="AU139" i="8"/>
  <c r="AT139" i="8"/>
  <c r="AS140" i="8"/>
  <c r="AQ139" i="8"/>
  <c r="AP139" i="8"/>
  <c r="AO140" i="8"/>
  <c r="AJ104" i="7"/>
  <c r="AL103" i="7"/>
  <c r="AK103" i="7"/>
  <c r="AP103" i="7"/>
  <c r="AO103" i="7"/>
  <c r="AP27" i="1"/>
  <c r="AO27" i="1"/>
  <c r="AN28" i="1"/>
  <c r="G7" i="1"/>
  <c r="G89" i="5" l="1"/>
  <c r="G101" i="1" s="1"/>
  <c r="G188" i="5"/>
  <c r="G99" i="5"/>
  <c r="G111" i="1" s="1"/>
  <c r="G96" i="5"/>
  <c r="G108" i="1" s="1"/>
  <c r="G100" i="5"/>
  <c r="G112" i="1" s="1"/>
  <c r="G97" i="5"/>
  <c r="G109" i="1" s="1"/>
  <c r="G98" i="5"/>
  <c r="G110" i="1" s="1"/>
  <c r="G101" i="5"/>
  <c r="G113" i="1" s="1"/>
  <c r="G64" i="5"/>
  <c r="G76" i="1" s="1"/>
  <c r="G77" i="5"/>
  <c r="G89" i="1" s="1"/>
  <c r="G91" i="5"/>
  <c r="G103" i="1" s="1"/>
  <c r="G61" i="5"/>
  <c r="G73" i="1" s="1"/>
  <c r="G95" i="5"/>
  <c r="G107" i="1" s="1"/>
  <c r="G62" i="5"/>
  <c r="G74" i="1" s="1"/>
  <c r="G72" i="5"/>
  <c r="G84" i="1" s="1"/>
  <c r="G87" i="5"/>
  <c r="G99" i="1" s="1"/>
  <c r="G66" i="5"/>
  <c r="G78" i="1" s="1"/>
  <c r="M86" i="5"/>
  <c r="L98" i="1" s="1"/>
  <c r="M181" i="5"/>
  <c r="CA106" i="1" s="1"/>
  <c r="M78" i="5"/>
  <c r="L90" i="1" s="1"/>
  <c r="M96" i="5"/>
  <c r="L108" i="1" s="1"/>
  <c r="M101" i="5"/>
  <c r="L113" i="1" s="1"/>
  <c r="M91" i="5"/>
  <c r="L103" i="1" s="1"/>
  <c r="M94" i="5"/>
  <c r="L106" i="1" s="1"/>
  <c r="G94" i="5"/>
  <c r="G106" i="1" s="1"/>
  <c r="M59" i="5"/>
  <c r="L71" i="1" s="1"/>
  <c r="M66" i="5"/>
  <c r="L78" i="1" s="1"/>
  <c r="M57" i="5"/>
  <c r="L69" i="1" s="1"/>
  <c r="M69" i="1" s="1"/>
  <c r="G90" i="5"/>
  <c r="G102" i="1" s="1"/>
  <c r="M92" i="5"/>
  <c r="L104" i="1" s="1"/>
  <c r="G88" i="5"/>
  <c r="G100" i="1" s="1"/>
  <c r="M89" i="5"/>
  <c r="L101" i="1" s="1"/>
  <c r="M99" i="5"/>
  <c r="L111" i="1" s="1"/>
  <c r="M100" i="5"/>
  <c r="L112" i="1" s="1"/>
  <c r="M95" i="5"/>
  <c r="L107" i="1" s="1"/>
  <c r="M90" i="5"/>
  <c r="L102" i="1" s="1"/>
  <c r="G93" i="5"/>
  <c r="G105" i="1" s="1"/>
  <c r="G60" i="5"/>
  <c r="G72" i="1" s="1"/>
  <c r="M93" i="5"/>
  <c r="L105" i="1" s="1"/>
  <c r="M98" i="5"/>
  <c r="L110" i="1" s="1"/>
  <c r="G92" i="5"/>
  <c r="G104" i="1" s="1"/>
  <c r="G78" i="5"/>
  <c r="G90" i="1" s="1"/>
  <c r="G79" i="5"/>
  <c r="G91" i="1" s="1"/>
  <c r="G67" i="5"/>
  <c r="G79" i="1" s="1"/>
  <c r="G73" i="5"/>
  <c r="G85" i="1" s="1"/>
  <c r="G69" i="5"/>
  <c r="G81" i="1" s="1"/>
  <c r="G71" i="5"/>
  <c r="G83" i="1" s="1"/>
  <c r="G76" i="5"/>
  <c r="G88" i="1" s="1"/>
  <c r="BU54" i="1"/>
  <c r="G86" i="5"/>
  <c r="G98" i="1" s="1"/>
  <c r="G83" i="5"/>
  <c r="G95" i="1" s="1"/>
  <c r="M83" i="5"/>
  <c r="L95" i="1" s="1"/>
  <c r="G65" i="5"/>
  <c r="G77" i="1" s="1"/>
  <c r="M76" i="5"/>
  <c r="L88" i="1" s="1"/>
  <c r="G75" i="5"/>
  <c r="G87" i="1" s="1"/>
  <c r="M68" i="5"/>
  <c r="L80" i="1" s="1"/>
  <c r="M71" i="5"/>
  <c r="L83" i="1" s="1"/>
  <c r="G82" i="5"/>
  <c r="G94" i="1" s="1"/>
  <c r="G68" i="5"/>
  <c r="G80" i="1" s="1"/>
  <c r="G58" i="5"/>
  <c r="G70" i="1" s="1"/>
  <c r="G57" i="5"/>
  <c r="G69" i="1" s="1"/>
  <c r="H69" i="1" s="1"/>
  <c r="M82" i="5"/>
  <c r="L94" i="1" s="1"/>
  <c r="M74" i="5"/>
  <c r="L86" i="1" s="1"/>
  <c r="M80" i="5"/>
  <c r="L92" i="1" s="1"/>
  <c r="M79" i="5"/>
  <c r="L91" i="1" s="1"/>
  <c r="G74" i="5"/>
  <c r="G86" i="1" s="1"/>
  <c r="G84" i="5"/>
  <c r="G96" i="1" s="1"/>
  <c r="M88" i="5"/>
  <c r="L100" i="1" s="1"/>
  <c r="M69" i="5"/>
  <c r="L81" i="1" s="1"/>
  <c r="M72" i="5"/>
  <c r="L84" i="1" s="1"/>
  <c r="G70" i="5"/>
  <c r="G82" i="1" s="1"/>
  <c r="G63" i="5"/>
  <c r="G75" i="1" s="1"/>
  <c r="G80" i="5"/>
  <c r="G92" i="1" s="1"/>
  <c r="M65" i="5"/>
  <c r="L77" i="1" s="1"/>
  <c r="M70" i="5"/>
  <c r="L82" i="1" s="1"/>
  <c r="M62" i="5"/>
  <c r="L74" i="1" s="1"/>
  <c r="M160" i="5"/>
  <c r="CA85" i="1" s="1"/>
  <c r="M77" i="5"/>
  <c r="L89" i="1" s="1"/>
  <c r="M63" i="5"/>
  <c r="L75" i="1" s="1"/>
  <c r="G81" i="5"/>
  <c r="G93" i="1" s="1"/>
  <c r="M67" i="5"/>
  <c r="L79" i="1" s="1"/>
  <c r="M64" i="5"/>
  <c r="L76" i="1" s="1"/>
  <c r="M58" i="5"/>
  <c r="L70" i="1" s="1"/>
  <c r="M85" i="5"/>
  <c r="L97" i="1" s="1"/>
  <c r="M73" i="5"/>
  <c r="L85" i="1" s="1"/>
  <c r="M61" i="5"/>
  <c r="L73" i="1" s="1"/>
  <c r="G59" i="5"/>
  <c r="G71" i="1" s="1"/>
  <c r="G85" i="5"/>
  <c r="G97" i="1" s="1"/>
  <c r="M75" i="5"/>
  <c r="L87" i="1" s="1"/>
  <c r="M84" i="5"/>
  <c r="L96" i="1" s="1"/>
  <c r="M87" i="5"/>
  <c r="L99" i="1" s="1"/>
  <c r="M81" i="5"/>
  <c r="L93" i="1" s="1"/>
  <c r="BU49" i="1"/>
  <c r="BU51" i="1"/>
  <c r="M60" i="5"/>
  <c r="L72" i="1" s="1"/>
  <c r="G187" i="5"/>
  <c r="BV112" i="1" s="1"/>
  <c r="G189" i="5"/>
  <c r="BV114" i="1" s="1"/>
  <c r="M164" i="5"/>
  <c r="CA89" i="1" s="1"/>
  <c r="M170" i="5"/>
  <c r="CA95" i="1" s="1"/>
  <c r="M163" i="5"/>
  <c r="CA88" i="1" s="1"/>
  <c r="BU53" i="1"/>
  <c r="BU52" i="1"/>
  <c r="BU55" i="1"/>
  <c r="BU44" i="1"/>
  <c r="BU45" i="1"/>
  <c r="BU46" i="1"/>
  <c r="BU48" i="1"/>
  <c r="BU56" i="1"/>
  <c r="BU47" i="1"/>
  <c r="M158" i="5"/>
  <c r="CA83" i="1" s="1"/>
  <c r="M166" i="5"/>
  <c r="CA91" i="1" s="1"/>
  <c r="M161" i="5"/>
  <c r="CA86" i="1" s="1"/>
  <c r="M165" i="5"/>
  <c r="CA90" i="1" s="1"/>
  <c r="M179" i="5"/>
  <c r="CA104" i="1" s="1"/>
  <c r="M185" i="5"/>
  <c r="CA110" i="1" s="1"/>
  <c r="M176" i="5"/>
  <c r="CA101" i="1" s="1"/>
  <c r="M157" i="5"/>
  <c r="CA82" i="1" s="1"/>
  <c r="M183" i="5"/>
  <c r="CA108" i="1" s="1"/>
  <c r="M155" i="5"/>
  <c r="CA80" i="1" s="1"/>
  <c r="G182" i="5"/>
  <c r="BV107" i="1" s="1"/>
  <c r="G158" i="5"/>
  <c r="BV83" i="1" s="1"/>
  <c r="G163" i="5"/>
  <c r="BV88" i="1" s="1"/>
  <c r="G162" i="5"/>
  <c r="BV87" i="1" s="1"/>
  <c r="G166" i="5"/>
  <c r="BV91" i="1" s="1"/>
  <c r="M175" i="5"/>
  <c r="CA100" i="1" s="1"/>
  <c r="G165" i="5"/>
  <c r="BV90" i="1" s="1"/>
  <c r="M177" i="5"/>
  <c r="CA102" i="1" s="1"/>
  <c r="G178" i="5"/>
  <c r="BV103" i="1" s="1"/>
  <c r="M184" i="5"/>
  <c r="CA109" i="1" s="1"/>
  <c r="M153" i="5"/>
  <c r="CA78" i="1" s="1"/>
  <c r="CB78" i="1" s="1"/>
  <c r="M171" i="5"/>
  <c r="CA96" i="1" s="1"/>
  <c r="G171" i="5"/>
  <c r="BV96" i="1" s="1"/>
  <c r="G176" i="5"/>
  <c r="BV101" i="1" s="1"/>
  <c r="M156" i="5"/>
  <c r="CA81" i="1" s="1"/>
  <c r="G172" i="5"/>
  <c r="BV97" i="1" s="1"/>
  <c r="G169" i="5"/>
  <c r="BV94" i="1" s="1"/>
  <c r="M186" i="5"/>
  <c r="CA111" i="1" s="1"/>
  <c r="M180" i="5"/>
  <c r="CA105" i="1" s="1"/>
  <c r="M182" i="5"/>
  <c r="CA107" i="1" s="1"/>
  <c r="G183" i="5"/>
  <c r="BV108" i="1" s="1"/>
  <c r="G157" i="5"/>
  <c r="BV82" i="1" s="1"/>
  <c r="M162" i="5"/>
  <c r="CA87" i="1" s="1"/>
  <c r="M169" i="5"/>
  <c r="CA94" i="1" s="1"/>
  <c r="M178" i="5"/>
  <c r="CA103" i="1" s="1"/>
  <c r="G167" i="5"/>
  <c r="BV92" i="1" s="1"/>
  <c r="G168" i="5"/>
  <c r="BV93" i="1" s="1"/>
  <c r="M187" i="5"/>
  <c r="CA112" i="1" s="1"/>
  <c r="CU84" i="1"/>
  <c r="CU57" i="1"/>
  <c r="CU65" i="1"/>
  <c r="CU73" i="1"/>
  <c r="CU51" i="1"/>
  <c r="CU46" i="1"/>
  <c r="CU22" i="1"/>
  <c r="CU30" i="1"/>
  <c r="CU38" i="1"/>
  <c r="CU15" i="1"/>
  <c r="CU54" i="1"/>
  <c r="CU43" i="1"/>
  <c r="CU85" i="1"/>
  <c r="CU58" i="1"/>
  <c r="CU66" i="1"/>
  <c r="CU74" i="1"/>
  <c r="CU47" i="1"/>
  <c r="CU23" i="1"/>
  <c r="CU31" i="1"/>
  <c r="CU39" i="1"/>
  <c r="CU89" i="1"/>
  <c r="CU35" i="1"/>
  <c r="CU86" i="1"/>
  <c r="CU59" i="1"/>
  <c r="CU67" i="1"/>
  <c r="CU75" i="1"/>
  <c r="CU16" i="1"/>
  <c r="CU24" i="1"/>
  <c r="CU32" i="1"/>
  <c r="CU40" i="1"/>
  <c r="CU62" i="1"/>
  <c r="CU79" i="1"/>
  <c r="CU87" i="1"/>
  <c r="CU60" i="1"/>
  <c r="CU68" i="1"/>
  <c r="CU76" i="1"/>
  <c r="CU17" i="1"/>
  <c r="CU25" i="1"/>
  <c r="CU33" i="1"/>
  <c r="CU41" i="1"/>
  <c r="CU78" i="1"/>
  <c r="CU27" i="1"/>
  <c r="CU80" i="1"/>
  <c r="CU88" i="1"/>
  <c r="CU61" i="1"/>
  <c r="CU69" i="1"/>
  <c r="CU77" i="1"/>
  <c r="CU18" i="1"/>
  <c r="CU26" i="1"/>
  <c r="CU34" i="1"/>
  <c r="CU42" i="1"/>
  <c r="CU81" i="1"/>
  <c r="CU48" i="1"/>
  <c r="CU82" i="1"/>
  <c r="CU55" i="1"/>
  <c r="CU63" i="1"/>
  <c r="CU71" i="1"/>
  <c r="CU53" i="1"/>
  <c r="CU49" i="1"/>
  <c r="CU20" i="1"/>
  <c r="CU28" i="1"/>
  <c r="CU36" i="1"/>
  <c r="CU44" i="1"/>
  <c r="CU70" i="1"/>
  <c r="CU19" i="1"/>
  <c r="CU83" i="1"/>
  <c r="CU56" i="1"/>
  <c r="CU64" i="1"/>
  <c r="CU72" i="1"/>
  <c r="CU50" i="1"/>
  <c r="CU21" i="1"/>
  <c r="CU29" i="1"/>
  <c r="CU37" i="1"/>
  <c r="CU45" i="1"/>
  <c r="G154" i="5"/>
  <c r="BV79" i="1" s="1"/>
  <c r="M159" i="5"/>
  <c r="CA84" i="1" s="1"/>
  <c r="M173" i="5"/>
  <c r="CA98" i="1" s="1"/>
  <c r="M167" i="5"/>
  <c r="CA92" i="1" s="1"/>
  <c r="M154" i="5"/>
  <c r="CA79" i="1" s="1"/>
  <c r="M168" i="5"/>
  <c r="CA93" i="1" s="1"/>
  <c r="M174" i="5"/>
  <c r="CA99" i="1" s="1"/>
  <c r="M172" i="5"/>
  <c r="CA97" i="1" s="1"/>
  <c r="G181" i="5"/>
  <c r="BV106" i="1" s="1"/>
  <c r="G153" i="5"/>
  <c r="BV78" i="1" s="1"/>
  <c r="BW78" i="1" s="1"/>
  <c r="G173" i="5"/>
  <c r="BV98" i="1" s="1"/>
  <c r="G177" i="5"/>
  <c r="BV102" i="1" s="1"/>
  <c r="G186" i="5"/>
  <c r="BV111" i="1" s="1"/>
  <c r="G156" i="5"/>
  <c r="BV81" i="1" s="1"/>
  <c r="G160" i="5"/>
  <c r="BV85" i="1" s="1"/>
  <c r="G175" i="5"/>
  <c r="BV100" i="1" s="1"/>
  <c r="G161" i="5"/>
  <c r="BV86" i="1" s="1"/>
  <c r="G180" i="5"/>
  <c r="BV105" i="1" s="1"/>
  <c r="BV113" i="1"/>
  <c r="G170" i="5"/>
  <c r="BV95" i="1" s="1"/>
  <c r="G159" i="5"/>
  <c r="BV84" i="1" s="1"/>
  <c r="G184" i="5"/>
  <c r="BV109" i="1" s="1"/>
  <c r="G155" i="5"/>
  <c r="BV80" i="1" s="1"/>
  <c r="G174" i="5"/>
  <c r="BV99" i="1" s="1"/>
  <c r="G185" i="5"/>
  <c r="BV110" i="1" s="1"/>
  <c r="G179" i="5"/>
  <c r="BV104" i="1" s="1"/>
  <c r="G164" i="5"/>
  <c r="BV89" i="1" s="1"/>
  <c r="BX5" i="1"/>
  <c r="BX8" i="1"/>
  <c r="I48" i="1"/>
  <c r="I45" i="1"/>
  <c r="I47" i="1"/>
  <c r="I44" i="1"/>
  <c r="I6" i="1"/>
  <c r="I43" i="1" s="1"/>
  <c r="I8" i="1"/>
  <c r="I9" i="1"/>
  <c r="I46" i="1" s="1"/>
  <c r="I5" i="1"/>
  <c r="BX6" i="1"/>
  <c r="BX43" i="1" s="1"/>
  <c r="BX9" i="1"/>
  <c r="BX50" i="1" s="1"/>
  <c r="AG12" i="1"/>
  <c r="J4" i="1"/>
  <c r="AG10" i="1"/>
  <c r="I42" i="1"/>
  <c r="AG7" i="1"/>
  <c r="H11" i="1"/>
  <c r="BU11" i="1"/>
  <c r="BU13" i="1" s="1"/>
  <c r="H10" i="1"/>
  <c r="H46" i="1"/>
  <c r="G10" i="1"/>
  <c r="G46" i="1"/>
  <c r="G11" i="1"/>
  <c r="AK27" i="1"/>
  <c r="AL27" i="1"/>
  <c r="BV12" i="1"/>
  <c r="BX4" i="1"/>
  <c r="BW42" i="1"/>
  <c r="BV7" i="1"/>
  <c r="BV10" i="1" s="1"/>
  <c r="AQ140" i="8"/>
  <c r="AP140" i="8"/>
  <c r="AO141" i="8"/>
  <c r="AT140" i="8"/>
  <c r="AU140" i="8"/>
  <c r="AS141" i="8"/>
  <c r="AJ105" i="7"/>
  <c r="AK104" i="7"/>
  <c r="AL104" i="7"/>
  <c r="AO104" i="7"/>
  <c r="AP104" i="7"/>
  <c r="AP28" i="1"/>
  <c r="AO28" i="1"/>
  <c r="AN29" i="1"/>
  <c r="AL28" i="1"/>
  <c r="AK28" i="1"/>
  <c r="AJ29" i="1"/>
  <c r="H70" i="1" l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BV47" i="1"/>
  <c r="BV51" i="1"/>
  <c r="BV56" i="1"/>
  <c r="BV49" i="1"/>
  <c r="BV53" i="1"/>
  <c r="BV45" i="1"/>
  <c r="BV55" i="1"/>
  <c r="BV44" i="1"/>
  <c r="BV48" i="1"/>
  <c r="BV54" i="1"/>
  <c r="BV52" i="1"/>
  <c r="BV46" i="1"/>
  <c r="CB79" i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BW79" i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M70" i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CV80" i="1"/>
  <c r="CV88" i="1"/>
  <c r="CV61" i="1"/>
  <c r="CV69" i="1"/>
  <c r="CV77" i="1"/>
  <c r="CV18" i="1"/>
  <c r="CV26" i="1"/>
  <c r="CV34" i="1"/>
  <c r="CV42" i="1"/>
  <c r="CV47" i="1"/>
  <c r="CV81" i="1"/>
  <c r="CV54" i="1"/>
  <c r="CV62" i="1"/>
  <c r="CV70" i="1"/>
  <c r="CV78" i="1"/>
  <c r="CV48" i="1"/>
  <c r="CV19" i="1"/>
  <c r="CV27" i="1"/>
  <c r="CV35" i="1"/>
  <c r="CV43" i="1"/>
  <c r="CV66" i="1"/>
  <c r="CV39" i="1"/>
  <c r="CV82" i="1"/>
  <c r="CV55" i="1"/>
  <c r="CV63" i="1"/>
  <c r="CV71" i="1"/>
  <c r="CV53" i="1"/>
  <c r="CV49" i="1"/>
  <c r="CV20" i="1"/>
  <c r="CV28" i="1"/>
  <c r="CV36" i="1"/>
  <c r="CV44" i="1"/>
  <c r="CV31" i="1"/>
  <c r="CV83" i="1"/>
  <c r="CV56" i="1"/>
  <c r="CV64" i="1"/>
  <c r="CV72" i="1"/>
  <c r="CV50" i="1"/>
  <c r="CV21" i="1"/>
  <c r="CV29" i="1"/>
  <c r="CV37" i="1"/>
  <c r="CV45" i="1"/>
  <c r="CV58" i="1"/>
  <c r="CV89" i="1"/>
  <c r="CV84" i="1"/>
  <c r="CV57" i="1"/>
  <c r="CV65" i="1"/>
  <c r="CV73" i="1"/>
  <c r="CV46" i="1"/>
  <c r="CV22" i="1"/>
  <c r="CV30" i="1"/>
  <c r="CV38" i="1"/>
  <c r="CV15" i="1"/>
  <c r="CV86" i="1"/>
  <c r="CV59" i="1"/>
  <c r="CV67" i="1"/>
  <c r="CV75" i="1"/>
  <c r="CV16" i="1"/>
  <c r="CV24" i="1"/>
  <c r="CV32" i="1"/>
  <c r="CV40" i="1"/>
  <c r="CV85" i="1"/>
  <c r="CV79" i="1"/>
  <c r="CV87" i="1"/>
  <c r="CV60" i="1"/>
  <c r="CV68" i="1"/>
  <c r="CV76" i="1"/>
  <c r="CV51" i="1"/>
  <c r="CV17" i="1"/>
  <c r="CV25" i="1"/>
  <c r="CV33" i="1"/>
  <c r="CV41" i="1"/>
  <c r="CV74" i="1"/>
  <c r="CV23" i="1"/>
  <c r="BY5" i="1"/>
  <c r="BY8" i="1"/>
  <c r="J48" i="1"/>
  <c r="J44" i="1"/>
  <c r="J47" i="1"/>
  <c r="J45" i="1"/>
  <c r="BY6" i="1"/>
  <c r="BY43" i="1" s="1"/>
  <c r="J6" i="1"/>
  <c r="J9" i="1"/>
  <c r="J46" i="1" s="1"/>
  <c r="J8" i="1"/>
  <c r="J5" i="1"/>
  <c r="K4" i="1"/>
  <c r="BY9" i="1"/>
  <c r="BY50" i="1" s="1"/>
  <c r="AH10" i="1"/>
  <c r="J42" i="1"/>
  <c r="I11" i="1"/>
  <c r="AH7" i="1"/>
  <c r="AH12" i="1"/>
  <c r="I10" i="1"/>
  <c r="BV11" i="1"/>
  <c r="BV13" i="1" s="1"/>
  <c r="BY4" i="1"/>
  <c r="BX42" i="1"/>
  <c r="BW12" i="1"/>
  <c r="BW10" i="1"/>
  <c r="BW11" i="1"/>
  <c r="BW7" i="1"/>
  <c r="AU141" i="8"/>
  <c r="AT141" i="8"/>
  <c r="AS142" i="8"/>
  <c r="AP141" i="8"/>
  <c r="AQ141" i="8"/>
  <c r="AO142" i="8"/>
  <c r="AJ106" i="7"/>
  <c r="AK105" i="7"/>
  <c r="AL105" i="7"/>
  <c r="AP105" i="7"/>
  <c r="AO105" i="7"/>
  <c r="AL29" i="1"/>
  <c r="AK29" i="1"/>
  <c r="AJ30" i="1"/>
  <c r="AP29" i="1"/>
  <c r="AO29" i="1"/>
  <c r="AN30" i="1"/>
  <c r="BW45" i="1" l="1"/>
  <c r="BW47" i="1"/>
  <c r="BW55" i="1"/>
  <c r="BW53" i="1"/>
  <c r="BW49" i="1"/>
  <c r="BW44" i="1"/>
  <c r="BW51" i="1"/>
  <c r="BW46" i="1"/>
  <c r="BW56" i="1"/>
  <c r="BW52" i="1"/>
  <c r="BW54" i="1"/>
  <c r="BW48" i="1"/>
  <c r="CW84" i="1"/>
  <c r="CW57" i="1"/>
  <c r="CW65" i="1"/>
  <c r="CW73" i="1"/>
  <c r="CW46" i="1"/>
  <c r="CW22" i="1"/>
  <c r="CW30" i="1"/>
  <c r="CW38" i="1"/>
  <c r="CW15" i="1"/>
  <c r="CW78" i="1"/>
  <c r="CW85" i="1"/>
  <c r="CW58" i="1"/>
  <c r="CW66" i="1"/>
  <c r="CW74" i="1"/>
  <c r="CW47" i="1"/>
  <c r="CW23" i="1"/>
  <c r="CW31" i="1"/>
  <c r="CW39" i="1"/>
  <c r="CW81" i="1"/>
  <c r="CW35" i="1"/>
  <c r="CW86" i="1"/>
  <c r="CW59" i="1"/>
  <c r="CW67" i="1"/>
  <c r="CW75" i="1"/>
  <c r="CW16" i="1"/>
  <c r="CW24" i="1"/>
  <c r="CW32" i="1"/>
  <c r="CW40" i="1"/>
  <c r="CW62" i="1"/>
  <c r="CW48" i="1"/>
  <c r="CW89" i="1"/>
  <c r="CW79" i="1"/>
  <c r="CW87" i="1"/>
  <c r="CW60" i="1"/>
  <c r="CW68" i="1"/>
  <c r="CW76" i="1"/>
  <c r="CW17" i="1"/>
  <c r="CW25" i="1"/>
  <c r="CW33" i="1"/>
  <c r="CW41" i="1"/>
  <c r="CW43" i="1"/>
  <c r="CW80" i="1"/>
  <c r="CW88" i="1"/>
  <c r="CW61" i="1"/>
  <c r="CW69" i="1"/>
  <c r="CW77" i="1"/>
  <c r="CW18" i="1"/>
  <c r="CW26" i="1"/>
  <c r="CW34" i="1"/>
  <c r="CW42" i="1"/>
  <c r="CW54" i="1"/>
  <c r="CW19" i="1"/>
  <c r="CW82" i="1"/>
  <c r="CW55" i="1"/>
  <c r="CW63" i="1"/>
  <c r="CW71" i="1"/>
  <c r="CW53" i="1"/>
  <c r="CW51" i="1"/>
  <c r="CW49" i="1"/>
  <c r="CW20" i="1"/>
  <c r="CW28" i="1"/>
  <c r="CW36" i="1"/>
  <c r="CW44" i="1"/>
  <c r="CW27" i="1"/>
  <c r="CW83" i="1"/>
  <c r="CW56" i="1"/>
  <c r="CW64" i="1"/>
  <c r="CW72" i="1"/>
  <c r="CW50" i="1"/>
  <c r="CW21" i="1"/>
  <c r="CW29" i="1"/>
  <c r="CW37" i="1"/>
  <c r="CW45" i="1"/>
  <c r="CW70" i="1"/>
  <c r="K45" i="1"/>
  <c r="BZ8" i="1"/>
  <c r="K47" i="1"/>
  <c r="BZ5" i="1"/>
  <c r="K48" i="1"/>
  <c r="K44" i="1"/>
  <c r="K6" i="1"/>
  <c r="K9" i="1"/>
  <c r="K46" i="1" s="1"/>
  <c r="K8" i="1"/>
  <c r="K5" i="1"/>
  <c r="P6" i="1"/>
  <c r="AI7" i="1"/>
  <c r="P11" i="1"/>
  <c r="Q7" i="1"/>
  <c r="AI12" i="1"/>
  <c r="P7" i="1"/>
  <c r="BZ6" i="1"/>
  <c r="BZ43" i="1" s="1"/>
  <c r="R7" i="1"/>
  <c r="P4" i="1"/>
  <c r="AI10" i="1"/>
  <c r="BZ9" i="1"/>
  <c r="BZ50" i="1" s="1"/>
  <c r="L4" i="1"/>
  <c r="P8" i="1"/>
  <c r="P9" i="1"/>
  <c r="K42" i="1"/>
  <c r="J7" i="1"/>
  <c r="J10" i="1"/>
  <c r="J11" i="1"/>
  <c r="J43" i="1"/>
  <c r="BX11" i="1"/>
  <c r="BX10" i="1"/>
  <c r="BX12" i="1"/>
  <c r="BX7" i="1"/>
  <c r="BW13" i="1"/>
  <c r="BY11" i="1"/>
  <c r="BY42" i="1"/>
  <c r="BZ4" i="1"/>
  <c r="AQ142" i="8"/>
  <c r="AP142" i="8"/>
  <c r="AO143" i="8"/>
  <c r="AU142" i="8"/>
  <c r="AT142" i="8"/>
  <c r="AS143" i="8"/>
  <c r="AJ107" i="7"/>
  <c r="AK106" i="7"/>
  <c r="AL106" i="7"/>
  <c r="AO106" i="7"/>
  <c r="AP106" i="7"/>
  <c r="AP30" i="1"/>
  <c r="AO30" i="1"/>
  <c r="AN31" i="1"/>
  <c r="AL30" i="1"/>
  <c r="AK30" i="1"/>
  <c r="AJ31" i="1"/>
  <c r="I12" i="1"/>
  <c r="I13" i="1" s="1"/>
  <c r="I7" i="1"/>
  <c r="J12" i="1"/>
  <c r="F12" i="1"/>
  <c r="F13" i="1" s="1"/>
  <c r="G12" i="1"/>
  <c r="G13" i="1" s="1"/>
  <c r="H7" i="1"/>
  <c r="H12" i="1"/>
  <c r="H13" i="1" s="1"/>
  <c r="BX56" i="1" l="1"/>
  <c r="BX47" i="1"/>
  <c r="BX49" i="1"/>
  <c r="BX51" i="1"/>
  <c r="BX52" i="1"/>
  <c r="BX54" i="1"/>
  <c r="BX48" i="1"/>
  <c r="BX46" i="1"/>
  <c r="BX45" i="1"/>
  <c r="BX55" i="1"/>
  <c r="BX53" i="1"/>
  <c r="BX44" i="1"/>
  <c r="CX80" i="1"/>
  <c r="CX88" i="1"/>
  <c r="CX61" i="1"/>
  <c r="CX69" i="1"/>
  <c r="CX77" i="1"/>
  <c r="CX18" i="1"/>
  <c r="CX26" i="1"/>
  <c r="CX34" i="1"/>
  <c r="CX42" i="1"/>
  <c r="CX66" i="1"/>
  <c r="CX31" i="1"/>
  <c r="CX81" i="1"/>
  <c r="CX54" i="1"/>
  <c r="CX62" i="1"/>
  <c r="CX70" i="1"/>
  <c r="CX78" i="1"/>
  <c r="CX48" i="1"/>
  <c r="CX19" i="1"/>
  <c r="CX27" i="1"/>
  <c r="CX35" i="1"/>
  <c r="CX43" i="1"/>
  <c r="CX85" i="1"/>
  <c r="CX23" i="1"/>
  <c r="CX89" i="1"/>
  <c r="CX82" i="1"/>
  <c r="CX55" i="1"/>
  <c r="CX63" i="1"/>
  <c r="CX71" i="1"/>
  <c r="CX53" i="1"/>
  <c r="CX49" i="1"/>
  <c r="CX20" i="1"/>
  <c r="CX28" i="1"/>
  <c r="CX36" i="1"/>
  <c r="CX44" i="1"/>
  <c r="CX83" i="1"/>
  <c r="CX56" i="1"/>
  <c r="CX64" i="1"/>
  <c r="CX72" i="1"/>
  <c r="CX50" i="1"/>
  <c r="CX21" i="1"/>
  <c r="CX29" i="1"/>
  <c r="CX37" i="1"/>
  <c r="CX45" i="1"/>
  <c r="CX74" i="1"/>
  <c r="CX47" i="1"/>
  <c r="CX84" i="1"/>
  <c r="CX57" i="1"/>
  <c r="CX65" i="1"/>
  <c r="CX73" i="1"/>
  <c r="CX46" i="1"/>
  <c r="CX22" i="1"/>
  <c r="CX30" i="1"/>
  <c r="CX38" i="1"/>
  <c r="CX15" i="1"/>
  <c r="CX51" i="1"/>
  <c r="CX86" i="1"/>
  <c r="CX59" i="1"/>
  <c r="CX67" i="1"/>
  <c r="CX75" i="1"/>
  <c r="CX16" i="1"/>
  <c r="CX24" i="1"/>
  <c r="CX32" i="1"/>
  <c r="CX40" i="1"/>
  <c r="CX58" i="1"/>
  <c r="CX79" i="1"/>
  <c r="CX87" i="1"/>
  <c r="CX60" i="1"/>
  <c r="CX68" i="1"/>
  <c r="CX76" i="1"/>
  <c r="CX17" i="1"/>
  <c r="CX25" i="1"/>
  <c r="CX33" i="1"/>
  <c r="CX41" i="1"/>
  <c r="CX39" i="1"/>
  <c r="CA5" i="1"/>
  <c r="L47" i="1"/>
  <c r="M47" i="1" s="1"/>
  <c r="CA8" i="1"/>
  <c r="L48" i="1"/>
  <c r="M48" i="1" s="1"/>
  <c r="L45" i="1"/>
  <c r="M45" i="1" s="1"/>
  <c r="L44" i="1"/>
  <c r="M44" i="1" s="1"/>
  <c r="CA6" i="1"/>
  <c r="CA43" i="1" s="1"/>
  <c r="L9" i="1"/>
  <c r="L46" i="1" s="1"/>
  <c r="M46" i="1" s="1"/>
  <c r="L8" i="1"/>
  <c r="L6" i="1"/>
  <c r="L43" i="1" s="1"/>
  <c r="L5" i="1"/>
  <c r="M5" i="1" s="1"/>
  <c r="AT24" i="1" s="1"/>
  <c r="AT27" i="1" s="1"/>
  <c r="AJ10" i="1"/>
  <c r="K11" i="1"/>
  <c r="L42" i="1"/>
  <c r="J13" i="1"/>
  <c r="AJ7" i="1"/>
  <c r="AJ12" i="1"/>
  <c r="K7" i="1"/>
  <c r="CA9" i="1"/>
  <c r="CA50" i="1" s="1"/>
  <c r="K43" i="1"/>
  <c r="K10" i="1"/>
  <c r="K12" i="1"/>
  <c r="BX13" i="1"/>
  <c r="CA4" i="1"/>
  <c r="BZ42" i="1"/>
  <c r="BY12" i="1"/>
  <c r="BY10" i="1"/>
  <c r="BY7" i="1"/>
  <c r="AU143" i="8"/>
  <c r="AT143" i="8"/>
  <c r="AS144" i="8"/>
  <c r="AQ143" i="8"/>
  <c r="AP143" i="8"/>
  <c r="AO144" i="8"/>
  <c r="AJ108" i="7"/>
  <c r="AK107" i="7"/>
  <c r="AL107" i="7"/>
  <c r="AO107" i="7"/>
  <c r="AP107" i="7"/>
  <c r="AL31" i="1"/>
  <c r="AK31" i="1"/>
  <c r="AJ32" i="1"/>
  <c r="AP31" i="1"/>
  <c r="AO31" i="1"/>
  <c r="AN32" i="1"/>
  <c r="BY51" i="1" l="1"/>
  <c r="BY47" i="1"/>
  <c r="BY54" i="1"/>
  <c r="BY45" i="1"/>
  <c r="BY53" i="1"/>
  <c r="BY52" i="1"/>
  <c r="BY56" i="1"/>
  <c r="BY49" i="1"/>
  <c r="BY48" i="1"/>
  <c r="BY44" i="1"/>
  <c r="BY55" i="1"/>
  <c r="BY46" i="1"/>
  <c r="CY84" i="1"/>
  <c r="CY57" i="1"/>
  <c r="CY65" i="1"/>
  <c r="CY73" i="1"/>
  <c r="CY46" i="1"/>
  <c r="CY22" i="1"/>
  <c r="CY30" i="1"/>
  <c r="CY38" i="1"/>
  <c r="CY15" i="1"/>
  <c r="CY54" i="1"/>
  <c r="CY48" i="1"/>
  <c r="CY89" i="1"/>
  <c r="CY85" i="1"/>
  <c r="CY58" i="1"/>
  <c r="CY66" i="1"/>
  <c r="CY74" i="1"/>
  <c r="CY47" i="1"/>
  <c r="CY23" i="1"/>
  <c r="CY31" i="1"/>
  <c r="CY39" i="1"/>
  <c r="CY86" i="1"/>
  <c r="CY59" i="1"/>
  <c r="CY67" i="1"/>
  <c r="CY75" i="1"/>
  <c r="CY16" i="1"/>
  <c r="CY24" i="1"/>
  <c r="CY32" i="1"/>
  <c r="CY40" i="1"/>
  <c r="CY70" i="1"/>
  <c r="CY27" i="1"/>
  <c r="CY79" i="1"/>
  <c r="CY87" i="1"/>
  <c r="CY60" i="1"/>
  <c r="CY68" i="1"/>
  <c r="CY76" i="1"/>
  <c r="CY17" i="1"/>
  <c r="CY25" i="1"/>
  <c r="CY33" i="1"/>
  <c r="CY41" i="1"/>
  <c r="CY80" i="1"/>
  <c r="CY88" i="1"/>
  <c r="CY61" i="1"/>
  <c r="CY69" i="1"/>
  <c r="CY77" i="1"/>
  <c r="CY51" i="1"/>
  <c r="CY18" i="1"/>
  <c r="CY26" i="1"/>
  <c r="CY34" i="1"/>
  <c r="CY42" i="1"/>
  <c r="CY62" i="1"/>
  <c r="CY35" i="1"/>
  <c r="CY82" i="1"/>
  <c r="CY55" i="1"/>
  <c r="CY63" i="1"/>
  <c r="CY71" i="1"/>
  <c r="CY53" i="1"/>
  <c r="CY49" i="1"/>
  <c r="CY20" i="1"/>
  <c r="CY28" i="1"/>
  <c r="CY36" i="1"/>
  <c r="CY44" i="1"/>
  <c r="CY81" i="1"/>
  <c r="CY43" i="1"/>
  <c r="CY83" i="1"/>
  <c r="CY56" i="1"/>
  <c r="CY64" i="1"/>
  <c r="CY72" i="1"/>
  <c r="CY50" i="1"/>
  <c r="CY21" i="1"/>
  <c r="CY29" i="1"/>
  <c r="CY37" i="1"/>
  <c r="CY45" i="1"/>
  <c r="CY78" i="1"/>
  <c r="CY19" i="1"/>
  <c r="K13" i="1"/>
  <c r="AT25" i="1"/>
  <c r="AT45" i="1"/>
  <c r="AT42" i="1"/>
  <c r="AT26" i="1"/>
  <c r="AT32" i="1"/>
  <c r="AT34" i="1"/>
  <c r="L7" i="1"/>
  <c r="AT28" i="1"/>
  <c r="AT38" i="1"/>
  <c r="AT29" i="1"/>
  <c r="L11" i="1"/>
  <c r="M11" i="1" s="1"/>
  <c r="AT35" i="1"/>
  <c r="AT33" i="1"/>
  <c r="AT30" i="1"/>
  <c r="AT44" i="1"/>
  <c r="AT31" i="1"/>
  <c r="AT41" i="1"/>
  <c r="AT40" i="1"/>
  <c r="AT39" i="1"/>
  <c r="AT36" i="1"/>
  <c r="AT37" i="1"/>
  <c r="AT43" i="1"/>
  <c r="M43" i="1"/>
  <c r="M9" i="1"/>
  <c r="L12" i="1"/>
  <c r="M8" i="1"/>
  <c r="BA24" i="1" s="1"/>
  <c r="BA38" i="1" s="1"/>
  <c r="L10" i="1"/>
  <c r="BZ11" i="1"/>
  <c r="CA42" i="1"/>
  <c r="CB5" i="1"/>
  <c r="BZ12" i="1"/>
  <c r="BZ10" i="1"/>
  <c r="BZ7" i="1"/>
  <c r="BY13" i="1"/>
  <c r="AQ144" i="8"/>
  <c r="AP144" i="8"/>
  <c r="AO145" i="8"/>
  <c r="AT144" i="8"/>
  <c r="AU144" i="8"/>
  <c r="AS145" i="8"/>
  <c r="AJ109" i="7"/>
  <c r="AK108" i="7"/>
  <c r="AL108" i="7"/>
  <c r="AO108" i="7"/>
  <c r="AP108" i="7"/>
  <c r="AP32" i="1"/>
  <c r="AO32" i="1"/>
  <c r="AN33" i="1"/>
  <c r="AL32" i="1"/>
  <c r="AK32" i="1"/>
  <c r="AJ33" i="1"/>
  <c r="M6" i="1"/>
  <c r="M7" i="1" s="1"/>
  <c r="BZ56" i="1" l="1"/>
  <c r="BZ51" i="1"/>
  <c r="BZ47" i="1"/>
  <c r="BZ49" i="1"/>
  <c r="BZ53" i="1"/>
  <c r="BZ44" i="1"/>
  <c r="BZ48" i="1"/>
  <c r="BZ54" i="1"/>
  <c r="BZ46" i="1"/>
  <c r="BZ52" i="1"/>
  <c r="BZ45" i="1"/>
  <c r="BZ55" i="1"/>
  <c r="CZ89" i="1"/>
  <c r="CZ80" i="1"/>
  <c r="CZ88" i="1"/>
  <c r="CZ61" i="1"/>
  <c r="CZ69" i="1"/>
  <c r="CZ77" i="1"/>
  <c r="CZ18" i="1"/>
  <c r="CZ26" i="1"/>
  <c r="CZ34" i="1"/>
  <c r="CZ42" i="1"/>
  <c r="CZ81" i="1"/>
  <c r="CZ54" i="1"/>
  <c r="CZ62" i="1"/>
  <c r="CZ70" i="1"/>
  <c r="CZ78" i="1"/>
  <c r="CZ48" i="1"/>
  <c r="CZ19" i="1"/>
  <c r="CZ27" i="1"/>
  <c r="CZ35" i="1"/>
  <c r="CZ43" i="1"/>
  <c r="CZ23" i="1"/>
  <c r="CZ39" i="1"/>
  <c r="CZ82" i="1"/>
  <c r="CZ55" i="1"/>
  <c r="CZ63" i="1"/>
  <c r="CZ71" i="1"/>
  <c r="CZ53" i="1"/>
  <c r="CZ49" i="1"/>
  <c r="CZ20" i="1"/>
  <c r="CZ28" i="1"/>
  <c r="CZ36" i="1"/>
  <c r="CZ44" i="1"/>
  <c r="CZ74" i="1"/>
  <c r="CZ83" i="1"/>
  <c r="CZ56" i="1"/>
  <c r="CZ64" i="1"/>
  <c r="CZ72" i="1"/>
  <c r="CZ51" i="1"/>
  <c r="CZ50" i="1"/>
  <c r="CZ21" i="1"/>
  <c r="CZ29" i="1"/>
  <c r="CZ37" i="1"/>
  <c r="CZ45" i="1"/>
  <c r="CZ58" i="1"/>
  <c r="CZ31" i="1"/>
  <c r="CZ84" i="1"/>
  <c r="CZ57" i="1"/>
  <c r="CZ65" i="1"/>
  <c r="CZ73" i="1"/>
  <c r="CZ46" i="1"/>
  <c r="CZ22" i="1"/>
  <c r="CZ30" i="1"/>
  <c r="CZ38" i="1"/>
  <c r="CZ15" i="1"/>
  <c r="CZ85" i="1"/>
  <c r="CZ86" i="1"/>
  <c r="CZ59" i="1"/>
  <c r="CZ67" i="1"/>
  <c r="CZ75" i="1"/>
  <c r="CZ16" i="1"/>
  <c r="CZ24" i="1"/>
  <c r="CZ32" i="1"/>
  <c r="CZ40" i="1"/>
  <c r="CZ47" i="1"/>
  <c r="CZ79" i="1"/>
  <c r="CZ87" i="1"/>
  <c r="CZ60" i="1"/>
  <c r="CZ68" i="1"/>
  <c r="CZ76" i="1"/>
  <c r="CZ17" i="1"/>
  <c r="CZ25" i="1"/>
  <c r="CZ33" i="1"/>
  <c r="CZ41" i="1"/>
  <c r="CZ66" i="1"/>
  <c r="L13" i="1"/>
  <c r="M12" i="1"/>
  <c r="M13" i="1" s="1"/>
  <c r="AV40" i="1"/>
  <c r="AW40" i="1" s="1"/>
  <c r="AV45" i="1"/>
  <c r="AW45" i="1" s="1"/>
  <c r="AV30" i="1"/>
  <c r="AW30" i="1" s="1"/>
  <c r="AV41" i="1"/>
  <c r="AW41" i="1" s="1"/>
  <c r="BA40" i="1"/>
  <c r="BA39" i="1"/>
  <c r="AV38" i="1"/>
  <c r="AW38" i="1" s="1"/>
  <c r="BA25" i="1"/>
  <c r="AV29" i="1"/>
  <c r="AW29" i="1" s="1"/>
  <c r="BA28" i="1"/>
  <c r="AV28" i="1"/>
  <c r="AW28" i="1" s="1"/>
  <c r="AV33" i="1"/>
  <c r="AW33" i="1" s="1"/>
  <c r="AV27" i="1"/>
  <c r="AW27" i="1" s="1"/>
  <c r="AV32" i="1"/>
  <c r="AW32" i="1" s="1"/>
  <c r="AV43" i="1"/>
  <c r="AW43" i="1" s="1"/>
  <c r="AV44" i="1"/>
  <c r="AW44" i="1" s="1"/>
  <c r="AV39" i="1"/>
  <c r="AW39" i="1" s="1"/>
  <c r="AV37" i="1"/>
  <c r="AW37" i="1" s="1"/>
  <c r="AV42" i="1"/>
  <c r="AW42" i="1" s="1"/>
  <c r="AV31" i="1"/>
  <c r="AW31" i="1" s="1"/>
  <c r="AV36" i="1"/>
  <c r="AW36" i="1" s="1"/>
  <c r="AV34" i="1"/>
  <c r="AW34" i="1" s="1"/>
  <c r="AV25" i="1"/>
  <c r="AW25" i="1" s="1"/>
  <c r="BA44" i="1"/>
  <c r="AV35" i="1"/>
  <c r="AW35" i="1" s="1"/>
  <c r="AV26" i="1"/>
  <c r="AW26" i="1" s="1"/>
  <c r="BA37" i="1"/>
  <c r="BA29" i="1"/>
  <c r="BA45" i="1"/>
  <c r="M10" i="1"/>
  <c r="BA36" i="1"/>
  <c r="BA26" i="1"/>
  <c r="BA34" i="1"/>
  <c r="BA41" i="1"/>
  <c r="BA35" i="1"/>
  <c r="BA32" i="1"/>
  <c r="BA27" i="1"/>
  <c r="BA42" i="1"/>
  <c r="BA33" i="1"/>
  <c r="BA43" i="1"/>
  <c r="BA30" i="1"/>
  <c r="BA31" i="1"/>
  <c r="BZ13" i="1"/>
  <c r="CB43" i="1"/>
  <c r="CA7" i="1"/>
  <c r="CB6" i="1"/>
  <c r="CB7" i="1" s="1"/>
  <c r="CA12" i="1"/>
  <c r="CB50" i="1" s="1"/>
  <c r="CA10" i="1"/>
  <c r="CA11" i="1"/>
  <c r="CB11" i="1" s="1"/>
  <c r="CB8" i="1"/>
  <c r="CB9" i="1"/>
  <c r="AT145" i="8"/>
  <c r="AU145" i="8"/>
  <c r="AS146" i="8"/>
  <c r="AP145" i="8"/>
  <c r="AQ145" i="8"/>
  <c r="AO146" i="8"/>
  <c r="AJ110" i="7"/>
  <c r="AK109" i="7"/>
  <c r="AL109" i="7"/>
  <c r="AO109" i="7"/>
  <c r="AP109" i="7"/>
  <c r="AL33" i="1"/>
  <c r="AK33" i="1"/>
  <c r="AJ34" i="1"/>
  <c r="AP33" i="1"/>
  <c r="AO33" i="1"/>
  <c r="AN34" i="1"/>
  <c r="CA54" i="1" l="1"/>
  <c r="CB54" i="1" s="1"/>
  <c r="CA56" i="1"/>
  <c r="CB56" i="1" s="1"/>
  <c r="CA53" i="1"/>
  <c r="CB53" i="1" s="1"/>
  <c r="CA51" i="1"/>
  <c r="CB51" i="1" s="1"/>
  <c r="CA45" i="1"/>
  <c r="CB45" i="1" s="1"/>
  <c r="CA47" i="1"/>
  <c r="CB47" i="1" s="1"/>
  <c r="CA52" i="1"/>
  <c r="CB52" i="1" s="1"/>
  <c r="CA48" i="1"/>
  <c r="CB48" i="1" s="1"/>
  <c r="CA49" i="1"/>
  <c r="CB49" i="1" s="1"/>
  <c r="CA44" i="1"/>
  <c r="CB44" i="1" s="1"/>
  <c r="CA55" i="1"/>
  <c r="CB55" i="1" s="1"/>
  <c r="CA46" i="1"/>
  <c r="CB46" i="1" s="1"/>
  <c r="BC37" i="1"/>
  <c r="BD37" i="1" s="1"/>
  <c r="BC40" i="1"/>
  <c r="BD40" i="1" s="1"/>
  <c r="BC42" i="1"/>
  <c r="BD42" i="1" s="1"/>
  <c r="BC31" i="1"/>
  <c r="BD31" i="1" s="1"/>
  <c r="BC27" i="1"/>
  <c r="BD27" i="1" s="1"/>
  <c r="BC45" i="1"/>
  <c r="BD45" i="1" s="1"/>
  <c r="BC44" i="1"/>
  <c r="BD44" i="1" s="1"/>
  <c r="BC32" i="1"/>
  <c r="BD32" i="1" s="1"/>
  <c r="BC29" i="1"/>
  <c r="BD29" i="1" s="1"/>
  <c r="BC43" i="1"/>
  <c r="BD43" i="1" s="1"/>
  <c r="BC39" i="1"/>
  <c r="BD39" i="1" s="1"/>
  <c r="BC25" i="1"/>
  <c r="BD25" i="1" s="1"/>
  <c r="BC36" i="1"/>
  <c r="BD36" i="1" s="1"/>
  <c r="BC26" i="1"/>
  <c r="BD26" i="1" s="1"/>
  <c r="BC38" i="1"/>
  <c r="BD38" i="1" s="1"/>
  <c r="BC34" i="1"/>
  <c r="BD34" i="1" s="1"/>
  <c r="BC35" i="1"/>
  <c r="BD35" i="1" s="1"/>
  <c r="BC41" i="1"/>
  <c r="BD41" i="1" s="1"/>
  <c r="BC30" i="1"/>
  <c r="BD30" i="1" s="1"/>
  <c r="BC28" i="1"/>
  <c r="BD28" i="1" s="1"/>
  <c r="BC33" i="1"/>
  <c r="BD33" i="1" s="1"/>
  <c r="CA13" i="1"/>
  <c r="CB10" i="1"/>
  <c r="CB12" i="1"/>
  <c r="CB13" i="1" s="1"/>
  <c r="AQ146" i="8"/>
  <c r="AP146" i="8"/>
  <c r="AO147" i="8"/>
  <c r="AT146" i="8"/>
  <c r="AU146" i="8"/>
  <c r="AS147" i="8"/>
  <c r="AJ111" i="7"/>
  <c r="AL110" i="7"/>
  <c r="AK110" i="7"/>
  <c r="AP110" i="7"/>
  <c r="AO110" i="7"/>
  <c r="AP34" i="1"/>
  <c r="AO34" i="1"/>
  <c r="AN35" i="1"/>
  <c r="AL34" i="1"/>
  <c r="AK34" i="1"/>
  <c r="AJ35" i="1"/>
  <c r="AU147" i="8" l="1"/>
  <c r="AT147" i="8"/>
  <c r="AS148" i="8"/>
  <c r="AQ147" i="8"/>
  <c r="AP147" i="8"/>
  <c r="AO148" i="8"/>
  <c r="AJ112" i="7"/>
  <c r="AL111" i="7"/>
  <c r="AK111" i="7"/>
  <c r="AP111" i="7"/>
  <c r="AO111" i="7"/>
  <c r="AL35" i="1"/>
  <c r="AK35" i="1"/>
  <c r="AJ36" i="1"/>
  <c r="AP35" i="1"/>
  <c r="AO35" i="1"/>
  <c r="AN36" i="1"/>
  <c r="AQ148" i="8" l="1"/>
  <c r="AP148" i="8"/>
  <c r="AO149" i="8"/>
  <c r="AT148" i="8"/>
  <c r="AU148" i="8"/>
  <c r="AS149" i="8"/>
  <c r="AJ113" i="7"/>
  <c r="AK112" i="7"/>
  <c r="AL112" i="7"/>
  <c r="AO112" i="7"/>
  <c r="AP112" i="7"/>
  <c r="AP36" i="1"/>
  <c r="AO36" i="1"/>
  <c r="AN37" i="1"/>
  <c r="AL36" i="1"/>
  <c r="AK36" i="1"/>
  <c r="AJ37" i="1"/>
  <c r="AU149" i="8" l="1"/>
  <c r="AT149" i="8"/>
  <c r="AS150" i="8"/>
  <c r="AP149" i="8"/>
  <c r="AQ149" i="8"/>
  <c r="AO150" i="8"/>
  <c r="AJ114" i="7"/>
  <c r="AK113" i="7"/>
  <c r="AL113" i="7"/>
  <c r="AP113" i="7"/>
  <c r="AO113" i="7"/>
  <c r="AL37" i="1"/>
  <c r="AK37" i="1"/>
  <c r="AJ38" i="1"/>
  <c r="AP37" i="1"/>
  <c r="AO37" i="1"/>
  <c r="AN38" i="1"/>
  <c r="AQ150" i="8" l="1"/>
  <c r="AP150" i="8"/>
  <c r="AO151" i="8"/>
  <c r="AU150" i="8"/>
  <c r="AT150" i="8"/>
  <c r="AS151" i="8"/>
  <c r="AJ115" i="7"/>
  <c r="AL114" i="7"/>
  <c r="AK114" i="7"/>
  <c r="AP114" i="7"/>
  <c r="AO114" i="7"/>
  <c r="AP38" i="1"/>
  <c r="AO38" i="1"/>
  <c r="AN39" i="1"/>
  <c r="AL38" i="1"/>
  <c r="AK38" i="1"/>
  <c r="AJ39" i="1"/>
  <c r="AU151" i="8" l="1"/>
  <c r="AT151" i="8"/>
  <c r="AS152" i="8"/>
  <c r="AQ151" i="8"/>
  <c r="AP151" i="8"/>
  <c r="AO152" i="8"/>
  <c r="AJ116" i="7"/>
  <c r="AL115" i="7"/>
  <c r="AK115" i="7"/>
  <c r="AO115" i="7"/>
  <c r="AP115" i="7"/>
  <c r="AL39" i="1"/>
  <c r="AK39" i="1"/>
  <c r="AJ40" i="1"/>
  <c r="AP39" i="1"/>
  <c r="AO39" i="1"/>
  <c r="AN40" i="1"/>
  <c r="AP152" i="8" l="1"/>
  <c r="AQ152" i="8"/>
  <c r="AO153" i="8"/>
  <c r="AT152" i="8"/>
  <c r="AU152" i="8"/>
  <c r="AS153" i="8"/>
  <c r="AJ117" i="7"/>
  <c r="AK116" i="7"/>
  <c r="AL116" i="7"/>
  <c r="AP116" i="7"/>
  <c r="AO116" i="7"/>
  <c r="AP40" i="1"/>
  <c r="AO40" i="1"/>
  <c r="AN41" i="1"/>
  <c r="AL40" i="1"/>
  <c r="AK40" i="1"/>
  <c r="AJ41" i="1"/>
  <c r="AU153" i="8" l="1"/>
  <c r="AT153" i="8"/>
  <c r="AS154" i="8"/>
  <c r="AP153" i="8"/>
  <c r="AQ153" i="8"/>
  <c r="AO154" i="8"/>
  <c r="AJ118" i="7"/>
  <c r="AL117" i="7"/>
  <c r="AK117" i="7"/>
  <c r="AP117" i="7"/>
  <c r="AO117" i="7"/>
  <c r="AL41" i="1"/>
  <c r="AK41" i="1"/>
  <c r="AJ42" i="1"/>
  <c r="AP41" i="1"/>
  <c r="AO41" i="1"/>
  <c r="AN42" i="1"/>
  <c r="AQ154" i="8" l="1"/>
  <c r="AP154" i="8"/>
  <c r="AO155" i="8"/>
  <c r="AU154" i="8"/>
  <c r="AT154" i="8"/>
  <c r="AS155" i="8"/>
  <c r="AJ119" i="7"/>
  <c r="AL118" i="7"/>
  <c r="AK118" i="7"/>
  <c r="AP118" i="7"/>
  <c r="AO118" i="7"/>
  <c r="AP42" i="1"/>
  <c r="AO42" i="1"/>
  <c r="AN43" i="1"/>
  <c r="AL42" i="1"/>
  <c r="AK42" i="1"/>
  <c r="AJ43" i="1"/>
  <c r="AU155" i="8" l="1"/>
  <c r="AT155" i="8"/>
  <c r="AS156" i="8"/>
  <c r="AQ155" i="8"/>
  <c r="AP155" i="8"/>
  <c r="AO156" i="8"/>
  <c r="AJ120" i="7"/>
  <c r="AL119" i="7"/>
  <c r="AK119" i="7"/>
  <c r="AP119" i="7"/>
  <c r="AO119" i="7"/>
  <c r="AL43" i="1"/>
  <c r="AK43" i="1"/>
  <c r="AJ44" i="1"/>
  <c r="AP43" i="1"/>
  <c r="AO43" i="1"/>
  <c r="AN44" i="1"/>
  <c r="AQ156" i="8" l="1"/>
  <c r="AP156" i="8"/>
  <c r="AO157" i="8"/>
  <c r="AT156" i="8"/>
  <c r="AU156" i="8"/>
  <c r="AS157" i="8"/>
  <c r="AJ121" i="7"/>
  <c r="AL120" i="7"/>
  <c r="AK120" i="7"/>
  <c r="AP120" i="7"/>
  <c r="AO120" i="7"/>
  <c r="AP44" i="1"/>
  <c r="AO44" i="1"/>
  <c r="AN45" i="1"/>
  <c r="AL44" i="1"/>
  <c r="AK44" i="1"/>
  <c r="AJ45" i="1"/>
  <c r="AU157" i="8" l="1"/>
  <c r="AT157" i="8"/>
  <c r="AS158" i="8"/>
  <c r="AP157" i="8"/>
  <c r="AQ157" i="8"/>
  <c r="AO158" i="8"/>
  <c r="AJ122" i="7"/>
  <c r="AL121" i="7"/>
  <c r="AK121" i="7"/>
  <c r="AO121" i="7"/>
  <c r="AP121" i="7"/>
  <c r="AL45" i="1"/>
  <c r="AK45" i="1"/>
  <c r="AJ46" i="1"/>
  <c r="AP45" i="1"/>
  <c r="AO45" i="1"/>
  <c r="AN46" i="1"/>
  <c r="AQ158" i="8" l="1"/>
  <c r="AP158" i="8"/>
  <c r="AO159" i="8"/>
  <c r="AT158" i="8"/>
  <c r="AU158" i="8"/>
  <c r="AS159" i="8"/>
  <c r="AJ123" i="7"/>
  <c r="AL122" i="7"/>
  <c r="AK122" i="7"/>
  <c r="AP122" i="7"/>
  <c r="AO122" i="7"/>
  <c r="AP46" i="1"/>
  <c r="AO46" i="1"/>
  <c r="AN47" i="1"/>
  <c r="AL46" i="1"/>
  <c r="AK46" i="1"/>
  <c r="AJ47" i="1"/>
  <c r="AU159" i="8" l="1"/>
  <c r="AT159" i="8"/>
  <c r="AS160" i="8"/>
  <c r="AQ159" i="8"/>
  <c r="AP159" i="8"/>
  <c r="AO160" i="8"/>
  <c r="AJ124" i="7"/>
  <c r="AK123" i="7"/>
  <c r="AL123" i="7"/>
  <c r="AP123" i="7"/>
  <c r="AO123" i="7"/>
  <c r="AL47" i="1"/>
  <c r="AK47" i="1"/>
  <c r="AJ48" i="1"/>
  <c r="AP47" i="1"/>
  <c r="AO47" i="1"/>
  <c r="AN48" i="1"/>
  <c r="AQ160" i="8" l="1"/>
  <c r="AP160" i="8"/>
  <c r="AO161" i="8"/>
  <c r="AT160" i="8"/>
  <c r="AU160" i="8"/>
  <c r="AS161" i="8"/>
  <c r="AJ125" i="7"/>
  <c r="AL124" i="7"/>
  <c r="AK124" i="7"/>
  <c r="AP124" i="7"/>
  <c r="AO124" i="7"/>
  <c r="AP48" i="1"/>
  <c r="AO48" i="1"/>
  <c r="AN49" i="1"/>
  <c r="AL48" i="1"/>
  <c r="AK48" i="1"/>
  <c r="AJ49" i="1"/>
  <c r="AU161" i="8" l="1"/>
  <c r="AT161" i="8"/>
  <c r="AS162" i="8"/>
  <c r="AP161" i="8"/>
  <c r="AQ161" i="8"/>
  <c r="AO162" i="8"/>
  <c r="AJ126" i="7"/>
  <c r="AL125" i="7"/>
  <c r="AK125" i="7"/>
  <c r="AO125" i="7"/>
  <c r="AP125" i="7"/>
  <c r="AL49" i="1"/>
  <c r="AK49" i="1"/>
  <c r="AJ50" i="1"/>
  <c r="AP49" i="1"/>
  <c r="AO49" i="1"/>
  <c r="AN50" i="1"/>
  <c r="AQ162" i="8" l="1"/>
  <c r="AP162" i="8"/>
  <c r="AO163" i="8"/>
  <c r="AU162" i="8"/>
  <c r="AT162" i="8"/>
  <c r="AS163" i="8"/>
  <c r="AJ127" i="7"/>
  <c r="AL126" i="7"/>
  <c r="AK126" i="7"/>
  <c r="AP126" i="7"/>
  <c r="AO126" i="7"/>
  <c r="AP50" i="1"/>
  <c r="AO50" i="1"/>
  <c r="AN51" i="1"/>
  <c r="AL50" i="1"/>
  <c r="AK50" i="1"/>
  <c r="AJ51" i="1"/>
  <c r="AU163" i="8" l="1"/>
  <c r="AT163" i="8"/>
  <c r="AS164" i="8"/>
  <c r="AQ163" i="8"/>
  <c r="AP163" i="8"/>
  <c r="AO164" i="8"/>
  <c r="AJ128" i="7"/>
  <c r="AL127" i="7"/>
  <c r="AK127" i="7"/>
  <c r="AP127" i="7"/>
  <c r="AO127" i="7"/>
  <c r="AL51" i="1"/>
  <c r="AK51" i="1"/>
  <c r="AJ52" i="1"/>
  <c r="AP51" i="1"/>
  <c r="AO51" i="1"/>
  <c r="AN52" i="1"/>
  <c r="AQ164" i="8" l="1"/>
  <c r="AP164" i="8"/>
  <c r="AO165" i="8"/>
  <c r="AT164" i="8"/>
  <c r="AU164" i="8"/>
  <c r="AS165" i="8"/>
  <c r="AJ129" i="7"/>
  <c r="AK128" i="7"/>
  <c r="AL128" i="7"/>
  <c r="AP128" i="7"/>
  <c r="AO128" i="7"/>
  <c r="AP52" i="1"/>
  <c r="AO52" i="1"/>
  <c r="AN53" i="1"/>
  <c r="AL52" i="1"/>
  <c r="AK52" i="1"/>
  <c r="AJ53" i="1"/>
  <c r="AU165" i="8" l="1"/>
  <c r="AT165" i="8"/>
  <c r="AS166" i="8"/>
  <c r="AP165" i="8"/>
  <c r="AQ165" i="8"/>
  <c r="AO166" i="8"/>
  <c r="AJ130" i="7"/>
  <c r="AK129" i="7"/>
  <c r="AL129" i="7"/>
  <c r="AO129" i="7"/>
  <c r="AP129" i="7"/>
  <c r="AL53" i="1"/>
  <c r="AK53" i="1"/>
  <c r="AJ54" i="1"/>
  <c r="AP53" i="1"/>
  <c r="AO53" i="1"/>
  <c r="AN54" i="1"/>
  <c r="AQ166" i="8" l="1"/>
  <c r="AP166" i="8"/>
  <c r="AO167" i="8"/>
  <c r="AU166" i="8"/>
  <c r="AT166" i="8"/>
  <c r="AS167" i="8"/>
  <c r="AJ131" i="7"/>
  <c r="AL130" i="7"/>
  <c r="AK130" i="7"/>
  <c r="AP130" i="7"/>
  <c r="AO130" i="7"/>
  <c r="AP54" i="1"/>
  <c r="AO54" i="1"/>
  <c r="AN55" i="1"/>
  <c r="AL54" i="1"/>
  <c r="AK54" i="1"/>
  <c r="AJ55" i="1"/>
  <c r="AU167" i="8" l="1"/>
  <c r="AT167" i="8"/>
  <c r="AS168" i="8"/>
  <c r="AQ167" i="8"/>
  <c r="AP167" i="8"/>
  <c r="AO168" i="8"/>
  <c r="AJ132" i="7"/>
  <c r="AL131" i="7"/>
  <c r="AK131" i="7"/>
  <c r="AO131" i="7"/>
  <c r="AP131" i="7"/>
  <c r="AL55" i="1"/>
  <c r="AK55" i="1"/>
  <c r="AJ56" i="1"/>
  <c r="AP55" i="1"/>
  <c r="AO55" i="1"/>
  <c r="AN56" i="1"/>
  <c r="AQ168" i="8" l="1"/>
  <c r="AP168" i="8"/>
  <c r="AO169" i="8"/>
  <c r="AT168" i="8"/>
  <c r="AU168" i="8"/>
  <c r="AS169" i="8"/>
  <c r="AJ133" i="7"/>
  <c r="AK132" i="7"/>
  <c r="AL132" i="7"/>
  <c r="AP132" i="7"/>
  <c r="AO132" i="7"/>
  <c r="AP56" i="1"/>
  <c r="AO56" i="1"/>
  <c r="AN57" i="1"/>
  <c r="AL56" i="1"/>
  <c r="AK56" i="1"/>
  <c r="AJ57" i="1"/>
  <c r="AU169" i="8" l="1"/>
  <c r="AT169" i="8"/>
  <c r="AS170" i="8"/>
  <c r="AP169" i="8"/>
  <c r="AQ169" i="8"/>
  <c r="AO170" i="8"/>
  <c r="AJ134" i="7"/>
  <c r="AL133" i="7"/>
  <c r="AK133" i="7"/>
  <c r="AO133" i="7"/>
  <c r="AP133" i="7"/>
  <c r="AL57" i="1"/>
  <c r="AK57" i="1"/>
  <c r="AJ58" i="1"/>
  <c r="AP57" i="1"/>
  <c r="AO57" i="1"/>
  <c r="AN58" i="1"/>
  <c r="AQ170" i="8" l="1"/>
  <c r="AP170" i="8"/>
  <c r="AO171" i="8"/>
  <c r="AU170" i="8"/>
  <c r="AT170" i="8"/>
  <c r="AS171" i="8"/>
  <c r="AJ135" i="7"/>
  <c r="AL134" i="7"/>
  <c r="AK134" i="7"/>
  <c r="AP134" i="7"/>
  <c r="AO134" i="7"/>
  <c r="AP58" i="1"/>
  <c r="AO58" i="1"/>
  <c r="AN59" i="1"/>
  <c r="AL58" i="1"/>
  <c r="AK58" i="1"/>
  <c r="AJ59" i="1"/>
  <c r="AU171" i="8" l="1"/>
  <c r="AT171" i="8"/>
  <c r="AS172" i="8"/>
  <c r="AQ171" i="8"/>
  <c r="AP171" i="8"/>
  <c r="AO172" i="8"/>
  <c r="AJ136" i="7"/>
  <c r="AL135" i="7"/>
  <c r="AK135" i="7"/>
  <c r="AP135" i="7"/>
  <c r="AO135" i="7"/>
  <c r="AL59" i="1"/>
  <c r="AK59" i="1"/>
  <c r="AJ60" i="1"/>
  <c r="AP59" i="1"/>
  <c r="AO59" i="1"/>
  <c r="AN60" i="1"/>
  <c r="AQ172" i="8" l="1"/>
  <c r="AP172" i="8"/>
  <c r="AO173" i="8"/>
  <c r="AT172" i="8"/>
  <c r="AU172" i="8"/>
  <c r="AS173" i="8"/>
  <c r="AJ137" i="7"/>
  <c r="AK136" i="7"/>
  <c r="AL136" i="7"/>
  <c r="AP136" i="7"/>
  <c r="AO136" i="7"/>
  <c r="AP60" i="1"/>
  <c r="AO60" i="1"/>
  <c r="AN61" i="1"/>
  <c r="AL60" i="1"/>
  <c r="AK60" i="1"/>
  <c r="AJ61" i="1"/>
  <c r="AU173" i="8" l="1"/>
  <c r="AT173" i="8"/>
  <c r="AS174" i="8"/>
  <c r="AP173" i="8"/>
  <c r="AQ173" i="8"/>
  <c r="AO174" i="8"/>
  <c r="AJ138" i="7"/>
  <c r="AK137" i="7"/>
  <c r="AL137" i="7"/>
  <c r="AO137" i="7"/>
  <c r="AP137" i="7"/>
  <c r="AL61" i="1"/>
  <c r="AK61" i="1"/>
  <c r="AJ62" i="1"/>
  <c r="AP61" i="1"/>
  <c r="AO61" i="1"/>
  <c r="AN62" i="1"/>
  <c r="AQ174" i="8" l="1"/>
  <c r="AP174" i="8"/>
  <c r="AO175" i="8"/>
  <c r="AU174" i="8"/>
  <c r="AT174" i="8"/>
  <c r="AS175" i="8"/>
  <c r="AJ139" i="7"/>
  <c r="AK138" i="7"/>
  <c r="AL138" i="7"/>
  <c r="AP138" i="7"/>
  <c r="AO138" i="7"/>
  <c r="AP62" i="1"/>
  <c r="AO62" i="1"/>
  <c r="AN63" i="1"/>
  <c r="AL62" i="1"/>
  <c r="AK62" i="1"/>
  <c r="AJ63" i="1"/>
  <c r="AU175" i="8" l="1"/>
  <c r="AT175" i="8"/>
  <c r="AS176" i="8"/>
  <c r="AQ175" i="8"/>
  <c r="AP175" i="8"/>
  <c r="AO176" i="8"/>
  <c r="AJ140" i="7"/>
  <c r="AK139" i="7"/>
  <c r="AL139" i="7"/>
  <c r="AP139" i="7"/>
  <c r="AO139" i="7"/>
  <c r="AL63" i="1"/>
  <c r="AK63" i="1"/>
  <c r="AJ64" i="1"/>
  <c r="AP63" i="1"/>
  <c r="AO63" i="1"/>
  <c r="AN64" i="1"/>
  <c r="AQ176" i="8" l="1"/>
  <c r="AP176" i="8"/>
  <c r="AO177" i="8"/>
  <c r="AT176" i="8"/>
  <c r="AU176" i="8"/>
  <c r="AS177" i="8"/>
  <c r="AJ141" i="7"/>
  <c r="AK140" i="7"/>
  <c r="AL140" i="7"/>
  <c r="AP140" i="7"/>
  <c r="AO140" i="7"/>
  <c r="AP64" i="1"/>
  <c r="AO64" i="1"/>
  <c r="AN65" i="1"/>
  <c r="AL64" i="1"/>
  <c r="AK64" i="1"/>
  <c r="AJ65" i="1"/>
  <c r="AT177" i="8" l="1"/>
  <c r="AU177" i="8"/>
  <c r="AS178" i="8"/>
  <c r="AP177" i="8"/>
  <c r="AQ177" i="8"/>
  <c r="AO178" i="8"/>
  <c r="AJ142" i="7"/>
  <c r="AK141" i="7"/>
  <c r="AL141" i="7"/>
  <c r="AP141" i="7"/>
  <c r="AO141" i="7"/>
  <c r="AL65" i="1"/>
  <c r="AK65" i="1"/>
  <c r="AJ66" i="1"/>
  <c r="AP65" i="1"/>
  <c r="AO65" i="1"/>
  <c r="AN66" i="1"/>
  <c r="AQ178" i="8" l="1"/>
  <c r="AP178" i="8"/>
  <c r="AO179" i="8"/>
  <c r="AU178" i="8"/>
  <c r="AT178" i="8"/>
  <c r="AS179" i="8"/>
  <c r="AJ143" i="7"/>
  <c r="AL142" i="7"/>
  <c r="AK142" i="7"/>
  <c r="AP142" i="7"/>
  <c r="AO142" i="7"/>
  <c r="AP66" i="1"/>
  <c r="AO66" i="1"/>
  <c r="AN67" i="1"/>
  <c r="AL66" i="1"/>
  <c r="AK66" i="1"/>
  <c r="AJ67" i="1"/>
  <c r="AU179" i="8" l="1"/>
  <c r="AT179" i="8"/>
  <c r="AS180" i="8"/>
  <c r="AQ179" i="8"/>
  <c r="AP179" i="8"/>
  <c r="AO180" i="8"/>
  <c r="AJ144" i="7"/>
  <c r="AL143" i="7"/>
  <c r="AK143" i="7"/>
  <c r="AP143" i="7"/>
  <c r="AO143" i="7"/>
  <c r="AL67" i="1"/>
  <c r="AK67" i="1"/>
  <c r="AJ68" i="1"/>
  <c r="AP67" i="1"/>
  <c r="AO67" i="1"/>
  <c r="AN68" i="1"/>
  <c r="AQ180" i="8" l="1"/>
  <c r="AP180" i="8"/>
  <c r="AO181" i="8"/>
  <c r="AT180" i="8"/>
  <c r="AU180" i="8"/>
  <c r="AS181" i="8"/>
  <c r="AJ145" i="7"/>
  <c r="AL144" i="7"/>
  <c r="AK144" i="7"/>
  <c r="AP144" i="7"/>
  <c r="AO144" i="7"/>
  <c r="AP68" i="1"/>
  <c r="AO68" i="1"/>
  <c r="AN69" i="1"/>
  <c r="AL68" i="1"/>
  <c r="AK68" i="1"/>
  <c r="AJ69" i="1"/>
  <c r="AU181" i="8" l="1"/>
  <c r="AT181" i="8"/>
  <c r="AS182" i="8"/>
  <c r="AP181" i="8"/>
  <c r="AQ181" i="8"/>
  <c r="AO182" i="8"/>
  <c r="AJ146" i="7"/>
  <c r="AK145" i="7"/>
  <c r="AL145" i="7"/>
  <c r="AP145" i="7"/>
  <c r="AO145" i="7"/>
  <c r="AL69" i="1"/>
  <c r="AK69" i="1"/>
  <c r="AJ70" i="1"/>
  <c r="AP69" i="1"/>
  <c r="AO69" i="1"/>
  <c r="AN70" i="1"/>
  <c r="AQ182" i="8" l="1"/>
  <c r="AP182" i="8"/>
  <c r="AO183" i="8"/>
  <c r="AU182" i="8"/>
  <c r="AT182" i="8"/>
  <c r="AS183" i="8"/>
  <c r="AJ147" i="7"/>
  <c r="AK146" i="7"/>
  <c r="AL146" i="7"/>
  <c r="AP146" i="7"/>
  <c r="AO146" i="7"/>
  <c r="AP70" i="1"/>
  <c r="AO70" i="1"/>
  <c r="AN71" i="1"/>
  <c r="AL70" i="1"/>
  <c r="AK70" i="1"/>
  <c r="AJ71" i="1"/>
  <c r="AU183" i="8" l="1"/>
  <c r="AT183" i="8"/>
  <c r="AS184" i="8"/>
  <c r="AQ183" i="8"/>
  <c r="AP183" i="8"/>
  <c r="AO184" i="8"/>
  <c r="AJ148" i="7"/>
  <c r="AL147" i="7"/>
  <c r="AK147" i="7"/>
  <c r="AO147" i="7"/>
  <c r="AP147" i="7"/>
  <c r="AL71" i="1"/>
  <c r="AK71" i="1"/>
  <c r="AJ72" i="1"/>
  <c r="AP71" i="1"/>
  <c r="AO71" i="1"/>
  <c r="AN72" i="1"/>
  <c r="AP184" i="8" l="1"/>
  <c r="AQ184" i="8"/>
  <c r="AO185" i="8"/>
  <c r="AT184" i="8"/>
  <c r="AU184" i="8"/>
  <c r="AS185" i="8"/>
  <c r="AJ149" i="7"/>
  <c r="AK148" i="7"/>
  <c r="AL148" i="7"/>
  <c r="AP148" i="7"/>
  <c r="AO148" i="7"/>
  <c r="AP72" i="1"/>
  <c r="AO72" i="1"/>
  <c r="AN73" i="1"/>
  <c r="AL72" i="1"/>
  <c r="AK72" i="1"/>
  <c r="AJ73" i="1"/>
  <c r="AU185" i="8" l="1"/>
  <c r="AT185" i="8"/>
  <c r="AS186" i="8"/>
  <c r="AP185" i="8"/>
  <c r="AQ185" i="8"/>
  <c r="AO186" i="8"/>
  <c r="AJ150" i="7"/>
  <c r="AK149" i="7"/>
  <c r="AL149" i="7"/>
  <c r="AP149" i="7"/>
  <c r="AO149" i="7"/>
  <c r="AL73" i="1"/>
  <c r="AK73" i="1"/>
  <c r="AJ74" i="1"/>
  <c r="AP73" i="1"/>
  <c r="AO73" i="1"/>
  <c r="AN74" i="1"/>
  <c r="AQ186" i="8" l="1"/>
  <c r="AP186" i="8"/>
  <c r="AO187" i="8"/>
  <c r="AU186" i="8"/>
  <c r="AT186" i="8"/>
  <c r="AS187" i="8"/>
  <c r="AJ151" i="7"/>
  <c r="AL150" i="7"/>
  <c r="AK150" i="7"/>
  <c r="AO150" i="7"/>
  <c r="AP150" i="7"/>
  <c r="AP74" i="1"/>
  <c r="AO74" i="1"/>
  <c r="AN75" i="1"/>
  <c r="AL74" i="1"/>
  <c r="AK74" i="1"/>
  <c r="AJ75" i="1"/>
  <c r="AU187" i="8" l="1"/>
  <c r="AT187" i="8"/>
  <c r="AS188" i="8"/>
  <c r="AQ187" i="8"/>
  <c r="AP187" i="8"/>
  <c r="AO188" i="8"/>
  <c r="AJ152" i="7"/>
  <c r="AL151" i="7"/>
  <c r="AK151" i="7"/>
  <c r="AO151" i="7"/>
  <c r="AP151" i="7"/>
  <c r="AL75" i="1"/>
  <c r="AK75" i="1"/>
  <c r="AJ76" i="1"/>
  <c r="AP75" i="1"/>
  <c r="AO75" i="1"/>
  <c r="AN76" i="1"/>
  <c r="AQ188" i="8" l="1"/>
  <c r="AP188" i="8"/>
  <c r="AO189" i="8"/>
  <c r="AT188" i="8"/>
  <c r="AU188" i="8"/>
  <c r="AS189" i="8"/>
  <c r="AJ153" i="7"/>
  <c r="AK152" i="7"/>
  <c r="AL152" i="7"/>
  <c r="AP152" i="7"/>
  <c r="AO152" i="7"/>
  <c r="AP76" i="1"/>
  <c r="AO76" i="1"/>
  <c r="AN77" i="1"/>
  <c r="AL76" i="1"/>
  <c r="AK76" i="1"/>
  <c r="AJ77" i="1"/>
  <c r="AU189" i="8" l="1"/>
  <c r="AT189" i="8"/>
  <c r="AS190" i="8"/>
  <c r="AP189" i="8"/>
  <c r="AQ189" i="8"/>
  <c r="AO190" i="8"/>
  <c r="AJ154" i="7"/>
  <c r="AK153" i="7"/>
  <c r="AL153" i="7"/>
  <c r="AP153" i="7"/>
  <c r="AO153" i="7"/>
  <c r="AL77" i="1"/>
  <c r="AK77" i="1"/>
  <c r="AJ78" i="1"/>
  <c r="AP77" i="1"/>
  <c r="AO77" i="1"/>
  <c r="AN78" i="1"/>
  <c r="AQ190" i="8" l="1"/>
  <c r="AP190" i="8"/>
  <c r="AO191" i="8"/>
  <c r="AT190" i="8"/>
  <c r="AU190" i="8"/>
  <c r="AS191" i="8"/>
  <c r="AJ155" i="7"/>
  <c r="AK154" i="7"/>
  <c r="AL154" i="7"/>
  <c r="AO154" i="7"/>
  <c r="AP154" i="7"/>
  <c r="AP78" i="1"/>
  <c r="AO78" i="1"/>
  <c r="AN79" i="1"/>
  <c r="AL78" i="1"/>
  <c r="AK78" i="1"/>
  <c r="AJ79" i="1"/>
  <c r="AU191" i="8" l="1"/>
  <c r="AT191" i="8"/>
  <c r="AS192" i="8"/>
  <c r="AQ191" i="8"/>
  <c r="AP191" i="8"/>
  <c r="AO192" i="8"/>
  <c r="AJ156" i="7"/>
  <c r="AK155" i="7"/>
  <c r="AL155" i="7"/>
  <c r="AP155" i="7"/>
  <c r="AO155" i="7"/>
  <c r="AL79" i="1"/>
  <c r="AK79" i="1"/>
  <c r="AJ80" i="1"/>
  <c r="AP79" i="1"/>
  <c r="AO79" i="1"/>
  <c r="AN80" i="1"/>
  <c r="AQ192" i="8" l="1"/>
  <c r="AP192" i="8"/>
  <c r="AO193" i="8"/>
  <c r="AT192" i="8"/>
  <c r="AU192" i="8"/>
  <c r="AS193" i="8"/>
  <c r="AJ157" i="7"/>
  <c r="AK156" i="7"/>
  <c r="AL156" i="7"/>
  <c r="AP156" i="7"/>
  <c r="AO156" i="7"/>
  <c r="AP80" i="1"/>
  <c r="AO80" i="1"/>
  <c r="AN81" i="1"/>
  <c r="AL80" i="1"/>
  <c r="AK80" i="1"/>
  <c r="AJ81" i="1"/>
  <c r="AU193" i="8" l="1"/>
  <c r="AT193" i="8"/>
  <c r="AS194" i="8"/>
  <c r="AP193" i="8"/>
  <c r="AQ193" i="8"/>
  <c r="AO194" i="8"/>
  <c r="AJ158" i="7"/>
  <c r="AL157" i="7"/>
  <c r="AK157" i="7"/>
  <c r="AO157" i="7"/>
  <c r="AP157" i="7"/>
  <c r="AL81" i="1"/>
  <c r="AK81" i="1"/>
  <c r="AJ82" i="1"/>
  <c r="AP81" i="1"/>
  <c r="AO81" i="1"/>
  <c r="AN82" i="1"/>
  <c r="AQ194" i="8" l="1"/>
  <c r="AP194" i="8"/>
  <c r="AO195" i="8"/>
  <c r="AU194" i="8"/>
  <c r="AT194" i="8"/>
  <c r="AS195" i="8"/>
  <c r="AJ159" i="7"/>
  <c r="AK158" i="7"/>
  <c r="AL158" i="7"/>
  <c r="AO158" i="7"/>
  <c r="AP158" i="7"/>
  <c r="AP82" i="1"/>
  <c r="AO82" i="1"/>
  <c r="AN83" i="1"/>
  <c r="AL82" i="1"/>
  <c r="AK82" i="1"/>
  <c r="AJ83" i="1"/>
  <c r="AU195" i="8" l="1"/>
  <c r="AT195" i="8"/>
  <c r="AS196" i="8"/>
  <c r="AQ195" i="8"/>
  <c r="AP195" i="8"/>
  <c r="AO196" i="8"/>
  <c r="AJ160" i="7"/>
  <c r="AK159" i="7"/>
  <c r="AL159" i="7"/>
  <c r="AO159" i="7"/>
  <c r="AP159" i="7"/>
  <c r="AL83" i="1"/>
  <c r="AK83" i="1"/>
  <c r="AJ84" i="1"/>
  <c r="AP83" i="1"/>
  <c r="AO83" i="1"/>
  <c r="AN84" i="1"/>
  <c r="AQ196" i="8" l="1"/>
  <c r="AP196" i="8"/>
  <c r="AO197" i="8"/>
  <c r="AT196" i="8"/>
  <c r="AU196" i="8"/>
  <c r="AS197" i="8"/>
  <c r="AJ161" i="7"/>
  <c r="AK160" i="7"/>
  <c r="AL160" i="7"/>
  <c r="AO160" i="7"/>
  <c r="AP160" i="7"/>
  <c r="AP84" i="1"/>
  <c r="AO84" i="1"/>
  <c r="AN85" i="1"/>
  <c r="AL84" i="1"/>
  <c r="AK84" i="1"/>
  <c r="AJ85" i="1"/>
  <c r="AU197" i="8" l="1"/>
  <c r="AT197" i="8"/>
  <c r="AS198" i="8"/>
  <c r="AP197" i="8"/>
  <c r="AQ197" i="8"/>
  <c r="AO198" i="8"/>
  <c r="AJ162" i="7"/>
  <c r="AK161" i="7"/>
  <c r="AL161" i="7"/>
  <c r="AO161" i="7"/>
  <c r="AP161" i="7"/>
  <c r="AL85" i="1"/>
  <c r="AK85" i="1"/>
  <c r="AJ86" i="1"/>
  <c r="AP85" i="1"/>
  <c r="AO85" i="1"/>
  <c r="AN86" i="1"/>
  <c r="AQ198" i="8" l="1"/>
  <c r="AP198" i="8"/>
  <c r="AO199" i="8"/>
  <c r="AU198" i="8"/>
  <c r="AT198" i="8"/>
  <c r="AS199" i="8"/>
  <c r="AJ163" i="7"/>
  <c r="AK162" i="7"/>
  <c r="AL162" i="7"/>
  <c r="AP162" i="7"/>
  <c r="AO162" i="7"/>
  <c r="AP86" i="1"/>
  <c r="AO86" i="1"/>
  <c r="AN87" i="1"/>
  <c r="AL86" i="1"/>
  <c r="AK86" i="1"/>
  <c r="AJ87" i="1"/>
  <c r="AU199" i="8" l="1"/>
  <c r="AT199" i="8"/>
  <c r="AS200" i="8"/>
  <c r="AQ199" i="8"/>
  <c r="AP199" i="8"/>
  <c r="AO200" i="8"/>
  <c r="AJ164" i="7"/>
  <c r="AK163" i="7"/>
  <c r="AL163" i="7"/>
  <c r="AP163" i="7"/>
  <c r="AO163" i="7"/>
  <c r="AL87" i="1"/>
  <c r="AK87" i="1"/>
  <c r="AJ88" i="1"/>
  <c r="AP87" i="1"/>
  <c r="AO87" i="1"/>
  <c r="AN88" i="1"/>
  <c r="AQ200" i="8" l="1"/>
  <c r="AP200" i="8"/>
  <c r="AO201" i="8"/>
  <c r="AT200" i="8"/>
  <c r="AU200" i="8"/>
  <c r="AS201" i="8"/>
  <c r="AJ165" i="7"/>
  <c r="AL164" i="7"/>
  <c r="AK164" i="7"/>
  <c r="AO164" i="7"/>
  <c r="AP164" i="7"/>
  <c r="AP88" i="1"/>
  <c r="AO88" i="1"/>
  <c r="AN89" i="1"/>
  <c r="AL88" i="1"/>
  <c r="AK88" i="1"/>
  <c r="AJ89" i="1"/>
  <c r="AU201" i="8" l="1"/>
  <c r="AT201" i="8"/>
  <c r="AS202" i="8"/>
  <c r="AP201" i="8"/>
  <c r="AQ201" i="8"/>
  <c r="AO202" i="8"/>
  <c r="AJ166" i="7"/>
  <c r="AK165" i="7"/>
  <c r="AL165" i="7"/>
  <c r="AP165" i="7"/>
  <c r="AO165" i="7"/>
  <c r="AL89" i="1"/>
  <c r="AK89" i="1"/>
  <c r="AJ90" i="1"/>
  <c r="AP89" i="1"/>
  <c r="AO89" i="1"/>
  <c r="AN90" i="1"/>
  <c r="AQ202" i="8" l="1"/>
  <c r="AP202" i="8"/>
  <c r="AO203" i="8"/>
  <c r="AU202" i="8"/>
  <c r="AT202" i="8"/>
  <c r="AS203" i="8"/>
  <c r="AJ167" i="7"/>
  <c r="AL166" i="7"/>
  <c r="AK166" i="7"/>
  <c r="AO166" i="7"/>
  <c r="AP166" i="7"/>
  <c r="AP90" i="1"/>
  <c r="AO90" i="1"/>
  <c r="AN91" i="1"/>
  <c r="AL90" i="1"/>
  <c r="AK90" i="1"/>
  <c r="AJ91" i="1"/>
  <c r="AU203" i="8" l="1"/>
  <c r="AT203" i="8"/>
  <c r="AS204" i="8"/>
  <c r="AQ203" i="8"/>
  <c r="AP203" i="8"/>
  <c r="AO204" i="8"/>
  <c r="AJ168" i="7"/>
  <c r="AL167" i="7"/>
  <c r="AK167" i="7"/>
  <c r="AP167" i="7"/>
  <c r="AO167" i="7"/>
  <c r="AL91" i="1"/>
  <c r="AK91" i="1"/>
  <c r="AJ92" i="1"/>
  <c r="AP91" i="1"/>
  <c r="AO91" i="1"/>
  <c r="AN92" i="1"/>
  <c r="AQ204" i="8" l="1"/>
  <c r="AP204" i="8"/>
  <c r="AO205" i="8"/>
  <c r="AT204" i="8"/>
  <c r="AU204" i="8"/>
  <c r="AS205" i="8"/>
  <c r="AJ169" i="7"/>
  <c r="AL168" i="7"/>
  <c r="AK168" i="7"/>
  <c r="AO168" i="7"/>
  <c r="AP168" i="7"/>
  <c r="AP92" i="1"/>
  <c r="AO92" i="1"/>
  <c r="AN93" i="1"/>
  <c r="AL92" i="1"/>
  <c r="AK92" i="1"/>
  <c r="AJ93" i="1"/>
  <c r="AU205" i="8" l="1"/>
  <c r="AT205" i="8"/>
  <c r="AS206" i="8"/>
  <c r="AP205" i="8"/>
  <c r="AQ205" i="8"/>
  <c r="AO206" i="8"/>
  <c r="AJ170" i="7"/>
  <c r="AK169" i="7"/>
  <c r="AL169" i="7"/>
  <c r="AO169" i="7"/>
  <c r="AP169" i="7"/>
  <c r="AL93" i="1"/>
  <c r="AK93" i="1"/>
  <c r="AJ94" i="1"/>
  <c r="AP93" i="1"/>
  <c r="AO93" i="1"/>
  <c r="AN94" i="1"/>
  <c r="AQ206" i="8" l="1"/>
  <c r="AP206" i="8"/>
  <c r="AO207" i="8"/>
  <c r="AU206" i="8"/>
  <c r="AT206" i="8"/>
  <c r="AS207" i="8"/>
  <c r="AJ171" i="7"/>
  <c r="AK170" i="7"/>
  <c r="AL170" i="7"/>
  <c r="AP170" i="7"/>
  <c r="AO170" i="7"/>
  <c r="AP94" i="1"/>
  <c r="AO94" i="1"/>
  <c r="AN95" i="1"/>
  <c r="AL94" i="1"/>
  <c r="AK94" i="1"/>
  <c r="AJ95" i="1"/>
  <c r="AU207" i="8" l="1"/>
  <c r="AT207" i="8"/>
  <c r="AS208" i="8"/>
  <c r="AQ207" i="8"/>
  <c r="AP207" i="8"/>
  <c r="AO208" i="8"/>
  <c r="AJ172" i="7"/>
  <c r="AL171" i="7"/>
  <c r="AK171" i="7"/>
  <c r="AP171" i="7"/>
  <c r="AO171" i="7"/>
  <c r="AL95" i="1"/>
  <c r="AK95" i="1"/>
  <c r="AJ96" i="1"/>
  <c r="AP95" i="1"/>
  <c r="AO95" i="1"/>
  <c r="AN96" i="1"/>
  <c r="AQ208" i="8" l="1"/>
  <c r="AP208" i="8"/>
  <c r="AO209" i="8"/>
  <c r="AT208" i="8"/>
  <c r="AU208" i="8"/>
  <c r="AS209" i="8"/>
  <c r="AJ173" i="7"/>
  <c r="AK172" i="7"/>
  <c r="AL172" i="7"/>
  <c r="AP172" i="7"/>
  <c r="AO172" i="7"/>
  <c r="AP96" i="1"/>
  <c r="AO96" i="1"/>
  <c r="AN97" i="1"/>
  <c r="AL96" i="1"/>
  <c r="AK96" i="1"/>
  <c r="AJ97" i="1"/>
  <c r="AT209" i="8" l="1"/>
  <c r="AU209" i="8"/>
  <c r="AS210" i="8"/>
  <c r="AP209" i="8"/>
  <c r="AQ209" i="8"/>
  <c r="AO210" i="8"/>
  <c r="AJ174" i="7"/>
  <c r="AK173" i="7"/>
  <c r="AL173" i="7"/>
  <c r="AO173" i="7"/>
  <c r="AP173" i="7"/>
  <c r="AL97" i="1"/>
  <c r="AK97" i="1"/>
  <c r="AJ98" i="1"/>
  <c r="AP97" i="1"/>
  <c r="AO97" i="1"/>
  <c r="AN98" i="1"/>
  <c r="AQ210" i="8" l="1"/>
  <c r="AP210" i="8"/>
  <c r="AO211" i="8"/>
  <c r="AU210" i="8"/>
  <c r="AT210" i="8"/>
  <c r="AS211" i="8"/>
  <c r="AJ175" i="7"/>
  <c r="AL174" i="7"/>
  <c r="AK174" i="7"/>
  <c r="AO174" i="7"/>
  <c r="AP174" i="7"/>
  <c r="AP98" i="1"/>
  <c r="AO98" i="1"/>
  <c r="AN99" i="1"/>
  <c r="AL98" i="1"/>
  <c r="AK98" i="1"/>
  <c r="AJ99" i="1"/>
  <c r="AU211" i="8" l="1"/>
  <c r="AT211" i="8"/>
  <c r="AS212" i="8"/>
  <c r="AQ211" i="8"/>
  <c r="AP211" i="8"/>
  <c r="AO212" i="8"/>
  <c r="AJ176" i="7"/>
  <c r="AL175" i="7"/>
  <c r="AK175" i="7"/>
  <c r="AP175" i="7"/>
  <c r="AO175" i="7"/>
  <c r="AL99" i="1"/>
  <c r="AK99" i="1"/>
  <c r="AJ100" i="1"/>
  <c r="AP99" i="1"/>
  <c r="AO99" i="1"/>
  <c r="AN100" i="1"/>
  <c r="AQ212" i="8" l="1"/>
  <c r="AP212" i="8"/>
  <c r="AO213" i="8"/>
  <c r="AT212" i="8"/>
  <c r="AU212" i="8"/>
  <c r="AS213" i="8"/>
  <c r="AJ177" i="7"/>
  <c r="AK176" i="7"/>
  <c r="AL176" i="7"/>
  <c r="AP176" i="7"/>
  <c r="AO176" i="7"/>
  <c r="AP100" i="1"/>
  <c r="AO100" i="1"/>
  <c r="AN101" i="1"/>
  <c r="AL100" i="1"/>
  <c r="AK100" i="1"/>
  <c r="AJ101" i="1"/>
  <c r="AU213" i="8" l="1"/>
  <c r="AT213" i="8"/>
  <c r="AS214" i="8"/>
  <c r="AP213" i="8"/>
  <c r="AQ213" i="8"/>
  <c r="AO214" i="8"/>
  <c r="AJ178" i="7"/>
  <c r="AK177" i="7"/>
  <c r="AL177" i="7"/>
  <c r="AP177" i="7"/>
  <c r="AO177" i="7"/>
  <c r="AL101" i="1"/>
  <c r="AK101" i="1"/>
  <c r="AJ102" i="1"/>
  <c r="AP101" i="1"/>
  <c r="AO101" i="1"/>
  <c r="AN102" i="1"/>
  <c r="AQ214" i="8" l="1"/>
  <c r="AP214" i="8"/>
  <c r="AO215" i="8"/>
  <c r="AU214" i="8"/>
  <c r="AT214" i="8"/>
  <c r="AS215" i="8"/>
  <c r="AJ179" i="7"/>
  <c r="AK178" i="7"/>
  <c r="AL178" i="7"/>
  <c r="AO178" i="7"/>
  <c r="AP178" i="7"/>
  <c r="AP102" i="1"/>
  <c r="AO102" i="1"/>
  <c r="AN103" i="1"/>
  <c r="AL102" i="1"/>
  <c r="AK102" i="1"/>
  <c r="AJ103" i="1"/>
  <c r="AU215" i="8" l="1"/>
  <c r="AT215" i="8"/>
  <c r="AS216" i="8"/>
  <c r="AQ215" i="8"/>
  <c r="AP215" i="8"/>
  <c r="AO216" i="8"/>
  <c r="AJ180" i="7"/>
  <c r="AK179" i="7"/>
  <c r="AL179" i="7"/>
  <c r="AO179" i="7"/>
  <c r="AP179" i="7"/>
  <c r="AL103" i="1"/>
  <c r="AK103" i="1"/>
  <c r="AJ104" i="1"/>
  <c r="AP103" i="1"/>
  <c r="AO103" i="1"/>
  <c r="AN104" i="1"/>
  <c r="AP216" i="8" l="1"/>
  <c r="AQ216" i="8"/>
  <c r="AO217" i="8"/>
  <c r="AT216" i="8"/>
  <c r="AU216" i="8"/>
  <c r="AS217" i="8"/>
  <c r="AJ181" i="7"/>
  <c r="AK180" i="7"/>
  <c r="AL180" i="7"/>
  <c r="AP180" i="7"/>
  <c r="AO180" i="7"/>
  <c r="AP104" i="1"/>
  <c r="AO104" i="1"/>
  <c r="AN105" i="1"/>
  <c r="AL104" i="1"/>
  <c r="AK104" i="1"/>
  <c r="AJ105" i="1"/>
  <c r="AT217" i="8" l="1"/>
  <c r="AU217" i="8"/>
  <c r="AS218" i="8"/>
  <c r="AQ217" i="8"/>
  <c r="AP217" i="8"/>
  <c r="AO218" i="8"/>
  <c r="AJ182" i="7"/>
  <c r="AK181" i="7"/>
  <c r="AL181" i="7"/>
  <c r="AO181" i="7"/>
  <c r="AP181" i="7"/>
  <c r="AL105" i="1"/>
  <c r="AK105" i="1"/>
  <c r="AJ106" i="1"/>
  <c r="AP105" i="1"/>
  <c r="AO105" i="1"/>
  <c r="AN106" i="1"/>
  <c r="AQ218" i="8" l="1"/>
  <c r="AP218" i="8"/>
  <c r="AO219" i="8"/>
  <c r="AU218" i="8"/>
  <c r="AT218" i="8"/>
  <c r="AS219" i="8"/>
  <c r="AJ183" i="7"/>
  <c r="AL182" i="7"/>
  <c r="AK182" i="7"/>
  <c r="AO182" i="7"/>
  <c r="AP182" i="7"/>
  <c r="AP106" i="1"/>
  <c r="AO106" i="1"/>
  <c r="AN107" i="1"/>
  <c r="AL106" i="1"/>
  <c r="AK106" i="1"/>
  <c r="AJ107" i="1"/>
  <c r="AU219" i="8" l="1"/>
  <c r="AT219" i="8"/>
  <c r="AS220" i="8"/>
  <c r="AQ219" i="8"/>
  <c r="AP219" i="8"/>
  <c r="AO220" i="8"/>
  <c r="AJ184" i="7"/>
  <c r="AL183" i="7"/>
  <c r="AK183" i="7"/>
  <c r="AP183" i="7"/>
  <c r="AO183" i="7"/>
  <c r="AL107" i="1"/>
  <c r="AK107" i="1"/>
  <c r="AJ108" i="1"/>
  <c r="AP107" i="1"/>
  <c r="AO107" i="1"/>
  <c r="AN108" i="1"/>
  <c r="AP220" i="8" l="1"/>
  <c r="AQ220" i="8"/>
  <c r="AO221" i="8"/>
  <c r="AT220" i="8"/>
  <c r="AU220" i="8"/>
  <c r="AS221" i="8"/>
  <c r="AJ185" i="7"/>
  <c r="AL184" i="7"/>
  <c r="AK184" i="7"/>
  <c r="AO184" i="7"/>
  <c r="AP184" i="7"/>
  <c r="AP108" i="1"/>
  <c r="AO108" i="1"/>
  <c r="AN109" i="1"/>
  <c r="AL108" i="1"/>
  <c r="AK108" i="1"/>
  <c r="AJ109" i="1"/>
  <c r="AU221" i="8" l="1"/>
  <c r="AT221" i="8"/>
  <c r="AS222" i="8"/>
  <c r="AQ221" i="8"/>
  <c r="AP221" i="8"/>
  <c r="AO222" i="8"/>
  <c r="AJ186" i="7"/>
  <c r="AK185" i="7"/>
  <c r="AL185" i="7"/>
  <c r="AO185" i="7"/>
  <c r="AP185" i="7"/>
  <c r="AL109" i="1"/>
  <c r="AK109" i="1"/>
  <c r="AJ110" i="1"/>
  <c r="AP109" i="1"/>
  <c r="AO109" i="1"/>
  <c r="AN110" i="1"/>
  <c r="AQ222" i="8" l="1"/>
  <c r="AP222" i="8"/>
  <c r="AO223" i="8"/>
  <c r="AU222" i="8"/>
  <c r="AT222" i="8"/>
  <c r="AS223" i="8"/>
  <c r="AJ187" i="7"/>
  <c r="AK186" i="7"/>
  <c r="AL186" i="7"/>
  <c r="AP186" i="7"/>
  <c r="AO186" i="7"/>
  <c r="AP110" i="1"/>
  <c r="AO110" i="1"/>
  <c r="AN111" i="1"/>
  <c r="AL110" i="1"/>
  <c r="AK110" i="1"/>
  <c r="AJ111" i="1"/>
  <c r="AU223" i="8" l="1"/>
  <c r="AT223" i="8"/>
  <c r="AS224" i="8"/>
  <c r="AQ223" i="8"/>
  <c r="AP223" i="8"/>
  <c r="AO224" i="8"/>
  <c r="AJ188" i="7"/>
  <c r="AK187" i="7"/>
  <c r="AL187" i="7"/>
  <c r="AP187" i="7"/>
  <c r="AO187" i="7"/>
  <c r="AL111" i="1"/>
  <c r="AK111" i="1"/>
  <c r="AJ112" i="1"/>
  <c r="AP111" i="1"/>
  <c r="AO111" i="1"/>
  <c r="AN112" i="1"/>
  <c r="AP224" i="8" l="1"/>
  <c r="AQ224" i="8"/>
  <c r="AO225" i="8"/>
  <c r="AT224" i="8"/>
  <c r="AU224" i="8"/>
  <c r="AS225" i="8"/>
  <c r="AJ189" i="7"/>
  <c r="AK188" i="7"/>
  <c r="AL188" i="7"/>
  <c r="AP188" i="7"/>
  <c r="AO188" i="7"/>
  <c r="AP112" i="1"/>
  <c r="AO112" i="1"/>
  <c r="AN113" i="1"/>
  <c r="AL112" i="1"/>
  <c r="AK112" i="1"/>
  <c r="AJ113" i="1"/>
  <c r="AU225" i="8" l="1"/>
  <c r="AT225" i="8"/>
  <c r="AS226" i="8"/>
  <c r="AQ225" i="8"/>
  <c r="AP225" i="8"/>
  <c r="AO226" i="8"/>
  <c r="AJ190" i="7"/>
  <c r="AK189" i="7"/>
  <c r="AL189" i="7"/>
  <c r="AO189" i="7"/>
  <c r="AP189" i="7"/>
  <c r="AL113" i="1"/>
  <c r="AK113" i="1"/>
  <c r="AJ114" i="1"/>
  <c r="AP113" i="1"/>
  <c r="AO113" i="1"/>
  <c r="AN114" i="1"/>
  <c r="AQ226" i="8" l="1"/>
  <c r="AP226" i="8"/>
  <c r="AO227" i="8"/>
  <c r="AU226" i="8"/>
  <c r="AT226" i="8"/>
  <c r="AS227" i="8"/>
  <c r="AJ191" i="7"/>
  <c r="AL190" i="7"/>
  <c r="AK190" i="7"/>
  <c r="AP190" i="7"/>
  <c r="AO190" i="7"/>
  <c r="AP114" i="1"/>
  <c r="AO114" i="1"/>
  <c r="AN115" i="1"/>
  <c r="AL114" i="1"/>
  <c r="AK114" i="1"/>
  <c r="AJ115" i="1"/>
  <c r="AU227" i="8" l="1"/>
  <c r="AT227" i="8"/>
  <c r="AS228" i="8"/>
  <c r="AQ227" i="8"/>
  <c r="AP227" i="8"/>
  <c r="AO228" i="8"/>
  <c r="AJ192" i="7"/>
  <c r="AL191" i="7"/>
  <c r="AK191" i="7"/>
  <c r="AP191" i="7"/>
  <c r="AO191" i="7"/>
  <c r="AL115" i="1"/>
  <c r="AK115" i="1"/>
  <c r="AJ116" i="1"/>
  <c r="AP115" i="1"/>
  <c r="AO115" i="1"/>
  <c r="AN116" i="1"/>
  <c r="AP228" i="8" l="1"/>
  <c r="AQ228" i="8"/>
  <c r="AO229" i="8"/>
  <c r="AT228" i="8"/>
  <c r="AU228" i="8"/>
  <c r="AS229" i="8"/>
  <c r="AJ193" i="7"/>
  <c r="AK192" i="7"/>
  <c r="AL192" i="7"/>
  <c r="AO192" i="7"/>
  <c r="AP192" i="7"/>
  <c r="AP116" i="1"/>
  <c r="AO116" i="1"/>
  <c r="AN117" i="1"/>
  <c r="AL116" i="1"/>
  <c r="AK116" i="1"/>
  <c r="AJ117" i="1"/>
  <c r="AU229" i="8" l="1"/>
  <c r="AT229" i="8"/>
  <c r="AS230" i="8"/>
  <c r="AQ229" i="8"/>
  <c r="AP229" i="8"/>
  <c r="AO230" i="8"/>
  <c r="AJ194" i="7"/>
  <c r="AK193" i="7"/>
  <c r="AL193" i="7"/>
  <c r="AO193" i="7"/>
  <c r="AP193" i="7"/>
  <c r="AL117" i="1"/>
  <c r="AK117" i="1"/>
  <c r="AJ118" i="1"/>
  <c r="AP117" i="1"/>
  <c r="AO117" i="1"/>
  <c r="AN118" i="1"/>
  <c r="AQ230" i="8" l="1"/>
  <c r="AP230" i="8"/>
  <c r="AO231" i="8"/>
  <c r="AU230" i="8"/>
  <c r="AT230" i="8"/>
  <c r="AS231" i="8"/>
  <c r="AJ195" i="7"/>
  <c r="AK194" i="7"/>
  <c r="AL194" i="7"/>
  <c r="AO194" i="7"/>
  <c r="AP194" i="7"/>
  <c r="AP118" i="1"/>
  <c r="AO118" i="1"/>
  <c r="AN119" i="1"/>
  <c r="AL118" i="1"/>
  <c r="AK118" i="1"/>
  <c r="AJ119" i="1"/>
  <c r="AU231" i="8" l="1"/>
  <c r="AT231" i="8"/>
  <c r="AS232" i="8"/>
  <c r="AQ231" i="8"/>
  <c r="AP231" i="8"/>
  <c r="AO232" i="8"/>
  <c r="AJ196" i="7"/>
  <c r="AL195" i="7"/>
  <c r="AK195" i="7"/>
  <c r="AP195" i="7"/>
  <c r="AO195" i="7"/>
  <c r="AL119" i="1"/>
  <c r="AK119" i="1"/>
  <c r="AJ120" i="1"/>
  <c r="AP119" i="1"/>
  <c r="AO119" i="1"/>
  <c r="AN120" i="1"/>
  <c r="AP232" i="8" l="1"/>
  <c r="AQ232" i="8"/>
  <c r="AO233" i="8"/>
  <c r="AT232" i="8"/>
  <c r="AU232" i="8"/>
  <c r="AS233" i="8"/>
  <c r="AJ197" i="7"/>
  <c r="AK196" i="7"/>
  <c r="AL196" i="7"/>
  <c r="AO196" i="7"/>
  <c r="AP196" i="7"/>
  <c r="AP120" i="1"/>
  <c r="AO120" i="1"/>
  <c r="AN121" i="1"/>
  <c r="AL120" i="1"/>
  <c r="AK120" i="1"/>
  <c r="AJ121" i="1"/>
  <c r="AU233" i="8" l="1"/>
  <c r="AT233" i="8"/>
  <c r="AS234" i="8"/>
  <c r="AQ233" i="8"/>
  <c r="AP233" i="8"/>
  <c r="AO234" i="8"/>
  <c r="AJ198" i="7"/>
  <c r="AL197" i="7"/>
  <c r="AK197" i="7"/>
  <c r="AO197" i="7"/>
  <c r="AP197" i="7"/>
  <c r="AL121" i="1"/>
  <c r="AK121" i="1"/>
  <c r="AJ122" i="1"/>
  <c r="AP121" i="1"/>
  <c r="AO121" i="1"/>
  <c r="AN122" i="1"/>
  <c r="AQ234" i="8" l="1"/>
  <c r="AP234" i="8"/>
  <c r="AO235" i="8"/>
  <c r="AU234" i="8"/>
  <c r="AT234" i="8"/>
  <c r="AS235" i="8"/>
  <c r="AJ199" i="7"/>
  <c r="AL198" i="7"/>
  <c r="AK198" i="7"/>
  <c r="AO198" i="7"/>
  <c r="AP198" i="7"/>
  <c r="AP122" i="1"/>
  <c r="AO122" i="1"/>
  <c r="AN123" i="1"/>
  <c r="AL122" i="1"/>
  <c r="AK122" i="1"/>
  <c r="AJ123" i="1"/>
  <c r="AU235" i="8" l="1"/>
  <c r="AT235" i="8"/>
  <c r="AS236" i="8"/>
  <c r="AQ235" i="8"/>
  <c r="AP235" i="8"/>
  <c r="AO236" i="8"/>
  <c r="AJ200" i="7"/>
  <c r="AL199" i="7"/>
  <c r="AK199" i="7"/>
  <c r="AP199" i="7"/>
  <c r="AO199" i="7"/>
  <c r="AL123" i="1"/>
  <c r="AK123" i="1"/>
  <c r="AJ124" i="1"/>
  <c r="AP123" i="1"/>
  <c r="AO123" i="1"/>
  <c r="AN124" i="1"/>
  <c r="AP236" i="8" l="1"/>
  <c r="AQ236" i="8"/>
  <c r="AO237" i="8"/>
  <c r="AT236" i="8"/>
  <c r="AU236" i="8"/>
  <c r="AS237" i="8"/>
  <c r="AJ201" i="7"/>
  <c r="AK200" i="7"/>
  <c r="AL200" i="7"/>
  <c r="AO200" i="7"/>
  <c r="AP200" i="7"/>
  <c r="AP124" i="1"/>
  <c r="AO124" i="1"/>
  <c r="AN125" i="1"/>
  <c r="AL124" i="1"/>
  <c r="AK124" i="1"/>
  <c r="AJ125" i="1"/>
  <c r="AU237" i="8" l="1"/>
  <c r="AT237" i="8"/>
  <c r="AS238" i="8"/>
  <c r="AQ237" i="8"/>
  <c r="AP237" i="8"/>
  <c r="AO238" i="8"/>
  <c r="AJ202" i="7"/>
  <c r="AK201" i="7"/>
  <c r="AL201" i="7"/>
  <c r="AO201" i="7"/>
  <c r="AP201" i="7"/>
  <c r="AL125" i="1"/>
  <c r="AK125" i="1"/>
  <c r="AJ126" i="1"/>
  <c r="AP125" i="1"/>
  <c r="AO125" i="1"/>
  <c r="AN126" i="1"/>
  <c r="AQ238" i="8" l="1"/>
  <c r="AP238" i="8"/>
  <c r="AO239" i="8"/>
  <c r="AU238" i="8"/>
  <c r="AT238" i="8"/>
  <c r="AS239" i="8"/>
  <c r="AJ203" i="7"/>
  <c r="AK202" i="7"/>
  <c r="AL202" i="7"/>
  <c r="AO202" i="7"/>
  <c r="AP202" i="7"/>
  <c r="AP126" i="1"/>
  <c r="AO126" i="1"/>
  <c r="AN127" i="1"/>
  <c r="AL126" i="1"/>
  <c r="AK126" i="1"/>
  <c r="AJ127" i="1"/>
  <c r="AU239" i="8" l="1"/>
  <c r="AT239" i="8"/>
  <c r="AS240" i="8"/>
  <c r="AQ239" i="8"/>
  <c r="AP239" i="8"/>
  <c r="AO240" i="8"/>
  <c r="AJ204" i="7"/>
  <c r="AL203" i="7"/>
  <c r="AK203" i="7"/>
  <c r="AP203" i="7"/>
  <c r="AO203" i="7"/>
  <c r="AL127" i="1"/>
  <c r="AK127" i="1"/>
  <c r="AJ128" i="1"/>
  <c r="AP127" i="1"/>
  <c r="AO127" i="1"/>
  <c r="AN128" i="1"/>
  <c r="AP240" i="8" l="1"/>
  <c r="AQ240" i="8"/>
  <c r="AO241" i="8"/>
  <c r="AT240" i="8"/>
  <c r="AU240" i="8"/>
  <c r="AS241" i="8"/>
  <c r="AJ205" i="7"/>
  <c r="AK204" i="7"/>
  <c r="AL204" i="7"/>
  <c r="AP204" i="7"/>
  <c r="AO204" i="7"/>
  <c r="AP128" i="1"/>
  <c r="AO128" i="1"/>
  <c r="AN129" i="1"/>
  <c r="AL128" i="1"/>
  <c r="AK128" i="1"/>
  <c r="AJ129" i="1"/>
  <c r="AU241" i="8" l="1"/>
  <c r="AT241" i="8"/>
  <c r="AS242" i="8"/>
  <c r="AQ241" i="8"/>
  <c r="AP241" i="8"/>
  <c r="AO242" i="8"/>
  <c r="AJ206" i="7"/>
  <c r="AK205" i="7"/>
  <c r="AL205" i="7"/>
  <c r="AO205" i="7"/>
  <c r="AP205" i="7"/>
  <c r="AL129" i="1"/>
  <c r="AK129" i="1"/>
  <c r="AJ130" i="1"/>
  <c r="AP129" i="1"/>
  <c r="AO129" i="1"/>
  <c r="AN130" i="1"/>
  <c r="AQ242" i="8" l="1"/>
  <c r="AP242" i="8"/>
  <c r="AO243" i="8"/>
  <c r="AU242" i="8"/>
  <c r="AT242" i="8"/>
  <c r="AS243" i="8"/>
  <c r="AJ207" i="7"/>
  <c r="AL206" i="7"/>
  <c r="AK206" i="7"/>
  <c r="AO206" i="7"/>
  <c r="AP206" i="7"/>
  <c r="AP130" i="1"/>
  <c r="AO130" i="1"/>
  <c r="AN131" i="1"/>
  <c r="AL130" i="1"/>
  <c r="AK130" i="1"/>
  <c r="AJ131" i="1"/>
  <c r="AU243" i="8" l="1"/>
  <c r="AT243" i="8"/>
  <c r="AS244" i="8"/>
  <c r="AQ243" i="8"/>
  <c r="AP243" i="8"/>
  <c r="AO244" i="8"/>
  <c r="AJ208" i="7"/>
  <c r="AL207" i="7"/>
  <c r="AK207" i="7"/>
  <c r="AO207" i="7"/>
  <c r="AP207" i="7"/>
  <c r="AL131" i="1"/>
  <c r="AK131" i="1"/>
  <c r="AJ132" i="1"/>
  <c r="AP131" i="1"/>
  <c r="AO131" i="1"/>
  <c r="AN132" i="1"/>
  <c r="AP244" i="8" l="1"/>
  <c r="AQ244" i="8"/>
  <c r="AO245" i="8"/>
  <c r="AT244" i="8"/>
  <c r="AU244" i="8"/>
  <c r="AS245" i="8"/>
  <c r="AJ209" i="7"/>
  <c r="AL208" i="7"/>
  <c r="AK208" i="7"/>
  <c r="AO208" i="7"/>
  <c r="AP208" i="7"/>
  <c r="AP132" i="1"/>
  <c r="AO132" i="1"/>
  <c r="AN133" i="1"/>
  <c r="AL132" i="1"/>
  <c r="AK132" i="1"/>
  <c r="AJ133" i="1"/>
  <c r="AU245" i="8" l="1"/>
  <c r="AT245" i="8"/>
  <c r="AS246" i="8"/>
  <c r="AQ245" i="8"/>
  <c r="AP245" i="8"/>
  <c r="AO246" i="8"/>
  <c r="AJ210" i="7"/>
  <c r="AK209" i="7"/>
  <c r="AL209" i="7"/>
  <c r="AO209" i="7"/>
  <c r="AP209" i="7"/>
  <c r="AL133" i="1"/>
  <c r="AK133" i="1"/>
  <c r="AJ134" i="1"/>
  <c r="AP133" i="1"/>
  <c r="AO133" i="1"/>
  <c r="AN134" i="1"/>
  <c r="AQ246" i="8" l="1"/>
  <c r="AP246" i="8"/>
  <c r="AO247" i="8"/>
  <c r="AU246" i="8"/>
  <c r="AT246" i="8"/>
  <c r="AS247" i="8"/>
  <c r="AJ211" i="7"/>
  <c r="AK210" i="7"/>
  <c r="AL210" i="7"/>
  <c r="AO210" i="7"/>
  <c r="AP210" i="7"/>
  <c r="AP134" i="1"/>
  <c r="AO134" i="1"/>
  <c r="AN135" i="1"/>
  <c r="AL134" i="1"/>
  <c r="AK134" i="1"/>
  <c r="AJ135" i="1"/>
  <c r="AU247" i="8" l="1"/>
  <c r="AT247" i="8"/>
  <c r="AS248" i="8"/>
  <c r="AQ247" i="8"/>
  <c r="AP247" i="8"/>
  <c r="AO248" i="8"/>
  <c r="AJ212" i="7"/>
  <c r="AK211" i="7"/>
  <c r="AL211" i="7"/>
  <c r="AP211" i="7"/>
  <c r="AO211" i="7"/>
  <c r="AL135" i="1"/>
  <c r="AK135" i="1"/>
  <c r="AJ136" i="1"/>
  <c r="AP135" i="1"/>
  <c r="AO135" i="1"/>
  <c r="AN136" i="1"/>
  <c r="AP248" i="8" l="1"/>
  <c r="AQ248" i="8"/>
  <c r="AO249" i="8"/>
  <c r="AT248" i="8"/>
  <c r="AU248" i="8"/>
  <c r="AS249" i="8"/>
  <c r="AJ213" i="7"/>
  <c r="AK212" i="7"/>
  <c r="AL212" i="7"/>
  <c r="AP212" i="7"/>
  <c r="AO212" i="7"/>
  <c r="AP136" i="1"/>
  <c r="AO136" i="1"/>
  <c r="AN137" i="1"/>
  <c r="AL136" i="1"/>
  <c r="AK136" i="1"/>
  <c r="AJ137" i="1"/>
  <c r="AT249" i="8" l="1"/>
  <c r="AU249" i="8"/>
  <c r="AS250" i="8"/>
  <c r="AQ249" i="8"/>
  <c r="AP249" i="8"/>
  <c r="AO250" i="8"/>
  <c r="AJ214" i="7"/>
  <c r="AK213" i="7"/>
  <c r="AL213" i="7"/>
  <c r="AO213" i="7"/>
  <c r="AP213" i="7"/>
  <c r="AL137" i="1"/>
  <c r="AK137" i="1"/>
  <c r="AJ138" i="1"/>
  <c r="AP137" i="1"/>
  <c r="AO137" i="1"/>
  <c r="AN138" i="1"/>
  <c r="AQ250" i="8" l="1"/>
  <c r="AP250" i="8"/>
  <c r="AO251" i="8"/>
  <c r="AU250" i="8"/>
  <c r="AT250" i="8"/>
  <c r="AS251" i="8"/>
  <c r="AJ215" i="7"/>
  <c r="AL214" i="7"/>
  <c r="AK214" i="7"/>
  <c r="AO214" i="7"/>
  <c r="AP214" i="7"/>
  <c r="AP138" i="1"/>
  <c r="AO138" i="1"/>
  <c r="AN139" i="1"/>
  <c r="AL138" i="1"/>
  <c r="AK138" i="1"/>
  <c r="AJ139" i="1"/>
  <c r="AU251" i="8" l="1"/>
  <c r="AT251" i="8"/>
  <c r="AS252" i="8"/>
  <c r="AQ251" i="8"/>
  <c r="AP251" i="8"/>
  <c r="AO252" i="8"/>
  <c r="AJ216" i="7"/>
  <c r="AL215" i="7"/>
  <c r="AK215" i="7"/>
  <c r="AP215" i="7"/>
  <c r="AO215" i="7"/>
  <c r="AL139" i="1"/>
  <c r="AK139" i="1"/>
  <c r="AJ140" i="1"/>
  <c r="AP139" i="1"/>
  <c r="AO139" i="1"/>
  <c r="AN140" i="1"/>
  <c r="AP252" i="8" l="1"/>
  <c r="AQ252" i="8"/>
  <c r="AO253" i="8"/>
  <c r="AT252" i="8"/>
  <c r="AU252" i="8"/>
  <c r="AS253" i="8"/>
  <c r="AJ217" i="7"/>
  <c r="AK216" i="7"/>
  <c r="AL216" i="7"/>
  <c r="AP216" i="7"/>
  <c r="AO216" i="7"/>
  <c r="AP140" i="1"/>
  <c r="AO140" i="1"/>
  <c r="AN141" i="1"/>
  <c r="AL140" i="1"/>
  <c r="AK140" i="1"/>
  <c r="AJ141" i="1"/>
  <c r="AU253" i="8" l="1"/>
  <c r="AT253" i="8"/>
  <c r="AS254" i="8"/>
  <c r="AQ253" i="8"/>
  <c r="AP253" i="8"/>
  <c r="AO254" i="8"/>
  <c r="AJ218" i="7"/>
  <c r="AK217" i="7"/>
  <c r="AL217" i="7"/>
  <c r="AP217" i="7"/>
  <c r="AO217" i="7"/>
  <c r="AL141" i="1"/>
  <c r="AK141" i="1"/>
  <c r="AJ142" i="1"/>
  <c r="AP141" i="1"/>
  <c r="AO141" i="1"/>
  <c r="AN142" i="1"/>
  <c r="AQ254" i="8" l="1"/>
  <c r="AP254" i="8"/>
  <c r="AO255" i="8"/>
  <c r="AU254" i="8"/>
  <c r="AT254" i="8"/>
  <c r="AS255" i="8"/>
  <c r="AJ219" i="7"/>
  <c r="AK218" i="7"/>
  <c r="AL218" i="7"/>
  <c r="AP218" i="7"/>
  <c r="AO218" i="7"/>
  <c r="AP142" i="1"/>
  <c r="AO142" i="1"/>
  <c r="AN143" i="1"/>
  <c r="AL142" i="1"/>
  <c r="AK142" i="1"/>
  <c r="AJ143" i="1"/>
  <c r="AU255" i="8" l="1"/>
  <c r="AT255" i="8"/>
  <c r="AS256" i="8"/>
  <c r="AQ255" i="8"/>
  <c r="AP255" i="8"/>
  <c r="AO256" i="8"/>
  <c r="AJ220" i="7"/>
  <c r="AL219" i="7"/>
  <c r="AK219" i="7"/>
  <c r="AO219" i="7"/>
  <c r="AP219" i="7"/>
  <c r="AL143" i="1"/>
  <c r="AK143" i="1"/>
  <c r="AJ144" i="1"/>
  <c r="AP143" i="1"/>
  <c r="AO143" i="1"/>
  <c r="AN144" i="1"/>
  <c r="AP256" i="8" l="1"/>
  <c r="AQ256" i="8"/>
  <c r="AO257" i="8"/>
  <c r="AT256" i="8"/>
  <c r="AU256" i="8"/>
  <c r="AS257" i="8"/>
  <c r="AJ221" i="7"/>
  <c r="AK220" i="7"/>
  <c r="AL220" i="7"/>
  <c r="AO220" i="7"/>
  <c r="AP220" i="7"/>
  <c r="AP144" i="1"/>
  <c r="AO144" i="1"/>
  <c r="AN145" i="1"/>
  <c r="AL144" i="1"/>
  <c r="AK144" i="1"/>
  <c r="AJ145" i="1"/>
  <c r="AU257" i="8" l="1"/>
  <c r="AT257" i="8"/>
  <c r="AS258" i="8"/>
  <c r="AQ257" i="8"/>
  <c r="AP257" i="8"/>
  <c r="AO258" i="8"/>
  <c r="AJ222" i="7"/>
  <c r="AL221" i="7"/>
  <c r="AK221" i="7"/>
  <c r="AP221" i="7"/>
  <c r="AO221" i="7"/>
  <c r="AL145" i="1"/>
  <c r="AK145" i="1"/>
  <c r="AJ146" i="1"/>
  <c r="AP145" i="1"/>
  <c r="AO145" i="1"/>
  <c r="AN146" i="1"/>
  <c r="AQ258" i="8" l="1"/>
  <c r="AP258" i="8"/>
  <c r="AO259" i="8"/>
  <c r="AU258" i="8"/>
  <c r="AT258" i="8"/>
  <c r="AS259" i="8"/>
  <c r="AJ223" i="7"/>
  <c r="AL222" i="7"/>
  <c r="AK222" i="7"/>
  <c r="AP222" i="7"/>
  <c r="AO222" i="7"/>
  <c r="AP146" i="1"/>
  <c r="AO146" i="1"/>
  <c r="AN147" i="1"/>
  <c r="AL146" i="1"/>
  <c r="AK146" i="1"/>
  <c r="AJ147" i="1"/>
  <c r="AU259" i="8" l="1"/>
  <c r="AT259" i="8"/>
  <c r="AS260" i="8"/>
  <c r="AQ259" i="8"/>
  <c r="AP259" i="8"/>
  <c r="AO260" i="8"/>
  <c r="AJ224" i="7"/>
  <c r="AL223" i="7"/>
  <c r="AK223" i="7"/>
  <c r="AO223" i="7"/>
  <c r="AP223" i="7"/>
  <c r="AL147" i="1"/>
  <c r="AK147" i="1"/>
  <c r="AJ148" i="1"/>
  <c r="AP147" i="1"/>
  <c r="AO147" i="1"/>
  <c r="AN148" i="1"/>
  <c r="AP260" i="8" l="1"/>
  <c r="AQ260" i="8"/>
  <c r="AO261" i="8"/>
  <c r="AT260" i="8"/>
  <c r="AU260" i="8"/>
  <c r="AS261" i="8"/>
  <c r="AJ225" i="7"/>
  <c r="AL224" i="7"/>
  <c r="AK224" i="7"/>
  <c r="AP224" i="7"/>
  <c r="AO224" i="7"/>
  <c r="AP148" i="1"/>
  <c r="AO148" i="1"/>
  <c r="AN149" i="1"/>
  <c r="AL148" i="1"/>
  <c r="AK148" i="1"/>
  <c r="AJ149" i="1"/>
  <c r="AU261" i="8" l="1"/>
  <c r="AT261" i="8"/>
  <c r="AS262" i="8"/>
  <c r="AQ261" i="8"/>
  <c r="AP261" i="8"/>
  <c r="AO262" i="8"/>
  <c r="AJ226" i="7"/>
  <c r="AK225" i="7"/>
  <c r="AL225" i="7"/>
  <c r="AP225" i="7"/>
  <c r="AO225" i="7"/>
  <c r="AL149" i="1"/>
  <c r="AK149" i="1"/>
  <c r="AJ150" i="1"/>
  <c r="AP149" i="1"/>
  <c r="AO149" i="1"/>
  <c r="AN150" i="1"/>
  <c r="AQ262" i="8" l="1"/>
  <c r="AP262" i="8"/>
  <c r="AO263" i="8"/>
  <c r="AU262" i="8"/>
  <c r="AT262" i="8"/>
  <c r="AS263" i="8"/>
  <c r="AJ227" i="7"/>
  <c r="AK226" i="7"/>
  <c r="AL226" i="7"/>
  <c r="AP226" i="7"/>
  <c r="AO226" i="7"/>
  <c r="AP150" i="1"/>
  <c r="AO150" i="1"/>
  <c r="AN151" i="1"/>
  <c r="AL150" i="1"/>
  <c r="AK150" i="1"/>
  <c r="AJ151" i="1"/>
  <c r="AU263" i="8" l="1"/>
  <c r="AT263" i="8"/>
  <c r="AS264" i="8"/>
  <c r="AQ263" i="8"/>
  <c r="AP263" i="8"/>
  <c r="AO264" i="8"/>
  <c r="AJ228" i="7"/>
  <c r="AK227" i="7"/>
  <c r="AL227" i="7"/>
  <c r="AP227" i="7"/>
  <c r="AO227" i="7"/>
  <c r="AP151" i="1"/>
  <c r="AO151" i="1"/>
  <c r="AN152" i="1"/>
  <c r="AL151" i="1"/>
  <c r="AK151" i="1"/>
  <c r="AJ152" i="1"/>
  <c r="AP264" i="8" l="1"/>
  <c r="AQ264" i="8"/>
  <c r="AO265" i="8"/>
  <c r="AT264" i="8"/>
  <c r="AU264" i="8"/>
  <c r="AS265" i="8"/>
  <c r="AJ229" i="7"/>
  <c r="AK228" i="7"/>
  <c r="AL228" i="7"/>
  <c r="AP228" i="7"/>
  <c r="AO228" i="7"/>
  <c r="AL152" i="1"/>
  <c r="AK152" i="1"/>
  <c r="AJ153" i="1"/>
  <c r="AP152" i="1"/>
  <c r="AO152" i="1"/>
  <c r="AN153" i="1"/>
  <c r="AU265" i="8" l="1"/>
  <c r="AT265" i="8"/>
  <c r="AS266" i="8"/>
  <c r="AQ265" i="8"/>
  <c r="AP265" i="8"/>
  <c r="AO266" i="8"/>
  <c r="AJ230" i="7"/>
  <c r="AK229" i="7"/>
  <c r="AL229" i="7"/>
  <c r="AP229" i="7"/>
  <c r="AO229" i="7"/>
  <c r="AP153" i="1"/>
  <c r="AO153" i="1"/>
  <c r="AN154" i="1"/>
  <c r="AL153" i="1"/>
  <c r="AK153" i="1"/>
  <c r="AJ154" i="1"/>
  <c r="AQ266" i="8" l="1"/>
  <c r="AP266" i="8"/>
  <c r="AO267" i="8"/>
  <c r="AU266" i="8"/>
  <c r="AT266" i="8"/>
  <c r="AS267" i="8"/>
  <c r="AJ231" i="7"/>
  <c r="AL230" i="7"/>
  <c r="AK230" i="7"/>
  <c r="AP230" i="7"/>
  <c r="AO230" i="7"/>
  <c r="AL154" i="1"/>
  <c r="AK154" i="1"/>
  <c r="AJ155" i="1"/>
  <c r="AP154" i="1"/>
  <c r="AO154" i="1"/>
  <c r="AN155" i="1"/>
  <c r="AU267" i="8" l="1"/>
  <c r="AT267" i="8"/>
  <c r="AS268" i="8"/>
  <c r="AQ267" i="8"/>
  <c r="AP267" i="8"/>
  <c r="AO268" i="8"/>
  <c r="AJ232" i="7"/>
  <c r="AL231" i="7"/>
  <c r="AK231" i="7"/>
  <c r="AO231" i="7"/>
  <c r="AP231" i="7"/>
  <c r="AP155" i="1"/>
  <c r="AO155" i="1"/>
  <c r="AN156" i="1"/>
  <c r="AL155" i="1"/>
  <c r="AK155" i="1"/>
  <c r="AJ156" i="1"/>
  <c r="AP268" i="8" l="1"/>
  <c r="AQ268" i="8"/>
  <c r="AO269" i="8"/>
  <c r="AT268" i="8"/>
  <c r="AU268" i="8"/>
  <c r="AS269" i="8"/>
  <c r="AJ233" i="7"/>
  <c r="AK232" i="7"/>
  <c r="AL232" i="7"/>
  <c r="AP232" i="7"/>
  <c r="AO232" i="7"/>
  <c r="AL156" i="1"/>
  <c r="AK156" i="1"/>
  <c r="AJ157" i="1"/>
  <c r="AP156" i="1"/>
  <c r="AO156" i="1"/>
  <c r="AN157" i="1"/>
  <c r="AU269" i="8" l="1"/>
  <c r="AT269" i="8"/>
  <c r="AS270" i="8"/>
  <c r="AQ269" i="8"/>
  <c r="AP269" i="8"/>
  <c r="AO270" i="8"/>
  <c r="AJ234" i="7"/>
  <c r="AK233" i="7"/>
  <c r="AL233" i="7"/>
  <c r="AP233" i="7"/>
  <c r="AO233" i="7"/>
  <c r="AP157" i="1"/>
  <c r="AO157" i="1"/>
  <c r="AN158" i="1"/>
  <c r="AL157" i="1"/>
  <c r="AK157" i="1"/>
  <c r="AJ158" i="1"/>
  <c r="AQ270" i="8" l="1"/>
  <c r="AP270" i="8"/>
  <c r="AO271" i="8"/>
  <c r="AU270" i="8"/>
  <c r="AT270" i="8"/>
  <c r="AS271" i="8"/>
  <c r="AJ235" i="7"/>
  <c r="AK234" i="7"/>
  <c r="AL234" i="7"/>
  <c r="AP234" i="7"/>
  <c r="AO234" i="7"/>
  <c r="AL158" i="1"/>
  <c r="AK158" i="1"/>
  <c r="AJ159" i="1"/>
  <c r="AP158" i="1"/>
  <c r="AO158" i="1"/>
  <c r="AN159" i="1"/>
  <c r="AU271" i="8" l="1"/>
  <c r="AT271" i="8"/>
  <c r="AS272" i="8"/>
  <c r="AQ271" i="8"/>
  <c r="AP271" i="8"/>
  <c r="AO272" i="8"/>
  <c r="AJ236" i="7"/>
  <c r="AL235" i="7"/>
  <c r="AK235" i="7"/>
  <c r="AP235" i="7"/>
  <c r="AO235" i="7"/>
  <c r="AP159" i="1"/>
  <c r="AO159" i="1"/>
  <c r="AN160" i="1"/>
  <c r="AL159" i="1"/>
  <c r="AK159" i="1"/>
  <c r="AJ160" i="1"/>
  <c r="AP272" i="8" l="1"/>
  <c r="AQ272" i="8"/>
  <c r="AO273" i="8"/>
  <c r="AT272" i="8"/>
  <c r="AU272" i="8"/>
  <c r="AS273" i="8"/>
  <c r="AJ237" i="7"/>
  <c r="AK236" i="7"/>
  <c r="AL236" i="7"/>
  <c r="AP236" i="7"/>
  <c r="AO236" i="7"/>
  <c r="AP160" i="1"/>
  <c r="AO160" i="1"/>
  <c r="AN161" i="1"/>
  <c r="AL160" i="1"/>
  <c r="AK160" i="1"/>
  <c r="AJ161" i="1"/>
  <c r="AU273" i="8" l="1"/>
  <c r="AT273" i="8"/>
  <c r="AS274" i="8"/>
  <c r="AQ273" i="8"/>
  <c r="AP273" i="8"/>
  <c r="AO274" i="8"/>
  <c r="AJ238" i="7"/>
  <c r="AK237" i="7"/>
  <c r="AL237" i="7"/>
  <c r="AO237" i="7"/>
  <c r="AP237" i="7"/>
  <c r="AL161" i="1"/>
  <c r="AK161" i="1"/>
  <c r="AJ162" i="1"/>
  <c r="AP161" i="1"/>
  <c r="AO161" i="1"/>
  <c r="AN162" i="1"/>
  <c r="AQ274" i="8" l="1"/>
  <c r="AP274" i="8"/>
  <c r="AO275" i="8"/>
  <c r="AU274" i="8"/>
  <c r="AT274" i="8"/>
  <c r="AS275" i="8"/>
  <c r="AJ239" i="7"/>
  <c r="AL238" i="7"/>
  <c r="AK238" i="7"/>
  <c r="AP238" i="7"/>
  <c r="AO238" i="7"/>
  <c r="AP162" i="1"/>
  <c r="AO162" i="1"/>
  <c r="AN163" i="1"/>
  <c r="AL162" i="1"/>
  <c r="AK162" i="1"/>
  <c r="AJ163" i="1"/>
  <c r="AU275" i="8" l="1"/>
  <c r="AT275" i="8"/>
  <c r="AS276" i="8"/>
  <c r="AQ275" i="8"/>
  <c r="AP275" i="8"/>
  <c r="AO276" i="8"/>
  <c r="AJ240" i="7"/>
  <c r="AL239" i="7"/>
  <c r="AK239" i="7"/>
  <c r="AO239" i="7"/>
  <c r="AP239" i="7"/>
  <c r="AL163" i="1"/>
  <c r="AK163" i="1"/>
  <c r="AJ164" i="1"/>
  <c r="AP163" i="1"/>
  <c r="AO163" i="1"/>
  <c r="AN164" i="1"/>
  <c r="AP276" i="8" l="1"/>
  <c r="AQ276" i="8"/>
  <c r="AO277" i="8"/>
  <c r="AT276" i="8"/>
  <c r="AU276" i="8"/>
  <c r="AS277" i="8"/>
  <c r="AJ241" i="7"/>
  <c r="AK240" i="7"/>
  <c r="AL240" i="7"/>
  <c r="AP240" i="7"/>
  <c r="AO240" i="7"/>
  <c r="AP164" i="1"/>
  <c r="AO164" i="1"/>
  <c r="AN165" i="1"/>
  <c r="AL164" i="1"/>
  <c r="AK164" i="1"/>
  <c r="AJ165" i="1"/>
  <c r="AU277" i="8" l="1"/>
  <c r="AT277" i="8"/>
  <c r="AS278" i="8"/>
  <c r="AQ277" i="8"/>
  <c r="AP277" i="8"/>
  <c r="AO278" i="8"/>
  <c r="AJ242" i="7"/>
  <c r="AK241" i="7"/>
  <c r="AL241" i="7"/>
  <c r="AP241" i="7"/>
  <c r="AO241" i="7"/>
  <c r="AL165" i="1"/>
  <c r="AK165" i="1"/>
  <c r="AJ166" i="1"/>
  <c r="AP165" i="1"/>
  <c r="AN166" i="1"/>
  <c r="AO165" i="1"/>
  <c r="AQ278" i="8" l="1"/>
  <c r="AP278" i="8"/>
  <c r="AO279" i="8"/>
  <c r="AU278" i="8"/>
  <c r="AT278" i="8"/>
  <c r="AS279" i="8"/>
  <c r="AJ243" i="7"/>
  <c r="AK242" i="7"/>
  <c r="AL242" i="7"/>
  <c r="AO242" i="7"/>
  <c r="AP242" i="7"/>
  <c r="AP166" i="1"/>
  <c r="AN167" i="1"/>
  <c r="AO166" i="1"/>
  <c r="AL166" i="1"/>
  <c r="AK166" i="1"/>
  <c r="AJ167" i="1"/>
  <c r="AU279" i="8" l="1"/>
  <c r="AT279" i="8"/>
  <c r="AS280" i="8"/>
  <c r="AQ279" i="8"/>
  <c r="AP279" i="8"/>
  <c r="AO280" i="8"/>
  <c r="AJ244" i="7"/>
  <c r="AK243" i="7"/>
  <c r="AL243" i="7"/>
  <c r="AO243" i="7"/>
  <c r="AP243" i="7"/>
  <c r="AL167" i="1"/>
  <c r="AK167" i="1"/>
  <c r="AJ168" i="1"/>
  <c r="AP167" i="1"/>
  <c r="AO167" i="1"/>
  <c r="AN168" i="1"/>
  <c r="AP280" i="8" l="1"/>
  <c r="AQ280" i="8"/>
  <c r="AO281" i="8"/>
  <c r="AT280" i="8"/>
  <c r="AU280" i="8"/>
  <c r="AS281" i="8"/>
  <c r="AJ245" i="7"/>
  <c r="AK244" i="7"/>
  <c r="AL244" i="7"/>
  <c r="AP244" i="7"/>
  <c r="AO244" i="7"/>
  <c r="AP168" i="1"/>
  <c r="AO168" i="1"/>
  <c r="AN169" i="1"/>
  <c r="AL168" i="1"/>
  <c r="AK168" i="1"/>
  <c r="AJ169" i="1"/>
  <c r="AT281" i="8" l="1"/>
  <c r="AU281" i="8"/>
  <c r="AS282" i="8"/>
  <c r="AQ281" i="8"/>
  <c r="AP281" i="8"/>
  <c r="AO282" i="8"/>
  <c r="AJ246" i="7"/>
  <c r="AL245" i="7"/>
  <c r="AK245" i="7"/>
  <c r="AP245" i="7"/>
  <c r="AO245" i="7"/>
  <c r="AL169" i="1"/>
  <c r="AK169" i="1"/>
  <c r="AJ170" i="1"/>
  <c r="AP169" i="1"/>
  <c r="AN170" i="1"/>
  <c r="AO169" i="1"/>
  <c r="AQ282" i="8" l="1"/>
  <c r="AP282" i="8"/>
  <c r="AO283" i="8"/>
  <c r="AU282" i="8"/>
  <c r="AT282" i="8"/>
  <c r="AS283" i="8"/>
  <c r="AJ247" i="7"/>
  <c r="AL246" i="7"/>
  <c r="AK246" i="7"/>
  <c r="AP246" i="7"/>
  <c r="AO246" i="7"/>
  <c r="AP170" i="1"/>
  <c r="AN171" i="1"/>
  <c r="AO170" i="1"/>
  <c r="AL170" i="1"/>
  <c r="AK170" i="1"/>
  <c r="AJ171" i="1"/>
  <c r="AU283" i="8" l="1"/>
  <c r="AT283" i="8"/>
  <c r="AS284" i="8"/>
  <c r="AQ283" i="8"/>
  <c r="AP283" i="8"/>
  <c r="AO284" i="8"/>
  <c r="AJ248" i="7"/>
  <c r="AL247" i="7"/>
  <c r="AK247" i="7"/>
  <c r="AO247" i="7"/>
  <c r="AP247" i="7"/>
  <c r="AL171" i="1"/>
  <c r="AK171" i="1"/>
  <c r="AJ172" i="1"/>
  <c r="AP171" i="1"/>
  <c r="AN172" i="1"/>
  <c r="AO171" i="1"/>
  <c r="AP284" i="8" l="1"/>
  <c r="AQ284" i="8"/>
  <c r="AO285" i="8"/>
  <c r="AT284" i="8"/>
  <c r="AU284" i="8"/>
  <c r="AS285" i="8"/>
  <c r="AJ249" i="7"/>
  <c r="AL248" i="7"/>
  <c r="AK248" i="7"/>
  <c r="AP248" i="7"/>
  <c r="AO248" i="7"/>
  <c r="AP172" i="1"/>
  <c r="AN173" i="1"/>
  <c r="AO172" i="1"/>
  <c r="AL172" i="1"/>
  <c r="AJ173" i="1"/>
  <c r="AK172" i="1"/>
  <c r="AU285" i="8" l="1"/>
  <c r="AT285" i="8"/>
  <c r="AS286" i="8"/>
  <c r="AQ285" i="8"/>
  <c r="AP285" i="8"/>
  <c r="AO286" i="8"/>
  <c r="AJ250" i="7"/>
  <c r="AK249" i="7"/>
  <c r="AL249" i="7"/>
  <c r="AP249" i="7"/>
  <c r="AO249" i="7"/>
  <c r="AL173" i="1"/>
  <c r="AJ174" i="1"/>
  <c r="AK173" i="1"/>
  <c r="AP173" i="1"/>
  <c r="AN174" i="1"/>
  <c r="AO173" i="1"/>
  <c r="AQ286" i="8" l="1"/>
  <c r="AP286" i="8"/>
  <c r="AO287" i="8"/>
  <c r="AU286" i="8"/>
  <c r="AT286" i="8"/>
  <c r="AS287" i="8"/>
  <c r="AJ251" i="7"/>
  <c r="AK250" i="7"/>
  <c r="AL250" i="7"/>
  <c r="AP250" i="7"/>
  <c r="AO250" i="7"/>
  <c r="AP174" i="1"/>
  <c r="AN175" i="1"/>
  <c r="AO174" i="1"/>
  <c r="AL174" i="1"/>
  <c r="AJ175" i="1"/>
  <c r="AK174" i="1"/>
  <c r="AU287" i="8" l="1"/>
  <c r="AT287" i="8"/>
  <c r="AS288" i="8"/>
  <c r="AQ287" i="8"/>
  <c r="AP287" i="8"/>
  <c r="AO288" i="8"/>
  <c r="AJ252" i="7"/>
  <c r="AK251" i="7"/>
  <c r="AL251" i="7"/>
  <c r="AP251" i="7"/>
  <c r="AO251" i="7"/>
  <c r="AL175" i="1"/>
  <c r="AJ176" i="1"/>
  <c r="AK175" i="1"/>
  <c r="AP175" i="1"/>
  <c r="AN176" i="1"/>
  <c r="AO175" i="1"/>
  <c r="AP288" i="8" l="1"/>
  <c r="AQ288" i="8"/>
  <c r="AO289" i="8"/>
  <c r="AT288" i="8"/>
  <c r="AU288" i="8"/>
  <c r="AS289" i="8"/>
  <c r="AJ253" i="7"/>
  <c r="AK252" i="7"/>
  <c r="AL252" i="7"/>
  <c r="AP252" i="7"/>
  <c r="AO252" i="7"/>
  <c r="AP176" i="1"/>
  <c r="AO176" i="1"/>
  <c r="AN177" i="1"/>
  <c r="AL176" i="1"/>
  <c r="AK176" i="1"/>
  <c r="AJ177" i="1"/>
  <c r="AU289" i="8" l="1"/>
  <c r="AT289" i="8"/>
  <c r="AS290" i="8"/>
  <c r="AQ289" i="8"/>
  <c r="AP289" i="8"/>
  <c r="AO290" i="8"/>
  <c r="AJ254" i="7"/>
  <c r="AK253" i="7"/>
  <c r="AL253" i="7"/>
  <c r="AP253" i="7"/>
  <c r="AO253" i="7"/>
  <c r="AL177" i="1"/>
  <c r="AJ178" i="1"/>
  <c r="AK177" i="1"/>
  <c r="AP177" i="1"/>
  <c r="AN178" i="1"/>
  <c r="AO177" i="1"/>
  <c r="AQ290" i="8" l="1"/>
  <c r="AP290" i="8"/>
  <c r="AO291" i="8"/>
  <c r="AU290" i="8"/>
  <c r="AT290" i="8"/>
  <c r="AS291" i="8"/>
  <c r="AJ255" i="7"/>
  <c r="AK254" i="7"/>
  <c r="AL254" i="7"/>
  <c r="AP254" i="7"/>
  <c r="AO254" i="7"/>
  <c r="AP178" i="1"/>
  <c r="AN179" i="1"/>
  <c r="AO178" i="1"/>
  <c r="AL178" i="1"/>
  <c r="AK178" i="1"/>
  <c r="AJ179" i="1"/>
  <c r="AU291" i="8" l="1"/>
  <c r="AT291" i="8"/>
  <c r="AS292" i="8"/>
  <c r="AQ291" i="8"/>
  <c r="AP291" i="8"/>
  <c r="AO292" i="8"/>
  <c r="AJ256" i="7"/>
  <c r="AK255" i="7"/>
  <c r="AL255" i="7"/>
  <c r="AO255" i="7"/>
  <c r="AP255" i="7"/>
  <c r="AL179" i="1"/>
  <c r="AK179" i="1"/>
  <c r="AJ180" i="1"/>
  <c r="AP179" i="1"/>
  <c r="AO179" i="1"/>
  <c r="AN180" i="1"/>
  <c r="AP292" i="8" l="1"/>
  <c r="AQ292" i="8"/>
  <c r="AO293" i="8"/>
  <c r="AT292" i="8"/>
  <c r="AU292" i="8"/>
  <c r="AS293" i="8"/>
  <c r="AJ257" i="7"/>
  <c r="AK256" i="7"/>
  <c r="AL256" i="7"/>
  <c r="AP256" i="7"/>
  <c r="AO256" i="7"/>
  <c r="AL180" i="1"/>
  <c r="AK180" i="1"/>
  <c r="AJ181" i="1"/>
  <c r="AP180" i="1"/>
  <c r="AN181" i="1"/>
  <c r="AO180" i="1"/>
  <c r="AU293" i="8" l="1"/>
  <c r="AT293" i="8"/>
  <c r="AS294" i="8"/>
  <c r="AQ293" i="8"/>
  <c r="AP293" i="8"/>
  <c r="AO294" i="8"/>
  <c r="AJ258" i="7"/>
  <c r="AK257" i="7"/>
  <c r="AL257" i="7"/>
  <c r="AP257" i="7"/>
  <c r="AO257" i="7"/>
  <c r="AP181" i="1"/>
  <c r="AN182" i="1"/>
  <c r="AO181" i="1"/>
  <c r="AL181" i="1"/>
  <c r="AK181" i="1"/>
  <c r="AJ182" i="1"/>
  <c r="AQ294" i="8" l="1"/>
  <c r="AP294" i="8"/>
  <c r="AO295" i="8"/>
  <c r="AU294" i="8"/>
  <c r="AT294" i="8"/>
  <c r="AS295" i="8"/>
  <c r="AJ259" i="7"/>
  <c r="AK258" i="7"/>
  <c r="AL258" i="7"/>
  <c r="AO258" i="7"/>
  <c r="AP258" i="7"/>
  <c r="AL182" i="1"/>
  <c r="AK182" i="1"/>
  <c r="AJ183" i="1"/>
  <c r="AP182" i="1"/>
  <c r="AN183" i="1"/>
  <c r="AO182" i="1"/>
  <c r="AU295" i="8" l="1"/>
  <c r="AT295" i="8"/>
  <c r="AS296" i="8"/>
  <c r="AQ295" i="8"/>
  <c r="AP295" i="8"/>
  <c r="AO296" i="8"/>
  <c r="AJ260" i="7"/>
  <c r="AL259" i="7"/>
  <c r="AK259" i="7"/>
  <c r="AP259" i="7"/>
  <c r="AO259" i="7"/>
  <c r="AP183" i="1"/>
  <c r="AN184" i="1"/>
  <c r="AO183" i="1"/>
  <c r="AL183" i="1"/>
  <c r="AK183" i="1"/>
  <c r="AJ184" i="1"/>
  <c r="AP296" i="8" l="1"/>
  <c r="AQ296" i="8"/>
  <c r="AO297" i="8"/>
  <c r="AT296" i="8"/>
  <c r="AU296" i="8"/>
  <c r="AS297" i="8"/>
  <c r="AJ261" i="7"/>
  <c r="AL260" i="7"/>
  <c r="AK260" i="7"/>
  <c r="AP260" i="7"/>
  <c r="AO260" i="7"/>
  <c r="AL184" i="1"/>
  <c r="AK184" i="1"/>
  <c r="AJ185" i="1"/>
  <c r="AP184" i="1"/>
  <c r="AN185" i="1"/>
  <c r="AO184" i="1"/>
  <c r="AU297" i="8" l="1"/>
  <c r="AT297" i="8"/>
  <c r="AS298" i="8"/>
  <c r="AQ297" i="8"/>
  <c r="AP297" i="8"/>
  <c r="AO298" i="8"/>
  <c r="AJ262" i="7"/>
  <c r="AL261" i="7"/>
  <c r="AK261" i="7"/>
  <c r="AO261" i="7"/>
  <c r="AP261" i="7"/>
  <c r="AP185" i="1"/>
  <c r="AN186" i="1"/>
  <c r="AO185" i="1"/>
  <c r="AL185" i="1"/>
  <c r="AK185" i="1"/>
  <c r="AJ186" i="1"/>
  <c r="AQ298" i="8" l="1"/>
  <c r="AP298" i="8"/>
  <c r="AO299" i="8"/>
  <c r="AU298" i="8"/>
  <c r="AT298" i="8"/>
  <c r="AS299" i="8"/>
  <c r="AJ263" i="7"/>
  <c r="AK262" i="7"/>
  <c r="AL262" i="7"/>
  <c r="AO262" i="7"/>
  <c r="AP262" i="7"/>
  <c r="AL186" i="1"/>
  <c r="AK186" i="1"/>
  <c r="AJ187" i="1"/>
  <c r="AP186" i="1"/>
  <c r="AO186" i="1"/>
  <c r="AN187" i="1"/>
  <c r="AU299" i="8" l="1"/>
  <c r="AT299" i="8"/>
  <c r="AS300" i="8"/>
  <c r="AP299" i="8"/>
  <c r="AQ299" i="8"/>
  <c r="AO300" i="8"/>
  <c r="AJ264" i="7"/>
  <c r="AK263" i="7"/>
  <c r="AL263" i="7"/>
  <c r="AO263" i="7"/>
  <c r="AP263" i="7"/>
  <c r="AL187" i="1"/>
  <c r="AK187" i="1"/>
  <c r="AJ188" i="1"/>
  <c r="AP187" i="1"/>
  <c r="AN188" i="1"/>
  <c r="AO187" i="1"/>
  <c r="AQ300" i="8" l="1"/>
  <c r="AP300" i="8"/>
  <c r="AO301" i="8"/>
  <c r="AU300" i="8"/>
  <c r="AT300" i="8"/>
  <c r="AS301" i="8"/>
  <c r="AJ265" i="7"/>
  <c r="AL264" i="7"/>
  <c r="AK264" i="7"/>
  <c r="AP264" i="7"/>
  <c r="AO264" i="7"/>
  <c r="AP188" i="1"/>
  <c r="AO188" i="1"/>
  <c r="AN189" i="1"/>
  <c r="AL188" i="1"/>
  <c r="AK188" i="1"/>
  <c r="AJ189" i="1"/>
  <c r="AU301" i="8" l="1"/>
  <c r="AT301" i="8"/>
  <c r="AS302" i="8"/>
  <c r="AQ301" i="8"/>
  <c r="AP301" i="8"/>
  <c r="AO302" i="8"/>
  <c r="AJ266" i="7"/>
  <c r="AK265" i="7"/>
  <c r="AL265" i="7"/>
  <c r="AP265" i="7"/>
  <c r="AO265" i="7"/>
  <c r="AL189" i="1"/>
  <c r="AK189" i="1"/>
  <c r="AJ190" i="1"/>
  <c r="AP189" i="1"/>
  <c r="AN190" i="1"/>
  <c r="AO189" i="1"/>
  <c r="AQ302" i="8" l="1"/>
  <c r="AP302" i="8"/>
  <c r="AO303" i="8"/>
  <c r="AU302" i="8"/>
  <c r="AT302" i="8"/>
  <c r="AS303" i="8"/>
  <c r="AJ267" i="7"/>
  <c r="AK266" i="7"/>
  <c r="AL266" i="7"/>
  <c r="AO266" i="7"/>
  <c r="AP266" i="7"/>
  <c r="AL190" i="1"/>
  <c r="AK190" i="1"/>
  <c r="AJ191" i="1"/>
  <c r="AP190" i="1"/>
  <c r="AN191" i="1"/>
  <c r="AO190" i="1"/>
  <c r="AT303" i="8" l="1"/>
  <c r="AU303" i="8"/>
  <c r="AS304" i="8"/>
  <c r="AP303" i="8"/>
  <c r="AQ303" i="8"/>
  <c r="AO304" i="8"/>
  <c r="AJ268" i="7"/>
  <c r="AL267" i="7"/>
  <c r="AK267" i="7"/>
  <c r="AO267" i="7"/>
  <c r="AP267" i="7"/>
  <c r="AL191" i="1"/>
  <c r="AK191" i="1"/>
  <c r="AJ192" i="1"/>
  <c r="AP191" i="1"/>
  <c r="AN192" i="1"/>
  <c r="AO191" i="1"/>
  <c r="AP304" i="8" l="1"/>
  <c r="AQ304" i="8"/>
  <c r="AO305" i="8"/>
  <c r="AU304" i="8"/>
  <c r="AT304" i="8"/>
  <c r="AS305" i="8"/>
  <c r="AJ269" i="7"/>
  <c r="AL268" i="7"/>
  <c r="AK268" i="7"/>
  <c r="AO268" i="7"/>
  <c r="AP268" i="7"/>
  <c r="AP192" i="1"/>
  <c r="AN193" i="1"/>
  <c r="AO192" i="1"/>
  <c r="AL192" i="1"/>
  <c r="AK192" i="1"/>
  <c r="AJ193" i="1"/>
  <c r="AU305" i="8" l="1"/>
  <c r="AT305" i="8"/>
  <c r="AS306" i="8"/>
  <c r="AP305" i="8"/>
  <c r="AQ305" i="8"/>
  <c r="AO306" i="8"/>
  <c r="AJ270" i="7"/>
  <c r="AK269" i="7"/>
  <c r="AL269" i="7"/>
  <c r="AP269" i="7"/>
  <c r="AO269" i="7"/>
  <c r="AL193" i="1"/>
  <c r="AK193" i="1"/>
  <c r="AJ194" i="1"/>
  <c r="AP193" i="1"/>
  <c r="AN194" i="1"/>
  <c r="AO193" i="1"/>
  <c r="AQ306" i="8" l="1"/>
  <c r="AP306" i="8"/>
  <c r="AO307" i="8"/>
  <c r="AU306" i="8"/>
  <c r="AT306" i="8"/>
  <c r="AS307" i="8"/>
  <c r="AJ271" i="7"/>
  <c r="AK270" i="7"/>
  <c r="AL270" i="7"/>
  <c r="AP270" i="7"/>
  <c r="AO270" i="7"/>
  <c r="AP194" i="1"/>
  <c r="AN195" i="1"/>
  <c r="AO194" i="1"/>
  <c r="AL194" i="1"/>
  <c r="AK194" i="1"/>
  <c r="AJ195" i="1"/>
  <c r="AT307" i="8" l="1"/>
  <c r="AU307" i="8"/>
  <c r="AS308" i="8"/>
  <c r="AP307" i="8"/>
  <c r="AQ307" i="8"/>
  <c r="AO308" i="8"/>
  <c r="AJ272" i="7"/>
  <c r="AK271" i="7"/>
  <c r="AL271" i="7"/>
  <c r="AP271" i="7"/>
  <c r="AO271" i="7"/>
  <c r="AL195" i="1"/>
  <c r="AK195" i="1"/>
  <c r="AJ196" i="1"/>
  <c r="AP195" i="1"/>
  <c r="AO195" i="1"/>
  <c r="AN196" i="1"/>
  <c r="AP308" i="8" l="1"/>
  <c r="AQ308" i="8"/>
  <c r="AO309" i="8"/>
  <c r="AU308" i="8"/>
  <c r="AT308" i="8"/>
  <c r="AS309" i="8"/>
  <c r="AJ273" i="7"/>
  <c r="AK272" i="7"/>
  <c r="AL272" i="7"/>
  <c r="AO272" i="7"/>
  <c r="AP272" i="7"/>
  <c r="AP196" i="1"/>
  <c r="AO196" i="1"/>
  <c r="AN197" i="1"/>
  <c r="AL196" i="1"/>
  <c r="AK196" i="1"/>
  <c r="AJ197" i="1"/>
  <c r="AU309" i="8" l="1"/>
  <c r="AT309" i="8"/>
  <c r="AS310" i="8"/>
  <c r="AQ309" i="8"/>
  <c r="AP309" i="8"/>
  <c r="AO310" i="8"/>
  <c r="AJ274" i="7"/>
  <c r="AK273" i="7"/>
  <c r="AL273" i="7"/>
  <c r="AO273" i="7"/>
  <c r="AP273" i="7"/>
  <c r="AL197" i="1"/>
  <c r="AK197" i="1"/>
  <c r="AJ198" i="1"/>
  <c r="AP197" i="1"/>
  <c r="AN198" i="1"/>
  <c r="AO197" i="1"/>
  <c r="AQ310" i="8" l="1"/>
  <c r="AP310" i="8"/>
  <c r="AO311" i="8"/>
  <c r="AU310" i="8"/>
  <c r="AT310" i="8"/>
  <c r="AS311" i="8"/>
  <c r="AJ275" i="7"/>
  <c r="AL274" i="7"/>
  <c r="AK274" i="7"/>
  <c r="AO274" i="7"/>
  <c r="AP274" i="7"/>
  <c r="AL198" i="1"/>
  <c r="AK198" i="1"/>
  <c r="AJ199" i="1"/>
  <c r="AP198" i="1"/>
  <c r="AO198" i="1"/>
  <c r="AN199" i="1"/>
  <c r="AU311" i="8" l="1"/>
  <c r="AT311" i="8"/>
  <c r="AS312" i="8"/>
  <c r="AQ311" i="8"/>
  <c r="AP311" i="8"/>
  <c r="AO312" i="8"/>
  <c r="AJ276" i="7"/>
  <c r="AL275" i="7"/>
  <c r="AK275" i="7"/>
  <c r="AP275" i="7"/>
  <c r="AO275" i="7"/>
  <c r="AP199" i="1"/>
  <c r="AN200" i="1"/>
  <c r="AO199" i="1"/>
  <c r="AL199" i="1"/>
  <c r="AK199" i="1"/>
  <c r="AJ200" i="1"/>
  <c r="AQ312" i="8" l="1"/>
  <c r="AP312" i="8"/>
  <c r="AO313" i="8"/>
  <c r="AT312" i="8"/>
  <c r="AU312" i="8"/>
  <c r="AS313" i="8"/>
  <c r="AJ277" i="7"/>
  <c r="AL276" i="7"/>
  <c r="AK276" i="7"/>
  <c r="AP276" i="7"/>
  <c r="AO276" i="7"/>
  <c r="AL200" i="1"/>
  <c r="AK200" i="1"/>
  <c r="AJ201" i="1"/>
  <c r="AP200" i="1"/>
  <c r="AO200" i="1"/>
  <c r="AN201" i="1"/>
  <c r="AT313" i="8" l="1"/>
  <c r="AU313" i="8"/>
  <c r="AS314" i="8"/>
  <c r="AP313" i="8"/>
  <c r="AQ313" i="8"/>
  <c r="AO314" i="8"/>
  <c r="AJ278" i="7"/>
  <c r="AL277" i="7"/>
  <c r="AK277" i="7"/>
  <c r="AP277" i="7"/>
  <c r="AO277" i="7"/>
  <c r="AP201" i="1"/>
  <c r="AO201" i="1"/>
  <c r="AN202" i="1"/>
  <c r="AL201" i="1"/>
  <c r="AK201" i="1"/>
  <c r="AJ202" i="1"/>
  <c r="AQ314" i="8" l="1"/>
  <c r="AP314" i="8"/>
  <c r="AO315" i="8"/>
  <c r="AU314" i="8"/>
  <c r="AT314" i="8"/>
  <c r="AS315" i="8"/>
  <c r="AJ279" i="7"/>
  <c r="AK278" i="7"/>
  <c r="AL278" i="7"/>
  <c r="AO278" i="7"/>
  <c r="AP278" i="7"/>
  <c r="AL202" i="1"/>
  <c r="AK202" i="1"/>
  <c r="AJ203" i="1"/>
  <c r="AP202" i="1"/>
  <c r="AN203" i="1"/>
  <c r="AO202" i="1"/>
  <c r="AU315" i="8" l="1"/>
  <c r="AT315" i="8"/>
  <c r="AS316" i="8"/>
  <c r="AQ315" i="8"/>
  <c r="AP315" i="8"/>
  <c r="AO316" i="8"/>
  <c r="AJ280" i="7"/>
  <c r="AK279" i="7"/>
  <c r="AL279" i="7"/>
  <c r="AP279" i="7"/>
  <c r="AO279" i="7"/>
  <c r="AL203" i="1"/>
  <c r="AJ204" i="1"/>
  <c r="AK203" i="1"/>
  <c r="AP203" i="1"/>
  <c r="AN204" i="1"/>
  <c r="AO203" i="1"/>
  <c r="AQ316" i="8" l="1"/>
  <c r="AP316" i="8"/>
  <c r="AO317" i="8"/>
  <c r="AT316" i="8"/>
  <c r="AU316" i="8"/>
  <c r="AS317" i="8"/>
  <c r="AJ281" i="7"/>
  <c r="AL280" i="7"/>
  <c r="AK280" i="7"/>
  <c r="AO280" i="7"/>
  <c r="AP280" i="7"/>
  <c r="AP204" i="1"/>
  <c r="AO204" i="1"/>
  <c r="AN205" i="1"/>
  <c r="AL204" i="1"/>
  <c r="AK204" i="1"/>
  <c r="AJ205" i="1"/>
  <c r="AU317" i="8" l="1"/>
  <c r="AT317" i="8"/>
  <c r="AS318" i="8"/>
  <c r="AP317" i="8"/>
  <c r="AQ317" i="8"/>
  <c r="AO318" i="8"/>
  <c r="AJ282" i="7"/>
  <c r="AK281" i="7"/>
  <c r="AL281" i="7"/>
  <c r="AP281" i="7"/>
  <c r="AO281" i="7"/>
  <c r="AL205" i="1"/>
  <c r="AK205" i="1"/>
  <c r="AJ206" i="1"/>
  <c r="AP205" i="1"/>
  <c r="AN206" i="1"/>
  <c r="AO205" i="1"/>
  <c r="AQ318" i="8" l="1"/>
  <c r="AP318" i="8"/>
  <c r="AO319" i="8"/>
  <c r="AU318" i="8"/>
  <c r="AT318" i="8"/>
  <c r="AS319" i="8"/>
  <c r="AJ283" i="7"/>
  <c r="AK282" i="7"/>
  <c r="AL282" i="7"/>
  <c r="AO282" i="7"/>
  <c r="AP282" i="7"/>
  <c r="AP206" i="1"/>
  <c r="AO206" i="1"/>
  <c r="AN207" i="1"/>
  <c r="AL206" i="1"/>
  <c r="AK206" i="1"/>
  <c r="AJ207" i="1"/>
  <c r="AU319" i="8" l="1"/>
  <c r="AT319" i="8"/>
  <c r="AS320" i="8"/>
  <c r="AQ319" i="8"/>
  <c r="AP319" i="8"/>
  <c r="AO320" i="8"/>
  <c r="AJ284" i="7"/>
  <c r="AL283" i="7"/>
  <c r="AK283" i="7"/>
  <c r="AO283" i="7"/>
  <c r="AP283" i="7"/>
  <c r="AL207" i="1"/>
  <c r="AK207" i="1"/>
  <c r="AJ208" i="1"/>
  <c r="AP207" i="1"/>
  <c r="AO207" i="1"/>
  <c r="AN208" i="1"/>
  <c r="AP320" i="8" l="1"/>
  <c r="AQ320" i="8"/>
  <c r="AO321" i="8"/>
  <c r="AT320" i="8"/>
  <c r="AU320" i="8"/>
  <c r="AS321" i="8"/>
  <c r="AJ285" i="7"/>
  <c r="AL284" i="7"/>
  <c r="AK284" i="7"/>
  <c r="AP284" i="7"/>
  <c r="AO284" i="7"/>
  <c r="AP208" i="1"/>
  <c r="AO208" i="1"/>
  <c r="AN209" i="1"/>
  <c r="AL208" i="1"/>
  <c r="AK208" i="1"/>
  <c r="AJ209" i="1"/>
  <c r="AP321" i="8" l="1"/>
  <c r="AQ321" i="8"/>
  <c r="AO322" i="8"/>
  <c r="AU321" i="8"/>
  <c r="AT321" i="8"/>
  <c r="AS322" i="8"/>
  <c r="AJ286" i="7"/>
  <c r="AK285" i="7"/>
  <c r="AL285" i="7"/>
  <c r="AP285" i="7"/>
  <c r="AO285" i="7"/>
  <c r="AL209" i="1"/>
  <c r="AK209" i="1"/>
  <c r="AJ210" i="1"/>
  <c r="AP209" i="1"/>
  <c r="AN210" i="1"/>
  <c r="AO209" i="1"/>
  <c r="AU322" i="8" l="1"/>
  <c r="AT322" i="8"/>
  <c r="AS323" i="8"/>
  <c r="AQ322" i="8"/>
  <c r="AP322" i="8"/>
  <c r="AO323" i="8"/>
  <c r="AJ287" i="7"/>
  <c r="AK286" i="7"/>
  <c r="AL286" i="7"/>
  <c r="AO286" i="7"/>
  <c r="AP286" i="7"/>
  <c r="AL210" i="1"/>
  <c r="AK210" i="1"/>
  <c r="AJ211" i="1"/>
  <c r="AP210" i="1"/>
  <c r="AN211" i="1"/>
  <c r="AO210" i="1"/>
  <c r="AQ323" i="8" l="1"/>
  <c r="AP323" i="8"/>
  <c r="AO324" i="8"/>
  <c r="AU323" i="8"/>
  <c r="AT323" i="8"/>
  <c r="AS324" i="8"/>
  <c r="AJ288" i="7"/>
  <c r="AK287" i="7"/>
  <c r="AL287" i="7"/>
  <c r="AP287" i="7"/>
  <c r="AO287" i="7"/>
  <c r="AP211" i="1"/>
  <c r="AN212" i="1"/>
  <c r="AO211" i="1"/>
  <c r="AL211" i="1"/>
  <c r="AK211" i="1"/>
  <c r="AJ212" i="1"/>
  <c r="AP324" i="8" l="1"/>
  <c r="AQ324" i="8"/>
  <c r="AO325" i="8"/>
  <c r="AT324" i="8"/>
  <c r="AU324" i="8"/>
  <c r="AS325" i="8"/>
  <c r="AJ289" i="7"/>
  <c r="AK288" i="7"/>
  <c r="AL288" i="7"/>
  <c r="AP288" i="7"/>
  <c r="AO288" i="7"/>
  <c r="AL212" i="1"/>
  <c r="AK212" i="1"/>
  <c r="AJ213" i="1"/>
  <c r="AP212" i="1"/>
  <c r="AN213" i="1"/>
  <c r="AO212" i="1"/>
  <c r="AU325" i="8" l="1"/>
  <c r="AT325" i="8"/>
  <c r="AS326" i="8"/>
  <c r="AP325" i="8"/>
  <c r="AQ325" i="8"/>
  <c r="AO326" i="8"/>
  <c r="AJ290" i="7"/>
  <c r="AK289" i="7"/>
  <c r="AL289" i="7"/>
  <c r="AP289" i="7"/>
  <c r="AO289" i="7"/>
  <c r="AP213" i="1"/>
  <c r="AN214" i="1"/>
  <c r="AO213" i="1"/>
  <c r="AL213" i="1"/>
  <c r="AK213" i="1"/>
  <c r="AJ214" i="1"/>
  <c r="AQ326" i="8" l="1"/>
  <c r="AP326" i="8"/>
  <c r="AO327" i="8"/>
  <c r="AU326" i="8"/>
  <c r="AT326" i="8"/>
  <c r="AS327" i="8"/>
  <c r="AJ291" i="7"/>
  <c r="AL290" i="7"/>
  <c r="AK290" i="7"/>
  <c r="AO290" i="7"/>
  <c r="AP290" i="7"/>
  <c r="AL214" i="1"/>
  <c r="AK214" i="1"/>
  <c r="AJ215" i="1"/>
  <c r="AP214" i="1"/>
  <c r="AO214" i="1"/>
  <c r="AN215" i="1"/>
  <c r="AU327" i="8" l="1"/>
  <c r="AT327" i="8"/>
  <c r="AS328" i="8"/>
  <c r="AQ327" i="8"/>
  <c r="AP327" i="8"/>
  <c r="AO328" i="8"/>
  <c r="AJ292" i="7"/>
  <c r="AL291" i="7"/>
  <c r="AK291" i="7"/>
  <c r="AO291" i="7"/>
  <c r="AP291" i="7"/>
  <c r="AP215" i="1"/>
  <c r="AN216" i="1"/>
  <c r="AO215" i="1"/>
  <c r="AL215" i="1"/>
  <c r="AK215" i="1"/>
  <c r="AJ216" i="1"/>
  <c r="AT328" i="8" l="1"/>
  <c r="AU328" i="8"/>
  <c r="AS329" i="8"/>
  <c r="AQ328" i="8"/>
  <c r="AP328" i="8"/>
  <c r="AO329" i="8"/>
  <c r="AJ293" i="7"/>
  <c r="AL292" i="7"/>
  <c r="AK292" i="7"/>
  <c r="AP292" i="7"/>
  <c r="AO292" i="7"/>
  <c r="AL216" i="1"/>
  <c r="AK216" i="1"/>
  <c r="AJ217" i="1"/>
  <c r="AP216" i="1"/>
  <c r="AN217" i="1"/>
  <c r="AO216" i="1"/>
  <c r="AU329" i="8" l="1"/>
  <c r="AT329" i="8"/>
  <c r="AS330" i="8"/>
  <c r="AP329" i="8"/>
  <c r="AQ329" i="8"/>
  <c r="AO330" i="8"/>
  <c r="AJ294" i="7"/>
  <c r="AK293" i="7"/>
  <c r="AL293" i="7"/>
  <c r="AP293" i="7"/>
  <c r="AO293" i="7"/>
  <c r="AP217" i="1"/>
  <c r="AN218" i="1"/>
  <c r="AO217" i="1"/>
  <c r="AL217" i="1"/>
  <c r="AJ218" i="1"/>
  <c r="AK217" i="1"/>
  <c r="AP330" i="8" l="1"/>
  <c r="AQ330" i="8"/>
  <c r="AO331" i="8"/>
  <c r="AU330" i="8"/>
  <c r="AT330" i="8"/>
  <c r="AS331" i="8"/>
  <c r="AJ295" i="7"/>
  <c r="AK294" i="7"/>
  <c r="AL294" i="7"/>
  <c r="AO294" i="7"/>
  <c r="AP294" i="7"/>
  <c r="AL218" i="1"/>
  <c r="AK218" i="1"/>
  <c r="AJ219" i="1"/>
  <c r="AP218" i="1"/>
  <c r="AO218" i="1"/>
  <c r="AN219" i="1"/>
  <c r="AU331" i="8" l="1"/>
  <c r="AT331" i="8"/>
  <c r="AS332" i="8"/>
  <c r="AQ331" i="8"/>
  <c r="AP331" i="8"/>
  <c r="AO332" i="8"/>
  <c r="AJ296" i="7"/>
  <c r="AK295" i="7"/>
  <c r="AL295" i="7"/>
  <c r="AP295" i="7"/>
  <c r="AO295" i="7"/>
  <c r="AP219" i="1"/>
  <c r="AN220" i="1"/>
  <c r="AO219" i="1"/>
  <c r="AL219" i="1"/>
  <c r="AK219" i="1"/>
  <c r="AJ220" i="1"/>
  <c r="AQ332" i="8" l="1"/>
  <c r="AP332" i="8"/>
  <c r="AO333" i="8"/>
  <c r="AT332" i="8"/>
  <c r="AU332" i="8"/>
  <c r="AS333" i="8"/>
  <c r="AJ297" i="7"/>
  <c r="AK296" i="7"/>
  <c r="AL296" i="7"/>
  <c r="AP296" i="7"/>
  <c r="AO296" i="7"/>
  <c r="AL220" i="1"/>
  <c r="AK220" i="1"/>
  <c r="AJ221" i="1"/>
  <c r="AP220" i="1"/>
  <c r="AO220" i="1"/>
  <c r="AN221" i="1"/>
  <c r="AP333" i="8" l="1"/>
  <c r="AQ333" i="8"/>
  <c r="AO334" i="8"/>
  <c r="AU333" i="8"/>
  <c r="AT333" i="8"/>
  <c r="AS334" i="8"/>
  <c r="AJ298" i="7"/>
  <c r="AK297" i="7"/>
  <c r="AL297" i="7"/>
  <c r="AP297" i="7"/>
  <c r="AO297" i="7"/>
  <c r="AP221" i="1"/>
  <c r="AN222" i="1"/>
  <c r="AO221" i="1"/>
  <c r="AL221" i="1"/>
  <c r="AK221" i="1"/>
  <c r="AJ222" i="1"/>
  <c r="AU334" i="8" l="1"/>
  <c r="AT334" i="8"/>
  <c r="AS335" i="8"/>
  <c r="AQ334" i="8"/>
  <c r="AP334" i="8"/>
  <c r="AO335" i="8"/>
  <c r="AJ299" i="7"/>
  <c r="AK298" i="7"/>
  <c r="AL298" i="7"/>
  <c r="AO298" i="7"/>
  <c r="AP298" i="7"/>
  <c r="AL222" i="1"/>
  <c r="AK222" i="1"/>
  <c r="AJ223" i="1"/>
  <c r="AP222" i="1"/>
  <c r="AO222" i="1"/>
  <c r="AN223" i="1"/>
  <c r="AU335" i="8" l="1"/>
  <c r="AT335" i="8"/>
  <c r="AS336" i="8"/>
  <c r="AQ335" i="8"/>
  <c r="AP335" i="8"/>
  <c r="AO336" i="8"/>
  <c r="AJ300" i="7"/>
  <c r="AL299" i="7"/>
  <c r="AK299" i="7"/>
  <c r="AP299" i="7"/>
  <c r="AO299" i="7"/>
  <c r="AP223" i="1"/>
  <c r="AN224" i="1"/>
  <c r="AO223" i="1"/>
  <c r="AL223" i="1"/>
  <c r="AK223" i="1"/>
  <c r="AJ224" i="1"/>
  <c r="AP336" i="8" l="1"/>
  <c r="AQ336" i="8"/>
  <c r="AO337" i="8"/>
  <c r="AT336" i="8"/>
  <c r="AU336" i="8"/>
  <c r="AS337" i="8"/>
  <c r="AJ301" i="7"/>
  <c r="AL300" i="7"/>
  <c r="AK300" i="7"/>
  <c r="AP300" i="7"/>
  <c r="AO300" i="7"/>
  <c r="AL224" i="1"/>
  <c r="AJ225" i="1"/>
  <c r="AK224" i="1"/>
  <c r="AP224" i="1"/>
  <c r="AN225" i="1"/>
  <c r="AO224" i="1"/>
  <c r="AU337" i="8" l="1"/>
  <c r="AT337" i="8"/>
  <c r="AS338" i="8"/>
  <c r="AP337" i="8"/>
  <c r="AQ337" i="8"/>
  <c r="AO338" i="8"/>
  <c r="AJ302" i="7"/>
  <c r="AK301" i="7"/>
  <c r="AL301" i="7"/>
  <c r="AP301" i="7"/>
  <c r="AO301" i="7"/>
  <c r="AP225" i="1"/>
  <c r="AN226" i="1"/>
  <c r="AO225" i="1"/>
  <c r="AL225" i="1"/>
  <c r="AJ226" i="1"/>
  <c r="AK225" i="1"/>
  <c r="AQ338" i="8" l="1"/>
  <c r="AP338" i="8"/>
  <c r="AO339" i="8"/>
  <c r="AU338" i="8"/>
  <c r="AT338" i="8"/>
  <c r="AS339" i="8"/>
  <c r="AJ303" i="7"/>
  <c r="AK302" i="7"/>
  <c r="AL302" i="7"/>
  <c r="AO302" i="7"/>
  <c r="AP302" i="7"/>
  <c r="AL226" i="1"/>
  <c r="AJ227" i="1"/>
  <c r="AK226" i="1"/>
  <c r="AP226" i="1"/>
  <c r="AN227" i="1"/>
  <c r="AO226" i="1"/>
  <c r="AU339" i="8" l="1"/>
  <c r="AT339" i="8"/>
  <c r="AS340" i="8"/>
  <c r="AQ339" i="8"/>
  <c r="AP339" i="8"/>
  <c r="AO340" i="8"/>
  <c r="AJ304" i="7"/>
  <c r="AK303" i="7"/>
  <c r="AL303" i="7"/>
  <c r="AP303" i="7"/>
  <c r="AO303" i="7"/>
  <c r="AP227" i="1"/>
  <c r="AN228" i="1"/>
  <c r="AO227" i="1"/>
  <c r="AL227" i="1"/>
  <c r="AK227" i="1"/>
  <c r="AJ228" i="1"/>
  <c r="AP340" i="8" l="1"/>
  <c r="AQ340" i="8"/>
  <c r="AO341" i="8"/>
  <c r="AT340" i="8"/>
  <c r="AU340" i="8"/>
  <c r="AS341" i="8"/>
  <c r="AJ305" i="7"/>
  <c r="AK304" i="7"/>
  <c r="AL304" i="7"/>
  <c r="AO304" i="7"/>
  <c r="AP304" i="7"/>
  <c r="AL228" i="1"/>
  <c r="AK228" i="1"/>
  <c r="AJ229" i="1"/>
  <c r="AP228" i="1"/>
  <c r="AN229" i="1"/>
  <c r="AO228" i="1"/>
  <c r="AU341" i="8" l="1"/>
  <c r="AT341" i="8"/>
  <c r="AS342" i="8"/>
  <c r="AP341" i="8"/>
  <c r="AQ341" i="8"/>
  <c r="AO342" i="8"/>
  <c r="AJ306" i="7"/>
  <c r="AK305" i="7"/>
  <c r="AL305" i="7"/>
  <c r="AP305" i="7"/>
  <c r="AO305" i="7"/>
  <c r="AP229" i="1"/>
  <c r="AN230" i="1"/>
  <c r="AO229" i="1"/>
  <c r="AL229" i="1"/>
  <c r="AK229" i="1"/>
  <c r="AJ230" i="1"/>
  <c r="AQ342" i="8" l="1"/>
  <c r="AP342" i="8"/>
  <c r="AO343" i="8"/>
  <c r="AU342" i="8"/>
  <c r="AT342" i="8"/>
  <c r="AS343" i="8"/>
  <c r="AJ307" i="7"/>
  <c r="AK306" i="7"/>
  <c r="AL306" i="7"/>
  <c r="AP306" i="7"/>
  <c r="AO306" i="7"/>
  <c r="AL230" i="1"/>
  <c r="AK230" i="1"/>
  <c r="AJ231" i="1"/>
  <c r="AP230" i="1"/>
  <c r="AN231" i="1"/>
  <c r="AO230" i="1"/>
  <c r="AU343" i="8" l="1"/>
  <c r="AT343" i="8"/>
  <c r="AS344" i="8"/>
  <c r="AQ343" i="8"/>
  <c r="AP343" i="8"/>
  <c r="AO344" i="8"/>
  <c r="AJ308" i="7"/>
  <c r="AL307" i="7"/>
  <c r="AK307" i="7"/>
  <c r="AP307" i="7"/>
  <c r="AO307" i="7"/>
  <c r="AP231" i="1"/>
  <c r="AN232" i="1"/>
  <c r="AO231" i="1"/>
  <c r="AL231" i="1"/>
  <c r="AK231" i="1"/>
  <c r="AJ232" i="1"/>
  <c r="AP344" i="8" l="1"/>
  <c r="AQ344" i="8"/>
  <c r="AO345" i="8"/>
  <c r="AT344" i="8"/>
  <c r="AU344" i="8"/>
  <c r="AS345" i="8"/>
  <c r="AJ309" i="7"/>
  <c r="AL308" i="7"/>
  <c r="AK308" i="7"/>
  <c r="AO308" i="7"/>
  <c r="AP308" i="7"/>
  <c r="AL232" i="1"/>
  <c r="AK232" i="1"/>
  <c r="AJ233" i="1"/>
  <c r="AP232" i="1"/>
  <c r="AN233" i="1"/>
  <c r="AO232" i="1"/>
  <c r="AT345" i="8" l="1"/>
  <c r="AU345" i="8"/>
  <c r="AS346" i="8"/>
  <c r="AP345" i="8"/>
  <c r="AQ345" i="8"/>
  <c r="AO346" i="8"/>
  <c r="AJ310" i="7"/>
  <c r="AK309" i="7"/>
  <c r="AL309" i="7"/>
  <c r="AP309" i="7"/>
  <c r="AO309" i="7"/>
  <c r="AP233" i="1"/>
  <c r="AO233" i="1"/>
  <c r="AN234" i="1"/>
  <c r="AL233" i="1"/>
  <c r="AK233" i="1"/>
  <c r="AJ234" i="1"/>
  <c r="AQ346" i="8" l="1"/>
  <c r="AP346" i="8"/>
  <c r="AO347" i="8"/>
  <c r="AU346" i="8"/>
  <c r="AT346" i="8"/>
  <c r="AS347" i="8"/>
  <c r="AJ311" i="7"/>
  <c r="AK310" i="7"/>
  <c r="AL310" i="7"/>
  <c r="AP310" i="7"/>
  <c r="AO310" i="7"/>
  <c r="AL234" i="1"/>
  <c r="AK234" i="1"/>
  <c r="AJ235" i="1"/>
  <c r="AP234" i="1"/>
  <c r="AO234" i="1"/>
  <c r="AN235" i="1"/>
  <c r="AU347" i="8" l="1"/>
  <c r="AT347" i="8"/>
  <c r="AS348" i="8"/>
  <c r="AQ347" i="8"/>
  <c r="AP347" i="8"/>
  <c r="AO348" i="8"/>
  <c r="AJ312" i="7"/>
  <c r="AK311" i="7"/>
  <c r="AL311" i="7"/>
  <c r="AP311" i="7"/>
  <c r="AO311" i="7"/>
  <c r="AP235" i="1"/>
  <c r="AN236" i="1"/>
  <c r="AO235" i="1"/>
  <c r="AL235" i="1"/>
  <c r="AK235" i="1"/>
  <c r="AJ236" i="1"/>
  <c r="AQ348" i="8" l="1"/>
  <c r="AP348" i="8"/>
  <c r="AO349" i="8"/>
  <c r="AT348" i="8"/>
  <c r="AU348" i="8"/>
  <c r="AS349" i="8"/>
  <c r="AJ313" i="7"/>
  <c r="AL312" i="7"/>
  <c r="AK312" i="7"/>
  <c r="AO312" i="7"/>
  <c r="AP312" i="7"/>
  <c r="AL236" i="1"/>
  <c r="AK236" i="1"/>
  <c r="AJ237" i="1"/>
  <c r="AP236" i="1"/>
  <c r="AN237" i="1"/>
  <c r="AO236" i="1"/>
  <c r="AU349" i="8" l="1"/>
  <c r="AT349" i="8"/>
  <c r="AS350" i="8"/>
  <c r="AP349" i="8"/>
  <c r="AQ349" i="8"/>
  <c r="AO350" i="8"/>
  <c r="AJ314" i="7"/>
  <c r="AK313" i="7"/>
  <c r="AL313" i="7"/>
  <c r="AP313" i="7"/>
  <c r="AO313" i="7"/>
  <c r="AP237" i="1"/>
  <c r="AO237" i="1"/>
  <c r="AN238" i="1"/>
  <c r="AL237" i="1"/>
  <c r="AK237" i="1"/>
  <c r="AJ238" i="1"/>
  <c r="AQ350" i="8" l="1"/>
  <c r="AP350" i="8"/>
  <c r="AO351" i="8"/>
  <c r="AT350" i="8"/>
  <c r="AU350" i="8"/>
  <c r="AS351" i="8"/>
  <c r="AJ315" i="7"/>
  <c r="AK314" i="7"/>
  <c r="AL314" i="7"/>
  <c r="AO314" i="7"/>
  <c r="AP314" i="7"/>
  <c r="AL238" i="1"/>
  <c r="AK238" i="1"/>
  <c r="AJ239" i="1"/>
  <c r="AP238" i="1"/>
  <c r="AN239" i="1"/>
  <c r="AO238" i="1"/>
  <c r="AU351" i="8" l="1"/>
  <c r="AT351" i="8"/>
  <c r="AS352" i="8"/>
  <c r="AQ351" i="8"/>
  <c r="AP351" i="8"/>
  <c r="AO352" i="8"/>
  <c r="AJ316" i="7"/>
  <c r="AL315" i="7"/>
  <c r="AK315" i="7"/>
  <c r="AO315" i="7"/>
  <c r="AP315" i="7"/>
  <c r="AP239" i="1"/>
  <c r="AO239" i="1"/>
  <c r="AN240" i="1"/>
  <c r="AL239" i="1"/>
  <c r="AK239" i="1"/>
  <c r="AJ240" i="1"/>
  <c r="AP352" i="8" l="1"/>
  <c r="AQ352" i="8"/>
  <c r="AO353" i="8"/>
  <c r="AT352" i="8"/>
  <c r="AU352" i="8"/>
  <c r="AS353" i="8"/>
  <c r="AJ317" i="7"/>
  <c r="AL316" i="7"/>
  <c r="AK316" i="7"/>
  <c r="AP316" i="7"/>
  <c r="AO316" i="7"/>
  <c r="AL240" i="1"/>
  <c r="AK240" i="1"/>
  <c r="AJ241" i="1"/>
  <c r="AP240" i="1"/>
  <c r="AO240" i="1"/>
  <c r="AN241" i="1"/>
  <c r="AT353" i="8" l="1"/>
  <c r="AU353" i="8"/>
  <c r="AS354" i="8"/>
  <c r="AP353" i="8"/>
  <c r="AQ353" i="8"/>
  <c r="AO354" i="8"/>
  <c r="AJ318" i="7"/>
  <c r="AK317" i="7"/>
  <c r="AL317" i="7"/>
  <c r="AP317" i="7"/>
  <c r="AO317" i="7"/>
  <c r="AP241" i="1"/>
  <c r="AO241" i="1"/>
  <c r="AN242" i="1"/>
  <c r="AL241" i="1"/>
  <c r="AK241" i="1"/>
  <c r="AJ242" i="1"/>
  <c r="AQ354" i="8" l="1"/>
  <c r="AP354" i="8"/>
  <c r="AO355" i="8"/>
  <c r="AU354" i="8"/>
  <c r="AT354" i="8"/>
  <c r="AS355" i="8"/>
  <c r="AJ319" i="7"/>
  <c r="AK318" i="7"/>
  <c r="AL318" i="7"/>
  <c r="AP318" i="7"/>
  <c r="AO318" i="7"/>
  <c r="AL242" i="1"/>
  <c r="AK242" i="1"/>
  <c r="AJ243" i="1"/>
  <c r="AP242" i="1"/>
  <c r="AN243" i="1"/>
  <c r="AO242" i="1"/>
  <c r="AU355" i="8" l="1"/>
  <c r="AT355" i="8"/>
  <c r="AS356" i="8"/>
  <c r="AQ355" i="8"/>
  <c r="AP355" i="8"/>
  <c r="AO356" i="8"/>
  <c r="AJ320" i="7"/>
  <c r="AK319" i="7"/>
  <c r="AL319" i="7"/>
  <c r="AP319" i="7"/>
  <c r="AO319" i="7"/>
  <c r="AP243" i="1"/>
  <c r="AO243" i="1"/>
  <c r="AN244" i="1"/>
  <c r="AL243" i="1"/>
  <c r="AK243" i="1"/>
  <c r="AJ244" i="1"/>
  <c r="AQ356" i="8" l="1"/>
  <c r="AP356" i="8"/>
  <c r="AO357" i="8"/>
  <c r="AT356" i="8"/>
  <c r="AU356" i="8"/>
  <c r="AS357" i="8"/>
  <c r="AJ321" i="7"/>
  <c r="AK320" i="7"/>
  <c r="AL320" i="7"/>
  <c r="AO320" i="7"/>
  <c r="AP320" i="7"/>
  <c r="AL244" i="1"/>
  <c r="AK244" i="1"/>
  <c r="AJ245" i="1"/>
  <c r="AP244" i="1"/>
  <c r="AO244" i="1"/>
  <c r="AN245" i="1"/>
  <c r="AU357" i="8" l="1"/>
  <c r="AT357" i="8"/>
  <c r="AS358" i="8"/>
  <c r="AP357" i="8"/>
  <c r="AQ357" i="8"/>
  <c r="AO358" i="8"/>
  <c r="AJ322" i="7"/>
  <c r="AK321" i="7"/>
  <c r="AL321" i="7"/>
  <c r="AP321" i="7"/>
  <c r="AO321" i="7"/>
  <c r="AP245" i="1"/>
  <c r="AO245" i="1"/>
  <c r="AN246" i="1"/>
  <c r="AL245" i="1"/>
  <c r="AK245" i="1"/>
  <c r="AJ246" i="1"/>
  <c r="AQ358" i="8" l="1"/>
  <c r="AP358" i="8"/>
  <c r="AO359" i="8"/>
  <c r="AT358" i="8"/>
  <c r="AU358" i="8"/>
  <c r="AS359" i="8"/>
  <c r="AJ323" i="7"/>
  <c r="AK322" i="7"/>
  <c r="AL322" i="7"/>
  <c r="AP322" i="7"/>
  <c r="AO322" i="7"/>
  <c r="AL246" i="1"/>
  <c r="AK246" i="1"/>
  <c r="AJ247" i="1"/>
  <c r="AP246" i="1"/>
  <c r="AN247" i="1"/>
  <c r="AO246" i="1"/>
  <c r="AU359" i="8" l="1"/>
  <c r="AT359" i="8"/>
  <c r="AS360" i="8"/>
  <c r="AQ359" i="8"/>
  <c r="AP359" i="8"/>
  <c r="AO360" i="8"/>
  <c r="AJ324" i="7"/>
  <c r="AL323" i="7"/>
  <c r="AK323" i="7"/>
  <c r="AO323" i="7"/>
  <c r="AP323" i="7"/>
  <c r="AP247" i="1"/>
  <c r="AO247" i="1"/>
  <c r="AN248" i="1"/>
  <c r="AL247" i="1"/>
  <c r="AK247" i="1"/>
  <c r="AJ248" i="1"/>
  <c r="AQ360" i="8" l="1"/>
  <c r="AP360" i="8"/>
  <c r="AO361" i="8"/>
  <c r="AT360" i="8"/>
  <c r="AU360" i="8"/>
  <c r="AS361" i="8"/>
  <c r="AJ325" i="7"/>
  <c r="AL324" i="7"/>
  <c r="AK324" i="7"/>
  <c r="AO324" i="7"/>
  <c r="AP324" i="7"/>
  <c r="AL248" i="1"/>
  <c r="AK248" i="1"/>
  <c r="AJ249" i="1"/>
  <c r="AP248" i="1"/>
  <c r="AO248" i="1"/>
  <c r="AN249" i="1"/>
  <c r="AU361" i="8" l="1"/>
  <c r="AT361" i="8"/>
  <c r="AS362" i="8"/>
  <c r="AP361" i="8"/>
  <c r="AQ361" i="8"/>
  <c r="AO362" i="8"/>
  <c r="AJ326" i="7"/>
  <c r="AL325" i="7"/>
  <c r="AK325" i="7"/>
  <c r="AP325" i="7"/>
  <c r="AO325" i="7"/>
  <c r="AP249" i="1"/>
  <c r="AO249" i="1"/>
  <c r="AN250" i="1"/>
  <c r="AL249" i="1"/>
  <c r="AK249" i="1"/>
  <c r="AJ250" i="1"/>
  <c r="AQ362" i="8" l="1"/>
  <c r="AP362" i="8"/>
  <c r="AO363" i="8"/>
  <c r="AU362" i="8"/>
  <c r="AT362" i="8"/>
  <c r="AS363" i="8"/>
  <c r="AJ327" i="7"/>
  <c r="AK326" i="7"/>
  <c r="AL326" i="7"/>
  <c r="AO326" i="7"/>
  <c r="AP326" i="7"/>
  <c r="AL250" i="1"/>
  <c r="AK250" i="1"/>
  <c r="AJ251" i="1"/>
  <c r="AP250" i="1"/>
  <c r="AO250" i="1"/>
  <c r="AN251" i="1"/>
  <c r="AU363" i="8" l="1"/>
  <c r="AT363" i="8"/>
  <c r="AS364" i="8"/>
  <c r="AQ363" i="8"/>
  <c r="AP363" i="8"/>
  <c r="AO364" i="8"/>
  <c r="AJ328" i="7"/>
  <c r="AK327" i="7"/>
  <c r="AL327" i="7"/>
  <c r="AP327" i="7"/>
  <c r="AO327" i="7"/>
  <c r="AP251" i="1"/>
  <c r="AO251" i="1"/>
  <c r="AN252" i="1"/>
  <c r="AL251" i="1"/>
  <c r="AK251" i="1"/>
  <c r="AJ252" i="1"/>
  <c r="AQ364" i="8" l="1"/>
  <c r="AP364" i="8"/>
  <c r="AO365" i="8"/>
  <c r="AT364" i="8"/>
  <c r="AU364" i="8"/>
  <c r="AS365" i="8"/>
  <c r="AJ329" i="7"/>
  <c r="AK328" i="7"/>
  <c r="AL328" i="7"/>
  <c r="AO328" i="7"/>
  <c r="AP328" i="7"/>
  <c r="AL252" i="1"/>
  <c r="AK252" i="1"/>
  <c r="AJ253" i="1"/>
  <c r="AP252" i="1"/>
  <c r="AN253" i="1"/>
  <c r="AO252" i="1"/>
  <c r="AU365" i="8" l="1"/>
  <c r="AT365" i="8"/>
  <c r="AS366" i="8"/>
  <c r="AP365" i="8"/>
  <c r="AQ365" i="8"/>
  <c r="AO366" i="8"/>
  <c r="AJ330" i="7"/>
  <c r="AK329" i="7"/>
  <c r="AL329" i="7"/>
  <c r="AP329" i="7"/>
  <c r="AO329" i="7"/>
  <c r="AP253" i="1"/>
  <c r="AN254" i="1"/>
  <c r="AO253" i="1"/>
  <c r="AL253" i="1"/>
  <c r="AK253" i="1"/>
  <c r="AJ254" i="1"/>
  <c r="AQ366" i="8" l="1"/>
  <c r="AP366" i="8"/>
  <c r="AO367" i="8"/>
  <c r="AU366" i="8"/>
  <c r="AT366" i="8"/>
  <c r="AS367" i="8"/>
  <c r="AJ331" i="7"/>
  <c r="AK330" i="7"/>
  <c r="AL330" i="7"/>
  <c r="AO330" i="7"/>
  <c r="AP330" i="7"/>
  <c r="AL254" i="1"/>
  <c r="AK254" i="1"/>
  <c r="AJ255" i="1"/>
  <c r="AP254" i="1"/>
  <c r="AN255" i="1"/>
  <c r="AO254" i="1"/>
  <c r="AU367" i="8" l="1"/>
  <c r="AT367" i="8"/>
  <c r="AS368" i="8"/>
  <c r="AQ367" i="8"/>
  <c r="AP367" i="8"/>
  <c r="AO368" i="8"/>
  <c r="AJ332" i="7"/>
  <c r="AL331" i="7"/>
  <c r="AK331" i="7"/>
  <c r="AO331" i="7"/>
  <c r="AP331" i="7"/>
  <c r="AP255" i="1"/>
  <c r="AN256" i="1"/>
  <c r="AO255" i="1"/>
  <c r="AL255" i="1"/>
  <c r="AK255" i="1"/>
  <c r="AJ256" i="1"/>
  <c r="AQ368" i="8" l="1"/>
  <c r="AP368" i="8"/>
  <c r="AO369" i="8"/>
  <c r="AT368" i="8"/>
  <c r="AU368" i="8"/>
  <c r="AS369" i="8"/>
  <c r="AJ333" i="7"/>
  <c r="AL332" i="7"/>
  <c r="AK332" i="7"/>
  <c r="AO332" i="7"/>
  <c r="AP332" i="7"/>
  <c r="AL256" i="1"/>
  <c r="AK256" i="1"/>
  <c r="AJ257" i="1"/>
  <c r="AP256" i="1"/>
  <c r="AN257" i="1"/>
  <c r="AO256" i="1"/>
  <c r="AT369" i="8" l="1"/>
  <c r="AU369" i="8"/>
  <c r="AS370" i="8"/>
  <c r="AP369" i="8"/>
  <c r="AQ369" i="8"/>
  <c r="AO370" i="8"/>
  <c r="AJ334" i="7"/>
  <c r="AK333" i="7"/>
  <c r="AL333" i="7"/>
  <c r="AP333" i="7"/>
  <c r="AO333" i="7"/>
  <c r="AP257" i="1"/>
  <c r="AN258" i="1"/>
  <c r="AO257" i="1"/>
  <c r="AL257" i="1"/>
  <c r="AJ258" i="1"/>
  <c r="AK257" i="1"/>
  <c r="AQ370" i="8" l="1"/>
  <c r="AP370" i="8"/>
  <c r="AO371" i="8"/>
  <c r="AU370" i="8"/>
  <c r="AT370" i="8"/>
  <c r="AS371" i="8"/>
  <c r="AJ335" i="7"/>
  <c r="AK334" i="7"/>
  <c r="AL334" i="7"/>
  <c r="AP334" i="7"/>
  <c r="AO334" i="7"/>
  <c r="AL258" i="1"/>
  <c r="AK258" i="1"/>
  <c r="AJ259" i="1"/>
  <c r="AP258" i="1"/>
  <c r="AN259" i="1"/>
  <c r="AO258" i="1"/>
  <c r="AU371" i="8" l="1"/>
  <c r="AT371" i="8"/>
  <c r="AS372" i="8"/>
  <c r="AQ371" i="8"/>
  <c r="AP371" i="8"/>
  <c r="AO372" i="8"/>
  <c r="AJ336" i="7"/>
  <c r="AK335" i="7"/>
  <c r="AL335" i="7"/>
  <c r="AP335" i="7"/>
  <c r="AO335" i="7"/>
  <c r="AP259" i="1"/>
  <c r="AO259" i="1"/>
  <c r="AN260" i="1"/>
  <c r="AL259" i="1"/>
  <c r="AK259" i="1"/>
  <c r="AJ260" i="1"/>
  <c r="AQ372" i="8" l="1"/>
  <c r="AP372" i="8"/>
  <c r="AO373" i="8"/>
  <c r="AT372" i="8"/>
  <c r="AU372" i="8"/>
  <c r="AS373" i="8"/>
  <c r="AJ337" i="7"/>
  <c r="AK336" i="7"/>
  <c r="AL336" i="7"/>
  <c r="AO336" i="7"/>
  <c r="AP336" i="7"/>
  <c r="AL260" i="1"/>
  <c r="AK260" i="1"/>
  <c r="AJ261" i="1"/>
  <c r="AP260" i="1"/>
  <c r="AO260" i="1"/>
  <c r="AN261" i="1"/>
  <c r="AU373" i="8" l="1"/>
  <c r="AT373" i="8"/>
  <c r="AS374" i="8"/>
  <c r="AP373" i="8"/>
  <c r="AQ373" i="8"/>
  <c r="AO374" i="8"/>
  <c r="AJ338" i="7"/>
  <c r="AK337" i="7"/>
  <c r="AL337" i="7"/>
  <c r="AP337" i="7"/>
  <c r="AO337" i="7"/>
  <c r="AP261" i="1"/>
  <c r="AN262" i="1"/>
  <c r="AO261" i="1"/>
  <c r="AL261" i="1"/>
  <c r="AK261" i="1"/>
  <c r="AJ262" i="1"/>
  <c r="AQ374" i="8" l="1"/>
  <c r="AP374" i="8"/>
  <c r="AO375" i="8"/>
  <c r="AU374" i="8"/>
  <c r="AT374" i="8"/>
  <c r="AS375" i="8"/>
  <c r="AJ339" i="7"/>
  <c r="AL338" i="7"/>
  <c r="AK338" i="7"/>
  <c r="AO338" i="7"/>
  <c r="AP338" i="7"/>
  <c r="AL262" i="1"/>
  <c r="AK262" i="1"/>
  <c r="AJ263" i="1"/>
  <c r="AP262" i="1"/>
  <c r="AO262" i="1"/>
  <c r="AN263" i="1"/>
  <c r="AU375" i="8" l="1"/>
  <c r="AT375" i="8"/>
  <c r="AS376" i="8"/>
  <c r="AQ375" i="8"/>
  <c r="AP375" i="8"/>
  <c r="AO376" i="8"/>
  <c r="AJ340" i="7"/>
  <c r="AL339" i="7"/>
  <c r="AK339" i="7"/>
  <c r="AP339" i="7"/>
  <c r="AO339" i="7"/>
  <c r="AP263" i="1"/>
  <c r="AO263" i="1"/>
  <c r="AN264" i="1"/>
  <c r="AL263" i="1"/>
  <c r="AK263" i="1"/>
  <c r="AJ264" i="1"/>
  <c r="AP376" i="8" l="1"/>
  <c r="AQ376" i="8"/>
  <c r="AO377" i="8"/>
  <c r="AT376" i="8"/>
  <c r="AU376" i="8"/>
  <c r="AS377" i="8"/>
  <c r="AJ341" i="7"/>
  <c r="AK340" i="7"/>
  <c r="AL340" i="7"/>
  <c r="AO340" i="7"/>
  <c r="AP340" i="7"/>
  <c r="AL264" i="1"/>
  <c r="AK264" i="1"/>
  <c r="AJ265" i="1"/>
  <c r="AP264" i="1"/>
  <c r="AO264" i="1"/>
  <c r="AN265" i="1"/>
  <c r="AT377" i="8" l="1"/>
  <c r="AU377" i="8"/>
  <c r="AS378" i="8"/>
  <c r="AP377" i="8"/>
  <c r="AQ377" i="8"/>
  <c r="AO378" i="8"/>
  <c r="AJ342" i="7"/>
  <c r="AL341" i="7"/>
  <c r="AK341" i="7"/>
  <c r="AP341" i="7"/>
  <c r="AO341" i="7"/>
  <c r="AP265" i="1"/>
  <c r="AO265" i="1"/>
  <c r="AN266" i="1"/>
  <c r="AL265" i="1"/>
  <c r="AK265" i="1"/>
  <c r="AJ266" i="1"/>
  <c r="AQ378" i="8" l="1"/>
  <c r="AP378" i="8"/>
  <c r="AO379" i="8"/>
  <c r="AU378" i="8"/>
  <c r="AT378" i="8"/>
  <c r="AS379" i="8"/>
  <c r="AJ343" i="7"/>
  <c r="AK342" i="7"/>
  <c r="AL342" i="7"/>
  <c r="AO342" i="7"/>
  <c r="AP342" i="7"/>
  <c r="AL266" i="1"/>
  <c r="AK266" i="1"/>
  <c r="AJ267" i="1"/>
  <c r="AP266" i="1"/>
  <c r="AN267" i="1"/>
  <c r="AO266" i="1"/>
  <c r="AU379" i="8" l="1"/>
  <c r="AT379" i="8"/>
  <c r="AS380" i="8"/>
  <c r="AQ379" i="8"/>
  <c r="AP379" i="8"/>
  <c r="AO380" i="8"/>
  <c r="AJ344" i="7"/>
  <c r="AL343" i="7"/>
  <c r="AK343" i="7"/>
  <c r="AP343" i="7"/>
  <c r="AO343" i="7"/>
  <c r="AP267" i="1"/>
  <c r="AN268" i="1"/>
  <c r="AO267" i="1"/>
  <c r="AL267" i="1"/>
  <c r="AK267" i="1"/>
  <c r="AJ268" i="1"/>
  <c r="AQ380" i="8" l="1"/>
  <c r="AP380" i="8"/>
  <c r="AO381" i="8"/>
  <c r="AT380" i="8"/>
  <c r="AU380" i="8"/>
  <c r="AS381" i="8"/>
  <c r="AJ345" i="7"/>
  <c r="AL344" i="7"/>
  <c r="AK344" i="7"/>
  <c r="AP344" i="7"/>
  <c r="AO344" i="7"/>
  <c r="AL268" i="1"/>
  <c r="AK268" i="1"/>
  <c r="AJ269" i="1"/>
  <c r="AP268" i="1"/>
  <c r="AN269" i="1"/>
  <c r="AO268" i="1"/>
  <c r="AU381" i="8" l="1"/>
  <c r="AT381" i="8"/>
  <c r="AS382" i="8"/>
  <c r="AP381" i="8"/>
  <c r="AQ381" i="8"/>
  <c r="AO382" i="8"/>
  <c r="AJ346" i="7"/>
  <c r="AK345" i="7"/>
  <c r="AL345" i="7"/>
  <c r="AP345" i="7"/>
  <c r="AO345" i="7"/>
  <c r="AP269" i="1"/>
  <c r="AO269" i="1"/>
  <c r="AN270" i="1"/>
  <c r="AL269" i="1"/>
  <c r="AK269" i="1"/>
  <c r="AJ270" i="1"/>
  <c r="AQ382" i="8" l="1"/>
  <c r="AP382" i="8"/>
  <c r="AO383" i="8"/>
  <c r="AT382" i="8"/>
  <c r="AU382" i="8"/>
  <c r="AS383" i="8"/>
  <c r="AJ347" i="7"/>
  <c r="AK346" i="7"/>
  <c r="AL346" i="7"/>
  <c r="AO346" i="7"/>
  <c r="AP346" i="7"/>
  <c r="AL270" i="1"/>
  <c r="AK270" i="1"/>
  <c r="AJ271" i="1"/>
  <c r="AP270" i="1"/>
  <c r="AN271" i="1"/>
  <c r="AO270" i="1"/>
  <c r="AU383" i="8" l="1"/>
  <c r="AT383" i="8"/>
  <c r="AS384" i="8"/>
  <c r="AQ383" i="8"/>
  <c r="AP383" i="8"/>
  <c r="AO384" i="8"/>
  <c r="AJ348" i="7"/>
  <c r="AK347" i="7"/>
  <c r="AL347" i="7"/>
  <c r="AO347" i="7"/>
  <c r="AP347" i="7"/>
  <c r="AP271" i="1"/>
  <c r="AN272" i="1"/>
  <c r="AO271" i="1"/>
  <c r="AL271" i="1"/>
  <c r="AK271" i="1"/>
  <c r="AJ272" i="1"/>
  <c r="AP384" i="8" l="1"/>
  <c r="AQ384" i="8"/>
  <c r="AO385" i="8"/>
  <c r="AT384" i="8"/>
  <c r="AU384" i="8"/>
  <c r="AS385" i="8"/>
  <c r="AJ349" i="7"/>
  <c r="AK348" i="7"/>
  <c r="AL348" i="7"/>
  <c r="AO348" i="7"/>
  <c r="AP348" i="7"/>
  <c r="AL272" i="1"/>
  <c r="AK272" i="1"/>
  <c r="AJ273" i="1"/>
  <c r="AP272" i="1"/>
  <c r="AN273" i="1"/>
  <c r="AO272" i="1"/>
  <c r="AU385" i="8" l="1"/>
  <c r="AT385" i="8"/>
  <c r="AS386" i="8"/>
  <c r="AP385" i="8"/>
  <c r="AQ385" i="8"/>
  <c r="AO386" i="8"/>
  <c r="AJ350" i="7"/>
  <c r="AK349" i="7"/>
  <c r="AL349" i="7"/>
  <c r="AP349" i="7"/>
  <c r="AO349" i="7"/>
  <c r="AP273" i="1"/>
  <c r="AN274" i="1"/>
  <c r="AO273" i="1"/>
  <c r="AL273" i="1"/>
  <c r="AJ274" i="1"/>
  <c r="AK273" i="1"/>
  <c r="AQ386" i="8" l="1"/>
  <c r="AP386" i="8"/>
  <c r="AO387" i="8"/>
  <c r="AU386" i="8"/>
  <c r="AT386" i="8"/>
  <c r="AS387" i="8"/>
  <c r="AJ351" i="7"/>
  <c r="AK350" i="7"/>
  <c r="AL350" i="7"/>
  <c r="AP350" i="7"/>
  <c r="AO350" i="7"/>
  <c r="AL274" i="1"/>
  <c r="AJ275" i="1"/>
  <c r="AK274" i="1"/>
  <c r="AP274" i="1"/>
  <c r="AN275" i="1"/>
  <c r="AO274" i="1"/>
  <c r="AU387" i="8" l="1"/>
  <c r="AT387" i="8"/>
  <c r="AS388" i="8"/>
  <c r="AQ387" i="8"/>
  <c r="AP387" i="8"/>
  <c r="AO388" i="8"/>
  <c r="AJ352" i="7"/>
  <c r="AK351" i="7"/>
  <c r="AL351" i="7"/>
  <c r="AP351" i="7"/>
  <c r="AO351" i="7"/>
  <c r="AP275" i="1"/>
  <c r="AO275" i="1"/>
  <c r="AN276" i="1"/>
  <c r="AL275" i="1"/>
  <c r="AK275" i="1"/>
  <c r="AJ276" i="1"/>
  <c r="AQ388" i="8" l="1"/>
  <c r="AP388" i="8"/>
  <c r="AO389" i="8"/>
  <c r="AT388" i="8"/>
  <c r="AU388" i="8"/>
  <c r="AS389" i="8"/>
  <c r="AJ353" i="7"/>
  <c r="AL352" i="7"/>
  <c r="AK352" i="7"/>
  <c r="AO352" i="7"/>
  <c r="AP352" i="7"/>
  <c r="AL276" i="1"/>
  <c r="AK276" i="1"/>
  <c r="AJ277" i="1"/>
  <c r="AP276" i="1"/>
  <c r="AN277" i="1"/>
  <c r="AO276" i="1"/>
  <c r="AU389" i="8" l="1"/>
  <c r="AT389" i="8"/>
  <c r="AS390" i="8"/>
  <c r="AP389" i="8"/>
  <c r="AQ389" i="8"/>
  <c r="AO390" i="8"/>
  <c r="AJ354" i="7"/>
  <c r="AK353" i="7"/>
  <c r="AL353" i="7"/>
  <c r="AP353" i="7"/>
  <c r="AO353" i="7"/>
  <c r="AP277" i="1"/>
  <c r="AN278" i="1"/>
  <c r="AO277" i="1"/>
  <c r="AL277" i="1"/>
  <c r="AK277" i="1"/>
  <c r="AJ278" i="1"/>
  <c r="AQ390" i="8" l="1"/>
  <c r="AP390" i="8"/>
  <c r="AO391" i="8"/>
  <c r="AT390" i="8"/>
  <c r="AU390" i="8"/>
  <c r="AS391" i="8"/>
  <c r="AJ355" i="7"/>
  <c r="AK354" i="7"/>
  <c r="AL354" i="7"/>
  <c r="AP354" i="7"/>
  <c r="AO354" i="7"/>
  <c r="AL278" i="1"/>
  <c r="AK278" i="1"/>
  <c r="AJ279" i="1"/>
  <c r="AP278" i="1"/>
  <c r="AN279" i="1"/>
  <c r="AO278" i="1"/>
  <c r="AU391" i="8" l="1"/>
  <c r="AT391" i="8"/>
  <c r="AS392" i="8"/>
  <c r="AQ391" i="8"/>
  <c r="AP391" i="8"/>
  <c r="AO392" i="8"/>
  <c r="AJ356" i="7"/>
  <c r="AK355" i="7"/>
  <c r="AL355" i="7"/>
  <c r="AO355" i="7"/>
  <c r="AP355" i="7"/>
  <c r="AP279" i="1"/>
  <c r="AN280" i="1"/>
  <c r="AO279" i="1"/>
  <c r="AL279" i="1"/>
  <c r="AJ280" i="1"/>
  <c r="AK279" i="1"/>
  <c r="AQ392" i="8" l="1"/>
  <c r="AP392" i="8"/>
  <c r="AO393" i="8"/>
  <c r="AT392" i="8"/>
  <c r="AU392" i="8"/>
  <c r="AS393" i="8"/>
  <c r="AJ357" i="7"/>
  <c r="AL356" i="7"/>
  <c r="AK356" i="7"/>
  <c r="AO356" i="7"/>
  <c r="AP356" i="7"/>
  <c r="AL280" i="1"/>
  <c r="AK280" i="1"/>
  <c r="AJ281" i="1"/>
  <c r="AP280" i="1"/>
  <c r="AO280" i="1"/>
  <c r="AN281" i="1"/>
  <c r="AU393" i="8" l="1"/>
  <c r="AT393" i="8"/>
  <c r="AS394" i="8"/>
  <c r="AP393" i="8"/>
  <c r="AQ393" i="8"/>
  <c r="AO394" i="8"/>
  <c r="AJ358" i="7"/>
  <c r="AK357" i="7"/>
  <c r="AL357" i="7"/>
  <c r="AP357" i="7"/>
  <c r="AO357" i="7"/>
  <c r="AP281" i="1"/>
  <c r="AN282" i="1"/>
  <c r="AO281" i="1"/>
  <c r="AL281" i="1"/>
  <c r="AK281" i="1"/>
  <c r="AJ282" i="1"/>
  <c r="AQ394" i="8" l="1"/>
  <c r="AP394" i="8"/>
  <c r="AO395" i="8"/>
  <c r="AU394" i="8"/>
  <c r="AT394" i="8"/>
  <c r="AS395" i="8"/>
  <c r="AJ359" i="7"/>
  <c r="AK358" i="7"/>
  <c r="AL358" i="7"/>
  <c r="AP358" i="7"/>
  <c r="AO358" i="7"/>
  <c r="AL282" i="1"/>
  <c r="AK282" i="1"/>
  <c r="AJ283" i="1"/>
  <c r="AP282" i="1"/>
  <c r="AN283" i="1"/>
  <c r="AO282" i="1"/>
  <c r="AU395" i="8" l="1"/>
  <c r="AT395" i="8"/>
  <c r="AS396" i="8"/>
  <c r="AQ395" i="8"/>
  <c r="AP395" i="8"/>
  <c r="AO396" i="8"/>
  <c r="AJ360" i="7"/>
  <c r="AK359" i="7"/>
  <c r="AL359" i="7"/>
  <c r="AP359" i="7"/>
  <c r="AO359" i="7"/>
  <c r="AP283" i="1"/>
  <c r="AN284" i="1"/>
  <c r="AO283" i="1"/>
  <c r="AL283" i="1"/>
  <c r="AK283" i="1"/>
  <c r="AJ284" i="1"/>
  <c r="AQ396" i="8" l="1"/>
  <c r="AP396" i="8"/>
  <c r="AO397" i="8"/>
  <c r="AT396" i="8"/>
  <c r="AU396" i="8"/>
  <c r="AS397" i="8"/>
  <c r="AJ361" i="7"/>
  <c r="AL360" i="7"/>
  <c r="AK360" i="7"/>
  <c r="AP360" i="7"/>
  <c r="AO360" i="7"/>
  <c r="AL284" i="1"/>
  <c r="AK284" i="1"/>
  <c r="AJ285" i="1"/>
  <c r="AP284" i="1"/>
  <c r="AN285" i="1"/>
  <c r="AO284" i="1"/>
  <c r="AT397" i="8" l="1"/>
  <c r="AU397" i="8"/>
  <c r="AS398" i="8"/>
  <c r="AP397" i="8"/>
  <c r="AQ397" i="8"/>
  <c r="AO398" i="8"/>
  <c r="AJ362" i="7"/>
  <c r="AK361" i="7"/>
  <c r="AL361" i="7"/>
  <c r="AP361" i="7"/>
  <c r="AO361" i="7"/>
  <c r="AP285" i="1"/>
  <c r="AN286" i="1"/>
  <c r="AO285" i="1"/>
  <c r="AL285" i="1"/>
  <c r="AK285" i="1"/>
  <c r="AJ286" i="1"/>
  <c r="AQ398" i="8" l="1"/>
  <c r="AP398" i="8"/>
  <c r="AO399" i="8"/>
  <c r="AU398" i="8"/>
  <c r="AT398" i="8"/>
  <c r="AS399" i="8"/>
  <c r="AJ363" i="7"/>
  <c r="AK362" i="7"/>
  <c r="AL362" i="7"/>
  <c r="AP362" i="7"/>
  <c r="AO362" i="7"/>
  <c r="AL286" i="1"/>
  <c r="AK286" i="1"/>
  <c r="AJ287" i="1"/>
  <c r="AP286" i="1"/>
  <c r="AO286" i="1"/>
  <c r="AN287" i="1"/>
  <c r="AU399" i="8" l="1"/>
  <c r="AT399" i="8"/>
  <c r="AS400" i="8"/>
  <c r="AQ399" i="8"/>
  <c r="AP399" i="8"/>
  <c r="AO400" i="8"/>
  <c r="AJ364" i="7"/>
  <c r="AK363" i="7"/>
  <c r="AL363" i="7"/>
  <c r="AO363" i="7"/>
  <c r="AP363" i="7"/>
  <c r="AP287" i="1"/>
  <c r="AN288" i="1"/>
  <c r="AO287" i="1"/>
  <c r="AL287" i="1"/>
  <c r="AK287" i="1"/>
  <c r="AJ288" i="1"/>
  <c r="AQ400" i="8" l="1"/>
  <c r="AP400" i="8"/>
  <c r="AO401" i="8"/>
  <c r="AT400" i="8"/>
  <c r="AU400" i="8"/>
  <c r="AS401" i="8"/>
  <c r="AJ365" i="7"/>
  <c r="AK364" i="7"/>
  <c r="AL364" i="7"/>
  <c r="AO364" i="7"/>
  <c r="AP364" i="7"/>
  <c r="AL288" i="1"/>
  <c r="AK288" i="1"/>
  <c r="AJ289" i="1"/>
  <c r="AP288" i="1"/>
  <c r="AN289" i="1"/>
  <c r="AO288" i="1"/>
  <c r="AT401" i="8" l="1"/>
  <c r="AU401" i="8"/>
  <c r="AS402" i="8"/>
  <c r="AP401" i="8"/>
  <c r="AQ401" i="8"/>
  <c r="AO402" i="8"/>
  <c r="AJ366" i="7"/>
  <c r="AK365" i="7"/>
  <c r="AL365" i="7"/>
  <c r="AP365" i="7"/>
  <c r="AO365" i="7"/>
  <c r="AP289" i="1"/>
  <c r="AN290" i="1"/>
  <c r="AO289" i="1"/>
  <c r="AL289" i="1"/>
  <c r="AK289" i="1"/>
  <c r="AJ290" i="1"/>
  <c r="AQ402" i="8" l="1"/>
  <c r="AP402" i="8"/>
  <c r="AO403" i="8"/>
  <c r="AU402" i="8"/>
  <c r="AT402" i="8"/>
  <c r="AS403" i="8"/>
  <c r="AJ367" i="7"/>
  <c r="AK366" i="7"/>
  <c r="AL366" i="7"/>
  <c r="AP366" i="7"/>
  <c r="AO366" i="7"/>
  <c r="AL290" i="1"/>
  <c r="AK290" i="1"/>
  <c r="AJ291" i="1"/>
  <c r="AP290" i="1"/>
  <c r="AO290" i="1"/>
  <c r="AN291" i="1"/>
  <c r="AU403" i="8" l="1"/>
  <c r="AT403" i="8"/>
  <c r="AS404" i="8"/>
  <c r="AQ403" i="8"/>
  <c r="AP403" i="8"/>
  <c r="AO404" i="8"/>
  <c r="AJ368" i="7"/>
  <c r="AK367" i="7"/>
  <c r="AL367" i="7"/>
  <c r="AP367" i="7"/>
  <c r="AO367" i="7"/>
  <c r="AP291" i="1"/>
  <c r="AN292" i="1"/>
  <c r="AO291" i="1"/>
  <c r="AL291" i="1"/>
  <c r="AJ292" i="1"/>
  <c r="AK291" i="1"/>
  <c r="AQ404" i="8" l="1"/>
  <c r="AP404" i="8"/>
  <c r="AO405" i="8"/>
  <c r="AT404" i="8"/>
  <c r="AU404" i="8"/>
  <c r="AS405" i="8"/>
  <c r="AJ369" i="7"/>
  <c r="AL368" i="7"/>
  <c r="AK368" i="7"/>
  <c r="AP368" i="7"/>
  <c r="AO368" i="7"/>
  <c r="AL292" i="1"/>
  <c r="AK292" i="1"/>
  <c r="AJ293" i="1"/>
  <c r="AP292" i="1"/>
  <c r="AN293" i="1"/>
  <c r="AO292" i="1"/>
  <c r="AU405" i="8" l="1"/>
  <c r="AT405" i="8"/>
  <c r="AS406" i="8"/>
  <c r="AP405" i="8"/>
  <c r="AQ405" i="8"/>
  <c r="AO406" i="8"/>
  <c r="AJ370" i="7"/>
  <c r="AK369" i="7"/>
  <c r="AL369" i="7"/>
  <c r="AP369" i="7"/>
  <c r="AO369" i="7"/>
  <c r="AP293" i="1"/>
  <c r="AO293" i="1"/>
  <c r="AN294" i="1"/>
  <c r="AL293" i="1"/>
  <c r="AK293" i="1"/>
  <c r="AJ294" i="1"/>
  <c r="AQ406" i="8" l="1"/>
  <c r="AP406" i="8"/>
  <c r="AO407" i="8"/>
  <c r="AU406" i="8"/>
  <c r="AT406" i="8"/>
  <c r="AS407" i="8"/>
  <c r="AJ371" i="7"/>
  <c r="AK370" i="7"/>
  <c r="AL370" i="7"/>
  <c r="AP370" i="7"/>
  <c r="AO370" i="7"/>
  <c r="AL294" i="1"/>
  <c r="AK294" i="1"/>
  <c r="AJ295" i="1"/>
  <c r="AP294" i="1"/>
  <c r="AO294" i="1"/>
  <c r="AN295" i="1"/>
  <c r="AU407" i="8" l="1"/>
  <c r="AT407" i="8"/>
  <c r="AS408" i="8"/>
  <c r="AQ407" i="8"/>
  <c r="AP407" i="8"/>
  <c r="AO408" i="8"/>
  <c r="AJ372" i="7"/>
  <c r="AK371" i="7"/>
  <c r="AL371" i="7"/>
  <c r="AP371" i="7"/>
  <c r="AO371" i="7"/>
  <c r="AP295" i="1"/>
  <c r="AO295" i="1"/>
  <c r="AN296" i="1"/>
  <c r="AL295" i="1"/>
  <c r="AK295" i="1"/>
  <c r="AJ296" i="1"/>
  <c r="AP408" i="8" l="1"/>
  <c r="AQ408" i="8"/>
  <c r="AO409" i="8"/>
  <c r="AT408" i="8"/>
  <c r="AU408" i="8"/>
  <c r="AS409" i="8"/>
  <c r="AJ373" i="7"/>
  <c r="AK372" i="7"/>
  <c r="AL372" i="7"/>
  <c r="AO372" i="7"/>
  <c r="AP372" i="7"/>
  <c r="AL296" i="1"/>
  <c r="AK296" i="1"/>
  <c r="AJ297" i="1"/>
  <c r="AP296" i="1"/>
  <c r="AO296" i="1"/>
  <c r="AN297" i="1"/>
  <c r="AT409" i="8" l="1"/>
  <c r="AU409" i="8"/>
  <c r="AS410" i="8"/>
  <c r="AP409" i="8"/>
  <c r="AQ409" i="8"/>
  <c r="AO410" i="8"/>
  <c r="AJ374" i="7"/>
  <c r="AK373" i="7"/>
  <c r="AL373" i="7"/>
  <c r="AO373" i="7"/>
  <c r="AP373" i="7"/>
  <c r="AL297" i="1"/>
  <c r="AK297" i="1"/>
  <c r="AJ298" i="1"/>
  <c r="AP297" i="1"/>
  <c r="AN298" i="1"/>
  <c r="AO297" i="1"/>
  <c r="AQ410" i="8" l="1"/>
  <c r="AP410" i="8"/>
  <c r="AO411" i="8"/>
  <c r="AU410" i="8"/>
  <c r="AT410" i="8"/>
  <c r="AS411" i="8"/>
  <c r="AJ375" i="7"/>
  <c r="AK374" i="7"/>
  <c r="AL374" i="7"/>
  <c r="AP374" i="7"/>
  <c r="AO374" i="7"/>
  <c r="AP298" i="1"/>
  <c r="AN299" i="1"/>
  <c r="AO298" i="1"/>
  <c r="AL298" i="1"/>
  <c r="AK298" i="1"/>
  <c r="AJ299" i="1"/>
  <c r="AU411" i="8" l="1"/>
  <c r="AT411" i="8"/>
  <c r="AS412" i="8"/>
  <c r="AQ411" i="8"/>
  <c r="AP411" i="8"/>
  <c r="AO412" i="8"/>
  <c r="AJ376" i="7"/>
  <c r="AK375" i="7"/>
  <c r="AL375" i="7"/>
  <c r="AP375" i="7"/>
  <c r="AO375" i="7"/>
  <c r="AL299" i="1"/>
  <c r="AK299" i="1"/>
  <c r="AJ300" i="1"/>
  <c r="AP299" i="1"/>
  <c r="AN300" i="1"/>
  <c r="AO299" i="1"/>
  <c r="AQ412" i="8" l="1"/>
  <c r="AP412" i="8"/>
  <c r="AO413" i="8"/>
  <c r="AT412" i="8"/>
  <c r="AU412" i="8"/>
  <c r="AS413" i="8"/>
  <c r="AJ377" i="7"/>
  <c r="AL376" i="7"/>
  <c r="AK376" i="7"/>
  <c r="AP376" i="7"/>
  <c r="AO376" i="7"/>
  <c r="AP300" i="1"/>
  <c r="AN301" i="1"/>
  <c r="AO300" i="1"/>
  <c r="AL300" i="1"/>
  <c r="AK300" i="1"/>
  <c r="AJ301" i="1"/>
  <c r="AP413" i="8" l="1"/>
  <c r="AQ413" i="8"/>
  <c r="AO414" i="8"/>
  <c r="AU413" i="8"/>
  <c r="AT413" i="8"/>
  <c r="AS414" i="8"/>
  <c r="AJ378" i="7"/>
  <c r="AK377" i="7"/>
  <c r="AL377" i="7"/>
  <c r="AO377" i="7"/>
  <c r="AP377" i="7"/>
  <c r="AL301" i="1"/>
  <c r="AK301" i="1"/>
  <c r="AJ302" i="1"/>
  <c r="AP301" i="1"/>
  <c r="AN302" i="1"/>
  <c r="AO301" i="1"/>
  <c r="AT414" i="8" l="1"/>
  <c r="AU414" i="8"/>
  <c r="AS415" i="8"/>
  <c r="AQ414" i="8"/>
  <c r="AP414" i="8"/>
  <c r="AO415" i="8"/>
  <c r="AJ379" i="7"/>
  <c r="AK378" i="7"/>
  <c r="AL378" i="7"/>
  <c r="AP378" i="7"/>
  <c r="AO378" i="7"/>
  <c r="AP302" i="1"/>
  <c r="AN303" i="1"/>
  <c r="AO302" i="1"/>
  <c r="AL302" i="1"/>
  <c r="AK302" i="1"/>
  <c r="AJ303" i="1"/>
  <c r="AQ415" i="8" l="1"/>
  <c r="AP415" i="8"/>
  <c r="AO416" i="8"/>
  <c r="AU415" i="8"/>
  <c r="AT415" i="8"/>
  <c r="AS416" i="8"/>
  <c r="AJ380" i="7"/>
  <c r="AK379" i="7"/>
  <c r="AL379" i="7"/>
  <c r="AP379" i="7"/>
  <c r="AO379" i="7"/>
  <c r="AL303" i="1"/>
  <c r="AK303" i="1"/>
  <c r="AJ304" i="1"/>
  <c r="AP303" i="1"/>
  <c r="AO303" i="1"/>
  <c r="AN304" i="1"/>
  <c r="AT416" i="8" l="1"/>
  <c r="AU416" i="8"/>
  <c r="AS417" i="8"/>
  <c r="AP416" i="8"/>
  <c r="AQ416" i="8"/>
  <c r="AO417" i="8"/>
  <c r="AJ381" i="7"/>
  <c r="AK380" i="7"/>
  <c r="AL380" i="7"/>
  <c r="AP380" i="7"/>
  <c r="AO380" i="7"/>
  <c r="AP304" i="1"/>
  <c r="AN305" i="1"/>
  <c r="AO304" i="1"/>
  <c r="AL304" i="1"/>
  <c r="AK304" i="1"/>
  <c r="AJ305" i="1"/>
  <c r="AP417" i="8" l="1"/>
  <c r="AQ417" i="8"/>
  <c r="AO418" i="8"/>
  <c r="AU417" i="8"/>
  <c r="AT417" i="8"/>
  <c r="AS418" i="8"/>
  <c r="AJ382" i="7"/>
  <c r="AL381" i="7"/>
  <c r="AK381" i="7"/>
  <c r="AO381" i="7"/>
  <c r="AP381" i="7"/>
  <c r="AL305" i="1"/>
  <c r="AJ306" i="1"/>
  <c r="AK305" i="1"/>
  <c r="AP305" i="1"/>
  <c r="AN306" i="1"/>
  <c r="AO305" i="1"/>
  <c r="AU418" i="8" l="1"/>
  <c r="AT418" i="8"/>
  <c r="AS419" i="8"/>
  <c r="AQ418" i="8"/>
  <c r="AP418" i="8"/>
  <c r="AO419" i="8"/>
  <c r="AJ383" i="7"/>
  <c r="AK382" i="7"/>
  <c r="AL382" i="7"/>
  <c r="AP382" i="7"/>
  <c r="AO382" i="7"/>
  <c r="AP306" i="1"/>
  <c r="AO306" i="1"/>
  <c r="AN307" i="1"/>
  <c r="AL306" i="1"/>
  <c r="AK306" i="1"/>
  <c r="AJ307" i="1"/>
  <c r="AQ419" i="8" l="1"/>
  <c r="AP419" i="8"/>
  <c r="AO420" i="8"/>
  <c r="AU419" i="8"/>
  <c r="AT419" i="8"/>
  <c r="AS420" i="8"/>
  <c r="AJ384" i="7"/>
  <c r="AK383" i="7"/>
  <c r="AL383" i="7"/>
  <c r="AP383" i="7"/>
  <c r="AO383" i="7"/>
  <c r="AL307" i="1"/>
  <c r="AK307" i="1"/>
  <c r="AJ308" i="1"/>
  <c r="AP307" i="1"/>
  <c r="AN308" i="1"/>
  <c r="AO307" i="1"/>
  <c r="AT420" i="8" l="1"/>
  <c r="AU420" i="8"/>
  <c r="AS421" i="8"/>
  <c r="AQ420" i="8"/>
  <c r="AP420" i="8"/>
  <c r="AO421" i="8"/>
  <c r="AJ385" i="7"/>
  <c r="AL384" i="7"/>
  <c r="AK384" i="7"/>
  <c r="AO384" i="7"/>
  <c r="AP384" i="7"/>
  <c r="AP308" i="1"/>
  <c r="AO308" i="1"/>
  <c r="AN309" i="1"/>
  <c r="AL308" i="1"/>
  <c r="AK308" i="1"/>
  <c r="AJ309" i="1"/>
  <c r="AP421" i="8" l="1"/>
  <c r="AQ421" i="8"/>
  <c r="AO422" i="8"/>
  <c r="AU421" i="8"/>
  <c r="AT421" i="8"/>
  <c r="AS422" i="8"/>
  <c r="AJ386" i="7"/>
  <c r="AK385" i="7"/>
  <c r="AL385" i="7"/>
  <c r="AO385" i="7"/>
  <c r="AP385" i="7"/>
  <c r="AL309" i="1"/>
  <c r="AK309" i="1"/>
  <c r="AJ310" i="1"/>
  <c r="AP309" i="1"/>
  <c r="AN310" i="1"/>
  <c r="AO309" i="1"/>
  <c r="AT422" i="8" l="1"/>
  <c r="AU422" i="8"/>
  <c r="AS423" i="8"/>
  <c r="AQ422" i="8"/>
  <c r="AP422" i="8"/>
  <c r="AO423" i="8"/>
  <c r="AJ387" i="7"/>
  <c r="AL386" i="7"/>
  <c r="AK386" i="7"/>
  <c r="AP386" i="7"/>
  <c r="AO386" i="7"/>
  <c r="AP310" i="1"/>
  <c r="AN311" i="1"/>
  <c r="AO310" i="1"/>
  <c r="AL310" i="1"/>
  <c r="AK310" i="1"/>
  <c r="AJ311" i="1"/>
  <c r="AQ423" i="8" l="1"/>
  <c r="AP423" i="8"/>
  <c r="AO424" i="8"/>
  <c r="AU423" i="8"/>
  <c r="AT423" i="8"/>
  <c r="AS424" i="8"/>
  <c r="AJ388" i="7"/>
  <c r="AK387" i="7"/>
  <c r="AL387" i="7"/>
  <c r="AP387" i="7"/>
  <c r="AO387" i="7"/>
  <c r="AL311" i="1"/>
  <c r="AK311" i="1"/>
  <c r="AJ312" i="1"/>
  <c r="AP311" i="1"/>
  <c r="AO311" i="1"/>
  <c r="AN312" i="1"/>
  <c r="AT424" i="8" l="1"/>
  <c r="AU424" i="8"/>
  <c r="AS425" i="8"/>
  <c r="AQ424" i="8"/>
  <c r="AP424" i="8"/>
  <c r="AO425" i="8"/>
  <c r="AJ389" i="7"/>
  <c r="AK388" i="7"/>
  <c r="AL388" i="7"/>
  <c r="AO388" i="7"/>
  <c r="AP388" i="7"/>
  <c r="AP312" i="1"/>
  <c r="AN313" i="1"/>
  <c r="AO312" i="1"/>
  <c r="AL312" i="1"/>
  <c r="AK312" i="1"/>
  <c r="AJ313" i="1"/>
  <c r="AP425" i="8" l="1"/>
  <c r="AQ425" i="8"/>
  <c r="AO426" i="8"/>
  <c r="AU425" i="8"/>
  <c r="AT425" i="8"/>
  <c r="AS426" i="8"/>
  <c r="AJ390" i="7"/>
  <c r="AL389" i="7"/>
  <c r="AK389" i="7"/>
  <c r="AO389" i="7"/>
  <c r="AP389" i="7"/>
  <c r="AL313" i="1"/>
  <c r="AJ314" i="1"/>
  <c r="AK313" i="1"/>
  <c r="AP313" i="1"/>
  <c r="AN314" i="1"/>
  <c r="AO313" i="1"/>
  <c r="AU426" i="8" l="1"/>
  <c r="AT426" i="8"/>
  <c r="AS427" i="8"/>
  <c r="AQ426" i="8"/>
  <c r="AP426" i="8"/>
  <c r="AO427" i="8"/>
  <c r="AJ391" i="7"/>
  <c r="AK390" i="7"/>
  <c r="AL390" i="7"/>
  <c r="AO390" i="7"/>
  <c r="AP390" i="7"/>
  <c r="AP314" i="1"/>
  <c r="AN315" i="1"/>
  <c r="AO314" i="1"/>
  <c r="AL314" i="1"/>
  <c r="AK314" i="1"/>
  <c r="AJ315" i="1"/>
  <c r="AQ427" i="8" l="1"/>
  <c r="AP427" i="8"/>
  <c r="AO428" i="8"/>
  <c r="AU427" i="8"/>
  <c r="AT427" i="8"/>
  <c r="AS428" i="8"/>
  <c r="AJ392" i="7"/>
  <c r="AK391" i="7"/>
  <c r="AL391" i="7"/>
  <c r="AP391" i="7"/>
  <c r="AO391" i="7"/>
  <c r="AL315" i="1"/>
  <c r="AK315" i="1"/>
  <c r="AJ316" i="1"/>
  <c r="AP315" i="1"/>
  <c r="AO315" i="1"/>
  <c r="AN316" i="1"/>
  <c r="AT428" i="8" l="1"/>
  <c r="AU428" i="8"/>
  <c r="AS429" i="8"/>
  <c r="AQ428" i="8"/>
  <c r="AP428" i="8"/>
  <c r="AO429" i="8"/>
  <c r="AJ393" i="7"/>
  <c r="AL392" i="7"/>
  <c r="AK392" i="7"/>
  <c r="AP392" i="7"/>
  <c r="AO392" i="7"/>
  <c r="AP316" i="1"/>
  <c r="AN317" i="1"/>
  <c r="AO316" i="1"/>
  <c r="AL316" i="1"/>
  <c r="AK316" i="1"/>
  <c r="AJ317" i="1"/>
  <c r="AP429" i="8" l="1"/>
  <c r="AQ429" i="8"/>
  <c r="AO430" i="8"/>
  <c r="AU429" i="8"/>
  <c r="AT429" i="8"/>
  <c r="AS430" i="8"/>
  <c r="AJ394" i="7"/>
  <c r="AL393" i="7"/>
  <c r="AK393" i="7"/>
  <c r="AO393" i="7"/>
  <c r="AP393" i="7"/>
  <c r="AL317" i="1"/>
  <c r="AK317" i="1"/>
  <c r="AJ318" i="1"/>
  <c r="AP317" i="1"/>
  <c r="AN318" i="1"/>
  <c r="AO317" i="1"/>
  <c r="AU430" i="8" l="1"/>
  <c r="AT430" i="8"/>
  <c r="AS431" i="8"/>
  <c r="AQ430" i="8"/>
  <c r="AP430" i="8"/>
  <c r="AO431" i="8"/>
  <c r="AJ395" i="7"/>
  <c r="AK394" i="7"/>
  <c r="AL394" i="7"/>
  <c r="AO394" i="7"/>
  <c r="AP394" i="7"/>
  <c r="AP318" i="1"/>
  <c r="AN319" i="1"/>
  <c r="AO318" i="1"/>
  <c r="AL318" i="1"/>
  <c r="AK318" i="1"/>
  <c r="AJ319" i="1"/>
  <c r="AQ431" i="8" l="1"/>
  <c r="AP431" i="8"/>
  <c r="AO432" i="8"/>
  <c r="AU431" i="8"/>
  <c r="AT431" i="8"/>
  <c r="AS432" i="8"/>
  <c r="AJ396" i="7"/>
  <c r="AK395" i="7"/>
  <c r="AL395" i="7"/>
  <c r="AP395" i="7"/>
  <c r="AO395" i="7"/>
  <c r="AL319" i="1"/>
  <c r="AK319" i="1"/>
  <c r="AJ320" i="1"/>
  <c r="AP319" i="1"/>
  <c r="AN320" i="1"/>
  <c r="AO319" i="1"/>
  <c r="AT432" i="8" l="1"/>
  <c r="AU432" i="8"/>
  <c r="AS433" i="8"/>
  <c r="AQ432" i="8"/>
  <c r="AP432" i="8"/>
  <c r="AO433" i="8"/>
  <c r="AJ397" i="7"/>
  <c r="AK396" i="7"/>
  <c r="AL396" i="7"/>
  <c r="AO396" i="7"/>
  <c r="AP396" i="7"/>
  <c r="AP320" i="1"/>
  <c r="AN321" i="1"/>
  <c r="AO320" i="1"/>
  <c r="AL320" i="1"/>
  <c r="AK320" i="1"/>
  <c r="AJ321" i="1"/>
  <c r="AP433" i="8" l="1"/>
  <c r="AQ433" i="8"/>
  <c r="AO434" i="8"/>
  <c r="AT433" i="8"/>
  <c r="AU433" i="8"/>
  <c r="AS434" i="8"/>
  <c r="AJ398" i="7"/>
  <c r="AK397" i="7"/>
  <c r="AL397" i="7"/>
  <c r="AP397" i="7"/>
  <c r="AO397" i="7"/>
  <c r="AL321" i="1"/>
  <c r="AK321" i="1"/>
  <c r="AJ322" i="1"/>
  <c r="AP321" i="1"/>
  <c r="AN322" i="1"/>
  <c r="AO321" i="1"/>
  <c r="AU434" i="8" l="1"/>
  <c r="AT434" i="8"/>
  <c r="AS435" i="8"/>
  <c r="AQ434" i="8"/>
  <c r="AP434" i="8"/>
  <c r="AO435" i="8"/>
  <c r="AJ399" i="7"/>
  <c r="AK398" i="7"/>
  <c r="AL398" i="7"/>
  <c r="AP398" i="7"/>
  <c r="AO398" i="7"/>
  <c r="AP322" i="1"/>
  <c r="AO322" i="1"/>
  <c r="AN323" i="1"/>
  <c r="AL322" i="1"/>
  <c r="AK322" i="1"/>
  <c r="AJ323" i="1"/>
  <c r="AQ435" i="8" l="1"/>
  <c r="AP435" i="8"/>
  <c r="AO436" i="8"/>
  <c r="AU435" i="8"/>
  <c r="AT435" i="8"/>
  <c r="AS436" i="8"/>
  <c r="AJ400" i="7"/>
  <c r="AK399" i="7"/>
  <c r="AL399" i="7"/>
  <c r="AP399" i="7"/>
  <c r="AO399" i="7"/>
  <c r="AL323" i="1"/>
  <c r="AK323" i="1"/>
  <c r="AJ324" i="1"/>
  <c r="AP323" i="1"/>
  <c r="AN324" i="1"/>
  <c r="AO323" i="1"/>
  <c r="AT436" i="8" l="1"/>
  <c r="AU436" i="8"/>
  <c r="AS437" i="8"/>
  <c r="AQ436" i="8"/>
  <c r="AP436" i="8"/>
  <c r="AO437" i="8"/>
  <c r="AJ401" i="7"/>
  <c r="AL400" i="7"/>
  <c r="AK400" i="7"/>
  <c r="AO400" i="7"/>
  <c r="AP400" i="7"/>
  <c r="AP324" i="1"/>
  <c r="AN325" i="1"/>
  <c r="AO324" i="1"/>
  <c r="AL324" i="1"/>
  <c r="AK324" i="1"/>
  <c r="AJ325" i="1"/>
  <c r="AP437" i="8" l="1"/>
  <c r="AQ437" i="8"/>
  <c r="AO438" i="8"/>
  <c r="AU437" i="8"/>
  <c r="AT437" i="8"/>
  <c r="AS438" i="8"/>
  <c r="AJ402" i="7"/>
  <c r="AK401" i="7"/>
  <c r="AL401" i="7"/>
  <c r="AO401" i="7"/>
  <c r="AP401" i="7"/>
  <c r="AL325" i="1"/>
  <c r="AK325" i="1"/>
  <c r="AJ326" i="1"/>
  <c r="AP325" i="1"/>
  <c r="AN326" i="1"/>
  <c r="AO325" i="1"/>
  <c r="AU438" i="8" l="1"/>
  <c r="AT438" i="8"/>
  <c r="AS439" i="8"/>
  <c r="AQ438" i="8"/>
  <c r="AP438" i="8"/>
  <c r="AO439" i="8"/>
  <c r="AJ403" i="7"/>
  <c r="AK402" i="7"/>
  <c r="AL402" i="7"/>
  <c r="AP402" i="7"/>
  <c r="AO402" i="7"/>
  <c r="AP326" i="1"/>
  <c r="AN327" i="1"/>
  <c r="AO326" i="1"/>
  <c r="AL326" i="1"/>
  <c r="AK326" i="1"/>
  <c r="AJ327" i="1"/>
  <c r="AQ439" i="8" l="1"/>
  <c r="AP439" i="8"/>
  <c r="AO440" i="8"/>
  <c r="AU439" i="8"/>
  <c r="AT439" i="8"/>
  <c r="AS440" i="8"/>
  <c r="AJ404" i="7"/>
  <c r="AK403" i="7"/>
  <c r="AL403" i="7"/>
  <c r="AP403" i="7"/>
  <c r="AO403" i="7"/>
  <c r="AL327" i="1"/>
  <c r="AK327" i="1"/>
  <c r="AJ328" i="1"/>
  <c r="AP327" i="1"/>
  <c r="AO327" i="1"/>
  <c r="AN328" i="1"/>
  <c r="AP440" i="8" l="1"/>
  <c r="AQ440" i="8"/>
  <c r="AO441" i="8"/>
  <c r="AT440" i="8"/>
  <c r="AU440" i="8"/>
  <c r="AS441" i="8"/>
  <c r="AJ405" i="7"/>
  <c r="AK404" i="7"/>
  <c r="AL404" i="7"/>
  <c r="AO404" i="7"/>
  <c r="AP404" i="7"/>
  <c r="AP328" i="1"/>
  <c r="AN329" i="1"/>
  <c r="AO328" i="1"/>
  <c r="AL328" i="1"/>
  <c r="AK328" i="1"/>
  <c r="AJ329" i="1"/>
  <c r="AT441" i="8" l="1"/>
  <c r="AU441" i="8"/>
  <c r="AS442" i="8"/>
  <c r="AP441" i="8"/>
  <c r="AQ441" i="8"/>
  <c r="AO442" i="8"/>
  <c r="AJ406" i="7"/>
  <c r="AK405" i="7"/>
  <c r="AL405" i="7"/>
  <c r="AP405" i="7"/>
  <c r="AO405" i="7"/>
  <c r="AL329" i="1"/>
  <c r="AK329" i="1"/>
  <c r="AJ330" i="1"/>
  <c r="AP329" i="1"/>
  <c r="AN330" i="1"/>
  <c r="AO329" i="1"/>
  <c r="AQ442" i="8" l="1"/>
  <c r="AP442" i="8"/>
  <c r="AO443" i="8"/>
  <c r="AU442" i="8"/>
  <c r="AT442" i="8"/>
  <c r="AS443" i="8"/>
  <c r="AJ407" i="7"/>
  <c r="AK406" i="7"/>
  <c r="AL406" i="7"/>
  <c r="AO406" i="7"/>
  <c r="AP406" i="7"/>
  <c r="AP330" i="1"/>
  <c r="AN331" i="1"/>
  <c r="AO330" i="1"/>
  <c r="AL330" i="1"/>
  <c r="AK330" i="1"/>
  <c r="AJ331" i="1"/>
  <c r="AU443" i="8" l="1"/>
  <c r="AT443" i="8"/>
  <c r="AS444" i="8"/>
  <c r="AQ443" i="8"/>
  <c r="AP443" i="8"/>
  <c r="AO444" i="8"/>
  <c r="AJ408" i="7"/>
  <c r="AL407" i="7"/>
  <c r="AK407" i="7"/>
  <c r="AO407" i="7"/>
  <c r="AP407" i="7"/>
  <c r="AL331" i="1"/>
  <c r="AK331" i="1"/>
  <c r="AJ332" i="1"/>
  <c r="AP331" i="1"/>
  <c r="AO331" i="1"/>
  <c r="AN332" i="1"/>
  <c r="AQ444" i="8" l="1"/>
  <c r="AP444" i="8"/>
  <c r="AO445" i="8"/>
  <c r="AT444" i="8"/>
  <c r="AU444" i="8"/>
  <c r="AS445" i="8"/>
  <c r="AJ409" i="7"/>
  <c r="AL408" i="7"/>
  <c r="AK408" i="7"/>
  <c r="AO408" i="7"/>
  <c r="AP408" i="7"/>
  <c r="AP332" i="1"/>
  <c r="AO332" i="1"/>
  <c r="AN333" i="1"/>
  <c r="AL332" i="1"/>
  <c r="AK332" i="1"/>
  <c r="AJ333" i="1"/>
  <c r="AU445" i="8" l="1"/>
  <c r="AT445" i="8"/>
  <c r="AS446" i="8"/>
  <c r="AP445" i="8"/>
  <c r="AQ445" i="8"/>
  <c r="AO446" i="8"/>
  <c r="AJ410" i="7"/>
  <c r="AK409" i="7"/>
  <c r="AL409" i="7"/>
  <c r="AO409" i="7"/>
  <c r="AP409" i="7"/>
  <c r="AL333" i="1"/>
  <c r="AJ334" i="1"/>
  <c r="AK333" i="1"/>
  <c r="AP333" i="1"/>
  <c r="AN334" i="1"/>
  <c r="AO333" i="1"/>
  <c r="AQ446" i="8" l="1"/>
  <c r="AP446" i="8"/>
  <c r="AO447" i="8"/>
  <c r="AU446" i="8"/>
  <c r="AT446" i="8"/>
  <c r="AS447" i="8"/>
  <c r="AJ411" i="7"/>
  <c r="AK410" i="7"/>
  <c r="AL410" i="7"/>
  <c r="AP410" i="7"/>
  <c r="AO410" i="7"/>
  <c r="AP334" i="1"/>
  <c r="AN335" i="1"/>
  <c r="AO334" i="1"/>
  <c r="AL334" i="1"/>
  <c r="AK334" i="1"/>
  <c r="AJ335" i="1"/>
  <c r="AT447" i="8" l="1"/>
  <c r="AU447" i="8"/>
  <c r="AS448" i="8"/>
  <c r="AQ447" i="8"/>
  <c r="AP447" i="8"/>
  <c r="AO448" i="8"/>
  <c r="AJ412" i="7"/>
  <c r="AK411" i="7"/>
  <c r="AL411" i="7"/>
  <c r="AO411" i="7"/>
  <c r="AP411" i="7"/>
  <c r="AL335" i="1"/>
  <c r="AK335" i="1"/>
  <c r="AJ336" i="1"/>
  <c r="AP335" i="1"/>
  <c r="AO335" i="1"/>
  <c r="AN336" i="1"/>
  <c r="AP448" i="8" l="1"/>
  <c r="AQ448" i="8"/>
  <c r="AO449" i="8"/>
  <c r="AT448" i="8"/>
  <c r="AU448" i="8"/>
  <c r="AS449" i="8"/>
  <c r="AJ413" i="7"/>
  <c r="AK412" i="7"/>
  <c r="AL412" i="7"/>
  <c r="AO412" i="7"/>
  <c r="AP412" i="7"/>
  <c r="AP336" i="1"/>
  <c r="AN337" i="1"/>
  <c r="AO336" i="1"/>
  <c r="AL336" i="1"/>
  <c r="AJ337" i="1"/>
  <c r="AK336" i="1"/>
  <c r="AU449" i="8" l="1"/>
  <c r="AT449" i="8"/>
  <c r="AS450" i="8"/>
  <c r="AQ449" i="8"/>
  <c r="AP449" i="8"/>
  <c r="AO450" i="8"/>
  <c r="AJ414" i="7"/>
  <c r="AK413" i="7"/>
  <c r="AL413" i="7"/>
  <c r="AP413" i="7"/>
  <c r="AO413" i="7"/>
  <c r="AL337" i="1"/>
  <c r="AJ338" i="1"/>
  <c r="AK337" i="1"/>
  <c r="AP337" i="1"/>
  <c r="AN338" i="1"/>
  <c r="AO337" i="1"/>
  <c r="AQ450" i="8" l="1"/>
  <c r="AP450" i="8"/>
  <c r="AO451" i="8"/>
  <c r="AU450" i="8"/>
  <c r="AT450" i="8"/>
  <c r="AS451" i="8"/>
  <c r="AJ415" i="7"/>
  <c r="AK414" i="7"/>
  <c r="AL414" i="7"/>
  <c r="AO414" i="7"/>
  <c r="AP414" i="7"/>
  <c r="AP338" i="1"/>
  <c r="AN339" i="1"/>
  <c r="AO338" i="1"/>
  <c r="AL338" i="1"/>
  <c r="AJ339" i="1"/>
  <c r="AK338" i="1"/>
  <c r="AU451" i="8" l="1"/>
  <c r="AT451" i="8"/>
  <c r="AS452" i="8"/>
  <c r="AQ451" i="8"/>
  <c r="AP451" i="8"/>
  <c r="AO452" i="8"/>
  <c r="AJ416" i="7"/>
  <c r="AK415" i="7"/>
  <c r="AL415" i="7"/>
  <c r="AO415" i="7"/>
  <c r="AP415" i="7"/>
  <c r="AL339" i="1"/>
  <c r="AK339" i="1"/>
  <c r="AJ340" i="1"/>
  <c r="AP339" i="1"/>
  <c r="AN340" i="1"/>
  <c r="AO339" i="1"/>
  <c r="AP452" i="8" l="1"/>
  <c r="AQ452" i="8"/>
  <c r="AO453" i="8"/>
  <c r="AT452" i="8"/>
  <c r="AU452" i="8"/>
  <c r="AS453" i="8"/>
  <c r="AJ417" i="7"/>
  <c r="AL416" i="7"/>
  <c r="AK416" i="7"/>
  <c r="AO416" i="7"/>
  <c r="AP416" i="7"/>
  <c r="AP340" i="1"/>
  <c r="AN341" i="1"/>
  <c r="AO340" i="1"/>
  <c r="AL340" i="1"/>
  <c r="AK340" i="1"/>
  <c r="AJ341" i="1"/>
  <c r="AU453" i="8" l="1"/>
  <c r="AT453" i="8"/>
  <c r="AS454" i="8"/>
  <c r="AQ453" i="8"/>
  <c r="AP453" i="8"/>
  <c r="AO454" i="8"/>
  <c r="AJ418" i="7"/>
  <c r="AK417" i="7"/>
  <c r="AL417" i="7"/>
  <c r="AP417" i="7"/>
  <c r="AO417" i="7"/>
  <c r="AL341" i="1"/>
  <c r="AK341" i="1"/>
  <c r="AJ342" i="1"/>
  <c r="AP341" i="1"/>
  <c r="AN342" i="1"/>
  <c r="AO341" i="1"/>
  <c r="AQ454" i="8" l="1"/>
  <c r="AP454" i="8"/>
  <c r="AO455" i="8"/>
  <c r="AU454" i="8"/>
  <c r="AT454" i="8"/>
  <c r="AS455" i="8"/>
  <c r="AJ419" i="7"/>
  <c r="AK418" i="7"/>
  <c r="AL418" i="7"/>
  <c r="AP418" i="7"/>
  <c r="AO418" i="7"/>
  <c r="AP342" i="1"/>
  <c r="AN343" i="1"/>
  <c r="AO342" i="1"/>
  <c r="AL342" i="1"/>
  <c r="AJ343" i="1"/>
  <c r="AK342" i="1"/>
  <c r="AU455" i="8" l="1"/>
  <c r="AT455" i="8"/>
  <c r="AS456" i="8"/>
  <c r="AQ455" i="8"/>
  <c r="AP455" i="8"/>
  <c r="AO456" i="8"/>
  <c r="AJ420" i="7"/>
  <c r="AK419" i="7"/>
  <c r="AL419" i="7"/>
  <c r="AO419" i="7"/>
  <c r="AP419" i="7"/>
  <c r="AL343" i="1"/>
  <c r="AJ344" i="1"/>
  <c r="AK343" i="1"/>
  <c r="AP343" i="1"/>
  <c r="AN344" i="1"/>
  <c r="AO343" i="1"/>
  <c r="AP456" i="8" l="1"/>
  <c r="AQ456" i="8"/>
  <c r="AO457" i="8"/>
  <c r="AT456" i="8"/>
  <c r="AU456" i="8"/>
  <c r="AS457" i="8"/>
  <c r="AJ421" i="7"/>
  <c r="AL420" i="7"/>
  <c r="AK420" i="7"/>
  <c r="AP420" i="7"/>
  <c r="AO420" i="7"/>
  <c r="AP344" i="1"/>
  <c r="AN345" i="1"/>
  <c r="AO344" i="1"/>
  <c r="AL344" i="1"/>
  <c r="AJ345" i="1"/>
  <c r="AK344" i="1"/>
  <c r="AU457" i="8" l="1"/>
  <c r="AT457" i="8"/>
  <c r="AS458" i="8"/>
  <c r="AQ457" i="8"/>
  <c r="AP457" i="8"/>
  <c r="AO458" i="8"/>
  <c r="AJ422" i="7"/>
  <c r="AK421" i="7"/>
  <c r="AL421" i="7"/>
  <c r="AP421" i="7"/>
  <c r="AO421" i="7"/>
  <c r="AL345" i="1"/>
  <c r="AJ346" i="1"/>
  <c r="AK345" i="1"/>
  <c r="AP345" i="1"/>
  <c r="AN346" i="1"/>
  <c r="AO345" i="1"/>
  <c r="AQ458" i="8" l="1"/>
  <c r="AP458" i="8"/>
  <c r="AO459" i="8"/>
  <c r="AU458" i="8"/>
  <c r="AT458" i="8"/>
  <c r="AS459" i="8"/>
  <c r="AJ423" i="7"/>
  <c r="AK422" i="7"/>
  <c r="AL422" i="7"/>
  <c r="AO422" i="7"/>
  <c r="AP422" i="7"/>
  <c r="AP346" i="1"/>
  <c r="AN347" i="1"/>
  <c r="AO346" i="1"/>
  <c r="AL346" i="1"/>
  <c r="AJ347" i="1"/>
  <c r="AK346" i="1"/>
  <c r="AT459" i="8" l="1"/>
  <c r="AU459" i="8"/>
  <c r="AS460" i="8"/>
  <c r="AQ459" i="8"/>
  <c r="AP459" i="8"/>
  <c r="AO460" i="8"/>
  <c r="AJ424" i="7"/>
  <c r="AK423" i="7"/>
  <c r="AL423" i="7"/>
  <c r="AO423" i="7"/>
  <c r="AP423" i="7"/>
  <c r="AL347" i="1"/>
  <c r="AJ348" i="1"/>
  <c r="AK347" i="1"/>
  <c r="AP347" i="1"/>
  <c r="AN348" i="1"/>
  <c r="AO347" i="1"/>
  <c r="AP460" i="8" l="1"/>
  <c r="AQ460" i="8"/>
  <c r="AO461" i="8"/>
  <c r="AT460" i="8"/>
  <c r="AU460" i="8"/>
  <c r="AS461" i="8"/>
  <c r="AJ425" i="7"/>
  <c r="AL424" i="7"/>
  <c r="AK424" i="7"/>
  <c r="AO424" i="7"/>
  <c r="AP424" i="7"/>
  <c r="AP348" i="1"/>
  <c r="AN349" i="1"/>
  <c r="AO348" i="1"/>
  <c r="AL348" i="1"/>
  <c r="AJ349" i="1"/>
  <c r="AK348" i="1"/>
  <c r="AU461" i="8" l="1"/>
  <c r="AT461" i="8"/>
  <c r="AS462" i="8"/>
  <c r="AQ461" i="8"/>
  <c r="AP461" i="8"/>
  <c r="AO462" i="8"/>
  <c r="AJ426" i="7"/>
  <c r="AK425" i="7"/>
  <c r="AL425" i="7"/>
  <c r="AP425" i="7"/>
  <c r="AO425" i="7"/>
  <c r="AL349" i="1"/>
  <c r="AJ350" i="1"/>
  <c r="AK349" i="1"/>
  <c r="AP349" i="1"/>
  <c r="AN350" i="1"/>
  <c r="AO349" i="1"/>
  <c r="AQ462" i="8" l="1"/>
  <c r="AP462" i="8"/>
  <c r="AO463" i="8"/>
  <c r="AU462" i="8"/>
  <c r="AT462" i="8"/>
  <c r="AS463" i="8"/>
  <c r="AJ427" i="7"/>
  <c r="AK426" i="7"/>
  <c r="AL426" i="7"/>
  <c r="AP426" i="7"/>
  <c r="AO426" i="7"/>
  <c r="AP350" i="1"/>
  <c r="AN351" i="1"/>
  <c r="AO350" i="1"/>
  <c r="AL350" i="1"/>
  <c r="AK350" i="1"/>
  <c r="AJ351" i="1"/>
  <c r="AU463" i="8" l="1"/>
  <c r="AT463" i="8"/>
  <c r="AS464" i="8"/>
  <c r="AQ463" i="8"/>
  <c r="AP463" i="8"/>
  <c r="AO464" i="8"/>
  <c r="AJ428" i="7"/>
  <c r="AK427" i="7"/>
  <c r="AL427" i="7"/>
  <c r="AO427" i="7"/>
  <c r="AP427" i="7"/>
  <c r="AL351" i="1"/>
  <c r="AK351" i="1"/>
  <c r="AJ352" i="1"/>
  <c r="AP351" i="1"/>
  <c r="AO351" i="1"/>
  <c r="AN352" i="1"/>
  <c r="AP464" i="8" l="1"/>
  <c r="AQ464" i="8"/>
  <c r="AO465" i="8"/>
  <c r="AT464" i="8"/>
  <c r="AU464" i="8"/>
  <c r="AS465" i="8"/>
  <c r="AJ429" i="7"/>
  <c r="AK428" i="7"/>
  <c r="AL428" i="7"/>
  <c r="AO428" i="7"/>
  <c r="AP428" i="7"/>
  <c r="AP352" i="1"/>
  <c r="AO352" i="1"/>
  <c r="AN353" i="1"/>
  <c r="AL352" i="1"/>
  <c r="AK352" i="1"/>
  <c r="AJ353" i="1"/>
  <c r="AU465" i="8" l="1"/>
  <c r="AT465" i="8"/>
  <c r="AS466" i="8"/>
  <c r="AQ465" i="8"/>
  <c r="AP465" i="8"/>
  <c r="AO466" i="8"/>
  <c r="AJ430" i="7"/>
  <c r="AK429" i="7"/>
  <c r="AL429" i="7"/>
  <c r="AP429" i="7"/>
  <c r="AO429" i="7"/>
  <c r="AL353" i="1"/>
  <c r="AK353" i="1"/>
  <c r="AJ354" i="1"/>
  <c r="AP353" i="1"/>
  <c r="AO353" i="1"/>
  <c r="AN354" i="1"/>
  <c r="AQ466" i="8" l="1"/>
  <c r="AP466" i="8"/>
  <c r="AO467" i="8"/>
  <c r="AU466" i="8"/>
  <c r="AT466" i="8"/>
  <c r="AS467" i="8"/>
  <c r="AJ431" i="7"/>
  <c r="AK430" i="7"/>
  <c r="AL430" i="7"/>
  <c r="AO430" i="7"/>
  <c r="AP430" i="7"/>
  <c r="AP354" i="1"/>
  <c r="AN355" i="1"/>
  <c r="AO354" i="1"/>
  <c r="AL354" i="1"/>
  <c r="AK354" i="1"/>
  <c r="AJ355" i="1"/>
  <c r="AU467" i="8" l="1"/>
  <c r="AT467" i="8"/>
  <c r="AS468" i="8"/>
  <c r="AQ467" i="8"/>
  <c r="AP467" i="8"/>
  <c r="AO468" i="8"/>
  <c r="AJ432" i="7"/>
  <c r="AK431" i="7"/>
  <c r="AL431" i="7"/>
  <c r="AO431" i="7"/>
  <c r="AP431" i="7"/>
  <c r="AL355" i="1"/>
  <c r="AK355" i="1"/>
  <c r="AJ356" i="1"/>
  <c r="AP355" i="1"/>
  <c r="AO355" i="1"/>
  <c r="AN356" i="1"/>
  <c r="AP468" i="8" l="1"/>
  <c r="AQ468" i="8"/>
  <c r="AO469" i="8"/>
  <c r="AT468" i="8"/>
  <c r="AU468" i="8"/>
  <c r="AS469" i="8"/>
  <c r="AJ433" i="7"/>
  <c r="AL432" i="7"/>
  <c r="AK432" i="7"/>
  <c r="AP432" i="7"/>
  <c r="AO432" i="7"/>
  <c r="AP356" i="1"/>
  <c r="AO356" i="1"/>
  <c r="AN357" i="1"/>
  <c r="AL356" i="1"/>
  <c r="AK356" i="1"/>
  <c r="AJ357" i="1"/>
  <c r="AU469" i="8" l="1"/>
  <c r="AT469" i="8"/>
  <c r="AS470" i="8"/>
  <c r="AQ469" i="8"/>
  <c r="AP469" i="8"/>
  <c r="AO470" i="8"/>
  <c r="AJ434" i="7"/>
  <c r="AK433" i="7"/>
  <c r="AL433" i="7"/>
  <c r="AP433" i="7"/>
  <c r="AO433" i="7"/>
  <c r="AL357" i="1"/>
  <c r="AK357" i="1"/>
  <c r="AJ358" i="1"/>
  <c r="AP357" i="1"/>
  <c r="AN358" i="1"/>
  <c r="AO357" i="1"/>
  <c r="AQ470" i="8" l="1"/>
  <c r="AP470" i="8"/>
  <c r="AO471" i="8"/>
  <c r="AU470" i="8"/>
  <c r="AT470" i="8"/>
  <c r="AS471" i="8"/>
  <c r="AJ435" i="7"/>
  <c r="AK434" i="7"/>
  <c r="AL434" i="7"/>
  <c r="AO434" i="7"/>
  <c r="AP434" i="7"/>
  <c r="AP358" i="1"/>
  <c r="AO358" i="1"/>
  <c r="AN359" i="1"/>
  <c r="AL358" i="1"/>
  <c r="AK358" i="1"/>
  <c r="AJ359" i="1"/>
  <c r="AU471" i="8" l="1"/>
  <c r="AT471" i="8"/>
  <c r="AS472" i="8"/>
  <c r="AQ471" i="8"/>
  <c r="AP471" i="8"/>
  <c r="AO472" i="8"/>
  <c r="AJ436" i="7"/>
  <c r="AK435" i="7"/>
  <c r="AL435" i="7"/>
  <c r="AO435" i="7"/>
  <c r="AP435" i="7"/>
  <c r="AL359" i="1"/>
  <c r="AK359" i="1"/>
  <c r="AJ360" i="1"/>
  <c r="AP359" i="1"/>
  <c r="AN360" i="1"/>
  <c r="AO359" i="1"/>
  <c r="AP472" i="8" l="1"/>
  <c r="AQ472" i="8"/>
  <c r="AO473" i="8"/>
  <c r="AT472" i="8"/>
  <c r="AU472" i="8"/>
  <c r="AS473" i="8"/>
  <c r="AJ437" i="7"/>
  <c r="AK436" i="7"/>
  <c r="AL436" i="7"/>
  <c r="AO436" i="7"/>
  <c r="AP436" i="7"/>
  <c r="AP360" i="1"/>
  <c r="AO360" i="1"/>
  <c r="AN361" i="1"/>
  <c r="AL360" i="1"/>
  <c r="AK360" i="1"/>
  <c r="AJ361" i="1"/>
  <c r="AU473" i="8" l="1"/>
  <c r="AT473" i="8"/>
  <c r="AS474" i="8"/>
  <c r="AQ473" i="8"/>
  <c r="AP473" i="8"/>
  <c r="AO474" i="8"/>
  <c r="AJ438" i="7"/>
  <c r="AK437" i="7"/>
  <c r="AL437" i="7"/>
  <c r="AP437" i="7"/>
  <c r="AO437" i="7"/>
  <c r="AL361" i="1"/>
  <c r="AK361" i="1"/>
  <c r="AJ362" i="1"/>
  <c r="AP361" i="1"/>
  <c r="AO361" i="1"/>
  <c r="AN362" i="1"/>
  <c r="AQ474" i="8" l="1"/>
  <c r="AP474" i="8"/>
  <c r="AO475" i="8"/>
  <c r="AU474" i="8"/>
  <c r="AT474" i="8"/>
  <c r="AS475" i="8"/>
  <c r="AJ439" i="7"/>
  <c r="AL438" i="7"/>
  <c r="AK438" i="7"/>
  <c r="AP438" i="7"/>
  <c r="AO438" i="7"/>
  <c r="AP362" i="1"/>
  <c r="AO362" i="1"/>
  <c r="AN363" i="1"/>
  <c r="AL362" i="1"/>
  <c r="AK362" i="1"/>
  <c r="AJ363" i="1"/>
  <c r="AU475" i="8" l="1"/>
  <c r="AT475" i="8"/>
  <c r="AS476" i="8"/>
  <c r="AQ475" i="8"/>
  <c r="AP475" i="8"/>
  <c r="AO476" i="8"/>
  <c r="AJ440" i="7"/>
  <c r="AK439" i="7"/>
  <c r="AL439" i="7"/>
  <c r="AO439" i="7"/>
  <c r="AP439" i="7"/>
  <c r="AL363" i="1"/>
  <c r="AK363" i="1"/>
  <c r="AJ364" i="1"/>
  <c r="AP363" i="1"/>
  <c r="AN364" i="1"/>
  <c r="AO363" i="1"/>
  <c r="AP476" i="8" l="1"/>
  <c r="AQ476" i="8"/>
  <c r="AO477" i="8"/>
  <c r="AT476" i="8"/>
  <c r="AU476" i="8"/>
  <c r="AS477" i="8"/>
  <c r="AJ441" i="7"/>
  <c r="AK440" i="7"/>
  <c r="AL440" i="7"/>
  <c r="AO440" i="7"/>
  <c r="AP440" i="7"/>
  <c r="AP364" i="1"/>
  <c r="AN365" i="1"/>
  <c r="AO364" i="1"/>
  <c r="AL364" i="1"/>
  <c r="AK364" i="1"/>
  <c r="AJ365" i="1"/>
  <c r="AU477" i="8" l="1"/>
  <c r="AT477" i="8"/>
  <c r="AS478" i="8"/>
  <c r="AQ477" i="8"/>
  <c r="AP477" i="8"/>
  <c r="AO478" i="8"/>
  <c r="AJ442" i="7"/>
  <c r="AK441" i="7"/>
  <c r="AL441" i="7"/>
  <c r="AP441" i="7"/>
  <c r="AO441" i="7"/>
  <c r="AL365" i="1"/>
  <c r="AK365" i="1"/>
  <c r="AJ366" i="1"/>
  <c r="AP365" i="1"/>
  <c r="AO365" i="1"/>
  <c r="AN366" i="1"/>
  <c r="AQ478" i="8" l="1"/>
  <c r="AP478" i="8"/>
  <c r="AO479" i="8"/>
  <c r="AU478" i="8"/>
  <c r="AT478" i="8"/>
  <c r="AS479" i="8"/>
  <c r="AJ443" i="7"/>
  <c r="AK442" i="7"/>
  <c r="AL442" i="7"/>
  <c r="AP442" i="7"/>
  <c r="AO442" i="7"/>
  <c r="AP366" i="1"/>
  <c r="AO366" i="1"/>
  <c r="AN367" i="1"/>
  <c r="AL366" i="1"/>
  <c r="AK366" i="1"/>
  <c r="AJ367" i="1"/>
  <c r="AU479" i="8" l="1"/>
  <c r="AT479" i="8"/>
  <c r="AS480" i="8"/>
  <c r="AQ479" i="8"/>
  <c r="AP479" i="8"/>
  <c r="AO480" i="8"/>
  <c r="AJ444" i="7"/>
  <c r="AK443" i="7"/>
  <c r="AL443" i="7"/>
  <c r="AO443" i="7"/>
  <c r="AP443" i="7"/>
  <c r="AL367" i="1"/>
  <c r="AK367" i="1"/>
  <c r="AJ368" i="1"/>
  <c r="AP367" i="1"/>
  <c r="AO367" i="1"/>
  <c r="AN368" i="1"/>
  <c r="AP480" i="8" l="1"/>
  <c r="AQ480" i="8"/>
  <c r="AO481" i="8"/>
  <c r="AT480" i="8"/>
  <c r="AU480" i="8"/>
  <c r="AS481" i="8"/>
  <c r="AJ445" i="7"/>
  <c r="AK444" i="7"/>
  <c r="AL444" i="7"/>
  <c r="AO444" i="7"/>
  <c r="AP444" i="7"/>
  <c r="AP368" i="1"/>
  <c r="AO368" i="1"/>
  <c r="AN369" i="1"/>
  <c r="AL368" i="1"/>
  <c r="AK368" i="1"/>
  <c r="AJ369" i="1"/>
  <c r="AU481" i="8" l="1"/>
  <c r="AT481" i="8"/>
  <c r="AS482" i="8"/>
  <c r="AQ481" i="8"/>
  <c r="AP481" i="8"/>
  <c r="AO482" i="8"/>
  <c r="AJ446" i="7"/>
  <c r="AL445" i="7"/>
  <c r="AK445" i="7"/>
  <c r="AP445" i="7"/>
  <c r="AO445" i="7"/>
  <c r="AL369" i="1"/>
  <c r="AK369" i="1"/>
  <c r="AJ370" i="1"/>
  <c r="AP369" i="1"/>
  <c r="AO369" i="1"/>
  <c r="AN370" i="1"/>
  <c r="AQ482" i="8" l="1"/>
  <c r="AP482" i="8"/>
  <c r="AO483" i="8"/>
  <c r="AU482" i="8"/>
  <c r="AT482" i="8"/>
  <c r="AS483" i="8"/>
  <c r="AJ447" i="7"/>
  <c r="AL446" i="7"/>
  <c r="AK446" i="7"/>
  <c r="AO446" i="7"/>
  <c r="AP446" i="7"/>
  <c r="AP370" i="1"/>
  <c r="AO370" i="1"/>
  <c r="AN371" i="1"/>
  <c r="AL370" i="1"/>
  <c r="AK370" i="1"/>
  <c r="AJ371" i="1"/>
  <c r="AU483" i="8" l="1"/>
  <c r="AT483" i="8"/>
  <c r="AS484" i="8"/>
  <c r="AQ483" i="8"/>
  <c r="AP483" i="8"/>
  <c r="AO484" i="8"/>
  <c r="AJ448" i="7"/>
  <c r="AK447" i="7"/>
  <c r="AL447" i="7"/>
  <c r="AP447" i="7"/>
  <c r="AO447" i="7"/>
  <c r="AL371" i="1"/>
  <c r="AK371" i="1"/>
  <c r="AJ372" i="1"/>
  <c r="AP371" i="1"/>
  <c r="AO371" i="1"/>
  <c r="AN372" i="1"/>
  <c r="AP484" i="8" l="1"/>
  <c r="AQ484" i="8"/>
  <c r="AO485" i="8"/>
  <c r="AT484" i="8"/>
  <c r="AU484" i="8"/>
  <c r="AS485" i="8"/>
  <c r="AJ449" i="7"/>
  <c r="AK448" i="7"/>
  <c r="AL448" i="7"/>
  <c r="AP448" i="7"/>
  <c r="AO448" i="7"/>
  <c r="AP372" i="1"/>
  <c r="AO372" i="1"/>
  <c r="AN373" i="1"/>
  <c r="AL372" i="1"/>
  <c r="AK372" i="1"/>
  <c r="AJ373" i="1"/>
  <c r="AU485" i="8" l="1"/>
  <c r="AT485" i="8"/>
  <c r="AS486" i="8"/>
  <c r="AQ485" i="8"/>
  <c r="AP485" i="8"/>
  <c r="AO486" i="8"/>
  <c r="AJ450" i="7"/>
  <c r="AK449" i="7"/>
  <c r="AL449" i="7"/>
  <c r="AO449" i="7"/>
  <c r="AP449" i="7"/>
  <c r="AL373" i="1"/>
  <c r="AK373" i="1"/>
  <c r="AJ374" i="1"/>
  <c r="AP373" i="1"/>
  <c r="AO373" i="1"/>
  <c r="AN374" i="1"/>
  <c r="AQ486" i="8" l="1"/>
  <c r="AP486" i="8"/>
  <c r="AO487" i="8"/>
  <c r="AU486" i="8"/>
  <c r="AT486" i="8"/>
  <c r="AS487" i="8"/>
  <c r="AJ451" i="7"/>
  <c r="AK450" i="7"/>
  <c r="AL450" i="7"/>
  <c r="AP450" i="7"/>
  <c r="AO450" i="7"/>
  <c r="AP374" i="1"/>
  <c r="AO374" i="1"/>
  <c r="AN375" i="1"/>
  <c r="AL374" i="1"/>
  <c r="AK374" i="1"/>
  <c r="AJ375" i="1"/>
  <c r="AU487" i="8" l="1"/>
  <c r="AT487" i="8"/>
  <c r="AS488" i="8"/>
  <c r="AQ487" i="8"/>
  <c r="AP487" i="8"/>
  <c r="AO488" i="8"/>
  <c r="AJ452" i="7"/>
  <c r="AK451" i="7"/>
  <c r="AL451" i="7"/>
  <c r="AP451" i="7"/>
  <c r="AO451" i="7"/>
  <c r="AL375" i="1"/>
  <c r="AK375" i="1"/>
  <c r="AJ376" i="1"/>
  <c r="AP375" i="1"/>
  <c r="AO375" i="1"/>
  <c r="AN376" i="1"/>
  <c r="AP488" i="8" l="1"/>
  <c r="AQ488" i="8"/>
  <c r="AO489" i="8"/>
  <c r="AT488" i="8"/>
  <c r="AU488" i="8"/>
  <c r="AS489" i="8"/>
  <c r="AJ453" i="7"/>
  <c r="AK452" i="7"/>
  <c r="AL452" i="7"/>
  <c r="AP452" i="7"/>
  <c r="AO452" i="7"/>
  <c r="AP376" i="1"/>
  <c r="AO376" i="1"/>
  <c r="AN377" i="1"/>
  <c r="AL376" i="1"/>
  <c r="AK376" i="1"/>
  <c r="AJ377" i="1"/>
  <c r="AU489" i="8" l="1"/>
  <c r="AT489" i="8"/>
  <c r="AS490" i="8"/>
  <c r="AP489" i="8"/>
  <c r="AQ489" i="8"/>
  <c r="AO490" i="8"/>
  <c r="AJ454" i="7"/>
  <c r="AL453" i="7"/>
  <c r="AK453" i="7"/>
  <c r="AO453" i="7"/>
  <c r="AP453" i="7"/>
  <c r="AL377" i="1"/>
  <c r="AK377" i="1"/>
  <c r="AJ378" i="1"/>
  <c r="AP377" i="1"/>
  <c r="AO377" i="1"/>
  <c r="AN378" i="1"/>
  <c r="AQ490" i="8" l="1"/>
  <c r="AP490" i="8"/>
  <c r="AO491" i="8"/>
  <c r="AU490" i="8"/>
  <c r="AT490" i="8"/>
  <c r="AS491" i="8"/>
  <c r="AJ455" i="7"/>
  <c r="AL454" i="7"/>
  <c r="AK454" i="7"/>
  <c r="AO454" i="7"/>
  <c r="AP454" i="7"/>
  <c r="AP378" i="1"/>
  <c r="AO378" i="1"/>
  <c r="AN379" i="1"/>
  <c r="AL378" i="1"/>
  <c r="AK378" i="1"/>
  <c r="AJ379" i="1"/>
  <c r="AU491" i="8" l="1"/>
  <c r="AT491" i="8"/>
  <c r="AS492" i="8"/>
  <c r="AQ491" i="8"/>
  <c r="AP491" i="8"/>
  <c r="AO492" i="8"/>
  <c r="AJ456" i="7"/>
  <c r="AK455" i="7"/>
  <c r="AL455" i="7"/>
  <c r="AP455" i="7"/>
  <c r="AO455" i="7"/>
  <c r="AL379" i="1"/>
  <c r="AK379" i="1"/>
  <c r="AJ380" i="1"/>
  <c r="AP379" i="1"/>
  <c r="AN380" i="1"/>
  <c r="AO379" i="1"/>
  <c r="AP492" i="8" l="1"/>
  <c r="AQ492" i="8"/>
  <c r="AO493" i="8"/>
  <c r="AT492" i="8"/>
  <c r="AU492" i="8"/>
  <c r="AS493" i="8"/>
  <c r="AJ457" i="7"/>
  <c r="AL456" i="7"/>
  <c r="AK456" i="7"/>
  <c r="AP456" i="7"/>
  <c r="AO456" i="7"/>
  <c r="AP380" i="1"/>
  <c r="AN381" i="1"/>
  <c r="AO380" i="1"/>
  <c r="AL380" i="1"/>
  <c r="AK380" i="1"/>
  <c r="AJ381" i="1"/>
  <c r="AU493" i="8" l="1"/>
  <c r="AT493" i="8"/>
  <c r="AS494" i="8"/>
  <c r="AQ493" i="8"/>
  <c r="AP493" i="8"/>
  <c r="AO494" i="8"/>
  <c r="AJ458" i="7"/>
  <c r="AK457" i="7"/>
  <c r="AL457" i="7"/>
  <c r="AO457" i="7"/>
  <c r="AP457" i="7"/>
  <c r="AL381" i="1"/>
  <c r="AJ382" i="1"/>
  <c r="AK381" i="1"/>
  <c r="AP381" i="1"/>
  <c r="AN382" i="1"/>
  <c r="AO381" i="1"/>
  <c r="AQ494" i="8" l="1"/>
  <c r="AP494" i="8"/>
  <c r="AO495" i="8"/>
  <c r="AU494" i="8"/>
  <c r="AT494" i="8"/>
  <c r="AS495" i="8"/>
  <c r="AJ459" i="7"/>
  <c r="AK458" i="7"/>
  <c r="AL458" i="7"/>
  <c r="AO458" i="7"/>
  <c r="AP458" i="7"/>
  <c r="AP382" i="1"/>
  <c r="AN383" i="1"/>
  <c r="AO382" i="1"/>
  <c r="AL382" i="1"/>
  <c r="AK382" i="1"/>
  <c r="AJ383" i="1"/>
  <c r="AT495" i="8" l="1"/>
  <c r="AU495" i="8"/>
  <c r="AS496" i="8"/>
  <c r="AQ495" i="8"/>
  <c r="AP495" i="8"/>
  <c r="AO496" i="8"/>
  <c r="AJ460" i="7"/>
  <c r="AK459" i="7"/>
  <c r="AL459" i="7"/>
  <c r="AP459" i="7"/>
  <c r="AO459" i="7"/>
  <c r="AL383" i="1"/>
  <c r="AK383" i="1"/>
  <c r="AJ384" i="1"/>
  <c r="AP383" i="1"/>
  <c r="AO383" i="1"/>
  <c r="AN384" i="1"/>
  <c r="AP496" i="8" l="1"/>
  <c r="AQ496" i="8"/>
  <c r="AO497" i="8"/>
  <c r="AT496" i="8"/>
  <c r="AU496" i="8"/>
  <c r="AS497" i="8"/>
  <c r="AJ461" i="7"/>
  <c r="AK460" i="7"/>
  <c r="AL460" i="7"/>
  <c r="AP460" i="7"/>
  <c r="AO460" i="7"/>
  <c r="AP384" i="1"/>
  <c r="AO384" i="1"/>
  <c r="AN385" i="1"/>
  <c r="AL384" i="1"/>
  <c r="AK384" i="1"/>
  <c r="AJ385" i="1"/>
  <c r="AU497" i="8" l="1"/>
  <c r="AT497" i="8"/>
  <c r="AS498" i="8"/>
  <c r="AQ497" i="8"/>
  <c r="AP497" i="8"/>
  <c r="AO498" i="8"/>
  <c r="AJ462" i="7"/>
  <c r="AK461" i="7"/>
  <c r="AL461" i="7"/>
  <c r="AO461" i="7"/>
  <c r="AP461" i="7"/>
  <c r="AL385" i="1"/>
  <c r="AK385" i="1"/>
  <c r="AJ386" i="1"/>
  <c r="AP385" i="1"/>
  <c r="AN386" i="1"/>
  <c r="AO385" i="1"/>
  <c r="AQ498" i="8" l="1"/>
  <c r="AP498" i="8"/>
  <c r="AO499" i="8"/>
  <c r="AU498" i="8"/>
  <c r="AT498" i="8"/>
  <c r="AS499" i="8"/>
  <c r="AJ463" i="7"/>
  <c r="AL462" i="7"/>
  <c r="AK462" i="7"/>
  <c r="AP462" i="7"/>
  <c r="AO462" i="7"/>
  <c r="AP386" i="1"/>
  <c r="AO386" i="1"/>
  <c r="AN387" i="1"/>
  <c r="AL386" i="1"/>
  <c r="AK386" i="1"/>
  <c r="AJ387" i="1"/>
  <c r="AU499" i="8" l="1"/>
  <c r="AT499" i="8"/>
  <c r="AS500" i="8"/>
  <c r="AQ499" i="8"/>
  <c r="AP499" i="8"/>
  <c r="AO500" i="8"/>
  <c r="AJ464" i="7"/>
  <c r="AK463" i="7"/>
  <c r="AL463" i="7"/>
  <c r="AP463" i="7"/>
  <c r="AO463" i="7"/>
  <c r="AL387" i="1"/>
  <c r="AK387" i="1"/>
  <c r="AJ388" i="1"/>
  <c r="AP387" i="1"/>
  <c r="AN388" i="1"/>
  <c r="AO387" i="1"/>
  <c r="AP500" i="8" l="1"/>
  <c r="AQ500" i="8"/>
  <c r="AO501" i="8"/>
  <c r="AT500" i="8"/>
  <c r="AU500" i="8"/>
  <c r="AS501" i="8"/>
  <c r="AJ465" i="7"/>
  <c r="AL464" i="7"/>
  <c r="AK464" i="7"/>
  <c r="AO464" i="7"/>
  <c r="AP464" i="7"/>
  <c r="AP388" i="1"/>
  <c r="AN389" i="1"/>
  <c r="AO388" i="1"/>
  <c r="AL388" i="1"/>
  <c r="AJ389" i="1"/>
  <c r="AK388" i="1"/>
  <c r="AU501" i="8" l="1"/>
  <c r="AT501" i="8"/>
  <c r="AS502" i="8"/>
  <c r="AQ501" i="8"/>
  <c r="AP501" i="8"/>
  <c r="AO502" i="8"/>
  <c r="AJ466" i="7"/>
  <c r="AK465" i="7"/>
  <c r="AL465" i="7"/>
  <c r="AO465" i="7"/>
  <c r="AP465" i="7"/>
  <c r="AL389" i="1"/>
  <c r="AK389" i="1"/>
  <c r="AJ390" i="1"/>
  <c r="AP389" i="1"/>
  <c r="AO389" i="1"/>
  <c r="AN390" i="1"/>
  <c r="AP502" i="8" l="1"/>
  <c r="AQ502" i="8"/>
  <c r="AO503" i="8"/>
  <c r="AU502" i="8"/>
  <c r="AT502" i="8"/>
  <c r="AS503" i="8"/>
  <c r="AJ467" i="7"/>
  <c r="AK466" i="7"/>
  <c r="AL466" i="7"/>
  <c r="AO466" i="7"/>
  <c r="AP466" i="7"/>
  <c r="AP390" i="1"/>
  <c r="AN391" i="1"/>
  <c r="AO390" i="1"/>
  <c r="AL390" i="1"/>
  <c r="AJ391" i="1"/>
  <c r="AK390" i="1"/>
  <c r="AQ503" i="8" l="1"/>
  <c r="AP503" i="8"/>
  <c r="AO504" i="8"/>
  <c r="AU503" i="8"/>
  <c r="AT503" i="8"/>
  <c r="AS504" i="8"/>
  <c r="AJ468" i="7"/>
  <c r="AK467" i="7"/>
  <c r="AL467" i="7"/>
  <c r="AP467" i="7"/>
  <c r="AO467" i="7"/>
  <c r="AL391" i="1"/>
  <c r="AJ392" i="1"/>
  <c r="AK391" i="1"/>
  <c r="AP391" i="1"/>
  <c r="AN392" i="1"/>
  <c r="AO391" i="1"/>
  <c r="AT504" i="8" l="1"/>
  <c r="AU504" i="8"/>
  <c r="AS505" i="8"/>
  <c r="AP504" i="8"/>
  <c r="AQ504" i="8"/>
  <c r="AO505" i="8"/>
  <c r="AJ469" i="7"/>
  <c r="AK468" i="7"/>
  <c r="AL468" i="7"/>
  <c r="AO468" i="7"/>
  <c r="AP468" i="7"/>
  <c r="AP392" i="1"/>
  <c r="AN393" i="1"/>
  <c r="AO392" i="1"/>
  <c r="AL392" i="1"/>
  <c r="AJ393" i="1"/>
  <c r="AK392" i="1"/>
  <c r="AQ505" i="8" l="1"/>
  <c r="AP505" i="8"/>
  <c r="AO506" i="8"/>
  <c r="AU505" i="8"/>
  <c r="AT505" i="8"/>
  <c r="AS506" i="8"/>
  <c r="AJ470" i="7"/>
  <c r="AL469" i="7"/>
  <c r="AK469" i="7"/>
  <c r="AO469" i="7"/>
  <c r="AP469" i="7"/>
  <c r="AL393" i="1"/>
  <c r="AK393" i="1"/>
  <c r="AJ394" i="1"/>
  <c r="AP393" i="1"/>
  <c r="AO393" i="1"/>
  <c r="AN394" i="1"/>
  <c r="AU506" i="8" l="1"/>
  <c r="AT506" i="8"/>
  <c r="AS507" i="8"/>
  <c r="AQ506" i="8"/>
  <c r="AP506" i="8"/>
  <c r="AO507" i="8"/>
  <c r="AJ471" i="7"/>
  <c r="AL470" i="7"/>
  <c r="AK470" i="7"/>
  <c r="AO470" i="7"/>
  <c r="AP470" i="7"/>
  <c r="AP394" i="1"/>
  <c r="AO394" i="1"/>
  <c r="AN395" i="1"/>
  <c r="AL394" i="1"/>
  <c r="AK394" i="1"/>
  <c r="AJ395" i="1"/>
  <c r="AQ507" i="8" l="1"/>
  <c r="AP507" i="8"/>
  <c r="AO508" i="8"/>
  <c r="AU507" i="8"/>
  <c r="AT507" i="8"/>
  <c r="AS508" i="8"/>
  <c r="AJ472" i="7"/>
  <c r="AK471" i="7"/>
  <c r="AL471" i="7"/>
  <c r="AP471" i="7"/>
  <c r="AO471" i="7"/>
  <c r="AL395" i="1"/>
  <c r="AK395" i="1"/>
  <c r="AJ396" i="1"/>
  <c r="AP395" i="1"/>
  <c r="AO395" i="1"/>
  <c r="AN396" i="1"/>
  <c r="AT508" i="8" l="1"/>
  <c r="AU508" i="8"/>
  <c r="AS509" i="8"/>
  <c r="AP508" i="8"/>
  <c r="AQ508" i="8"/>
  <c r="AO509" i="8"/>
  <c r="AJ473" i="7"/>
  <c r="AL472" i="7"/>
  <c r="AK472" i="7"/>
  <c r="AO472" i="7"/>
  <c r="AP472" i="7"/>
  <c r="AP396" i="1"/>
  <c r="AN397" i="1"/>
  <c r="AO396" i="1"/>
  <c r="AL396" i="1"/>
  <c r="AJ397" i="1"/>
  <c r="AK396" i="1"/>
  <c r="AQ509" i="8" l="1"/>
  <c r="AP509" i="8"/>
  <c r="AO510" i="8"/>
  <c r="AU509" i="8"/>
  <c r="AT509" i="8"/>
  <c r="AS510" i="8"/>
  <c r="AJ474" i="7"/>
  <c r="AK473" i="7"/>
  <c r="AL473" i="7"/>
  <c r="AO473" i="7"/>
  <c r="AP473" i="7"/>
  <c r="AL397" i="1"/>
  <c r="AK397" i="1"/>
  <c r="AJ398" i="1"/>
  <c r="AP397" i="1"/>
  <c r="AO397" i="1"/>
  <c r="AN398" i="1"/>
  <c r="AU510" i="8" l="1"/>
  <c r="AT510" i="8"/>
  <c r="AS511" i="8"/>
  <c r="AQ510" i="8"/>
  <c r="AP510" i="8"/>
  <c r="AO511" i="8"/>
  <c r="AJ475" i="7"/>
  <c r="AK474" i="7"/>
  <c r="AL474" i="7"/>
  <c r="AP474" i="7"/>
  <c r="AO474" i="7"/>
  <c r="AP398" i="1"/>
  <c r="AN399" i="1"/>
  <c r="AO398" i="1"/>
  <c r="AL398" i="1"/>
  <c r="AK398" i="1"/>
  <c r="AJ399" i="1"/>
  <c r="AQ511" i="8" l="1"/>
  <c r="AP511" i="8"/>
  <c r="AO512" i="8"/>
  <c r="AU511" i="8"/>
  <c r="AT511" i="8"/>
  <c r="AS512" i="8"/>
  <c r="AJ476" i="7"/>
  <c r="AK475" i="7"/>
  <c r="AL475" i="7"/>
  <c r="AP475" i="7"/>
  <c r="AO475" i="7"/>
  <c r="AL399" i="1"/>
  <c r="AK399" i="1"/>
  <c r="AJ400" i="1"/>
  <c r="AP399" i="1"/>
  <c r="AN400" i="1"/>
  <c r="AO399" i="1"/>
  <c r="AT512" i="8" l="1"/>
  <c r="AU512" i="8"/>
  <c r="AS513" i="8"/>
  <c r="AP512" i="8"/>
  <c r="AQ512" i="8"/>
  <c r="AO513" i="8"/>
  <c r="AJ477" i="7"/>
  <c r="AK476" i="7"/>
  <c r="AL476" i="7"/>
  <c r="AO476" i="7"/>
  <c r="AP476" i="7"/>
  <c r="AP400" i="1"/>
  <c r="AN401" i="1"/>
  <c r="AO400" i="1"/>
  <c r="AL400" i="1"/>
  <c r="AJ401" i="1"/>
  <c r="AK400" i="1"/>
  <c r="AQ513" i="8" l="1"/>
  <c r="AP513" i="8"/>
  <c r="AO514" i="8"/>
  <c r="AU513" i="8"/>
  <c r="AT513" i="8"/>
  <c r="AS514" i="8"/>
  <c r="AJ478" i="7"/>
  <c r="AK477" i="7"/>
  <c r="AL477" i="7"/>
  <c r="AP477" i="7"/>
  <c r="AO477" i="7"/>
  <c r="AL401" i="1"/>
  <c r="AJ402" i="1"/>
  <c r="AK401" i="1"/>
  <c r="AP401" i="1"/>
  <c r="AN402" i="1"/>
  <c r="AO401" i="1"/>
  <c r="AU514" i="8" l="1"/>
  <c r="AT514" i="8"/>
  <c r="AS515" i="8"/>
  <c r="AQ514" i="8"/>
  <c r="AP514" i="8"/>
  <c r="AO515" i="8"/>
  <c r="AJ479" i="7"/>
  <c r="AK478" i="7"/>
  <c r="AL478" i="7"/>
  <c r="AP478" i="7"/>
  <c r="AO478" i="7"/>
  <c r="AP402" i="1"/>
  <c r="AN403" i="1"/>
  <c r="AO402" i="1"/>
  <c r="AL402" i="1"/>
  <c r="AJ403" i="1"/>
  <c r="AK402" i="1"/>
  <c r="AQ515" i="8" l="1"/>
  <c r="AP515" i="8"/>
  <c r="AO516" i="8"/>
  <c r="AU515" i="8"/>
  <c r="AT515" i="8"/>
  <c r="AS516" i="8"/>
  <c r="AJ480" i="7"/>
  <c r="AK479" i="7"/>
  <c r="AL479" i="7"/>
  <c r="AP479" i="7"/>
  <c r="AO479" i="7"/>
  <c r="AL403" i="1"/>
  <c r="AJ404" i="1"/>
  <c r="AK403" i="1"/>
  <c r="AP403" i="1"/>
  <c r="AN404" i="1"/>
  <c r="AO403" i="1"/>
  <c r="AT516" i="8" l="1"/>
  <c r="AU516" i="8"/>
  <c r="AS517" i="8"/>
  <c r="AP516" i="8"/>
  <c r="AQ516" i="8"/>
  <c r="AO517" i="8"/>
  <c r="AJ481" i="7"/>
  <c r="AL480" i="7"/>
  <c r="AK480" i="7"/>
  <c r="AO480" i="7"/>
  <c r="AP480" i="7"/>
  <c r="AP404" i="1"/>
  <c r="AN405" i="1"/>
  <c r="AO404" i="1"/>
  <c r="AL404" i="1"/>
  <c r="AJ405" i="1"/>
  <c r="AK404" i="1"/>
  <c r="AQ517" i="8" l="1"/>
  <c r="AP517" i="8"/>
  <c r="AO518" i="8"/>
  <c r="AU517" i="8"/>
  <c r="AT517" i="8"/>
  <c r="AS518" i="8"/>
  <c r="AJ482" i="7"/>
  <c r="AL481" i="7"/>
  <c r="AK481" i="7"/>
  <c r="AO481" i="7"/>
  <c r="AP481" i="7"/>
  <c r="AL405" i="1"/>
  <c r="AK405" i="1"/>
  <c r="AJ406" i="1"/>
  <c r="AP405" i="1"/>
  <c r="AO405" i="1"/>
  <c r="AN406" i="1"/>
  <c r="AU518" i="8" l="1"/>
  <c r="AT518" i="8"/>
  <c r="AS519" i="8"/>
  <c r="AQ518" i="8"/>
  <c r="AP518" i="8"/>
  <c r="AO519" i="8"/>
  <c r="AJ483" i="7"/>
  <c r="AK482" i="7"/>
  <c r="AL482" i="7"/>
  <c r="AP482" i="7"/>
  <c r="AO482" i="7"/>
  <c r="AP406" i="1"/>
  <c r="AN407" i="1"/>
  <c r="AO406" i="1"/>
  <c r="AL406" i="1"/>
  <c r="AJ407" i="1"/>
  <c r="AK406" i="1"/>
  <c r="AQ519" i="8" l="1"/>
  <c r="AP519" i="8"/>
  <c r="AO520" i="8"/>
  <c r="AU519" i="8"/>
  <c r="AT519" i="8"/>
  <c r="AS520" i="8"/>
  <c r="AJ484" i="7"/>
  <c r="AK483" i="7"/>
  <c r="AL483" i="7"/>
  <c r="AP483" i="7"/>
  <c r="AO483" i="7"/>
  <c r="AL407" i="1"/>
  <c r="AK407" i="1"/>
  <c r="AJ408" i="1"/>
  <c r="AP407" i="1"/>
  <c r="AO407" i="1"/>
  <c r="AN408" i="1"/>
  <c r="AT520" i="8" l="1"/>
  <c r="AU520" i="8"/>
  <c r="AS521" i="8"/>
  <c r="AP520" i="8"/>
  <c r="AQ520" i="8"/>
  <c r="AO521" i="8"/>
  <c r="AJ485" i="7"/>
  <c r="AK484" i="7"/>
  <c r="AL484" i="7"/>
  <c r="AO484" i="7"/>
  <c r="AP484" i="7"/>
  <c r="AP408" i="1"/>
  <c r="AN409" i="1"/>
  <c r="AO408" i="1"/>
  <c r="AL408" i="1"/>
  <c r="AJ409" i="1"/>
  <c r="AK408" i="1"/>
  <c r="AP521" i="8" l="1"/>
  <c r="AQ521" i="8"/>
  <c r="AO522" i="8"/>
  <c r="AU521" i="8"/>
  <c r="AT521" i="8"/>
  <c r="AS522" i="8"/>
  <c r="AJ486" i="7"/>
  <c r="AK485" i="7"/>
  <c r="AL485" i="7"/>
  <c r="AO485" i="7"/>
  <c r="AP485" i="7"/>
  <c r="AL409" i="1"/>
  <c r="AK409" i="1"/>
  <c r="AJ410" i="1"/>
  <c r="AP409" i="1"/>
  <c r="AO409" i="1"/>
  <c r="AN410" i="1"/>
  <c r="AU522" i="8" l="1"/>
  <c r="AT522" i="8"/>
  <c r="AS523" i="8"/>
  <c r="AQ522" i="8"/>
  <c r="AP522" i="8"/>
  <c r="AO523" i="8"/>
  <c r="AJ487" i="7"/>
  <c r="AK486" i="7"/>
  <c r="AL486" i="7"/>
  <c r="AO486" i="7"/>
  <c r="AP486" i="7"/>
  <c r="AP410" i="1"/>
  <c r="AO410" i="1"/>
  <c r="AN411" i="1"/>
  <c r="AL410" i="1"/>
  <c r="AK410" i="1"/>
  <c r="AJ411" i="1"/>
  <c r="AQ523" i="8" l="1"/>
  <c r="AP523" i="8"/>
  <c r="AO524" i="8"/>
  <c r="AU523" i="8"/>
  <c r="AT523" i="8"/>
  <c r="AS524" i="8"/>
  <c r="AJ488" i="7"/>
  <c r="AK487" i="7"/>
  <c r="AL487" i="7"/>
  <c r="AP487" i="7"/>
  <c r="AO487" i="7"/>
  <c r="AL411" i="1"/>
  <c r="AK411" i="1"/>
  <c r="AJ412" i="1"/>
  <c r="AP411" i="1"/>
  <c r="AO411" i="1"/>
  <c r="AN412" i="1"/>
  <c r="AU524" i="8" l="1"/>
  <c r="AT524" i="8"/>
  <c r="AS525" i="8"/>
  <c r="AP524" i="8"/>
  <c r="AQ524" i="8"/>
  <c r="AO525" i="8"/>
  <c r="AJ489" i="7"/>
  <c r="AL488" i="7"/>
  <c r="AK488" i="7"/>
  <c r="AP488" i="7"/>
  <c r="AO488" i="7"/>
  <c r="AP412" i="1"/>
  <c r="AO412" i="1"/>
  <c r="AN413" i="1"/>
  <c r="AL412" i="1"/>
  <c r="AK412" i="1"/>
  <c r="AJ413" i="1"/>
  <c r="AQ525" i="8" l="1"/>
  <c r="AP525" i="8"/>
  <c r="AO526" i="8"/>
  <c r="AT525" i="8"/>
  <c r="AU525" i="8"/>
  <c r="AS526" i="8"/>
  <c r="AJ490" i="7"/>
  <c r="AL489" i="7"/>
  <c r="AK489" i="7"/>
  <c r="AP489" i="7"/>
  <c r="AO489" i="7"/>
  <c r="AL413" i="1"/>
  <c r="AK413" i="1"/>
  <c r="AJ414" i="1"/>
  <c r="AP413" i="1"/>
  <c r="AN414" i="1"/>
  <c r="AO413" i="1"/>
  <c r="AT526" i="8" l="1"/>
  <c r="AU526" i="8"/>
  <c r="AS527" i="8"/>
  <c r="AP526" i="8"/>
  <c r="AQ526" i="8"/>
  <c r="AO527" i="8"/>
  <c r="AJ491" i="7"/>
  <c r="AK490" i="7"/>
  <c r="AL490" i="7"/>
  <c r="AP490" i="7"/>
  <c r="AO490" i="7"/>
  <c r="AP414" i="1"/>
  <c r="AN415" i="1"/>
  <c r="AO414" i="1"/>
  <c r="AL414" i="1"/>
  <c r="AJ415" i="1"/>
  <c r="AK414" i="1"/>
  <c r="AQ527" i="8" l="1"/>
  <c r="AP527" i="8"/>
  <c r="AO528" i="8"/>
  <c r="AU527" i="8"/>
  <c r="AT527" i="8"/>
  <c r="AS528" i="8"/>
  <c r="AJ492" i="7"/>
  <c r="AK491" i="7"/>
  <c r="AL491" i="7"/>
  <c r="AO491" i="7"/>
  <c r="AP491" i="7"/>
  <c r="AL415" i="1"/>
  <c r="AK415" i="1"/>
  <c r="AJ416" i="1"/>
  <c r="AP415" i="1"/>
  <c r="AO415" i="1"/>
  <c r="AN416" i="1"/>
  <c r="AU528" i="8" l="1"/>
  <c r="AT528" i="8"/>
  <c r="AS529" i="8"/>
  <c r="AP528" i="8"/>
  <c r="AQ528" i="8"/>
  <c r="AO529" i="8"/>
  <c r="AJ493" i="7"/>
  <c r="AK492" i="7"/>
  <c r="AL492" i="7"/>
  <c r="AP492" i="7"/>
  <c r="AO492" i="7"/>
  <c r="AP416" i="1"/>
  <c r="AN417" i="1"/>
  <c r="AO416" i="1"/>
  <c r="AL416" i="1"/>
  <c r="AJ417" i="1"/>
  <c r="AK416" i="1"/>
  <c r="AQ529" i="8" l="1"/>
  <c r="AP529" i="8"/>
  <c r="AO530" i="8"/>
  <c r="AU529" i="8"/>
  <c r="AT529" i="8"/>
  <c r="AS530" i="8"/>
  <c r="AJ494" i="7"/>
  <c r="AL493" i="7"/>
  <c r="AK493" i="7"/>
  <c r="AP493" i="7"/>
  <c r="AO493" i="7"/>
  <c r="AL417" i="1"/>
  <c r="AJ418" i="1"/>
  <c r="AK417" i="1"/>
  <c r="AP417" i="1"/>
  <c r="AN418" i="1"/>
  <c r="AO417" i="1"/>
  <c r="AT530" i="8" l="1"/>
  <c r="AU530" i="8"/>
  <c r="AS531" i="8"/>
  <c r="AP530" i="8"/>
  <c r="AQ530" i="8"/>
  <c r="AO531" i="8"/>
  <c r="AJ495" i="7"/>
  <c r="AK494" i="7"/>
  <c r="AL494" i="7"/>
  <c r="AO494" i="7"/>
  <c r="AP494" i="7"/>
  <c r="AP418" i="1"/>
  <c r="AO418" i="1"/>
  <c r="AN419" i="1"/>
  <c r="AL418" i="1"/>
  <c r="AK418" i="1"/>
  <c r="AJ419" i="1"/>
  <c r="AQ531" i="8" l="1"/>
  <c r="AP531" i="8"/>
  <c r="AO532" i="8"/>
  <c r="AT531" i="8"/>
  <c r="AU531" i="8"/>
  <c r="AS532" i="8"/>
  <c r="AJ496" i="7"/>
  <c r="AK495" i="7"/>
  <c r="AL495" i="7"/>
  <c r="AO495" i="7"/>
  <c r="AP495" i="7"/>
  <c r="AL419" i="1"/>
  <c r="AJ420" i="1"/>
  <c r="AK419" i="1"/>
  <c r="AP419" i="1"/>
  <c r="AN420" i="1"/>
  <c r="AO419" i="1"/>
  <c r="AU532" i="8" l="1"/>
  <c r="AT532" i="8"/>
  <c r="AS533" i="8"/>
  <c r="AQ532" i="8"/>
  <c r="AP532" i="8"/>
  <c r="AO533" i="8"/>
  <c r="AJ497" i="7"/>
  <c r="AL496" i="7"/>
  <c r="AK496" i="7"/>
  <c r="AP496" i="7"/>
  <c r="AO496" i="7"/>
  <c r="AP420" i="1"/>
  <c r="AO420" i="1"/>
  <c r="AN421" i="1"/>
  <c r="AL420" i="1"/>
  <c r="AK420" i="1"/>
  <c r="AJ421" i="1"/>
  <c r="AQ533" i="8" l="1"/>
  <c r="AP533" i="8"/>
  <c r="AO534" i="8"/>
  <c r="AU533" i="8"/>
  <c r="AT533" i="8"/>
  <c r="AS534" i="8"/>
  <c r="AJ498" i="7"/>
  <c r="AL497" i="7"/>
  <c r="AK497" i="7"/>
  <c r="AO497" i="7"/>
  <c r="AP497" i="7"/>
  <c r="AL421" i="1"/>
  <c r="AK421" i="1"/>
  <c r="AJ422" i="1"/>
  <c r="AP421" i="1"/>
  <c r="AO421" i="1"/>
  <c r="AN422" i="1"/>
  <c r="AT534" i="8" l="1"/>
  <c r="AU534" i="8"/>
  <c r="AS535" i="8"/>
  <c r="AP534" i="8"/>
  <c r="AQ534" i="8"/>
  <c r="AO535" i="8"/>
  <c r="AJ499" i="7"/>
  <c r="AK498" i="7"/>
  <c r="AL498" i="7"/>
  <c r="AP498" i="7"/>
  <c r="AO498" i="7"/>
  <c r="AP422" i="1"/>
  <c r="AN423" i="1"/>
  <c r="AO422" i="1"/>
  <c r="AL422" i="1"/>
  <c r="AJ423" i="1"/>
  <c r="AK422" i="1"/>
  <c r="AQ535" i="8" l="1"/>
  <c r="AP535" i="8"/>
  <c r="AO536" i="8"/>
  <c r="AU535" i="8"/>
  <c r="AT535" i="8"/>
  <c r="AS536" i="8"/>
  <c r="AJ500" i="7"/>
  <c r="AK499" i="7"/>
  <c r="AL499" i="7"/>
  <c r="AP499" i="7"/>
  <c r="AO499" i="7"/>
  <c r="AL423" i="1"/>
  <c r="AK423" i="1"/>
  <c r="AJ424" i="1"/>
  <c r="AP423" i="1"/>
  <c r="AN424" i="1"/>
  <c r="AO423" i="1"/>
  <c r="AU536" i="8" l="1"/>
  <c r="AT536" i="8"/>
  <c r="AS537" i="8"/>
  <c r="AQ536" i="8"/>
  <c r="AP536" i="8"/>
  <c r="AO537" i="8"/>
  <c r="AJ501" i="7"/>
  <c r="AL500" i="7"/>
  <c r="AK500" i="7"/>
  <c r="AP500" i="7"/>
  <c r="AO500" i="7"/>
  <c r="AP424" i="1"/>
  <c r="AO424" i="1"/>
  <c r="AN425" i="1"/>
  <c r="AL424" i="1"/>
  <c r="AK424" i="1"/>
  <c r="AJ425" i="1"/>
  <c r="AQ537" i="8" l="1"/>
  <c r="AP537" i="8"/>
  <c r="AO538" i="8"/>
  <c r="AT537" i="8"/>
  <c r="AU537" i="8"/>
  <c r="AS538" i="8"/>
  <c r="AJ502" i="7"/>
  <c r="AK501" i="7"/>
  <c r="AL501" i="7"/>
  <c r="AO501" i="7"/>
  <c r="AP501" i="7"/>
  <c r="AL425" i="1"/>
  <c r="AK425" i="1"/>
  <c r="AJ426" i="1"/>
  <c r="AP425" i="1"/>
  <c r="AN426" i="1"/>
  <c r="AO425" i="1"/>
  <c r="AT538" i="8" l="1"/>
  <c r="AU538" i="8"/>
  <c r="AS539" i="8"/>
  <c r="AP538" i="8"/>
  <c r="AQ538" i="8"/>
  <c r="AO539" i="8"/>
  <c r="AJ503" i="7"/>
  <c r="AK502" i="7"/>
  <c r="AL502" i="7"/>
  <c r="AO502" i="7"/>
  <c r="AP502" i="7"/>
  <c r="AP426" i="1"/>
  <c r="AN427" i="1"/>
  <c r="AO426" i="1"/>
  <c r="AL426" i="1"/>
  <c r="AJ427" i="1"/>
  <c r="AK426" i="1"/>
  <c r="AQ539" i="8" l="1"/>
  <c r="AP539" i="8"/>
  <c r="AO540" i="8"/>
  <c r="AU539" i="8"/>
  <c r="AT539" i="8"/>
  <c r="AS540" i="8"/>
  <c r="AJ504" i="7"/>
  <c r="AK503" i="7"/>
  <c r="AL503" i="7"/>
  <c r="AO503" i="7"/>
  <c r="AP503" i="7"/>
  <c r="AL427" i="1"/>
  <c r="AK427" i="1"/>
  <c r="AJ428" i="1"/>
  <c r="AP427" i="1"/>
  <c r="AO427" i="1"/>
  <c r="AN428" i="1"/>
  <c r="AU540" i="8" l="1"/>
  <c r="AT540" i="8"/>
  <c r="AS541" i="8"/>
  <c r="AQ540" i="8"/>
  <c r="AP540" i="8"/>
  <c r="AO541" i="8"/>
  <c r="AJ505" i="7"/>
  <c r="AL504" i="7"/>
  <c r="AK504" i="7"/>
  <c r="AP504" i="7"/>
  <c r="AO504" i="7"/>
  <c r="AP428" i="1"/>
  <c r="AN429" i="1"/>
  <c r="AO428" i="1"/>
  <c r="AL428" i="1"/>
  <c r="AK428" i="1"/>
  <c r="AJ429" i="1"/>
  <c r="AQ541" i="8" l="1"/>
  <c r="AP541" i="8"/>
  <c r="AO542" i="8"/>
  <c r="AU541" i="8"/>
  <c r="AT541" i="8"/>
  <c r="AS542" i="8"/>
  <c r="AJ506" i="7"/>
  <c r="AK505" i="7"/>
  <c r="AL505" i="7"/>
  <c r="AP505" i="7"/>
  <c r="AO505" i="7"/>
  <c r="AL429" i="1"/>
  <c r="AK429" i="1"/>
  <c r="AJ430" i="1"/>
  <c r="AP429" i="1"/>
  <c r="AN430" i="1"/>
  <c r="AO429" i="1"/>
  <c r="AT542" i="8" l="1"/>
  <c r="AU542" i="8"/>
  <c r="AS543" i="8"/>
  <c r="AP542" i="8"/>
  <c r="AQ542" i="8"/>
  <c r="AO543" i="8"/>
  <c r="AJ507" i="7"/>
  <c r="AK506" i="7"/>
  <c r="AL506" i="7"/>
  <c r="AO506" i="7"/>
  <c r="AP506" i="7"/>
  <c r="AP430" i="1"/>
  <c r="AN431" i="1"/>
  <c r="AO430" i="1"/>
  <c r="AL430" i="1"/>
  <c r="AJ431" i="1"/>
  <c r="AK430" i="1"/>
  <c r="AQ543" i="8" l="1"/>
  <c r="AP543" i="8"/>
  <c r="AO544" i="8"/>
  <c r="AU543" i="8"/>
  <c r="AT543" i="8"/>
  <c r="AS544" i="8"/>
  <c r="AJ508" i="7"/>
  <c r="AK507" i="7"/>
  <c r="AL507" i="7"/>
  <c r="AO507" i="7"/>
  <c r="AP507" i="7"/>
  <c r="AL431" i="1"/>
  <c r="AJ432" i="1"/>
  <c r="AK431" i="1"/>
  <c r="AP431" i="1"/>
  <c r="AN432" i="1"/>
  <c r="AO431" i="1"/>
  <c r="AU544" i="8" l="1"/>
  <c r="AT544" i="8"/>
  <c r="AS545" i="8"/>
  <c r="AP544" i="8"/>
  <c r="AQ544" i="8"/>
  <c r="AO545" i="8"/>
  <c r="AJ509" i="7"/>
  <c r="AK508" i="7"/>
  <c r="AL508" i="7"/>
  <c r="AO508" i="7"/>
  <c r="AP508" i="7"/>
  <c r="AP432" i="1"/>
  <c r="AN433" i="1"/>
  <c r="AO432" i="1"/>
  <c r="AL432" i="1"/>
  <c r="AJ433" i="1"/>
  <c r="AK432" i="1"/>
  <c r="AQ545" i="8" l="1"/>
  <c r="AP545" i="8"/>
  <c r="AO546" i="8"/>
  <c r="AT545" i="8"/>
  <c r="AU545" i="8"/>
  <c r="AS546" i="8"/>
  <c r="AJ510" i="7"/>
  <c r="AK509" i="7"/>
  <c r="AL509" i="7"/>
  <c r="AP509" i="7"/>
  <c r="AO509" i="7"/>
  <c r="AL433" i="1"/>
  <c r="AK433" i="1"/>
  <c r="AJ434" i="1"/>
  <c r="AP433" i="1"/>
  <c r="AN434" i="1"/>
  <c r="AO433" i="1"/>
  <c r="AT546" i="8" l="1"/>
  <c r="AU546" i="8"/>
  <c r="AS547" i="8"/>
  <c r="AP546" i="8"/>
  <c r="AQ546" i="8"/>
  <c r="AO547" i="8"/>
  <c r="AJ511" i="7"/>
  <c r="AL510" i="7"/>
  <c r="AK510" i="7"/>
  <c r="AP510" i="7"/>
  <c r="AO510" i="7"/>
  <c r="AP434" i="1"/>
  <c r="AO434" i="1"/>
  <c r="AN435" i="1"/>
  <c r="AL434" i="1"/>
  <c r="AK434" i="1"/>
  <c r="AJ435" i="1"/>
  <c r="AQ547" i="8" l="1"/>
  <c r="AP547" i="8"/>
  <c r="AO548" i="8"/>
  <c r="AU547" i="8"/>
  <c r="AT547" i="8"/>
  <c r="AS548" i="8"/>
  <c r="AJ512" i="7"/>
  <c r="AK511" i="7"/>
  <c r="AL511" i="7"/>
  <c r="AP511" i="7"/>
  <c r="AO511" i="7"/>
  <c r="AL435" i="1"/>
  <c r="AJ436" i="1"/>
  <c r="AK435" i="1"/>
  <c r="AP435" i="1"/>
  <c r="AN436" i="1"/>
  <c r="AO435" i="1"/>
  <c r="AU548" i="8" l="1"/>
  <c r="AT548" i="8"/>
  <c r="AS549" i="8"/>
  <c r="AQ548" i="8"/>
  <c r="AP548" i="8"/>
  <c r="AO549" i="8"/>
  <c r="AJ513" i="7"/>
  <c r="AL512" i="7"/>
  <c r="AK512" i="7"/>
  <c r="AP512" i="7"/>
  <c r="AO512" i="7"/>
  <c r="AP436" i="1"/>
  <c r="AN437" i="1"/>
  <c r="AO436" i="1"/>
  <c r="AL436" i="1"/>
  <c r="AJ437" i="1"/>
  <c r="AK436" i="1"/>
  <c r="AQ549" i="8" l="1"/>
  <c r="AP549" i="8"/>
  <c r="AO550" i="8"/>
  <c r="AU549" i="8"/>
  <c r="AT549" i="8"/>
  <c r="AS550" i="8"/>
  <c r="AJ514" i="7"/>
  <c r="AL513" i="7"/>
  <c r="AK513" i="7"/>
  <c r="AP513" i="7"/>
  <c r="AO513" i="7"/>
  <c r="AL437" i="1"/>
  <c r="AK437" i="1"/>
  <c r="AJ438" i="1"/>
  <c r="AP437" i="1"/>
  <c r="AO437" i="1"/>
  <c r="AN438" i="1"/>
  <c r="AT550" i="8" l="1"/>
  <c r="AU550" i="8"/>
  <c r="AS551" i="8"/>
  <c r="AP550" i="8"/>
  <c r="AQ550" i="8"/>
  <c r="AO551" i="8"/>
  <c r="AJ515" i="7"/>
  <c r="AK514" i="7"/>
  <c r="AL514" i="7"/>
  <c r="AP514" i="7"/>
  <c r="AO514" i="7"/>
  <c r="AP438" i="1"/>
  <c r="AN439" i="1"/>
  <c r="AO438" i="1"/>
  <c r="AL438" i="1"/>
  <c r="AJ439" i="1"/>
  <c r="AK438" i="1"/>
  <c r="AQ551" i="8" l="1"/>
  <c r="AP551" i="8"/>
  <c r="AO552" i="8"/>
  <c r="AU551" i="8"/>
  <c r="AT551" i="8"/>
  <c r="AS552" i="8"/>
  <c r="AJ516" i="7"/>
  <c r="AK515" i="7"/>
  <c r="AL515" i="7"/>
  <c r="AP515" i="7"/>
  <c r="AO515" i="7"/>
  <c r="AL439" i="1"/>
  <c r="AJ440" i="1"/>
  <c r="AK439" i="1"/>
  <c r="AP439" i="1"/>
  <c r="AN440" i="1"/>
  <c r="AO439" i="1"/>
  <c r="AU552" i="8" l="1"/>
  <c r="AT552" i="8"/>
  <c r="AS553" i="8"/>
  <c r="AP552" i="8"/>
  <c r="AQ552" i="8"/>
  <c r="AO553" i="8"/>
  <c r="AJ517" i="7"/>
  <c r="AL516" i="7"/>
  <c r="AK516" i="7"/>
  <c r="AP516" i="7"/>
  <c r="AO516" i="7"/>
  <c r="AP440" i="1"/>
  <c r="AO440" i="1"/>
  <c r="AN441" i="1"/>
  <c r="AL440" i="1"/>
  <c r="AK440" i="1"/>
  <c r="AJ441" i="1"/>
  <c r="AQ553" i="8" l="1"/>
  <c r="AP553" i="8"/>
  <c r="AO554" i="8"/>
  <c r="AU553" i="8"/>
  <c r="AT553" i="8"/>
  <c r="AS554" i="8"/>
  <c r="AJ518" i="7"/>
  <c r="AK517" i="7"/>
  <c r="AL517" i="7"/>
  <c r="AO517" i="7"/>
  <c r="AP517" i="7"/>
  <c r="AL441" i="1"/>
  <c r="AK441" i="1"/>
  <c r="AJ442" i="1"/>
  <c r="AP441" i="1"/>
  <c r="AO441" i="1"/>
  <c r="AN442" i="1"/>
  <c r="AT554" i="8" l="1"/>
  <c r="AU554" i="8"/>
  <c r="AS555" i="8"/>
  <c r="AP554" i="8"/>
  <c r="AQ554" i="8"/>
  <c r="AO555" i="8"/>
  <c r="AJ519" i="7"/>
  <c r="AK518" i="7"/>
  <c r="AL518" i="7"/>
  <c r="AO518" i="7"/>
  <c r="AP518" i="7"/>
  <c r="AP442" i="1"/>
  <c r="AN443" i="1"/>
  <c r="AO442" i="1"/>
  <c r="AL442" i="1"/>
  <c r="AJ443" i="1"/>
  <c r="AK442" i="1"/>
  <c r="AQ555" i="8" l="1"/>
  <c r="AP555" i="8"/>
  <c r="AO556" i="8"/>
  <c r="AU555" i="8"/>
  <c r="AT555" i="8"/>
  <c r="AS556" i="8"/>
  <c r="AJ520" i="7"/>
  <c r="AL519" i="7"/>
  <c r="AK519" i="7"/>
  <c r="AP519" i="7"/>
  <c r="AO519" i="7"/>
  <c r="AL443" i="1"/>
  <c r="AK443" i="1"/>
  <c r="AJ444" i="1"/>
  <c r="AP443" i="1"/>
  <c r="AN444" i="1"/>
  <c r="AO443" i="1"/>
  <c r="AU556" i="8" l="1"/>
  <c r="AT556" i="8"/>
  <c r="AS557" i="8"/>
  <c r="AQ556" i="8"/>
  <c r="AP556" i="8"/>
  <c r="AO557" i="8"/>
  <c r="AJ521" i="7"/>
  <c r="AL520" i="7"/>
  <c r="AK520" i="7"/>
  <c r="AP520" i="7"/>
  <c r="AO520" i="7"/>
  <c r="AP444" i="1"/>
  <c r="AN445" i="1"/>
  <c r="AO444" i="1"/>
  <c r="AL444" i="1"/>
  <c r="AK444" i="1"/>
  <c r="AJ445" i="1"/>
  <c r="AQ557" i="8" l="1"/>
  <c r="AP557" i="8"/>
  <c r="AO558" i="8"/>
  <c r="AU557" i="8"/>
  <c r="AT557" i="8"/>
  <c r="AS558" i="8"/>
  <c r="AJ522" i="7"/>
  <c r="AK521" i="7"/>
  <c r="AL521" i="7"/>
  <c r="AO521" i="7"/>
  <c r="AP521" i="7"/>
  <c r="AL445" i="1"/>
  <c r="AK445" i="1"/>
  <c r="AJ446" i="1"/>
  <c r="AP445" i="1"/>
  <c r="AO445" i="1"/>
  <c r="AN446" i="1"/>
  <c r="AT558" i="8" l="1"/>
  <c r="AU558" i="8"/>
  <c r="AS559" i="8"/>
  <c r="AP558" i="8"/>
  <c r="AQ558" i="8"/>
  <c r="AO559" i="8"/>
  <c r="AJ523" i="7"/>
  <c r="AL522" i="7"/>
  <c r="AK522" i="7"/>
  <c r="AO522" i="7"/>
  <c r="AP522" i="7"/>
  <c r="AP446" i="1"/>
  <c r="AO446" i="1"/>
  <c r="AN447" i="1"/>
  <c r="AL446" i="1"/>
  <c r="AK446" i="1"/>
  <c r="AJ447" i="1"/>
  <c r="AQ559" i="8" l="1"/>
  <c r="AP559" i="8"/>
  <c r="AO560" i="8"/>
  <c r="AU559" i="8"/>
  <c r="AT559" i="8"/>
  <c r="AS560" i="8"/>
  <c r="AJ524" i="7"/>
  <c r="AK523" i="7"/>
  <c r="AL523" i="7"/>
  <c r="AO523" i="7"/>
  <c r="AP523" i="7"/>
  <c r="AL447" i="1"/>
  <c r="AK447" i="1"/>
  <c r="AJ448" i="1"/>
  <c r="AP447" i="1"/>
  <c r="AN448" i="1"/>
  <c r="AO447" i="1"/>
  <c r="AU560" i="8" l="1"/>
  <c r="AT560" i="8"/>
  <c r="AS561" i="8"/>
  <c r="AP560" i="8"/>
  <c r="AQ560" i="8"/>
  <c r="AO561" i="8"/>
  <c r="AJ525" i="7"/>
  <c r="AK524" i="7"/>
  <c r="AL524" i="7"/>
  <c r="AO524" i="7"/>
  <c r="AP524" i="7"/>
  <c r="AP448" i="1"/>
  <c r="AO448" i="1"/>
  <c r="AN449" i="1"/>
  <c r="AL448" i="1"/>
  <c r="AK448" i="1"/>
  <c r="AJ449" i="1"/>
  <c r="AQ561" i="8" l="1"/>
  <c r="AP561" i="8"/>
  <c r="AO562" i="8"/>
  <c r="AU561" i="8"/>
  <c r="AT561" i="8"/>
  <c r="AS562" i="8"/>
  <c r="AJ526" i="7"/>
  <c r="AL525" i="7"/>
  <c r="AK525" i="7"/>
  <c r="AP525" i="7"/>
  <c r="AO525" i="7"/>
  <c r="AL449" i="1"/>
  <c r="AK449" i="1"/>
  <c r="AJ450" i="1"/>
  <c r="AP449" i="1"/>
  <c r="AN450" i="1"/>
  <c r="AO449" i="1"/>
  <c r="AT562" i="8" l="1"/>
  <c r="AU562" i="8"/>
  <c r="AS563" i="8"/>
  <c r="AP562" i="8"/>
  <c r="AQ562" i="8"/>
  <c r="AO563" i="8"/>
  <c r="AJ527" i="7"/>
  <c r="AL526" i="7"/>
  <c r="AK526" i="7"/>
  <c r="AO526" i="7"/>
  <c r="AP526" i="7"/>
  <c r="AP450" i="1"/>
  <c r="AN451" i="1"/>
  <c r="AO450" i="1"/>
  <c r="AL450" i="1"/>
  <c r="AK450" i="1"/>
  <c r="AJ451" i="1"/>
  <c r="AQ563" i="8" l="1"/>
  <c r="AP563" i="8"/>
  <c r="AO564" i="8"/>
  <c r="AU563" i="8"/>
  <c r="AT563" i="8"/>
  <c r="AS564" i="8"/>
  <c r="AJ528" i="7"/>
  <c r="AK527" i="7"/>
  <c r="AL527" i="7"/>
  <c r="AP527" i="7"/>
  <c r="AO527" i="7"/>
  <c r="AL451" i="1"/>
  <c r="AJ452" i="1"/>
  <c r="AK451" i="1"/>
  <c r="AP451" i="1"/>
  <c r="AN452" i="1"/>
  <c r="AO451" i="1"/>
  <c r="AU564" i="8" l="1"/>
  <c r="AT564" i="8"/>
  <c r="AS565" i="8"/>
  <c r="AQ564" i="8"/>
  <c r="AP564" i="8"/>
  <c r="AO565" i="8"/>
  <c r="AJ529" i="7"/>
  <c r="AL528" i="7"/>
  <c r="AK528" i="7"/>
  <c r="AP528" i="7"/>
  <c r="AO528" i="7"/>
  <c r="AP452" i="1"/>
  <c r="AN453" i="1"/>
  <c r="AO452" i="1"/>
  <c r="AL452" i="1"/>
  <c r="AJ453" i="1"/>
  <c r="AK452" i="1"/>
  <c r="AQ565" i="8" l="1"/>
  <c r="AP565" i="8"/>
  <c r="AO566" i="8"/>
  <c r="AU565" i="8"/>
  <c r="AT565" i="8"/>
  <c r="AS566" i="8"/>
  <c r="AJ530" i="7"/>
  <c r="AL529" i="7"/>
  <c r="AK529" i="7"/>
  <c r="AP529" i="7"/>
  <c r="AO529" i="7"/>
  <c r="AL453" i="1"/>
  <c r="AK453" i="1"/>
  <c r="AJ454" i="1"/>
  <c r="AP453" i="1"/>
  <c r="AO453" i="1"/>
  <c r="AN454" i="1"/>
  <c r="AT566" i="8" l="1"/>
  <c r="AU566" i="8"/>
  <c r="AS567" i="8"/>
  <c r="AP566" i="8"/>
  <c r="AQ566" i="8"/>
  <c r="AO567" i="8"/>
  <c r="AJ531" i="7"/>
  <c r="AK530" i="7"/>
  <c r="AL530" i="7"/>
  <c r="AO530" i="7"/>
  <c r="AP530" i="7"/>
  <c r="AP454" i="1"/>
  <c r="AN455" i="1"/>
  <c r="AO454" i="1"/>
  <c r="AL454" i="1"/>
  <c r="AJ455" i="1"/>
  <c r="AK454" i="1"/>
  <c r="AQ567" i="8" l="1"/>
  <c r="AP567" i="8"/>
  <c r="AO568" i="8"/>
  <c r="AU567" i="8"/>
  <c r="AT567" i="8"/>
  <c r="AS568" i="8"/>
  <c r="AJ532" i="7"/>
  <c r="AK531" i="7"/>
  <c r="AL531" i="7"/>
  <c r="AO531" i="7"/>
  <c r="AP531" i="7"/>
  <c r="AL455" i="1"/>
  <c r="AK455" i="1"/>
  <c r="AJ456" i="1"/>
  <c r="AP455" i="1"/>
  <c r="AN456" i="1"/>
  <c r="AO455" i="1"/>
  <c r="AU568" i="8" l="1"/>
  <c r="AT568" i="8"/>
  <c r="AS569" i="8"/>
  <c r="AP568" i="8"/>
  <c r="AQ568" i="8"/>
  <c r="AO569" i="8"/>
  <c r="AJ533" i="7"/>
  <c r="AL532" i="7"/>
  <c r="AK532" i="7"/>
  <c r="AP532" i="7"/>
  <c r="AO532" i="7"/>
  <c r="AP456" i="1"/>
  <c r="AN457" i="1"/>
  <c r="AO456" i="1"/>
  <c r="AL456" i="1"/>
  <c r="AJ457" i="1"/>
  <c r="AK456" i="1"/>
  <c r="AQ569" i="8" l="1"/>
  <c r="AP569" i="8"/>
  <c r="AO570" i="8"/>
  <c r="AU569" i="8"/>
  <c r="AT569" i="8"/>
  <c r="AS570" i="8"/>
  <c r="AJ534" i="7"/>
  <c r="AK533" i="7"/>
  <c r="AL533" i="7"/>
  <c r="AP533" i="7"/>
  <c r="AO533" i="7"/>
  <c r="AL457" i="1"/>
  <c r="AK457" i="1"/>
  <c r="AJ458" i="1"/>
  <c r="AP457" i="1"/>
  <c r="AO457" i="1"/>
  <c r="AN458" i="1"/>
  <c r="AT570" i="8" l="1"/>
  <c r="AU570" i="8"/>
  <c r="AS571" i="8"/>
  <c r="AP570" i="8"/>
  <c r="AQ570" i="8"/>
  <c r="AO571" i="8"/>
  <c r="AJ535" i="7"/>
  <c r="AL534" i="7"/>
  <c r="AK534" i="7"/>
  <c r="AO534" i="7"/>
  <c r="AP534" i="7"/>
  <c r="AP458" i="1"/>
  <c r="AN459" i="1"/>
  <c r="AO458" i="1"/>
  <c r="AL458" i="1"/>
  <c r="AK458" i="1"/>
  <c r="AJ459" i="1"/>
  <c r="AQ571" i="8" l="1"/>
  <c r="AP571" i="8"/>
  <c r="AO572" i="8"/>
  <c r="AU571" i="8"/>
  <c r="AT571" i="8"/>
  <c r="AS572" i="8"/>
  <c r="AJ536" i="7"/>
  <c r="AL535" i="7"/>
  <c r="AK535" i="7"/>
  <c r="AO535" i="7"/>
  <c r="AP535" i="7"/>
  <c r="AL459" i="1"/>
  <c r="AJ460" i="1"/>
  <c r="AK459" i="1"/>
  <c r="AP459" i="1"/>
  <c r="AN460" i="1"/>
  <c r="AO459" i="1"/>
  <c r="AU572" i="8" l="1"/>
  <c r="AT572" i="8"/>
  <c r="AS573" i="8"/>
  <c r="AQ572" i="8"/>
  <c r="AP572" i="8"/>
  <c r="AO573" i="8"/>
  <c r="AJ537" i="7"/>
  <c r="AL536" i="7"/>
  <c r="AK536" i="7"/>
  <c r="AO536" i="7"/>
  <c r="AP536" i="7"/>
  <c r="AP460" i="1"/>
  <c r="AN461" i="1"/>
  <c r="AO460" i="1"/>
  <c r="AL460" i="1"/>
  <c r="AK460" i="1"/>
  <c r="AJ461" i="1"/>
  <c r="AQ573" i="8" l="1"/>
  <c r="AP573" i="8"/>
  <c r="AO574" i="8"/>
  <c r="AU573" i="8"/>
  <c r="AT573" i="8"/>
  <c r="AS574" i="8"/>
  <c r="AJ538" i="7"/>
  <c r="AK537" i="7"/>
  <c r="AL537" i="7"/>
  <c r="AO537" i="7"/>
  <c r="AP537" i="7"/>
  <c r="AL461" i="1"/>
  <c r="AK461" i="1"/>
  <c r="AJ462" i="1"/>
  <c r="AP461" i="1"/>
  <c r="AN462" i="1"/>
  <c r="AO461" i="1"/>
  <c r="AT574" i="8" l="1"/>
  <c r="AU574" i="8"/>
  <c r="AS575" i="8"/>
  <c r="AP574" i="8"/>
  <c r="AQ574" i="8"/>
  <c r="AO575" i="8"/>
  <c r="AJ539" i="7"/>
  <c r="AL538" i="7"/>
  <c r="AK538" i="7"/>
  <c r="AP538" i="7"/>
  <c r="AO538" i="7"/>
  <c r="AP462" i="1"/>
  <c r="AO462" i="1"/>
  <c r="AN463" i="1"/>
  <c r="AL462" i="1"/>
  <c r="AK462" i="1"/>
  <c r="AJ463" i="1"/>
  <c r="AQ575" i="8" l="1"/>
  <c r="AP575" i="8"/>
  <c r="AO576" i="8"/>
  <c r="AU575" i="8"/>
  <c r="AT575" i="8"/>
  <c r="AS576" i="8"/>
  <c r="AJ540" i="7"/>
  <c r="AK539" i="7"/>
  <c r="AL539" i="7"/>
  <c r="AO539" i="7"/>
  <c r="AP539" i="7"/>
  <c r="AL463" i="1"/>
  <c r="AK463" i="1"/>
  <c r="AJ464" i="1"/>
  <c r="AP463" i="1"/>
  <c r="AO463" i="1"/>
  <c r="AN464" i="1"/>
  <c r="AU576" i="8" l="1"/>
  <c r="AT576" i="8"/>
  <c r="AS577" i="8"/>
  <c r="AP576" i="8"/>
  <c r="AQ576" i="8"/>
  <c r="AO577" i="8"/>
  <c r="AJ541" i="7"/>
  <c r="AK540" i="7"/>
  <c r="AL540" i="7"/>
  <c r="AO540" i="7"/>
  <c r="AP540" i="7"/>
  <c r="AP464" i="1"/>
  <c r="AN465" i="1"/>
  <c r="AO464" i="1"/>
  <c r="AL464" i="1"/>
  <c r="AK464" i="1"/>
  <c r="AJ465" i="1"/>
  <c r="AQ577" i="8" l="1"/>
  <c r="AP577" i="8"/>
  <c r="AO578" i="8"/>
  <c r="AU577" i="8"/>
  <c r="AT577" i="8"/>
  <c r="AS578" i="8"/>
  <c r="AJ542" i="7"/>
  <c r="AL541" i="7"/>
  <c r="AK541" i="7"/>
  <c r="AP541" i="7"/>
  <c r="AO541" i="7"/>
  <c r="AL465" i="1"/>
  <c r="AK465" i="1"/>
  <c r="AJ466" i="1"/>
  <c r="AP465" i="1"/>
  <c r="AN466" i="1"/>
  <c r="AO465" i="1"/>
  <c r="AT578" i="8" l="1"/>
  <c r="AU578" i="8"/>
  <c r="AS579" i="8"/>
  <c r="AP578" i="8"/>
  <c r="AQ578" i="8"/>
  <c r="AO579" i="8"/>
  <c r="AJ543" i="7"/>
  <c r="AK542" i="7"/>
  <c r="AL542" i="7"/>
  <c r="AO542" i="7"/>
  <c r="AP542" i="7"/>
  <c r="AP466" i="1"/>
  <c r="AO466" i="1"/>
  <c r="AN467" i="1"/>
  <c r="AL466" i="1"/>
  <c r="AK466" i="1"/>
  <c r="AJ467" i="1"/>
  <c r="AQ579" i="8" l="1"/>
  <c r="AP579" i="8"/>
  <c r="AO580" i="8"/>
  <c r="AU579" i="8"/>
  <c r="AT579" i="8"/>
  <c r="AS580" i="8"/>
  <c r="AJ544" i="7"/>
  <c r="AL543" i="7"/>
  <c r="AK543" i="7"/>
  <c r="AO543" i="7"/>
  <c r="AP543" i="7"/>
  <c r="AL467" i="1"/>
  <c r="AK467" i="1"/>
  <c r="AJ468" i="1"/>
  <c r="AP467" i="1"/>
  <c r="AO467" i="1"/>
  <c r="AN468" i="1"/>
  <c r="AU580" i="8" l="1"/>
  <c r="AT580" i="8"/>
  <c r="AS581" i="8"/>
  <c r="AP580" i="8"/>
  <c r="AQ580" i="8"/>
  <c r="AO581" i="8"/>
  <c r="AJ545" i="7"/>
  <c r="AK544" i="7"/>
  <c r="AL544" i="7"/>
  <c r="AO544" i="7"/>
  <c r="AP544" i="7"/>
  <c r="AP468" i="1"/>
  <c r="AN469" i="1"/>
  <c r="AO468" i="1"/>
  <c r="AL468" i="1"/>
  <c r="AK468" i="1"/>
  <c r="AJ469" i="1"/>
  <c r="AQ581" i="8" l="1"/>
  <c r="AP581" i="8"/>
  <c r="AO582" i="8"/>
  <c r="AT581" i="8"/>
  <c r="AU581" i="8"/>
  <c r="AS582" i="8"/>
  <c r="AJ546" i="7"/>
  <c r="AK545" i="7"/>
  <c r="AL545" i="7"/>
  <c r="AO545" i="7"/>
  <c r="AP545" i="7"/>
  <c r="AL469" i="1"/>
  <c r="AK469" i="1"/>
  <c r="AJ470" i="1"/>
  <c r="AP469" i="1"/>
  <c r="AN470" i="1"/>
  <c r="AO469" i="1"/>
  <c r="AU582" i="8" l="1"/>
  <c r="AT582" i="8"/>
  <c r="AS583" i="8"/>
  <c r="AQ582" i="8"/>
  <c r="AP582" i="8"/>
  <c r="AO583" i="8"/>
  <c r="AJ547" i="7"/>
  <c r="AK546" i="7"/>
  <c r="AL546" i="7"/>
  <c r="AO546" i="7"/>
  <c r="AP546" i="7"/>
  <c r="AP470" i="1"/>
  <c r="AN471" i="1"/>
  <c r="AO470" i="1"/>
  <c r="AL470" i="1"/>
  <c r="AK470" i="1"/>
  <c r="AJ471" i="1"/>
  <c r="AP583" i="8" l="1"/>
  <c r="AQ583" i="8"/>
  <c r="AO584" i="8"/>
  <c r="AT583" i="8"/>
  <c r="AU583" i="8"/>
  <c r="AS584" i="8"/>
  <c r="AJ548" i="7"/>
  <c r="AK547" i="7"/>
  <c r="AL547" i="7"/>
  <c r="AO547" i="7"/>
  <c r="AP547" i="7"/>
  <c r="AL471" i="1"/>
  <c r="AK471" i="1"/>
  <c r="AJ472" i="1"/>
  <c r="AP471" i="1"/>
  <c r="AO471" i="1"/>
  <c r="AN472" i="1"/>
  <c r="AU584" i="8" l="1"/>
  <c r="AT584" i="8"/>
  <c r="AS585" i="8"/>
  <c r="AQ584" i="8"/>
  <c r="AP584" i="8"/>
  <c r="AO585" i="8"/>
  <c r="AJ549" i="7"/>
  <c r="AK548" i="7"/>
  <c r="AL548" i="7"/>
  <c r="AP548" i="7"/>
  <c r="AO548" i="7"/>
  <c r="AP472" i="1"/>
  <c r="AN473" i="1"/>
  <c r="AO472" i="1"/>
  <c r="AL472" i="1"/>
  <c r="AK472" i="1"/>
  <c r="AJ473" i="1"/>
  <c r="AP585" i="8" l="1"/>
  <c r="AQ585" i="8"/>
  <c r="AO586" i="8"/>
  <c r="AT585" i="8"/>
  <c r="AU585" i="8"/>
  <c r="AS586" i="8"/>
  <c r="AJ550" i="7"/>
  <c r="AL549" i="7"/>
  <c r="AK549" i="7"/>
  <c r="AO549" i="7"/>
  <c r="AP549" i="7"/>
  <c r="AL473" i="1"/>
  <c r="AK473" i="1"/>
  <c r="AJ474" i="1"/>
  <c r="AP473" i="1"/>
  <c r="AN474" i="1"/>
  <c r="AO473" i="1"/>
  <c r="AU586" i="8" l="1"/>
  <c r="AT586" i="8"/>
  <c r="AS587" i="8"/>
  <c r="AQ586" i="8"/>
  <c r="AP586" i="8"/>
  <c r="AO587" i="8"/>
  <c r="AJ551" i="7"/>
  <c r="AK550" i="7"/>
  <c r="AL550" i="7"/>
  <c r="AP550" i="7"/>
  <c r="AO550" i="7"/>
  <c r="AP474" i="1"/>
  <c r="AO474" i="1"/>
  <c r="AN475" i="1"/>
  <c r="AL474" i="1"/>
  <c r="AK474" i="1"/>
  <c r="AJ475" i="1"/>
  <c r="AQ587" i="8" l="1"/>
  <c r="AP587" i="8"/>
  <c r="AO588" i="8"/>
  <c r="AT587" i="8"/>
  <c r="AU587" i="8"/>
  <c r="AS588" i="8"/>
  <c r="AJ552" i="7"/>
  <c r="AL551" i="7"/>
  <c r="AK551" i="7"/>
  <c r="AP551" i="7"/>
  <c r="AO551" i="7"/>
  <c r="AL475" i="1"/>
  <c r="AK475" i="1"/>
  <c r="AJ476" i="1"/>
  <c r="AP475" i="1"/>
  <c r="AN476" i="1"/>
  <c r="AO475" i="1"/>
  <c r="AU588" i="8" l="1"/>
  <c r="AT588" i="8"/>
  <c r="AS589" i="8"/>
  <c r="AQ588" i="8"/>
  <c r="AP588" i="8"/>
  <c r="AO589" i="8"/>
  <c r="AJ553" i="7"/>
  <c r="AK552" i="7"/>
  <c r="AL552" i="7"/>
  <c r="AP552" i="7"/>
  <c r="AO552" i="7"/>
  <c r="AP476" i="1"/>
  <c r="AN477" i="1"/>
  <c r="AO476" i="1"/>
  <c r="AL476" i="1"/>
  <c r="AK476" i="1"/>
  <c r="AJ477" i="1"/>
  <c r="AQ589" i="8" l="1"/>
  <c r="AP589" i="8"/>
  <c r="AO590" i="8"/>
  <c r="AT589" i="8"/>
  <c r="AU589" i="8"/>
  <c r="AS590" i="8"/>
  <c r="AJ554" i="7"/>
  <c r="AK553" i="7"/>
  <c r="AL553" i="7"/>
  <c r="AO553" i="7"/>
  <c r="AP553" i="7"/>
  <c r="AP477" i="1"/>
  <c r="AO477" i="1"/>
  <c r="AN478" i="1"/>
  <c r="AL477" i="1"/>
  <c r="AK477" i="1"/>
  <c r="AJ478" i="1"/>
  <c r="AU590" i="8" l="1"/>
  <c r="AT590" i="8"/>
  <c r="AS591" i="8"/>
  <c r="AQ590" i="8"/>
  <c r="AP590" i="8"/>
  <c r="AO591" i="8"/>
  <c r="AJ555" i="7"/>
  <c r="AK554" i="7"/>
  <c r="AL554" i="7"/>
  <c r="AP554" i="7"/>
  <c r="AO554" i="7"/>
  <c r="AL478" i="1"/>
  <c r="AK478" i="1"/>
  <c r="AJ479" i="1"/>
  <c r="AP478" i="1"/>
  <c r="AO478" i="1"/>
  <c r="AN479" i="1"/>
  <c r="AQ591" i="8" l="1"/>
  <c r="AP591" i="8"/>
  <c r="AO592" i="8"/>
  <c r="AT591" i="8"/>
  <c r="AU591" i="8"/>
  <c r="AS592" i="8"/>
  <c r="AJ556" i="7"/>
  <c r="AK555" i="7"/>
  <c r="AL555" i="7"/>
  <c r="AO555" i="7"/>
  <c r="AP555" i="7"/>
  <c r="AL479" i="1"/>
  <c r="AK479" i="1"/>
  <c r="AJ480" i="1"/>
  <c r="AP479" i="1"/>
  <c r="AN480" i="1"/>
  <c r="AO479" i="1"/>
  <c r="AU592" i="8" l="1"/>
  <c r="AT592" i="8"/>
  <c r="AS593" i="8"/>
  <c r="AQ592" i="8"/>
  <c r="AP592" i="8"/>
  <c r="AO593" i="8"/>
  <c r="AJ557" i="7"/>
  <c r="AL556" i="7"/>
  <c r="AK556" i="7"/>
  <c r="AO556" i="7"/>
  <c r="AP556" i="7"/>
  <c r="AP480" i="1"/>
  <c r="AO480" i="1"/>
  <c r="AN481" i="1"/>
  <c r="AL480" i="1"/>
  <c r="AK480" i="1"/>
  <c r="AJ481" i="1"/>
  <c r="AQ593" i="8" l="1"/>
  <c r="AP593" i="8"/>
  <c r="AO594" i="8"/>
  <c r="AT593" i="8"/>
  <c r="AU593" i="8"/>
  <c r="AS594" i="8"/>
  <c r="AJ558" i="7"/>
  <c r="AL557" i="7"/>
  <c r="AK557" i="7"/>
  <c r="AP557" i="7"/>
  <c r="AO557" i="7"/>
  <c r="AL481" i="1"/>
  <c r="AK481" i="1"/>
  <c r="AJ482" i="1"/>
  <c r="AP481" i="1"/>
  <c r="AO481" i="1"/>
  <c r="AN482" i="1"/>
  <c r="AU594" i="8" l="1"/>
  <c r="AT594" i="8"/>
  <c r="AS595" i="8"/>
  <c r="AQ594" i="8"/>
  <c r="AP594" i="8"/>
  <c r="AO595" i="8"/>
  <c r="AJ559" i="7"/>
  <c r="AK558" i="7"/>
  <c r="AL558" i="7"/>
  <c r="AO558" i="7"/>
  <c r="AP558" i="7"/>
  <c r="AP482" i="1"/>
  <c r="AO482" i="1"/>
  <c r="AN483" i="1"/>
  <c r="AL482" i="1"/>
  <c r="AK482" i="1"/>
  <c r="AJ483" i="1"/>
  <c r="AQ595" i="8" l="1"/>
  <c r="AP595" i="8"/>
  <c r="AO596" i="8"/>
  <c r="AT595" i="8"/>
  <c r="AU595" i="8"/>
  <c r="AS596" i="8"/>
  <c r="AJ560" i="7"/>
  <c r="AL559" i="7"/>
  <c r="AK559" i="7"/>
  <c r="AO559" i="7"/>
  <c r="AP559" i="7"/>
  <c r="AL483" i="1"/>
  <c r="AK483" i="1"/>
  <c r="AJ484" i="1"/>
  <c r="AP483" i="1"/>
  <c r="AO483" i="1"/>
  <c r="AN484" i="1"/>
  <c r="AU596" i="8" l="1"/>
  <c r="AT596" i="8"/>
  <c r="AS597" i="8"/>
  <c r="AQ596" i="8"/>
  <c r="AP596" i="8"/>
  <c r="AO597" i="8"/>
  <c r="AJ561" i="7"/>
  <c r="AK560" i="7"/>
  <c r="AL560" i="7"/>
  <c r="AP560" i="7"/>
  <c r="AO560" i="7"/>
  <c r="AP484" i="1"/>
  <c r="AN485" i="1"/>
  <c r="AO484" i="1"/>
  <c r="AL484" i="1"/>
  <c r="AK484" i="1"/>
  <c r="AJ485" i="1"/>
  <c r="AP597" i="8" l="1"/>
  <c r="AQ597" i="8"/>
  <c r="AO598" i="8"/>
  <c r="AT597" i="8"/>
  <c r="AU597" i="8"/>
  <c r="AS598" i="8"/>
  <c r="AJ562" i="7"/>
  <c r="AK561" i="7"/>
  <c r="AL561" i="7"/>
  <c r="AO561" i="7"/>
  <c r="AP561" i="7"/>
  <c r="AL485" i="1"/>
  <c r="AK485" i="1"/>
  <c r="AJ486" i="1"/>
  <c r="AP485" i="1"/>
  <c r="AO485" i="1"/>
  <c r="AN486" i="1"/>
  <c r="AU598" i="8" l="1"/>
  <c r="AT598" i="8"/>
  <c r="AS599" i="8"/>
  <c r="AQ598" i="8"/>
  <c r="AP598" i="8"/>
  <c r="AO599" i="8"/>
  <c r="AJ563" i="7"/>
  <c r="AK562" i="7"/>
  <c r="AL562" i="7"/>
  <c r="AP562" i="7"/>
  <c r="AO562" i="7"/>
  <c r="AP486" i="1"/>
  <c r="AN487" i="1"/>
  <c r="AO486" i="1"/>
  <c r="AL486" i="1"/>
  <c r="AK486" i="1"/>
  <c r="AJ487" i="1"/>
  <c r="AQ599" i="8" l="1"/>
  <c r="AP599" i="8"/>
  <c r="AO600" i="8"/>
  <c r="AT599" i="8"/>
  <c r="AU599" i="8"/>
  <c r="AS600" i="8"/>
  <c r="AJ564" i="7"/>
  <c r="AK563" i="7"/>
  <c r="AL563" i="7"/>
  <c r="AO563" i="7"/>
  <c r="AP563" i="7"/>
  <c r="AP487" i="1"/>
  <c r="AN488" i="1"/>
  <c r="AO487" i="1"/>
  <c r="AL487" i="1"/>
  <c r="AK487" i="1"/>
  <c r="AJ488" i="1"/>
  <c r="AU600" i="8" l="1"/>
  <c r="AT600" i="8"/>
  <c r="AS601" i="8"/>
  <c r="AQ600" i="8"/>
  <c r="AP600" i="8"/>
  <c r="AO601" i="8"/>
  <c r="AJ565" i="7"/>
  <c r="AK564" i="7"/>
  <c r="AL564" i="7"/>
  <c r="AO564" i="7"/>
  <c r="AP564" i="7"/>
  <c r="AL488" i="1"/>
  <c r="AK488" i="1"/>
  <c r="AJ489" i="1"/>
  <c r="AP488" i="1"/>
  <c r="AN489" i="1"/>
  <c r="AO488" i="1"/>
  <c r="AQ601" i="8" l="1"/>
  <c r="AP601" i="8"/>
  <c r="AO602" i="8"/>
  <c r="AT601" i="8"/>
  <c r="AU601" i="8"/>
  <c r="AS602" i="8"/>
  <c r="AJ566" i="7"/>
  <c r="AL565" i="7"/>
  <c r="AK565" i="7"/>
  <c r="AP565" i="7"/>
  <c r="AO565" i="7"/>
  <c r="AP489" i="1"/>
  <c r="AO489" i="1"/>
  <c r="AN490" i="1"/>
  <c r="AL489" i="1"/>
  <c r="AK489" i="1"/>
  <c r="AJ490" i="1"/>
  <c r="AU602" i="8" l="1"/>
  <c r="AT602" i="8"/>
  <c r="AS603" i="8"/>
  <c r="AQ602" i="8"/>
  <c r="AP602" i="8"/>
  <c r="AO603" i="8"/>
  <c r="AJ567" i="7"/>
  <c r="AK566" i="7"/>
  <c r="AL566" i="7"/>
  <c r="AO566" i="7"/>
  <c r="AP566" i="7"/>
  <c r="AL490" i="1"/>
  <c r="AK490" i="1"/>
  <c r="AJ491" i="1"/>
  <c r="AP490" i="1"/>
  <c r="AN491" i="1"/>
  <c r="AO490" i="1"/>
  <c r="AQ603" i="8" l="1"/>
  <c r="AP603" i="8"/>
  <c r="AO604" i="8"/>
  <c r="AT603" i="8"/>
  <c r="AU603" i="8"/>
  <c r="AS604" i="8"/>
  <c r="AJ568" i="7"/>
  <c r="AL567" i="7"/>
  <c r="AK567" i="7"/>
  <c r="AO567" i="7"/>
  <c r="AP567" i="7"/>
  <c r="AP491" i="1"/>
  <c r="AN492" i="1"/>
  <c r="AO491" i="1"/>
  <c r="AL491" i="1"/>
  <c r="AK491" i="1"/>
  <c r="AJ492" i="1"/>
  <c r="AU604" i="8" l="1"/>
  <c r="AT604" i="8"/>
  <c r="AS605" i="8"/>
  <c r="AQ604" i="8"/>
  <c r="AP604" i="8"/>
  <c r="AO605" i="8"/>
  <c r="AJ569" i="7"/>
  <c r="AK568" i="7"/>
  <c r="AL568" i="7"/>
  <c r="AP568" i="7"/>
  <c r="AO568" i="7"/>
  <c r="AL492" i="1"/>
  <c r="AK492" i="1"/>
  <c r="AJ493" i="1"/>
  <c r="AP492" i="1"/>
  <c r="AO492" i="1"/>
  <c r="AN493" i="1"/>
  <c r="AP605" i="8" l="1"/>
  <c r="AQ605" i="8"/>
  <c r="AO606" i="8"/>
  <c r="AT605" i="8"/>
  <c r="AU605" i="8"/>
  <c r="AS606" i="8"/>
  <c r="AJ570" i="7"/>
  <c r="AK569" i="7"/>
  <c r="AL569" i="7"/>
  <c r="AO569" i="7"/>
  <c r="AP569" i="7"/>
  <c r="AP493" i="1"/>
  <c r="AO493" i="1"/>
  <c r="AN494" i="1"/>
  <c r="AL493" i="1"/>
  <c r="AK493" i="1"/>
  <c r="AJ494" i="1"/>
  <c r="AU606" i="8" l="1"/>
  <c r="AT606" i="8"/>
  <c r="AS607" i="8"/>
  <c r="AQ606" i="8"/>
  <c r="AP606" i="8"/>
  <c r="AO607" i="8"/>
  <c r="AJ571" i="7"/>
  <c r="AK570" i="7"/>
  <c r="AL570" i="7"/>
  <c r="AP570" i="7"/>
  <c r="AO570" i="7"/>
  <c r="AL494" i="1"/>
  <c r="AK494" i="1"/>
  <c r="AJ495" i="1"/>
  <c r="AP494" i="1"/>
  <c r="AN495" i="1"/>
  <c r="AO494" i="1"/>
  <c r="AQ607" i="8" l="1"/>
  <c r="AP607" i="8"/>
  <c r="AO608" i="8"/>
  <c r="AT607" i="8"/>
  <c r="AU607" i="8"/>
  <c r="AS608" i="8"/>
  <c r="AJ572" i="7"/>
  <c r="AK571" i="7"/>
  <c r="AL571" i="7"/>
  <c r="AP571" i="7"/>
  <c r="AO571" i="7"/>
  <c r="AP495" i="1"/>
  <c r="AN496" i="1"/>
  <c r="AO495" i="1"/>
  <c r="AL495" i="1"/>
  <c r="AK495" i="1"/>
  <c r="AJ496" i="1"/>
  <c r="AU608" i="8" l="1"/>
  <c r="AT608" i="8"/>
  <c r="AS609" i="8"/>
  <c r="AQ608" i="8"/>
  <c r="AP608" i="8"/>
  <c r="AO609" i="8"/>
  <c r="AJ573" i="7"/>
  <c r="AK572" i="7"/>
  <c r="AL572" i="7"/>
  <c r="AP572" i="7"/>
  <c r="AO572" i="7"/>
  <c r="AL496" i="1"/>
  <c r="AK496" i="1"/>
  <c r="AJ497" i="1"/>
  <c r="AP496" i="1"/>
  <c r="AO496" i="1"/>
  <c r="AN497" i="1"/>
  <c r="AQ609" i="8" l="1"/>
  <c r="AP609" i="8"/>
  <c r="AO610" i="8"/>
  <c r="AT609" i="8"/>
  <c r="AU609" i="8"/>
  <c r="AS610" i="8"/>
  <c r="AJ574" i="7"/>
  <c r="AL573" i="7"/>
  <c r="AK573" i="7"/>
  <c r="AO573" i="7"/>
  <c r="AP573" i="7"/>
  <c r="AP497" i="1"/>
  <c r="AO497" i="1"/>
  <c r="AN498" i="1"/>
  <c r="AL497" i="1"/>
  <c r="AK497" i="1"/>
  <c r="AJ498" i="1"/>
  <c r="AU610" i="8" l="1"/>
  <c r="AT610" i="8"/>
  <c r="AS611" i="8"/>
  <c r="AQ610" i="8"/>
  <c r="AP610" i="8"/>
  <c r="AO611" i="8"/>
  <c r="AJ575" i="7"/>
  <c r="AK574" i="7"/>
  <c r="AL574" i="7"/>
  <c r="AP574" i="7"/>
  <c r="AO574" i="7"/>
  <c r="AL498" i="1"/>
  <c r="AK498" i="1"/>
  <c r="AJ499" i="1"/>
  <c r="AP498" i="1"/>
  <c r="AO498" i="1"/>
  <c r="AN499" i="1"/>
  <c r="AQ611" i="8" l="1"/>
  <c r="AP611" i="8"/>
  <c r="AO612" i="8"/>
  <c r="AT611" i="8"/>
  <c r="AU611" i="8"/>
  <c r="AS612" i="8"/>
  <c r="AJ576" i="7"/>
  <c r="AK575" i="7"/>
  <c r="AL575" i="7"/>
  <c r="AO575" i="7"/>
  <c r="AP575" i="7"/>
  <c r="AP499" i="1"/>
  <c r="AN500" i="1"/>
  <c r="AO499" i="1"/>
  <c r="AL499" i="1"/>
  <c r="AK499" i="1"/>
  <c r="AJ500" i="1"/>
  <c r="AU612" i="8" l="1"/>
  <c r="AT612" i="8"/>
  <c r="AS613" i="8"/>
  <c r="AQ612" i="8"/>
  <c r="AP612" i="8"/>
  <c r="AO613" i="8"/>
  <c r="AJ577" i="7"/>
  <c r="AK576" i="7"/>
  <c r="AL576" i="7"/>
  <c r="AO576" i="7"/>
  <c r="AP576" i="7"/>
  <c r="AL500" i="1"/>
  <c r="AK500" i="1"/>
  <c r="AJ501" i="1"/>
  <c r="AP500" i="1"/>
  <c r="AN501" i="1"/>
  <c r="AO500" i="1"/>
  <c r="AP613" i="8" l="1"/>
  <c r="AQ613" i="8"/>
  <c r="AO614" i="8"/>
  <c r="AT613" i="8"/>
  <c r="AU613" i="8"/>
  <c r="AS614" i="8"/>
  <c r="AJ578" i="7"/>
  <c r="AK577" i="7"/>
  <c r="AL577" i="7"/>
  <c r="AO577" i="7"/>
  <c r="AP577" i="7"/>
  <c r="AP501" i="1"/>
  <c r="AN502" i="1"/>
  <c r="AO501" i="1"/>
  <c r="AL501" i="1"/>
  <c r="AK501" i="1"/>
  <c r="AJ502" i="1"/>
  <c r="AU614" i="8" l="1"/>
  <c r="AT614" i="8"/>
  <c r="AS615" i="8"/>
  <c r="AQ614" i="8"/>
  <c r="AP614" i="8"/>
  <c r="AO615" i="8"/>
  <c r="AJ579" i="7"/>
  <c r="AK578" i="7"/>
  <c r="AL578" i="7"/>
  <c r="AP578" i="7"/>
  <c r="AO578" i="7"/>
  <c r="AL502" i="1"/>
  <c r="AK502" i="1"/>
  <c r="AJ503" i="1"/>
  <c r="AP502" i="1"/>
  <c r="AO502" i="1"/>
  <c r="AN503" i="1"/>
  <c r="AQ615" i="8" l="1"/>
  <c r="AP615" i="8"/>
  <c r="AO616" i="8"/>
  <c r="AT615" i="8"/>
  <c r="AU615" i="8"/>
  <c r="AS616" i="8"/>
  <c r="AJ580" i="7"/>
  <c r="AK579" i="7"/>
  <c r="AL579" i="7"/>
  <c r="AO579" i="7"/>
  <c r="AP579" i="7"/>
  <c r="AP503" i="1"/>
  <c r="AN504" i="1"/>
  <c r="AO503" i="1"/>
  <c r="AL503" i="1"/>
  <c r="AK503" i="1"/>
  <c r="AJ504" i="1"/>
  <c r="AU616" i="8" l="1"/>
  <c r="AT616" i="8"/>
  <c r="AS617" i="8"/>
  <c r="AQ616" i="8"/>
  <c r="AP616" i="8"/>
  <c r="AO617" i="8"/>
  <c r="AJ581" i="7"/>
  <c r="AK580" i="7"/>
  <c r="AL580" i="7"/>
  <c r="AP580" i="7"/>
  <c r="AO580" i="7"/>
  <c r="AL504" i="1"/>
  <c r="AK504" i="1"/>
  <c r="AJ505" i="1"/>
  <c r="AP504" i="1"/>
  <c r="AN505" i="1"/>
  <c r="AO504" i="1"/>
  <c r="AQ617" i="8" l="1"/>
  <c r="AP617" i="8"/>
  <c r="AO618" i="8"/>
  <c r="AT617" i="8"/>
  <c r="AU617" i="8"/>
  <c r="AS618" i="8"/>
  <c r="AJ582" i="7"/>
  <c r="AL581" i="7"/>
  <c r="AK581" i="7"/>
  <c r="AO581" i="7"/>
  <c r="AP581" i="7"/>
  <c r="AP505" i="1"/>
  <c r="AN506" i="1"/>
  <c r="AO505" i="1"/>
  <c r="AL505" i="1"/>
  <c r="AK505" i="1"/>
  <c r="AJ506" i="1"/>
  <c r="AU618" i="8" l="1"/>
  <c r="AT618" i="8"/>
  <c r="AS619" i="8"/>
  <c r="AQ618" i="8"/>
  <c r="AP618" i="8"/>
  <c r="AO619" i="8"/>
  <c r="AJ583" i="7"/>
  <c r="AK582" i="7"/>
  <c r="AL582" i="7"/>
  <c r="AP582" i="7"/>
  <c r="AO582" i="7"/>
  <c r="AL506" i="1"/>
  <c r="AK506" i="1"/>
  <c r="AJ507" i="1"/>
  <c r="AP506" i="1"/>
  <c r="AN507" i="1"/>
  <c r="AO506" i="1"/>
  <c r="AQ619" i="8" l="1"/>
  <c r="AP619" i="8"/>
  <c r="AO620" i="8"/>
  <c r="AT619" i="8"/>
  <c r="AU619" i="8"/>
  <c r="AS620" i="8"/>
  <c r="AJ584" i="7"/>
  <c r="AL583" i="7"/>
  <c r="AK583" i="7"/>
  <c r="AO583" i="7"/>
  <c r="AP583" i="7"/>
  <c r="AP507" i="1"/>
  <c r="AO507" i="1"/>
  <c r="AN508" i="1"/>
  <c r="AL507" i="1"/>
  <c r="AK507" i="1"/>
  <c r="AJ508" i="1"/>
  <c r="AU620" i="8" l="1"/>
  <c r="AT620" i="8"/>
  <c r="AS621" i="8"/>
  <c r="AQ620" i="8"/>
  <c r="AP620" i="8"/>
  <c r="AO621" i="8"/>
  <c r="AJ585" i="7"/>
  <c r="AK584" i="7"/>
  <c r="AL584" i="7"/>
  <c r="AP584" i="7"/>
  <c r="AO584" i="7"/>
  <c r="AL508" i="1"/>
  <c r="AK508" i="1"/>
  <c r="AJ509" i="1"/>
  <c r="AP508" i="1"/>
  <c r="AO508" i="1"/>
  <c r="AN509" i="1"/>
  <c r="AP621" i="8" l="1"/>
  <c r="AQ621" i="8"/>
  <c r="AO622" i="8"/>
  <c r="AT621" i="8"/>
  <c r="AU621" i="8"/>
  <c r="AS622" i="8"/>
  <c r="AJ586" i="7"/>
  <c r="AK585" i="7"/>
  <c r="AL585" i="7"/>
  <c r="AO585" i="7"/>
  <c r="AP585" i="7"/>
  <c r="AP509" i="1"/>
  <c r="AN510" i="1"/>
  <c r="AO509" i="1"/>
  <c r="AL509" i="1"/>
  <c r="AK509" i="1"/>
  <c r="AJ510" i="1"/>
  <c r="AU622" i="8" l="1"/>
  <c r="AT622" i="8"/>
  <c r="AS623" i="8"/>
  <c r="AQ622" i="8"/>
  <c r="AP622" i="8"/>
  <c r="AO623" i="8"/>
  <c r="AJ587" i="7"/>
  <c r="AK586" i="7"/>
  <c r="AL586" i="7"/>
  <c r="AP586" i="7"/>
  <c r="AO586" i="7"/>
  <c r="AL510" i="1"/>
  <c r="AK510" i="1"/>
  <c r="AJ511" i="1"/>
  <c r="AP510" i="1"/>
  <c r="AO510" i="1"/>
  <c r="AN511" i="1"/>
  <c r="AQ623" i="8" l="1"/>
  <c r="AP623" i="8"/>
  <c r="AO624" i="8"/>
  <c r="AT623" i="8"/>
  <c r="AU623" i="8"/>
  <c r="AS624" i="8"/>
  <c r="AJ588" i="7"/>
  <c r="AK587" i="7"/>
  <c r="AL587" i="7"/>
  <c r="AP587" i="7"/>
  <c r="AO587" i="7"/>
  <c r="AP511" i="1"/>
  <c r="AN512" i="1"/>
  <c r="AO511" i="1"/>
  <c r="AL511" i="1"/>
  <c r="AK511" i="1"/>
  <c r="AJ512" i="1"/>
  <c r="AU624" i="8" l="1"/>
  <c r="AT624" i="8"/>
  <c r="AS625" i="8"/>
  <c r="AQ624" i="8"/>
  <c r="AP624" i="8"/>
  <c r="AO625" i="8"/>
  <c r="AJ589" i="7"/>
  <c r="AK588" i="7"/>
  <c r="AL588" i="7"/>
  <c r="AP588" i="7"/>
  <c r="AO588" i="7"/>
  <c r="AL512" i="1"/>
  <c r="AK512" i="1"/>
  <c r="AJ513" i="1"/>
  <c r="AP512" i="1"/>
  <c r="AO512" i="1"/>
  <c r="AN513" i="1"/>
  <c r="AQ625" i="8" l="1"/>
  <c r="AP625" i="8"/>
  <c r="AO626" i="8"/>
  <c r="AT625" i="8"/>
  <c r="AU625" i="8"/>
  <c r="AS626" i="8"/>
  <c r="AJ590" i="7"/>
  <c r="AL589" i="7"/>
  <c r="AK589" i="7"/>
  <c r="AO589" i="7"/>
  <c r="AP589" i="7"/>
  <c r="AL513" i="1"/>
  <c r="AK513" i="1"/>
  <c r="AJ514" i="1"/>
  <c r="AP513" i="1"/>
  <c r="AO513" i="1"/>
  <c r="AN514" i="1"/>
  <c r="AU626" i="8" l="1"/>
  <c r="AT626" i="8"/>
  <c r="AS627" i="8"/>
  <c r="AQ626" i="8"/>
  <c r="AP626" i="8"/>
  <c r="AO627" i="8"/>
  <c r="AJ591" i="7"/>
  <c r="AK590" i="7"/>
  <c r="AL590" i="7"/>
  <c r="AP590" i="7"/>
  <c r="AO590" i="7"/>
  <c r="AL514" i="1"/>
  <c r="AK514" i="1"/>
  <c r="AJ515" i="1"/>
  <c r="AP514" i="1"/>
  <c r="AN515" i="1"/>
  <c r="AO514" i="1"/>
  <c r="AQ627" i="8" l="1"/>
  <c r="AP627" i="8"/>
  <c r="AO628" i="8"/>
  <c r="AT627" i="8"/>
  <c r="AU627" i="8"/>
  <c r="AS628" i="8"/>
  <c r="AJ592" i="7"/>
  <c r="AL591" i="7"/>
  <c r="AK591" i="7"/>
  <c r="AO591" i="7"/>
  <c r="AP591" i="7"/>
  <c r="AP515" i="1"/>
  <c r="AN516" i="1"/>
  <c r="AO515" i="1"/>
  <c r="AL515" i="1"/>
  <c r="AK515" i="1"/>
  <c r="AJ516" i="1"/>
  <c r="AU628" i="8" l="1"/>
  <c r="AT628" i="8"/>
  <c r="AS629" i="8"/>
  <c r="AQ628" i="8"/>
  <c r="AP628" i="8"/>
  <c r="AO629" i="8"/>
  <c r="AJ593" i="7"/>
  <c r="AK592" i="7"/>
  <c r="AL592" i="7"/>
  <c r="AO592" i="7"/>
  <c r="AP592" i="7"/>
  <c r="AL516" i="1"/>
  <c r="AK516" i="1"/>
  <c r="AJ517" i="1"/>
  <c r="AP516" i="1"/>
  <c r="AO516" i="1"/>
  <c r="AN517" i="1"/>
  <c r="AP629" i="8" l="1"/>
  <c r="AQ629" i="8"/>
  <c r="AO630" i="8"/>
  <c r="AT629" i="8"/>
  <c r="AU629" i="8"/>
  <c r="AS630" i="8"/>
  <c r="AJ594" i="7"/>
  <c r="AK593" i="7"/>
  <c r="AL593" i="7"/>
  <c r="AO593" i="7"/>
  <c r="AP593" i="7"/>
  <c r="AP517" i="1"/>
  <c r="AO517" i="1"/>
  <c r="AN518" i="1"/>
  <c r="AL517" i="1"/>
  <c r="AK517" i="1"/>
  <c r="AJ518" i="1"/>
  <c r="AU630" i="8" l="1"/>
  <c r="AT630" i="8"/>
  <c r="AS631" i="8"/>
  <c r="AQ630" i="8"/>
  <c r="AP630" i="8"/>
  <c r="AO631" i="8"/>
  <c r="AJ595" i="7"/>
  <c r="AK594" i="7"/>
  <c r="AL594" i="7"/>
  <c r="AP594" i="7"/>
  <c r="AO594" i="7"/>
  <c r="AL518" i="1"/>
  <c r="AK518" i="1"/>
  <c r="AJ519" i="1"/>
  <c r="AP518" i="1"/>
  <c r="AN519" i="1"/>
  <c r="AO518" i="1"/>
  <c r="AQ631" i="8" l="1"/>
  <c r="AP631" i="8"/>
  <c r="AO632" i="8"/>
  <c r="AT631" i="8"/>
  <c r="AU631" i="8"/>
  <c r="AS632" i="8"/>
  <c r="AJ596" i="7"/>
  <c r="AK595" i="7"/>
  <c r="AL595" i="7"/>
  <c r="AO595" i="7"/>
  <c r="AP595" i="7"/>
  <c r="AP519" i="1"/>
  <c r="AN520" i="1"/>
  <c r="AO519" i="1"/>
  <c r="AL519" i="1"/>
  <c r="AK519" i="1"/>
  <c r="AJ520" i="1"/>
  <c r="AU632" i="8" l="1"/>
  <c r="AT632" i="8"/>
  <c r="AS633" i="8"/>
  <c r="AQ632" i="8"/>
  <c r="AP632" i="8"/>
  <c r="AO633" i="8"/>
  <c r="AJ597" i="7"/>
  <c r="AK596" i="7"/>
  <c r="AL596" i="7"/>
  <c r="AP596" i="7"/>
  <c r="AO596" i="7"/>
  <c r="AL520" i="1"/>
  <c r="AK520" i="1"/>
  <c r="AJ521" i="1"/>
  <c r="AP520" i="1"/>
  <c r="AO520" i="1"/>
  <c r="AN521" i="1"/>
  <c r="AQ633" i="8" l="1"/>
  <c r="AP633" i="8"/>
  <c r="AO634" i="8"/>
  <c r="AU633" i="8"/>
  <c r="AT633" i="8"/>
  <c r="AS634" i="8"/>
  <c r="AJ598" i="7"/>
  <c r="AL597" i="7"/>
  <c r="AK597" i="7"/>
  <c r="AO597" i="7"/>
  <c r="AP597" i="7"/>
  <c r="AP521" i="1"/>
  <c r="AO521" i="1"/>
  <c r="AN522" i="1"/>
  <c r="AL521" i="1"/>
  <c r="AK521" i="1"/>
  <c r="AJ522" i="1"/>
  <c r="AT634" i="8" l="1"/>
  <c r="AU634" i="8"/>
  <c r="AS635" i="8"/>
  <c r="AQ634" i="8"/>
  <c r="AP634" i="8"/>
  <c r="AO635" i="8"/>
  <c r="AJ599" i="7"/>
  <c r="AK598" i="7"/>
  <c r="AL598" i="7"/>
  <c r="AP598" i="7"/>
  <c r="AO598" i="7"/>
  <c r="AL522" i="1"/>
  <c r="AK522" i="1"/>
  <c r="AJ523" i="1"/>
  <c r="AP522" i="1"/>
  <c r="AN523" i="1"/>
  <c r="AO522" i="1"/>
  <c r="AP635" i="8" l="1"/>
  <c r="AQ635" i="8"/>
  <c r="AO636" i="8"/>
  <c r="AT635" i="8"/>
  <c r="AU635" i="8"/>
  <c r="AS636" i="8"/>
  <c r="AJ600" i="7"/>
  <c r="AL599" i="7"/>
  <c r="AK599" i="7"/>
  <c r="AP599" i="7"/>
  <c r="AO599" i="7"/>
  <c r="AP523" i="1"/>
  <c r="AN524" i="1"/>
  <c r="AO523" i="1"/>
  <c r="AL523" i="1"/>
  <c r="AK523" i="1"/>
  <c r="AJ524" i="1"/>
  <c r="AQ636" i="8" l="1"/>
  <c r="AP636" i="8"/>
  <c r="AO637" i="8"/>
  <c r="AU636" i="8"/>
  <c r="AT636" i="8"/>
  <c r="AS637" i="8"/>
  <c r="AJ601" i="7"/>
  <c r="AK600" i="7"/>
  <c r="AL600" i="7"/>
  <c r="AP600" i="7"/>
  <c r="AO600" i="7"/>
  <c r="AL524" i="1"/>
  <c r="AK524" i="1"/>
  <c r="AJ525" i="1"/>
  <c r="AP524" i="1"/>
  <c r="AO524" i="1"/>
  <c r="AN525" i="1"/>
  <c r="AU637" i="8" l="1"/>
  <c r="AT637" i="8"/>
  <c r="AS638" i="8"/>
  <c r="AQ637" i="8"/>
  <c r="AP637" i="8"/>
  <c r="AO638" i="8"/>
  <c r="AJ602" i="7"/>
  <c r="AK601" i="7"/>
  <c r="AL601" i="7"/>
  <c r="AO601" i="7"/>
  <c r="AP601" i="7"/>
  <c r="AP525" i="1"/>
  <c r="AO525" i="1"/>
  <c r="AN526" i="1"/>
  <c r="AL525" i="1"/>
  <c r="AK525" i="1"/>
  <c r="AJ526" i="1"/>
  <c r="AQ638" i="8" l="1"/>
  <c r="AP638" i="8"/>
  <c r="AO639" i="8"/>
  <c r="AU638" i="8"/>
  <c r="AT638" i="8"/>
  <c r="AS639" i="8"/>
  <c r="AJ603" i="7"/>
  <c r="AK602" i="7"/>
  <c r="AL602" i="7"/>
  <c r="AP602" i="7"/>
  <c r="AO602" i="7"/>
  <c r="AL526" i="1"/>
  <c r="AK526" i="1"/>
  <c r="AJ527" i="1"/>
  <c r="AP526" i="1"/>
  <c r="AN527" i="1"/>
  <c r="AO526" i="1"/>
  <c r="AT639" i="8" l="1"/>
  <c r="AU639" i="8"/>
  <c r="AS640" i="8"/>
  <c r="AP639" i="8"/>
  <c r="AQ639" i="8"/>
  <c r="AO640" i="8"/>
  <c r="AJ604" i="7"/>
  <c r="AK603" i="7"/>
  <c r="AL603" i="7"/>
  <c r="AO603" i="7"/>
  <c r="AP603" i="7"/>
  <c r="AP527" i="1"/>
  <c r="AN528" i="1"/>
  <c r="AO527" i="1"/>
  <c r="AL527" i="1"/>
  <c r="AK527" i="1"/>
  <c r="AJ528" i="1"/>
  <c r="AQ640" i="8" l="1"/>
  <c r="AP640" i="8"/>
  <c r="AO641" i="8"/>
  <c r="AU640" i="8"/>
  <c r="AT640" i="8"/>
  <c r="AS641" i="8"/>
  <c r="AJ605" i="7"/>
  <c r="AK604" i="7"/>
  <c r="AL604" i="7"/>
  <c r="AP604" i="7"/>
  <c r="AO604" i="7"/>
  <c r="AL528" i="1"/>
  <c r="AK528" i="1"/>
  <c r="AJ529" i="1"/>
  <c r="AP528" i="1"/>
  <c r="AN529" i="1"/>
  <c r="AO528" i="1"/>
  <c r="AU641" i="8" l="1"/>
  <c r="AT641" i="8"/>
  <c r="AS642" i="8"/>
  <c r="AQ641" i="8"/>
  <c r="AP641" i="8"/>
  <c r="AO642" i="8"/>
  <c r="AJ606" i="7"/>
  <c r="AL605" i="7"/>
  <c r="AK605" i="7"/>
  <c r="AO605" i="7"/>
  <c r="AP605" i="7"/>
  <c r="AP529" i="1"/>
  <c r="AO529" i="1"/>
  <c r="AN530" i="1"/>
  <c r="AL529" i="1"/>
  <c r="AK529" i="1"/>
  <c r="AJ530" i="1"/>
  <c r="AQ642" i="8" l="1"/>
  <c r="AP642" i="8"/>
  <c r="AO643" i="8"/>
  <c r="AU642" i="8"/>
  <c r="AT642" i="8"/>
  <c r="AS643" i="8"/>
  <c r="AJ607" i="7"/>
  <c r="AK606" i="7"/>
  <c r="AL606" i="7"/>
  <c r="AP606" i="7"/>
  <c r="AO606" i="7"/>
  <c r="AL530" i="1"/>
  <c r="AK530" i="1"/>
  <c r="AJ531" i="1"/>
  <c r="AP530" i="1"/>
  <c r="AN531" i="1"/>
  <c r="AO530" i="1"/>
  <c r="AT643" i="8" l="1"/>
  <c r="AU643" i="8"/>
  <c r="AS644" i="8"/>
  <c r="AP643" i="8"/>
  <c r="AQ643" i="8"/>
  <c r="AO644" i="8"/>
  <c r="AJ608" i="7"/>
  <c r="AL607" i="7"/>
  <c r="AK607" i="7"/>
  <c r="AO607" i="7"/>
  <c r="AP607" i="7"/>
  <c r="AP531" i="1"/>
  <c r="AN532" i="1"/>
  <c r="AO531" i="1"/>
  <c r="AL531" i="1"/>
  <c r="AK531" i="1"/>
  <c r="AJ532" i="1"/>
  <c r="AQ644" i="8" l="1"/>
  <c r="AP644" i="8"/>
  <c r="AO645" i="8"/>
  <c r="AU644" i="8"/>
  <c r="AT644" i="8"/>
  <c r="AS645" i="8"/>
  <c r="AJ609" i="7"/>
  <c r="AK608" i="7"/>
  <c r="AL608" i="7"/>
  <c r="AO608" i="7"/>
  <c r="AP608" i="7"/>
  <c r="AL532" i="1"/>
  <c r="AK532" i="1"/>
  <c r="AJ533" i="1"/>
  <c r="AP532" i="1"/>
  <c r="AN533" i="1"/>
  <c r="AO532" i="1"/>
  <c r="AU645" i="8" l="1"/>
  <c r="AT645" i="8"/>
  <c r="AS646" i="8"/>
  <c r="AP645" i="8"/>
  <c r="AQ645" i="8"/>
  <c r="AO646" i="8"/>
  <c r="AJ610" i="7"/>
  <c r="AK609" i="7"/>
  <c r="AL609" i="7"/>
  <c r="AP609" i="7"/>
  <c r="AO609" i="7"/>
  <c r="AP533" i="1"/>
  <c r="AN534" i="1"/>
  <c r="AO533" i="1"/>
  <c r="AL533" i="1"/>
  <c r="AK533" i="1"/>
  <c r="AJ534" i="1"/>
  <c r="AQ646" i="8" l="1"/>
  <c r="AP646" i="8"/>
  <c r="AO647" i="8"/>
  <c r="AU646" i="8"/>
  <c r="AT646" i="8"/>
  <c r="AS647" i="8"/>
  <c r="AJ611" i="7"/>
  <c r="AK610" i="7"/>
  <c r="AL610" i="7"/>
  <c r="AP610" i="7"/>
  <c r="AO610" i="7"/>
  <c r="AL534" i="1"/>
  <c r="AK534" i="1"/>
  <c r="AJ535" i="1"/>
  <c r="AP534" i="1"/>
  <c r="AN535" i="1"/>
  <c r="AO534" i="1"/>
  <c r="AT647" i="8" l="1"/>
  <c r="AU647" i="8"/>
  <c r="AS648" i="8"/>
  <c r="AP647" i="8"/>
  <c r="AQ647" i="8"/>
  <c r="AO648" i="8"/>
  <c r="AJ612" i="7"/>
  <c r="AL611" i="7"/>
  <c r="AK611" i="7"/>
  <c r="AP611" i="7"/>
  <c r="AO611" i="7"/>
  <c r="AP535" i="1"/>
  <c r="AN536" i="1"/>
  <c r="AO535" i="1"/>
  <c r="AL535" i="1"/>
  <c r="AK535" i="1"/>
  <c r="AJ536" i="1"/>
  <c r="AP648" i="8" l="1"/>
  <c r="AQ648" i="8"/>
  <c r="AO649" i="8"/>
  <c r="AU648" i="8"/>
  <c r="AT648" i="8"/>
  <c r="AS649" i="8"/>
  <c r="AJ613" i="7"/>
  <c r="AK612" i="7"/>
  <c r="AL612" i="7"/>
  <c r="AO612" i="7"/>
  <c r="AP612" i="7"/>
  <c r="AL536" i="1"/>
  <c r="AK536" i="1"/>
  <c r="AJ537" i="1"/>
  <c r="AP536" i="1"/>
  <c r="AN537" i="1"/>
  <c r="AO536" i="1"/>
  <c r="AU649" i="8" l="1"/>
  <c r="AT649" i="8"/>
  <c r="AS650" i="8"/>
  <c r="AQ649" i="8"/>
  <c r="AP649" i="8"/>
  <c r="AO650" i="8"/>
  <c r="AJ614" i="7"/>
  <c r="AL613" i="7"/>
  <c r="AK613" i="7"/>
  <c r="AO613" i="7"/>
  <c r="AP613" i="7"/>
  <c r="AP537" i="1"/>
  <c r="AO537" i="1"/>
  <c r="AN538" i="1"/>
  <c r="AL537" i="1"/>
  <c r="AK537" i="1"/>
  <c r="AJ538" i="1"/>
  <c r="AQ650" i="8" l="1"/>
  <c r="AP650" i="8"/>
  <c r="AO651" i="8"/>
  <c r="AT650" i="8"/>
  <c r="AU650" i="8"/>
  <c r="AS651" i="8"/>
  <c r="AJ615" i="7"/>
  <c r="AK614" i="7"/>
  <c r="AL614" i="7"/>
  <c r="AP614" i="7"/>
  <c r="AO614" i="7"/>
  <c r="AL538" i="1"/>
  <c r="AK538" i="1"/>
  <c r="AJ539" i="1"/>
  <c r="AP538" i="1"/>
  <c r="AO538" i="1"/>
  <c r="AN539" i="1"/>
  <c r="AT651" i="8" l="1"/>
  <c r="AU651" i="8"/>
  <c r="AS652" i="8"/>
  <c r="AP651" i="8"/>
  <c r="AQ651" i="8"/>
  <c r="AO652" i="8"/>
  <c r="AJ616" i="7"/>
  <c r="AL615" i="7"/>
  <c r="AK615" i="7"/>
  <c r="AO615" i="7"/>
  <c r="AP615" i="7"/>
  <c r="AP539" i="1"/>
  <c r="AO539" i="1"/>
  <c r="AN540" i="1"/>
  <c r="AL539" i="1"/>
  <c r="AK539" i="1"/>
  <c r="AJ540" i="1"/>
  <c r="AQ652" i="8" l="1"/>
  <c r="AP652" i="8"/>
  <c r="AO653" i="8"/>
  <c r="AU652" i="8"/>
  <c r="AT652" i="8"/>
  <c r="AS653" i="8"/>
  <c r="AJ617" i="7"/>
  <c r="AK616" i="7"/>
  <c r="AL616" i="7"/>
  <c r="AP616" i="7"/>
  <c r="AO616" i="7"/>
  <c r="AL540" i="1"/>
  <c r="AJ541" i="1"/>
  <c r="AK540" i="1"/>
  <c r="AP540" i="1"/>
  <c r="AN541" i="1"/>
  <c r="AO540" i="1"/>
  <c r="AU653" i="8" l="1"/>
  <c r="AT653" i="8"/>
  <c r="AS654" i="8"/>
  <c r="AQ653" i="8"/>
  <c r="AP653" i="8"/>
  <c r="AO654" i="8"/>
  <c r="AJ618" i="7"/>
  <c r="AK617" i="7"/>
  <c r="AL617" i="7"/>
  <c r="AO617" i="7"/>
  <c r="AP617" i="7"/>
  <c r="AP541" i="1"/>
  <c r="AN542" i="1"/>
  <c r="AO541" i="1"/>
  <c r="AL541" i="1"/>
  <c r="AJ542" i="1"/>
  <c r="AK541" i="1"/>
  <c r="AQ654" i="8" l="1"/>
  <c r="AP654" i="8"/>
  <c r="AO655" i="8"/>
  <c r="AT654" i="8"/>
  <c r="AU654" i="8"/>
  <c r="AS655" i="8"/>
  <c r="AJ619" i="7"/>
  <c r="AK618" i="7"/>
  <c r="AL618" i="7"/>
  <c r="AP618" i="7"/>
  <c r="AO618" i="7"/>
  <c r="AL542" i="1"/>
  <c r="AK542" i="1"/>
  <c r="AJ543" i="1"/>
  <c r="AP542" i="1"/>
  <c r="AO542" i="1"/>
  <c r="AN543" i="1"/>
  <c r="AT655" i="8" l="1"/>
  <c r="AU655" i="8"/>
  <c r="AS656" i="8"/>
  <c r="AP655" i="8"/>
  <c r="AQ655" i="8"/>
  <c r="AO656" i="8"/>
  <c r="AJ620" i="7"/>
  <c r="AL619" i="7"/>
  <c r="AK619" i="7"/>
  <c r="AO619" i="7"/>
  <c r="AP619" i="7"/>
  <c r="AP543" i="1"/>
  <c r="AN544" i="1"/>
  <c r="AO543" i="1"/>
  <c r="AL543" i="1"/>
  <c r="AJ544" i="1"/>
  <c r="AK543" i="1"/>
  <c r="AQ656" i="8" l="1"/>
  <c r="AP656" i="8"/>
  <c r="AO657" i="8"/>
  <c r="AU656" i="8"/>
  <c r="AT656" i="8"/>
  <c r="AS657" i="8"/>
  <c r="AJ621" i="7"/>
  <c r="AK620" i="7"/>
  <c r="AL620" i="7"/>
  <c r="AP620" i="7"/>
  <c r="AO620" i="7"/>
  <c r="AL544" i="1"/>
  <c r="AK544" i="1"/>
  <c r="AJ545" i="1"/>
  <c r="AP544" i="1"/>
  <c r="AO544" i="1"/>
  <c r="AN545" i="1"/>
  <c r="AU657" i="8" l="1"/>
  <c r="AT657" i="8"/>
  <c r="AS658" i="8"/>
  <c r="AQ657" i="8"/>
  <c r="AP657" i="8"/>
  <c r="AO658" i="8"/>
  <c r="AJ622" i="7"/>
  <c r="AL621" i="7"/>
  <c r="AK621" i="7"/>
  <c r="AO621" i="7"/>
  <c r="AP621" i="7"/>
  <c r="AP545" i="1"/>
  <c r="AN546" i="1"/>
  <c r="AO545" i="1"/>
  <c r="AL545" i="1"/>
  <c r="AJ546" i="1"/>
  <c r="AK545" i="1"/>
  <c r="AQ658" i="8" l="1"/>
  <c r="AP658" i="8"/>
  <c r="AO659" i="8"/>
  <c r="AU658" i="8"/>
  <c r="AT658" i="8"/>
  <c r="AS659" i="8"/>
  <c r="AJ623" i="7"/>
  <c r="AK622" i="7"/>
  <c r="AL622" i="7"/>
  <c r="AP622" i="7"/>
  <c r="AO622" i="7"/>
  <c r="AL546" i="1"/>
  <c r="AK546" i="1"/>
  <c r="AJ547" i="1"/>
  <c r="AP546" i="1"/>
  <c r="AO546" i="1"/>
  <c r="AN547" i="1"/>
  <c r="AT659" i="8" l="1"/>
  <c r="AU659" i="8"/>
  <c r="AS660" i="8"/>
  <c r="AP659" i="8"/>
  <c r="AQ659" i="8"/>
  <c r="AO660" i="8"/>
  <c r="AJ624" i="7"/>
  <c r="AL623" i="7"/>
  <c r="AK623" i="7"/>
  <c r="AO623" i="7"/>
  <c r="AP623" i="7"/>
  <c r="AP547" i="1"/>
  <c r="AN548" i="1"/>
  <c r="AO547" i="1"/>
  <c r="AL547" i="1"/>
  <c r="AK547" i="1"/>
  <c r="AJ548" i="1"/>
  <c r="AQ660" i="8" l="1"/>
  <c r="AP660" i="8"/>
  <c r="AO661" i="8"/>
  <c r="AU660" i="8"/>
  <c r="AT660" i="8"/>
  <c r="AS661" i="8"/>
  <c r="AJ625" i="7"/>
  <c r="AK624" i="7"/>
  <c r="AL624" i="7"/>
  <c r="AO624" i="7"/>
  <c r="AP624" i="7"/>
  <c r="AL548" i="1"/>
  <c r="AK548" i="1"/>
  <c r="AJ549" i="1"/>
  <c r="AP548" i="1"/>
  <c r="AO548" i="1"/>
  <c r="AN549" i="1"/>
  <c r="AU661" i="8" l="1"/>
  <c r="AT661" i="8"/>
  <c r="AS662" i="8"/>
  <c r="AP661" i="8"/>
  <c r="AQ661" i="8"/>
  <c r="AO662" i="8"/>
  <c r="AJ626" i="7"/>
  <c r="AK625" i="7"/>
  <c r="AL625" i="7"/>
  <c r="AO625" i="7"/>
  <c r="AP625" i="7"/>
  <c r="AP549" i="1"/>
  <c r="AO549" i="1"/>
  <c r="AN550" i="1"/>
  <c r="AL549" i="1"/>
  <c r="AK549" i="1"/>
  <c r="AJ550" i="1"/>
  <c r="AQ662" i="8" l="1"/>
  <c r="AP662" i="8"/>
  <c r="AO663" i="8"/>
  <c r="AU662" i="8"/>
  <c r="AT662" i="8"/>
  <c r="AS663" i="8"/>
  <c r="AJ627" i="7"/>
  <c r="AK626" i="7"/>
  <c r="AL626" i="7"/>
  <c r="AP626" i="7"/>
  <c r="AO626" i="7"/>
  <c r="AL550" i="1"/>
  <c r="AJ551" i="1"/>
  <c r="AK550" i="1"/>
  <c r="AP550" i="1"/>
  <c r="AN551" i="1"/>
  <c r="AO550" i="1"/>
  <c r="AT663" i="8" l="1"/>
  <c r="AU663" i="8"/>
  <c r="AS664" i="8"/>
  <c r="AP663" i="8"/>
  <c r="AQ663" i="8"/>
  <c r="AO664" i="8"/>
  <c r="AJ628" i="7"/>
  <c r="AL627" i="7"/>
  <c r="AK627" i="7"/>
  <c r="AO627" i="7"/>
  <c r="AP627" i="7"/>
  <c r="AP551" i="1"/>
  <c r="AO551" i="1"/>
  <c r="AN552" i="1"/>
  <c r="AL551" i="1"/>
  <c r="AK551" i="1"/>
  <c r="AJ552" i="1"/>
  <c r="AP664" i="8" l="1"/>
  <c r="AQ664" i="8"/>
  <c r="AO665" i="8"/>
  <c r="AU664" i="8"/>
  <c r="AT664" i="8"/>
  <c r="AS665" i="8"/>
  <c r="AJ629" i="7"/>
  <c r="AL628" i="7"/>
  <c r="AK628" i="7"/>
  <c r="AP628" i="7"/>
  <c r="AO628" i="7"/>
  <c r="AL552" i="1"/>
  <c r="AK552" i="1"/>
  <c r="AJ553" i="1"/>
  <c r="AP552" i="1"/>
  <c r="AO552" i="1"/>
  <c r="AN553" i="1"/>
  <c r="AU665" i="8" l="1"/>
  <c r="AT665" i="8"/>
  <c r="AS666" i="8"/>
  <c r="AQ665" i="8"/>
  <c r="AP665" i="8"/>
  <c r="AO666" i="8"/>
  <c r="AJ630" i="7"/>
  <c r="AL629" i="7"/>
  <c r="AK629" i="7"/>
  <c r="AP629" i="7"/>
  <c r="AO629" i="7"/>
  <c r="AP553" i="1"/>
  <c r="AO553" i="1"/>
  <c r="AN554" i="1"/>
  <c r="AL553" i="1"/>
  <c r="AK553" i="1"/>
  <c r="AJ554" i="1"/>
  <c r="AQ666" i="8" l="1"/>
  <c r="AP666" i="8"/>
  <c r="AO667" i="8"/>
  <c r="AU666" i="8"/>
  <c r="AT666" i="8"/>
  <c r="AS667" i="8"/>
  <c r="AJ631" i="7"/>
  <c r="AK630" i="7"/>
  <c r="AL630" i="7"/>
  <c r="AO630" i="7"/>
  <c r="AP630" i="7"/>
  <c r="AL554" i="1"/>
  <c r="AJ555" i="1"/>
  <c r="AK554" i="1"/>
  <c r="AP554" i="1"/>
  <c r="AN555" i="1"/>
  <c r="AO554" i="1"/>
  <c r="AT667" i="8" l="1"/>
  <c r="AU667" i="8"/>
  <c r="AS668" i="8"/>
  <c r="AP667" i="8"/>
  <c r="AQ667" i="8"/>
  <c r="AO668" i="8"/>
  <c r="AJ632" i="7"/>
  <c r="AK631" i="7"/>
  <c r="AL631" i="7"/>
  <c r="AP631" i="7"/>
  <c r="AO631" i="7"/>
  <c r="AP555" i="1"/>
  <c r="AN556" i="1"/>
  <c r="AO555" i="1"/>
  <c r="AL555" i="1"/>
  <c r="AJ556" i="1"/>
  <c r="AK555" i="1"/>
  <c r="AQ668" i="8" l="1"/>
  <c r="AP668" i="8"/>
  <c r="AO669" i="8"/>
  <c r="AU668" i="8"/>
  <c r="AT668" i="8"/>
  <c r="AS669" i="8"/>
  <c r="AJ633" i="7"/>
  <c r="AK632" i="7"/>
  <c r="AL632" i="7"/>
  <c r="AO632" i="7"/>
  <c r="AP632" i="7"/>
  <c r="AL556" i="1"/>
  <c r="AK556" i="1"/>
  <c r="AJ557" i="1"/>
  <c r="AP556" i="1"/>
  <c r="AO556" i="1"/>
  <c r="AN557" i="1"/>
  <c r="AU669" i="8" l="1"/>
  <c r="AT669" i="8"/>
  <c r="AS670" i="8"/>
  <c r="AQ669" i="8"/>
  <c r="AP669" i="8"/>
  <c r="AO670" i="8"/>
  <c r="AJ634" i="7"/>
  <c r="AK633" i="7"/>
  <c r="AL633" i="7"/>
  <c r="AP633" i="7"/>
  <c r="AO633" i="7"/>
  <c r="AP557" i="1"/>
  <c r="AN558" i="1"/>
  <c r="AO557" i="1"/>
  <c r="AL557" i="1"/>
  <c r="AJ558" i="1"/>
  <c r="AK557" i="1"/>
  <c r="AQ670" i="8" l="1"/>
  <c r="AP670" i="8"/>
  <c r="AO671" i="8"/>
  <c r="AT670" i="8"/>
  <c r="AU670" i="8"/>
  <c r="AS671" i="8"/>
  <c r="AJ635" i="7"/>
  <c r="AK634" i="7"/>
  <c r="AL634" i="7"/>
  <c r="AO634" i="7"/>
  <c r="AP634" i="7"/>
  <c r="AL558" i="1"/>
  <c r="AK558" i="1"/>
  <c r="AJ559" i="1"/>
  <c r="AP558" i="1"/>
  <c r="AO558" i="1"/>
  <c r="AN559" i="1"/>
  <c r="AT671" i="8" l="1"/>
  <c r="AU671" i="8"/>
  <c r="AS672" i="8"/>
  <c r="AP671" i="8"/>
  <c r="AQ671" i="8"/>
  <c r="AO672" i="8"/>
  <c r="AJ636" i="7"/>
  <c r="AL635" i="7"/>
  <c r="AK635" i="7"/>
  <c r="AP635" i="7"/>
  <c r="AO635" i="7"/>
  <c r="AP559" i="1"/>
  <c r="AN560" i="1"/>
  <c r="AO559" i="1"/>
  <c r="AL559" i="1"/>
  <c r="AJ560" i="1"/>
  <c r="AK559" i="1"/>
  <c r="AQ672" i="8" l="1"/>
  <c r="AP672" i="8"/>
  <c r="AO673" i="8"/>
  <c r="AU672" i="8"/>
  <c r="AT672" i="8"/>
  <c r="AS673" i="8"/>
  <c r="AJ637" i="7"/>
  <c r="AK636" i="7"/>
  <c r="AL636" i="7"/>
  <c r="AP636" i="7"/>
  <c r="AO636" i="7"/>
  <c r="AL560" i="1"/>
  <c r="AK560" i="1"/>
  <c r="AJ561" i="1"/>
  <c r="AP560" i="1"/>
  <c r="AO560" i="1"/>
  <c r="AN561" i="1"/>
  <c r="AU673" i="8" l="1"/>
  <c r="AT673" i="8"/>
  <c r="AS674" i="8"/>
  <c r="AQ673" i="8"/>
  <c r="AP673" i="8"/>
  <c r="AO674" i="8"/>
  <c r="AJ638" i="7"/>
  <c r="AL637" i="7"/>
  <c r="AK637" i="7"/>
  <c r="AP637" i="7"/>
  <c r="AO637" i="7"/>
  <c r="AP561" i="1"/>
  <c r="AN562" i="1"/>
  <c r="AO561" i="1"/>
  <c r="AL561" i="1"/>
  <c r="AJ562" i="1"/>
  <c r="AK561" i="1"/>
  <c r="AQ674" i="8" l="1"/>
  <c r="AP674" i="8"/>
  <c r="AO675" i="8"/>
  <c r="AU674" i="8"/>
  <c r="AT674" i="8"/>
  <c r="AS675" i="8"/>
  <c r="AJ639" i="7"/>
  <c r="AL638" i="7"/>
  <c r="AK638" i="7"/>
  <c r="AP638" i="7"/>
  <c r="AO638" i="7"/>
  <c r="AL562" i="1"/>
  <c r="AK562" i="1"/>
  <c r="AJ563" i="1"/>
  <c r="AP562" i="1"/>
  <c r="AO562" i="1"/>
  <c r="AN563" i="1"/>
  <c r="AT675" i="8" l="1"/>
  <c r="AU675" i="8"/>
  <c r="AS676" i="8"/>
  <c r="AP675" i="8"/>
  <c r="AQ675" i="8"/>
  <c r="AO676" i="8"/>
  <c r="AJ640" i="7"/>
  <c r="AK639" i="7"/>
  <c r="AL639" i="7"/>
  <c r="AP639" i="7"/>
  <c r="AO639" i="7"/>
  <c r="AP563" i="1"/>
  <c r="AN564" i="1"/>
  <c r="AO563" i="1"/>
  <c r="AL563" i="1"/>
  <c r="AJ564" i="1"/>
  <c r="AK563" i="1"/>
  <c r="AP676" i="8" l="1"/>
  <c r="AQ676" i="8"/>
  <c r="AO677" i="8"/>
  <c r="AU676" i="8"/>
  <c r="AT676" i="8"/>
  <c r="AS677" i="8"/>
  <c r="AJ641" i="7"/>
  <c r="AK640" i="7"/>
  <c r="AL640" i="7"/>
  <c r="AP640" i="7"/>
  <c r="AO640" i="7"/>
  <c r="AL564" i="1"/>
  <c r="AJ565" i="1"/>
  <c r="AK564" i="1"/>
  <c r="AP564" i="1"/>
  <c r="AN565" i="1"/>
  <c r="AO564" i="1"/>
  <c r="AU677" i="8" l="1"/>
  <c r="AT677" i="8"/>
  <c r="AS678" i="8"/>
  <c r="AP677" i="8"/>
  <c r="AQ677" i="8"/>
  <c r="AO678" i="8"/>
  <c r="AJ642" i="7"/>
  <c r="AL641" i="7"/>
  <c r="AK641" i="7"/>
  <c r="AO641" i="7"/>
  <c r="AP641" i="7"/>
  <c r="AP565" i="1"/>
  <c r="AO565" i="1"/>
  <c r="AN566" i="1"/>
  <c r="AL565" i="1"/>
  <c r="AK565" i="1"/>
  <c r="AJ566" i="1"/>
  <c r="AU678" i="8" l="1"/>
  <c r="AT678" i="8"/>
  <c r="AS679" i="8"/>
  <c r="AQ678" i="8"/>
  <c r="AP678" i="8"/>
  <c r="AO679" i="8"/>
  <c r="AJ643" i="7"/>
  <c r="AK642" i="7"/>
  <c r="AL642" i="7"/>
  <c r="AP642" i="7"/>
  <c r="AO642" i="7"/>
  <c r="AL566" i="1"/>
  <c r="AJ567" i="1"/>
  <c r="AK566" i="1"/>
  <c r="AP566" i="1"/>
  <c r="AN567" i="1"/>
  <c r="AO566" i="1"/>
  <c r="AP679" i="8" l="1"/>
  <c r="AQ679" i="8"/>
  <c r="AO680" i="8"/>
  <c r="AT679" i="8"/>
  <c r="AU679" i="8"/>
  <c r="AS680" i="8"/>
  <c r="AJ644" i="7"/>
  <c r="AL643" i="7"/>
  <c r="AK643" i="7"/>
  <c r="AO643" i="7"/>
  <c r="AP643" i="7"/>
  <c r="AP567" i="1"/>
  <c r="AN568" i="1"/>
  <c r="AO567" i="1"/>
  <c r="AL567" i="1"/>
  <c r="AJ568" i="1"/>
  <c r="AK567" i="1"/>
  <c r="AU680" i="8" l="1"/>
  <c r="AT680" i="8"/>
  <c r="AS681" i="8"/>
  <c r="AP680" i="8"/>
  <c r="AQ680" i="8"/>
  <c r="AO681" i="8"/>
  <c r="AJ645" i="7"/>
  <c r="AL644" i="7"/>
  <c r="AK644" i="7"/>
  <c r="AP644" i="7"/>
  <c r="AO644" i="7"/>
  <c r="AL568" i="1"/>
  <c r="AK568" i="1"/>
  <c r="AJ569" i="1"/>
  <c r="AP568" i="1"/>
  <c r="AO568" i="1"/>
  <c r="AN569" i="1"/>
  <c r="AQ681" i="8" l="1"/>
  <c r="AP681" i="8"/>
  <c r="AO682" i="8"/>
  <c r="AU681" i="8"/>
  <c r="AT681" i="8"/>
  <c r="AS682" i="8"/>
  <c r="AJ646" i="7"/>
  <c r="AL645" i="7"/>
  <c r="AK645" i="7"/>
  <c r="AP645" i="7"/>
  <c r="AO645" i="7"/>
  <c r="AP569" i="1"/>
  <c r="AN570" i="1"/>
  <c r="AO569" i="1"/>
  <c r="AL569" i="1"/>
  <c r="AJ570" i="1"/>
  <c r="AK569" i="1"/>
  <c r="AU682" i="8" l="1"/>
  <c r="AT682" i="8"/>
  <c r="AS683" i="8"/>
  <c r="AQ682" i="8"/>
  <c r="AP682" i="8"/>
  <c r="AO683" i="8"/>
  <c r="AJ647" i="7"/>
  <c r="AK646" i="7"/>
  <c r="AL646" i="7"/>
  <c r="AP646" i="7"/>
  <c r="AO646" i="7"/>
  <c r="AL570" i="1"/>
  <c r="AK570" i="1"/>
  <c r="AJ571" i="1"/>
  <c r="AP570" i="1"/>
  <c r="AO570" i="1"/>
  <c r="AN571" i="1"/>
  <c r="AP683" i="8" l="1"/>
  <c r="AQ683" i="8"/>
  <c r="AO684" i="8"/>
  <c r="AT683" i="8"/>
  <c r="AU683" i="8"/>
  <c r="AS684" i="8"/>
  <c r="AJ648" i="7"/>
  <c r="AL647" i="7"/>
  <c r="AK647" i="7"/>
  <c r="AP647" i="7"/>
  <c r="AO647" i="7"/>
  <c r="AP571" i="1"/>
  <c r="AN572" i="1"/>
  <c r="AO571" i="1"/>
  <c r="AL571" i="1"/>
  <c r="AJ572" i="1"/>
  <c r="AK571" i="1"/>
  <c r="AU684" i="8" l="1"/>
  <c r="AT684" i="8"/>
  <c r="AS685" i="8"/>
  <c r="AQ684" i="8"/>
  <c r="AP684" i="8"/>
  <c r="AO685" i="8"/>
  <c r="AJ649" i="7"/>
  <c r="AK648" i="7"/>
  <c r="AL648" i="7"/>
  <c r="AO648" i="7"/>
  <c r="AP648" i="7"/>
  <c r="AL572" i="1"/>
  <c r="AJ573" i="1"/>
  <c r="AK572" i="1"/>
  <c r="AP572" i="1"/>
  <c r="AN573" i="1"/>
  <c r="AO572" i="1"/>
  <c r="AQ685" i="8" l="1"/>
  <c r="AP685" i="8"/>
  <c r="AO686" i="8"/>
  <c r="AU685" i="8"/>
  <c r="AT685" i="8"/>
  <c r="AS686" i="8"/>
  <c r="AJ650" i="7"/>
  <c r="AL649" i="7"/>
  <c r="AK649" i="7"/>
  <c r="AP649" i="7"/>
  <c r="AO649" i="7"/>
  <c r="AP573" i="1"/>
  <c r="AO573" i="1"/>
  <c r="AN574" i="1"/>
  <c r="AL573" i="1"/>
  <c r="AK573" i="1"/>
  <c r="AJ574" i="1"/>
  <c r="AT686" i="8" l="1"/>
  <c r="AU686" i="8"/>
  <c r="AS687" i="8"/>
  <c r="AQ686" i="8"/>
  <c r="AP686" i="8"/>
  <c r="AO687" i="8"/>
  <c r="AJ651" i="7"/>
  <c r="AL650" i="7"/>
  <c r="AK650" i="7"/>
  <c r="AO650" i="7"/>
  <c r="AP650" i="7"/>
  <c r="AL574" i="1"/>
  <c r="AJ575" i="1"/>
  <c r="AK574" i="1"/>
  <c r="AP574" i="1"/>
  <c r="AN575" i="1"/>
  <c r="AO574" i="1"/>
  <c r="AP687" i="8" l="1"/>
  <c r="AQ687" i="8"/>
  <c r="AO688" i="8"/>
  <c r="AT687" i="8"/>
  <c r="AU687" i="8"/>
  <c r="AS688" i="8"/>
  <c r="AJ652" i="7"/>
  <c r="AK651" i="7"/>
  <c r="AL651" i="7"/>
  <c r="AP651" i="7"/>
  <c r="AO651" i="7"/>
  <c r="AP575" i="1"/>
  <c r="AN576" i="1"/>
  <c r="AO575" i="1"/>
  <c r="AL575" i="1"/>
  <c r="AJ576" i="1"/>
  <c r="AK575" i="1"/>
  <c r="AU688" i="8" l="1"/>
  <c r="AT688" i="8"/>
  <c r="AS689" i="8"/>
  <c r="AQ688" i="8"/>
  <c r="AP688" i="8"/>
  <c r="AO689" i="8"/>
  <c r="AJ653" i="7"/>
  <c r="AL652" i="7"/>
  <c r="AK652" i="7"/>
  <c r="AO652" i="7"/>
  <c r="AP652" i="7"/>
  <c r="AL576" i="1"/>
  <c r="AK576" i="1"/>
  <c r="AJ577" i="1"/>
  <c r="AP576" i="1"/>
  <c r="AO576" i="1"/>
  <c r="AN577" i="1"/>
  <c r="AP689" i="8" l="1"/>
  <c r="AQ689" i="8"/>
  <c r="AO690" i="8"/>
  <c r="AU689" i="8"/>
  <c r="AT689" i="8"/>
  <c r="AS690" i="8"/>
  <c r="AJ654" i="7"/>
  <c r="AL653" i="7"/>
  <c r="AK653" i="7"/>
  <c r="AP653" i="7"/>
  <c r="AO653" i="7"/>
  <c r="AP577" i="1"/>
  <c r="AN578" i="1"/>
  <c r="AO577" i="1"/>
  <c r="AL577" i="1"/>
  <c r="AJ578" i="1"/>
  <c r="AK577" i="1"/>
  <c r="AU690" i="8" l="1"/>
  <c r="AT690" i="8"/>
  <c r="AS691" i="8"/>
  <c r="AQ690" i="8"/>
  <c r="AP690" i="8"/>
  <c r="AO691" i="8"/>
  <c r="AJ655" i="7"/>
  <c r="AK654" i="7"/>
  <c r="AL654" i="7"/>
  <c r="AP654" i="7"/>
  <c r="AO654" i="7"/>
  <c r="AL578" i="1"/>
  <c r="AJ579" i="1"/>
  <c r="AK578" i="1"/>
  <c r="AP578" i="1"/>
  <c r="AN579" i="1"/>
  <c r="AO578" i="1"/>
  <c r="AP691" i="8" l="1"/>
  <c r="AQ691" i="8"/>
  <c r="AO692" i="8"/>
  <c r="AT691" i="8"/>
  <c r="AU691" i="8"/>
  <c r="AS692" i="8"/>
  <c r="AJ656" i="7"/>
  <c r="AK655" i="7"/>
  <c r="AL655" i="7"/>
  <c r="AP655" i="7"/>
  <c r="AO655" i="7"/>
  <c r="AP579" i="1"/>
  <c r="AN580" i="1"/>
  <c r="AO579" i="1"/>
  <c r="AL579" i="1"/>
  <c r="AK579" i="1"/>
  <c r="AJ580" i="1"/>
  <c r="AU692" i="8" l="1"/>
  <c r="AT692" i="8"/>
  <c r="AS693" i="8"/>
  <c r="AQ692" i="8"/>
  <c r="AP692" i="8"/>
  <c r="AO693" i="8"/>
  <c r="AJ657" i="7"/>
  <c r="AK656" i="7"/>
  <c r="AL656" i="7"/>
  <c r="AO656" i="7"/>
  <c r="AP656" i="7"/>
  <c r="AL580" i="1"/>
  <c r="AK580" i="1"/>
  <c r="AJ581" i="1"/>
  <c r="AP580" i="1"/>
  <c r="AO580" i="1"/>
  <c r="AN581" i="1"/>
  <c r="AP693" i="8" l="1"/>
  <c r="AQ693" i="8"/>
  <c r="AO694" i="8"/>
  <c r="AU693" i="8"/>
  <c r="AT693" i="8"/>
  <c r="AS694" i="8"/>
  <c r="AJ658" i="7"/>
  <c r="AK657" i="7"/>
  <c r="AL657" i="7"/>
  <c r="AP657" i="7"/>
  <c r="AO657" i="7"/>
  <c r="AP581" i="1"/>
  <c r="AO581" i="1"/>
  <c r="AN582" i="1"/>
  <c r="AL581" i="1"/>
  <c r="AK581" i="1"/>
  <c r="AJ582" i="1"/>
  <c r="AU694" i="8" l="1"/>
  <c r="AT694" i="8"/>
  <c r="AS695" i="8"/>
  <c r="AQ694" i="8"/>
  <c r="AP694" i="8"/>
  <c r="AO695" i="8"/>
  <c r="AJ659" i="7"/>
  <c r="AK658" i="7"/>
  <c r="AL658" i="7"/>
  <c r="AO658" i="7"/>
  <c r="AP658" i="7"/>
  <c r="AL582" i="1"/>
  <c r="AJ583" i="1"/>
  <c r="AK582" i="1"/>
  <c r="AP582" i="1"/>
  <c r="AN583" i="1"/>
  <c r="AO582" i="1"/>
  <c r="AT695" i="8" l="1"/>
  <c r="AU695" i="8"/>
  <c r="AS696" i="8"/>
  <c r="AP695" i="8"/>
  <c r="AQ695" i="8"/>
  <c r="AO696" i="8"/>
  <c r="AJ660" i="7"/>
  <c r="AL659" i="7"/>
  <c r="AK659" i="7"/>
  <c r="AP659" i="7"/>
  <c r="AO659" i="7"/>
  <c r="AP583" i="1"/>
  <c r="AN584" i="1"/>
  <c r="AO583" i="1"/>
  <c r="AL583" i="1"/>
  <c r="AK583" i="1"/>
  <c r="AJ584" i="1"/>
  <c r="AU696" i="8" l="1"/>
  <c r="AT696" i="8"/>
  <c r="AS697" i="8"/>
  <c r="AP696" i="8"/>
  <c r="AQ696" i="8"/>
  <c r="AO697" i="8"/>
  <c r="AJ661" i="7"/>
  <c r="AK660" i="7"/>
  <c r="AL660" i="7"/>
  <c r="AO660" i="7"/>
  <c r="AP660" i="7"/>
  <c r="AL584" i="1"/>
  <c r="AK584" i="1"/>
  <c r="AJ585" i="1"/>
  <c r="AP584" i="1"/>
  <c r="AO584" i="1"/>
  <c r="AN585" i="1"/>
  <c r="AU697" i="8" l="1"/>
  <c r="AT697" i="8"/>
  <c r="AS698" i="8"/>
  <c r="AQ697" i="8"/>
  <c r="AP697" i="8"/>
  <c r="AO698" i="8"/>
  <c r="AJ662" i="7"/>
  <c r="AL661" i="7"/>
  <c r="AK661" i="7"/>
  <c r="AP661" i="7"/>
  <c r="AO661" i="7"/>
  <c r="AP585" i="1"/>
  <c r="AN586" i="1"/>
  <c r="AO585" i="1"/>
  <c r="AL585" i="1"/>
  <c r="AJ586" i="1"/>
  <c r="AK585" i="1"/>
  <c r="AQ698" i="8" l="1"/>
  <c r="AP698" i="8"/>
  <c r="AO699" i="8"/>
  <c r="AU698" i="8"/>
  <c r="AT698" i="8"/>
  <c r="AS699" i="8"/>
  <c r="AJ663" i="7"/>
  <c r="AL662" i="7"/>
  <c r="AK662" i="7"/>
  <c r="AP662" i="7"/>
  <c r="AO662" i="7"/>
  <c r="AL586" i="1"/>
  <c r="AK586" i="1"/>
  <c r="AJ587" i="1"/>
  <c r="AP586" i="1"/>
  <c r="AN587" i="1"/>
  <c r="AO586" i="1"/>
  <c r="AP699" i="8" l="1"/>
  <c r="AQ699" i="8"/>
  <c r="AO700" i="8"/>
  <c r="AT699" i="8"/>
  <c r="AU699" i="8"/>
  <c r="AS700" i="8"/>
  <c r="AJ664" i="7"/>
  <c r="AK663" i="7"/>
  <c r="AL663" i="7"/>
  <c r="AP663" i="7"/>
  <c r="AO663" i="7"/>
  <c r="AP587" i="1"/>
  <c r="AO587" i="1"/>
  <c r="AN588" i="1"/>
  <c r="AL587" i="1"/>
  <c r="AK587" i="1"/>
  <c r="AJ588" i="1"/>
  <c r="AU700" i="8" l="1"/>
  <c r="AT700" i="8"/>
  <c r="AS701" i="8"/>
  <c r="AQ700" i="8"/>
  <c r="AP700" i="8"/>
  <c r="AO701" i="8"/>
  <c r="AJ665" i="7"/>
  <c r="AK664" i="7"/>
  <c r="AL664" i="7"/>
  <c r="AO664" i="7"/>
  <c r="AP664" i="7"/>
  <c r="AL588" i="1"/>
  <c r="AK588" i="1"/>
  <c r="AJ589" i="1"/>
  <c r="AP588" i="1"/>
  <c r="AO588" i="1"/>
  <c r="AN589" i="1"/>
  <c r="AQ701" i="8" l="1"/>
  <c r="AP701" i="8"/>
  <c r="AO702" i="8"/>
  <c r="AU701" i="8"/>
  <c r="AT701" i="8"/>
  <c r="AS702" i="8"/>
  <c r="AJ666" i="7"/>
  <c r="AL665" i="7"/>
  <c r="AK665" i="7"/>
  <c r="AP665" i="7"/>
  <c r="AO665" i="7"/>
  <c r="AP589" i="1"/>
  <c r="AN590" i="1"/>
  <c r="AO589" i="1"/>
  <c r="AL589" i="1"/>
  <c r="AK589" i="1"/>
  <c r="AJ590" i="1"/>
  <c r="AU702" i="8" l="1"/>
  <c r="AT702" i="8"/>
  <c r="AS703" i="8"/>
  <c r="AQ702" i="8"/>
  <c r="AP702" i="8"/>
  <c r="AO703" i="8"/>
  <c r="AJ667" i="7"/>
  <c r="AK666" i="7"/>
  <c r="AL666" i="7"/>
  <c r="AO666" i="7"/>
  <c r="AP666" i="7"/>
  <c r="AL590" i="1"/>
  <c r="AK590" i="1"/>
  <c r="AJ591" i="1"/>
  <c r="AP590" i="1"/>
  <c r="AN591" i="1"/>
  <c r="AO590" i="1"/>
  <c r="AQ703" i="8" l="1"/>
  <c r="AP703" i="8"/>
  <c r="AO704" i="8"/>
  <c r="AT703" i="8"/>
  <c r="AU703" i="8"/>
  <c r="AS704" i="8"/>
  <c r="AJ668" i="7"/>
  <c r="AK667" i="7"/>
  <c r="AL667" i="7"/>
  <c r="AP667" i="7"/>
  <c r="AO667" i="7"/>
  <c r="AP591" i="1"/>
  <c r="AN592" i="1"/>
  <c r="AO591" i="1"/>
  <c r="AL591" i="1"/>
  <c r="AK591" i="1"/>
  <c r="AJ592" i="1"/>
  <c r="AU704" i="8" l="1"/>
  <c r="AT704" i="8"/>
  <c r="AS705" i="8"/>
  <c r="AP704" i="8"/>
  <c r="AQ704" i="8"/>
  <c r="AO705" i="8"/>
  <c r="AJ669" i="7"/>
  <c r="AL668" i="7"/>
  <c r="AK668" i="7"/>
  <c r="AO668" i="7"/>
  <c r="AP668" i="7"/>
  <c r="AL592" i="1"/>
  <c r="AK592" i="1"/>
  <c r="AJ593" i="1"/>
  <c r="AP592" i="1"/>
  <c r="AN593" i="1"/>
  <c r="AO592" i="1"/>
  <c r="AP705" i="8" l="1"/>
  <c r="AQ705" i="8"/>
  <c r="AO706" i="8"/>
  <c r="AU705" i="8"/>
  <c r="AT705" i="8"/>
  <c r="AS706" i="8"/>
  <c r="AJ670" i="7"/>
  <c r="AK669" i="7"/>
  <c r="AL669" i="7"/>
  <c r="AP669" i="7"/>
  <c r="AO669" i="7"/>
  <c r="AP593" i="1"/>
  <c r="AN594" i="1"/>
  <c r="AO593" i="1"/>
  <c r="AL593" i="1"/>
  <c r="AK593" i="1"/>
  <c r="AJ594" i="1"/>
  <c r="AU706" i="8" l="1"/>
  <c r="AT706" i="8"/>
  <c r="AS707" i="8"/>
  <c r="AQ706" i="8"/>
  <c r="AP706" i="8"/>
  <c r="AO707" i="8"/>
  <c r="AJ671" i="7"/>
  <c r="AL670" i="7"/>
  <c r="AK670" i="7"/>
  <c r="AO670" i="7"/>
  <c r="AP670" i="7"/>
  <c r="AL594" i="1"/>
  <c r="AK594" i="1"/>
  <c r="AJ595" i="1"/>
  <c r="AP594" i="1"/>
  <c r="AO594" i="1"/>
  <c r="AN595" i="1"/>
  <c r="AQ707" i="8" l="1"/>
  <c r="AP707" i="8"/>
  <c r="AO708" i="8"/>
  <c r="AT707" i="8"/>
  <c r="AU707" i="8"/>
  <c r="AS708" i="8"/>
  <c r="AJ672" i="7"/>
  <c r="AL671" i="7"/>
  <c r="AK671" i="7"/>
  <c r="AP671" i="7"/>
  <c r="AO671" i="7"/>
  <c r="AP595" i="1"/>
  <c r="AN596" i="1"/>
  <c r="AO595" i="1"/>
  <c r="AL595" i="1"/>
  <c r="AJ596" i="1"/>
  <c r="AK595" i="1"/>
  <c r="AU708" i="8" l="1"/>
  <c r="AT708" i="8"/>
  <c r="AS709" i="8"/>
  <c r="AP708" i="8"/>
  <c r="AQ708" i="8"/>
  <c r="AO709" i="8"/>
  <c r="AJ673" i="7"/>
  <c r="AK672" i="7"/>
  <c r="AL672" i="7"/>
  <c r="AO672" i="7"/>
  <c r="AP672" i="7"/>
  <c r="AL596" i="1"/>
  <c r="AJ597" i="1"/>
  <c r="AK596" i="1"/>
  <c r="AP596" i="1"/>
  <c r="AN597" i="1"/>
  <c r="AO596" i="1"/>
  <c r="AP709" i="8" l="1"/>
  <c r="AQ709" i="8"/>
  <c r="AO710" i="8"/>
  <c r="AU709" i="8"/>
  <c r="AT709" i="8"/>
  <c r="AS710" i="8"/>
  <c r="AJ674" i="7"/>
  <c r="AK673" i="7"/>
  <c r="AL673" i="7"/>
  <c r="AP673" i="7"/>
  <c r="AO673" i="7"/>
  <c r="AP597" i="1"/>
  <c r="AO597" i="1"/>
  <c r="AN598" i="1"/>
  <c r="AL597" i="1"/>
  <c r="AK597" i="1"/>
  <c r="AJ598" i="1"/>
  <c r="AU710" i="8" l="1"/>
  <c r="AT710" i="8"/>
  <c r="AS711" i="8"/>
  <c r="AQ710" i="8"/>
  <c r="AP710" i="8"/>
  <c r="AO711" i="8"/>
  <c r="AJ675" i="7"/>
  <c r="AL674" i="7"/>
  <c r="AK674" i="7"/>
  <c r="AP674" i="7"/>
  <c r="AO674" i="7"/>
  <c r="AL598" i="1"/>
  <c r="AJ599" i="1"/>
  <c r="AK598" i="1"/>
  <c r="AP598" i="1"/>
  <c r="AN599" i="1"/>
  <c r="AO598" i="1"/>
  <c r="AQ711" i="8" l="1"/>
  <c r="AP711" i="8"/>
  <c r="AO712" i="8"/>
  <c r="AT711" i="8"/>
  <c r="AU711" i="8"/>
  <c r="AS712" i="8"/>
  <c r="AJ676" i="7"/>
  <c r="AK675" i="7"/>
  <c r="AL675" i="7"/>
  <c r="AP675" i="7"/>
  <c r="AO675" i="7"/>
  <c r="AP599" i="1"/>
  <c r="AN600" i="1"/>
  <c r="AO599" i="1"/>
  <c r="AL599" i="1"/>
  <c r="AJ600" i="1"/>
  <c r="AK599" i="1"/>
  <c r="AU712" i="8" l="1"/>
  <c r="AT712" i="8"/>
  <c r="AS713" i="8"/>
  <c r="AP712" i="8"/>
  <c r="AQ712" i="8"/>
  <c r="AO713" i="8"/>
  <c r="AJ677" i="7"/>
  <c r="AL676" i="7"/>
  <c r="AK676" i="7"/>
  <c r="AO676" i="7"/>
  <c r="AP676" i="7"/>
  <c r="AL600" i="1"/>
  <c r="AK600" i="1"/>
  <c r="AJ601" i="1"/>
  <c r="AP600" i="1"/>
  <c r="AN601" i="1"/>
  <c r="AO600" i="1"/>
  <c r="AQ713" i="8" l="1"/>
  <c r="AP713" i="8"/>
  <c r="AO714" i="8"/>
  <c r="AU713" i="8"/>
  <c r="AT713" i="8"/>
  <c r="AS714" i="8"/>
  <c r="AJ678" i="7"/>
  <c r="AK677" i="7"/>
  <c r="AL677" i="7"/>
  <c r="AP677" i="7"/>
  <c r="AO677" i="7"/>
  <c r="AP601" i="1"/>
  <c r="AN602" i="1"/>
  <c r="AO601" i="1"/>
  <c r="AL601" i="1"/>
  <c r="AK601" i="1"/>
  <c r="AJ602" i="1"/>
  <c r="AU714" i="8" l="1"/>
  <c r="AT714" i="8"/>
  <c r="AS715" i="8"/>
  <c r="AQ714" i="8"/>
  <c r="AP714" i="8"/>
  <c r="AO715" i="8"/>
  <c r="AJ679" i="7"/>
  <c r="AL678" i="7"/>
  <c r="AK678" i="7"/>
  <c r="AO678" i="7"/>
  <c r="AP678" i="7"/>
  <c r="AL602" i="1"/>
  <c r="AK602" i="1"/>
  <c r="AJ603" i="1"/>
  <c r="AP602" i="1"/>
  <c r="AO602" i="1"/>
  <c r="AN603" i="1"/>
  <c r="AQ715" i="8" l="1"/>
  <c r="AP715" i="8"/>
  <c r="AO716" i="8"/>
  <c r="AT715" i="8"/>
  <c r="AU715" i="8"/>
  <c r="AS716" i="8"/>
  <c r="AJ680" i="7"/>
  <c r="AL679" i="7"/>
  <c r="AK679" i="7"/>
  <c r="AP679" i="7"/>
  <c r="AO679" i="7"/>
  <c r="AP603" i="1"/>
  <c r="AN604" i="1"/>
  <c r="AO603" i="1"/>
  <c r="AL603" i="1"/>
  <c r="AK603" i="1"/>
  <c r="AJ604" i="1"/>
  <c r="AU716" i="8" l="1"/>
  <c r="AT716" i="8"/>
  <c r="AS717" i="8"/>
  <c r="AP716" i="8"/>
  <c r="AQ716" i="8"/>
  <c r="AO717" i="8"/>
  <c r="AJ681" i="7"/>
  <c r="AK680" i="7"/>
  <c r="AL680" i="7"/>
  <c r="AO680" i="7"/>
  <c r="AP680" i="7"/>
  <c r="AL604" i="1"/>
  <c r="AK604" i="1"/>
  <c r="AJ605" i="1"/>
  <c r="AP604" i="1"/>
  <c r="AN605" i="1"/>
  <c r="AO604" i="1"/>
  <c r="AQ717" i="8" l="1"/>
  <c r="AP717" i="8"/>
  <c r="AO718" i="8"/>
  <c r="AU717" i="8"/>
  <c r="AT717" i="8"/>
  <c r="AS718" i="8"/>
  <c r="AJ682" i="7"/>
  <c r="AL681" i="7"/>
  <c r="AK681" i="7"/>
  <c r="AP681" i="7"/>
  <c r="AO681" i="7"/>
  <c r="AP605" i="1"/>
  <c r="AN606" i="1"/>
  <c r="AO605" i="1"/>
  <c r="AL605" i="1"/>
  <c r="AK605" i="1"/>
  <c r="AJ606" i="1"/>
  <c r="AU718" i="8" l="1"/>
  <c r="AT718" i="8"/>
  <c r="AS719" i="8"/>
  <c r="AQ718" i="8"/>
  <c r="AP718" i="8"/>
  <c r="AO719" i="8"/>
  <c r="AJ683" i="7"/>
  <c r="AK682" i="7"/>
  <c r="AL682" i="7"/>
  <c r="AO682" i="7"/>
  <c r="AP682" i="7"/>
  <c r="AL606" i="1"/>
  <c r="AK606" i="1"/>
  <c r="AJ607" i="1"/>
  <c r="AP606" i="1"/>
  <c r="AO606" i="1"/>
  <c r="AN607" i="1"/>
  <c r="AQ719" i="8" l="1"/>
  <c r="AP719" i="8"/>
  <c r="AO720" i="8"/>
  <c r="AT719" i="8"/>
  <c r="AU719" i="8"/>
  <c r="AS720" i="8"/>
  <c r="AJ684" i="7"/>
  <c r="AK683" i="7"/>
  <c r="AL683" i="7"/>
  <c r="AP683" i="7"/>
  <c r="AO683" i="7"/>
  <c r="AP607" i="1"/>
  <c r="AN608" i="1"/>
  <c r="AO607" i="1"/>
  <c r="AL607" i="1"/>
  <c r="AK607" i="1"/>
  <c r="AJ608" i="1"/>
  <c r="AU720" i="8" l="1"/>
  <c r="AT720" i="8"/>
  <c r="AS721" i="8"/>
  <c r="AP720" i="8"/>
  <c r="AQ720" i="8"/>
  <c r="AO721" i="8"/>
  <c r="AJ685" i="7"/>
  <c r="AL684" i="7"/>
  <c r="AK684" i="7"/>
  <c r="AP684" i="7"/>
  <c r="AO684" i="7"/>
  <c r="AL608" i="1"/>
  <c r="AK608" i="1"/>
  <c r="AJ609" i="1"/>
  <c r="AP608" i="1"/>
  <c r="AN609" i="1"/>
  <c r="AO608" i="1"/>
  <c r="AP721" i="8" l="1"/>
  <c r="AQ721" i="8"/>
  <c r="AO722" i="8"/>
  <c r="AU721" i="8"/>
  <c r="AT721" i="8"/>
  <c r="AS722" i="8"/>
  <c r="AJ686" i="7"/>
  <c r="AK685" i="7"/>
  <c r="AL685" i="7"/>
  <c r="AP685" i="7"/>
  <c r="AO685" i="7"/>
  <c r="AP609" i="1"/>
  <c r="AN610" i="1"/>
  <c r="AO609" i="1"/>
  <c r="AL609" i="1"/>
  <c r="AJ610" i="1"/>
  <c r="AK609" i="1"/>
  <c r="AU722" i="8" l="1"/>
  <c r="AT722" i="8"/>
  <c r="AS723" i="8"/>
  <c r="AQ722" i="8"/>
  <c r="AP722" i="8"/>
  <c r="AO723" i="8"/>
  <c r="AJ687" i="7"/>
  <c r="AK686" i="7"/>
  <c r="AL686" i="7"/>
  <c r="AO686" i="7"/>
  <c r="AP686" i="7"/>
  <c r="AP610" i="1"/>
  <c r="AN611" i="1"/>
  <c r="AO610" i="1"/>
  <c r="AL610" i="1"/>
  <c r="AJ611" i="1"/>
  <c r="AK610" i="1"/>
  <c r="AQ723" i="8" l="1"/>
  <c r="AP723" i="8"/>
  <c r="AO724" i="8"/>
  <c r="AT723" i="8"/>
  <c r="AU723" i="8"/>
  <c r="AS724" i="8"/>
  <c r="AJ688" i="7"/>
  <c r="AL687" i="7"/>
  <c r="AK687" i="7"/>
  <c r="AP687" i="7"/>
  <c r="AO687" i="7"/>
  <c r="AL611" i="1"/>
  <c r="AK611" i="1"/>
  <c r="AJ612" i="1"/>
  <c r="AP611" i="1"/>
  <c r="AN612" i="1"/>
  <c r="AO611" i="1"/>
  <c r="AU724" i="8" l="1"/>
  <c r="AT724" i="8"/>
  <c r="AS725" i="8"/>
  <c r="AP724" i="8"/>
  <c r="AQ724" i="8"/>
  <c r="AO725" i="8"/>
  <c r="AJ689" i="7"/>
  <c r="AK688" i="7"/>
  <c r="AL688" i="7"/>
  <c r="AO688" i="7"/>
  <c r="AP688" i="7"/>
  <c r="AP612" i="1"/>
  <c r="AO612" i="1"/>
  <c r="AN613" i="1"/>
  <c r="AL612" i="1"/>
  <c r="AJ613" i="1"/>
  <c r="AK612" i="1"/>
  <c r="AQ725" i="8" l="1"/>
  <c r="AP725" i="8"/>
  <c r="AO726" i="8"/>
  <c r="AU725" i="8"/>
  <c r="AT725" i="8"/>
  <c r="AS726" i="8"/>
  <c r="AJ690" i="7"/>
  <c r="AK689" i="7"/>
  <c r="AL689" i="7"/>
  <c r="AP689" i="7"/>
  <c r="AO689" i="7"/>
  <c r="AP613" i="1"/>
  <c r="AN614" i="1"/>
  <c r="AO613" i="1"/>
  <c r="AL613" i="1"/>
  <c r="AK613" i="1"/>
  <c r="AJ614" i="1"/>
  <c r="AQ726" i="8" l="1"/>
  <c r="AP726" i="8"/>
  <c r="AO727" i="8"/>
  <c r="AU726" i="8"/>
  <c r="AT726" i="8"/>
  <c r="AS727" i="8"/>
  <c r="AJ691" i="7"/>
  <c r="AK690" i="7"/>
  <c r="AL690" i="7"/>
  <c r="AP690" i="7"/>
  <c r="AO690" i="7"/>
  <c r="AL614" i="1"/>
  <c r="AK614" i="1"/>
  <c r="AJ615" i="1"/>
  <c r="AP614" i="1"/>
  <c r="AO614" i="1"/>
  <c r="AN615" i="1"/>
  <c r="AQ727" i="8" l="1"/>
  <c r="AP727" i="8"/>
  <c r="AO728" i="8"/>
  <c r="AT727" i="8"/>
  <c r="AU727" i="8"/>
  <c r="AS728" i="8"/>
  <c r="AJ692" i="7"/>
  <c r="AL691" i="7"/>
  <c r="AK691" i="7"/>
  <c r="AP691" i="7"/>
  <c r="AO691" i="7"/>
  <c r="AL615" i="1"/>
  <c r="AJ616" i="1"/>
  <c r="AK615" i="1"/>
  <c r="AP615" i="1"/>
  <c r="AN616" i="1"/>
  <c r="AO615" i="1"/>
  <c r="AP728" i="8" l="1"/>
  <c r="AQ728" i="8"/>
  <c r="AO729" i="8"/>
  <c r="AU728" i="8"/>
  <c r="AT728" i="8"/>
  <c r="AS729" i="8"/>
  <c r="AJ693" i="7"/>
  <c r="AK692" i="7"/>
  <c r="AL692" i="7"/>
  <c r="AP692" i="7"/>
  <c r="AO692" i="7"/>
  <c r="AP616" i="1"/>
  <c r="AO616" i="1"/>
  <c r="AN617" i="1"/>
  <c r="AL616" i="1"/>
  <c r="AK616" i="1"/>
  <c r="AJ617" i="1"/>
  <c r="AU729" i="8" l="1"/>
  <c r="AT729" i="8"/>
  <c r="AS730" i="8"/>
  <c r="AQ729" i="8"/>
  <c r="AP729" i="8"/>
  <c r="AO730" i="8"/>
  <c r="AJ694" i="7"/>
  <c r="AK693" i="7"/>
  <c r="AL693" i="7"/>
  <c r="AP693" i="7"/>
  <c r="AO693" i="7"/>
  <c r="AL617" i="1"/>
  <c r="AK617" i="1"/>
  <c r="AJ618" i="1"/>
  <c r="AP617" i="1"/>
  <c r="AO617" i="1"/>
  <c r="AN618" i="1"/>
  <c r="AQ730" i="8" l="1"/>
  <c r="AP730" i="8"/>
  <c r="AO731" i="8"/>
  <c r="AU730" i="8"/>
  <c r="AT730" i="8"/>
  <c r="AS731" i="8"/>
  <c r="AJ695" i="7"/>
  <c r="AK694" i="7"/>
  <c r="AL694" i="7"/>
  <c r="AO694" i="7"/>
  <c r="AP694" i="7"/>
  <c r="AP618" i="1"/>
  <c r="AN619" i="1"/>
  <c r="AO618" i="1"/>
  <c r="AL618" i="1"/>
  <c r="AK618" i="1"/>
  <c r="AJ619" i="1"/>
  <c r="AT731" i="8" l="1"/>
  <c r="AU731" i="8"/>
  <c r="AS732" i="8"/>
  <c r="AQ731" i="8"/>
  <c r="AP731" i="8"/>
  <c r="AO732" i="8"/>
  <c r="AJ696" i="7"/>
  <c r="AL695" i="7"/>
  <c r="AK695" i="7"/>
  <c r="AP695" i="7"/>
  <c r="AO695" i="7"/>
  <c r="AL619" i="1"/>
  <c r="AJ620" i="1"/>
  <c r="AK619" i="1"/>
  <c r="AP619" i="1"/>
  <c r="AN620" i="1"/>
  <c r="AO619" i="1"/>
  <c r="AP732" i="8" l="1"/>
  <c r="AQ732" i="8"/>
  <c r="AO733" i="8"/>
  <c r="AU732" i="8"/>
  <c r="AT732" i="8"/>
  <c r="AS733" i="8"/>
  <c r="AJ697" i="7"/>
  <c r="AK696" i="7"/>
  <c r="AL696" i="7"/>
  <c r="AO696" i="7"/>
  <c r="AP696" i="7"/>
  <c r="AP620" i="1"/>
  <c r="AN621" i="1"/>
  <c r="AO620" i="1"/>
  <c r="AL620" i="1"/>
  <c r="AK620" i="1"/>
  <c r="AJ621" i="1"/>
  <c r="AU733" i="8" l="1"/>
  <c r="AT733" i="8"/>
  <c r="AS734" i="8"/>
  <c r="AQ733" i="8"/>
  <c r="AP733" i="8"/>
  <c r="AO734" i="8"/>
  <c r="AJ698" i="7"/>
  <c r="AK697" i="7"/>
  <c r="AL697" i="7"/>
  <c r="AP697" i="7"/>
  <c r="AO697" i="7"/>
  <c r="AL621" i="1"/>
  <c r="AK621" i="1"/>
  <c r="AJ622" i="1"/>
  <c r="AP621" i="1"/>
  <c r="AN622" i="1"/>
  <c r="AO621" i="1"/>
  <c r="AQ734" i="8" l="1"/>
  <c r="AP734" i="8"/>
  <c r="AO735" i="8"/>
  <c r="AU734" i="8"/>
  <c r="AT734" i="8"/>
  <c r="AS735" i="8"/>
  <c r="AJ699" i="7"/>
  <c r="AK698" i="7"/>
  <c r="AL698" i="7"/>
  <c r="AO698" i="7"/>
  <c r="AP698" i="7"/>
  <c r="AP622" i="1"/>
  <c r="AN623" i="1"/>
  <c r="AO622" i="1"/>
  <c r="AL622" i="1"/>
  <c r="AK622" i="1"/>
  <c r="AJ623" i="1"/>
  <c r="AT735" i="8" l="1"/>
  <c r="AU735" i="8"/>
  <c r="AS736" i="8"/>
  <c r="AQ735" i="8"/>
  <c r="AP735" i="8"/>
  <c r="AO736" i="8"/>
  <c r="AJ700" i="7"/>
  <c r="AK699" i="7"/>
  <c r="AL699" i="7"/>
  <c r="AP699" i="7"/>
  <c r="AO699" i="7"/>
  <c r="AL623" i="1"/>
  <c r="AK623" i="1"/>
  <c r="AJ624" i="1"/>
  <c r="AP623" i="1"/>
  <c r="AO623" i="1"/>
  <c r="AN624" i="1"/>
  <c r="AP736" i="8" l="1"/>
  <c r="AQ736" i="8"/>
  <c r="AO737" i="8"/>
  <c r="AU736" i="8"/>
  <c r="AT736" i="8"/>
  <c r="AS737" i="8"/>
  <c r="AJ701" i="7"/>
  <c r="AL700" i="7"/>
  <c r="AK700" i="7"/>
  <c r="AO700" i="7"/>
  <c r="AP700" i="7"/>
  <c r="AP624" i="1"/>
  <c r="AN625" i="1"/>
  <c r="AO624" i="1"/>
  <c r="AL624" i="1"/>
  <c r="AK624" i="1"/>
  <c r="AJ625" i="1"/>
  <c r="AU737" i="8" l="1"/>
  <c r="AT737" i="8"/>
  <c r="AS738" i="8"/>
  <c r="AP737" i="8"/>
  <c r="AQ737" i="8"/>
  <c r="AO738" i="8"/>
  <c r="AJ702" i="7"/>
  <c r="AK701" i="7"/>
  <c r="AL701" i="7"/>
  <c r="AP701" i="7"/>
  <c r="AO701" i="7"/>
  <c r="AL625" i="1"/>
  <c r="AK625" i="1"/>
  <c r="AJ626" i="1"/>
  <c r="AP625" i="1"/>
  <c r="AN626" i="1"/>
  <c r="AO625" i="1"/>
  <c r="AQ738" i="8" l="1"/>
  <c r="AP738" i="8"/>
  <c r="AO739" i="8"/>
  <c r="AU738" i="8"/>
  <c r="AT738" i="8"/>
  <c r="AS739" i="8"/>
  <c r="AJ703" i="7"/>
  <c r="AL702" i="7"/>
  <c r="AK702" i="7"/>
  <c r="AO702" i="7"/>
  <c r="AP702" i="7"/>
  <c r="AP626" i="1"/>
  <c r="AN627" i="1"/>
  <c r="AO626" i="1"/>
  <c r="AL626" i="1"/>
  <c r="AK626" i="1"/>
  <c r="AJ627" i="1"/>
  <c r="AT739" i="8" l="1"/>
  <c r="AU739" i="8"/>
  <c r="AS740" i="8"/>
  <c r="AQ739" i="8"/>
  <c r="AP739" i="8"/>
  <c r="AO740" i="8"/>
  <c r="AJ704" i="7"/>
  <c r="AL703" i="7"/>
  <c r="AK703" i="7"/>
  <c r="AP703" i="7"/>
  <c r="AO703" i="7"/>
  <c r="AL627" i="1"/>
  <c r="AK627" i="1"/>
  <c r="AJ628" i="1"/>
  <c r="AP627" i="1"/>
  <c r="AO627" i="1"/>
  <c r="AN628" i="1"/>
  <c r="AP740" i="8" l="1"/>
  <c r="AQ740" i="8"/>
  <c r="AO741" i="8"/>
  <c r="AU740" i="8"/>
  <c r="AT740" i="8"/>
  <c r="AS741" i="8"/>
  <c r="AJ705" i="7"/>
  <c r="AK704" i="7"/>
  <c r="AL704" i="7"/>
  <c r="AO704" i="7"/>
  <c r="AP704" i="7"/>
  <c r="AL628" i="1"/>
  <c r="AK628" i="1"/>
  <c r="AJ629" i="1"/>
  <c r="AP628" i="1"/>
  <c r="AO628" i="1"/>
  <c r="AN629" i="1"/>
  <c r="AU741" i="8" l="1"/>
  <c r="AT741" i="8"/>
  <c r="AS742" i="8"/>
  <c r="AQ741" i="8"/>
  <c r="AP741" i="8"/>
  <c r="AO742" i="8"/>
  <c r="AJ706" i="7"/>
  <c r="AK705" i="7"/>
  <c r="AL705" i="7"/>
  <c r="AP705" i="7"/>
  <c r="AO705" i="7"/>
  <c r="AP629" i="1"/>
  <c r="AN630" i="1"/>
  <c r="AO629" i="1"/>
  <c r="AL629" i="1"/>
  <c r="AK629" i="1"/>
  <c r="AJ630" i="1"/>
  <c r="AQ742" i="8" l="1"/>
  <c r="AP742" i="8"/>
  <c r="AO743" i="8"/>
  <c r="AU742" i="8"/>
  <c r="AT742" i="8"/>
  <c r="AS743" i="8"/>
  <c r="AJ707" i="7"/>
  <c r="AK706" i="7"/>
  <c r="AL706" i="7"/>
  <c r="AO706" i="7"/>
  <c r="AP706" i="7"/>
  <c r="AL630" i="1"/>
  <c r="AJ631" i="1"/>
  <c r="AK630" i="1"/>
  <c r="AP630" i="1"/>
  <c r="AN631" i="1"/>
  <c r="AO630" i="1"/>
  <c r="AT743" i="8" l="1"/>
  <c r="AU743" i="8"/>
  <c r="AS744" i="8"/>
  <c r="AQ743" i="8"/>
  <c r="AP743" i="8"/>
  <c r="AO744" i="8"/>
  <c r="AJ708" i="7"/>
  <c r="AK707" i="7"/>
  <c r="AL707" i="7"/>
  <c r="AP707" i="7"/>
  <c r="AO707" i="7"/>
  <c r="AP631" i="1"/>
  <c r="AO631" i="1"/>
  <c r="AN632" i="1"/>
  <c r="AL631" i="1"/>
  <c r="AK631" i="1"/>
  <c r="AJ632" i="1"/>
  <c r="AP744" i="8" l="1"/>
  <c r="AQ744" i="8"/>
  <c r="AO745" i="8"/>
  <c r="AU744" i="8"/>
  <c r="AT744" i="8"/>
  <c r="AS745" i="8"/>
  <c r="AJ709" i="7"/>
  <c r="AL708" i="7"/>
  <c r="AK708" i="7"/>
  <c r="AO708" i="7"/>
  <c r="AP708" i="7"/>
  <c r="AL632" i="1"/>
  <c r="AK632" i="1"/>
  <c r="AJ633" i="1"/>
  <c r="AP632" i="1"/>
  <c r="AO632" i="1"/>
  <c r="AN633" i="1"/>
  <c r="AU745" i="8" l="1"/>
  <c r="AT745" i="8"/>
  <c r="AS746" i="8"/>
  <c r="AQ745" i="8"/>
  <c r="AP745" i="8"/>
  <c r="AO746" i="8"/>
  <c r="AJ710" i="7"/>
  <c r="AK709" i="7"/>
  <c r="AL709" i="7"/>
  <c r="AP709" i="7"/>
  <c r="AO709" i="7"/>
  <c r="AP633" i="1"/>
  <c r="AO633" i="1"/>
  <c r="AN634" i="1"/>
  <c r="AL633" i="1"/>
  <c r="AJ634" i="1"/>
  <c r="AK633" i="1"/>
  <c r="AQ746" i="8" l="1"/>
  <c r="AP746" i="8"/>
  <c r="AU746" i="8"/>
  <c r="AT746" i="8"/>
  <c r="AJ711" i="7"/>
  <c r="AL710" i="7"/>
  <c r="AK710" i="7"/>
  <c r="AP710" i="7"/>
  <c r="AO710" i="7"/>
  <c r="AL634" i="1"/>
  <c r="AJ635" i="1"/>
  <c r="AK634" i="1"/>
  <c r="AP634" i="1"/>
  <c r="AO634" i="1"/>
  <c r="AN635" i="1"/>
  <c r="AJ712" i="7" l="1"/>
  <c r="AL711" i="7"/>
  <c r="AK711" i="7"/>
  <c r="AP711" i="7"/>
  <c r="AO711" i="7"/>
  <c r="AP635" i="1"/>
  <c r="AN636" i="1"/>
  <c r="AO635" i="1"/>
  <c r="AL635" i="1"/>
  <c r="AK635" i="1"/>
  <c r="AJ636" i="1"/>
  <c r="AJ713" i="7" l="1"/>
  <c r="AK712" i="7"/>
  <c r="AL712" i="7"/>
  <c r="AO712" i="7"/>
  <c r="AP712" i="7"/>
  <c r="AL636" i="1"/>
  <c r="AJ637" i="1"/>
  <c r="AK636" i="1"/>
  <c r="AP636" i="1"/>
  <c r="AO636" i="1"/>
  <c r="AN637" i="1"/>
  <c r="AJ714" i="7" l="1"/>
  <c r="AK713" i="7"/>
  <c r="AL713" i="7"/>
  <c r="AP713" i="7"/>
  <c r="AO713" i="7"/>
  <c r="AP637" i="1"/>
  <c r="AN638" i="1"/>
  <c r="AO637" i="1"/>
  <c r="AL637" i="1"/>
  <c r="AK637" i="1"/>
  <c r="AJ638" i="1"/>
  <c r="AJ715" i="7" l="1"/>
  <c r="AK714" i="7"/>
  <c r="AL714" i="7"/>
  <c r="AP714" i="7"/>
  <c r="AO714" i="7"/>
  <c r="AL638" i="1"/>
  <c r="AJ639" i="1"/>
  <c r="AK638" i="1"/>
  <c r="AP638" i="1"/>
  <c r="AO638" i="1"/>
  <c r="AN639" i="1"/>
  <c r="AJ716" i="7" l="1"/>
  <c r="AK715" i="7"/>
  <c r="AL715" i="7"/>
  <c r="AP715" i="7"/>
  <c r="AO715" i="7"/>
  <c r="AP639" i="1"/>
  <c r="AN640" i="1"/>
  <c r="AO639" i="1"/>
  <c r="AL639" i="1"/>
  <c r="AK639" i="1"/>
  <c r="AJ640" i="1"/>
  <c r="AJ717" i="7" l="1"/>
  <c r="AL716" i="7"/>
  <c r="AK716" i="7"/>
  <c r="AO716" i="7"/>
  <c r="AP716" i="7"/>
  <c r="AL640" i="1"/>
  <c r="AJ641" i="1"/>
  <c r="AK640" i="1"/>
  <c r="AP640" i="1"/>
  <c r="AO640" i="1"/>
  <c r="AN641" i="1"/>
  <c r="AJ718" i="7" l="1"/>
  <c r="AK717" i="7"/>
  <c r="AL717" i="7"/>
  <c r="AP717" i="7"/>
  <c r="AO717" i="7"/>
  <c r="AP641" i="1"/>
  <c r="AO641" i="1"/>
  <c r="AN642" i="1"/>
  <c r="AL641" i="1"/>
  <c r="AJ642" i="1"/>
  <c r="AK641" i="1"/>
  <c r="AJ719" i="7" l="1"/>
  <c r="AK718" i="7"/>
  <c r="AL718" i="7"/>
  <c r="AO718" i="7"/>
  <c r="AP718" i="7"/>
  <c r="AL642" i="1"/>
  <c r="AK642" i="1"/>
  <c r="AJ643" i="1"/>
  <c r="AP642" i="1"/>
  <c r="AN643" i="1"/>
  <c r="AO642" i="1"/>
  <c r="AJ720" i="7" l="1"/>
  <c r="AL719" i="7"/>
  <c r="AK719" i="7"/>
  <c r="AP719" i="7"/>
  <c r="AO719" i="7"/>
  <c r="AP643" i="1"/>
  <c r="AO643" i="1"/>
  <c r="AN644" i="1"/>
  <c r="AL643" i="1"/>
  <c r="AJ644" i="1"/>
  <c r="AK643" i="1"/>
  <c r="AJ721" i="7" l="1"/>
  <c r="AK720" i="7"/>
  <c r="AL720" i="7"/>
  <c r="AP720" i="7"/>
  <c r="AO720" i="7"/>
  <c r="AL644" i="1"/>
  <c r="AK644" i="1"/>
  <c r="AJ645" i="1"/>
  <c r="AP644" i="1"/>
  <c r="AN645" i="1"/>
  <c r="AO644" i="1"/>
  <c r="AJ722" i="7" l="1"/>
  <c r="AK721" i="7"/>
  <c r="AL721" i="7"/>
  <c r="AP721" i="7"/>
  <c r="AO721" i="7"/>
  <c r="AP645" i="1"/>
  <c r="AO645" i="1"/>
  <c r="AN646" i="1"/>
  <c r="AL645" i="1"/>
  <c r="AJ646" i="1"/>
  <c r="AK645" i="1"/>
  <c r="AJ723" i="7" l="1"/>
  <c r="AK722" i="7"/>
  <c r="AL722" i="7"/>
  <c r="AO722" i="7"/>
  <c r="AP722" i="7"/>
  <c r="AL646" i="1"/>
  <c r="AK646" i="1"/>
  <c r="AJ647" i="1"/>
  <c r="AP646" i="1"/>
  <c r="AO646" i="1"/>
  <c r="AN647" i="1"/>
  <c r="AJ724" i="7" l="1"/>
  <c r="AK723" i="7"/>
  <c r="AL723" i="7"/>
  <c r="AP723" i="7"/>
  <c r="AO723" i="7"/>
  <c r="AP647" i="1"/>
  <c r="AO647" i="1"/>
  <c r="AN648" i="1"/>
  <c r="AL647" i="1"/>
  <c r="AJ648" i="1"/>
  <c r="AK647" i="1"/>
  <c r="AJ725" i="7" l="1"/>
  <c r="AL724" i="7"/>
  <c r="AK724" i="7"/>
  <c r="AO724" i="7"/>
  <c r="AP724" i="7"/>
  <c r="AL648" i="1"/>
  <c r="AK648" i="1"/>
  <c r="AJ649" i="1"/>
  <c r="AP648" i="1"/>
  <c r="AO648" i="1"/>
  <c r="AN649" i="1"/>
  <c r="AJ726" i="7" l="1"/>
  <c r="AK725" i="7"/>
  <c r="AL725" i="7"/>
  <c r="AP725" i="7"/>
  <c r="AO725" i="7"/>
  <c r="AL649" i="1"/>
  <c r="AK649" i="1"/>
  <c r="AJ650" i="1"/>
  <c r="AP649" i="1"/>
  <c r="AO649" i="1"/>
  <c r="AN650" i="1"/>
  <c r="AJ727" i="7" l="1"/>
  <c r="AK726" i="7"/>
  <c r="AL726" i="7"/>
  <c r="AP726" i="7"/>
  <c r="AO726" i="7"/>
  <c r="AP650" i="1"/>
  <c r="AO650" i="1"/>
  <c r="AN651" i="1"/>
  <c r="AL650" i="1"/>
  <c r="AJ651" i="1"/>
  <c r="AK650" i="1"/>
  <c r="AJ728" i="7" l="1"/>
  <c r="AL727" i="7"/>
  <c r="AK727" i="7"/>
  <c r="AP727" i="7"/>
  <c r="AO727" i="7"/>
  <c r="AL651" i="1"/>
  <c r="AK651" i="1"/>
  <c r="AJ652" i="1"/>
  <c r="AP651" i="1"/>
  <c r="AN652" i="1"/>
  <c r="AO651" i="1"/>
  <c r="AJ729" i="7" l="1"/>
  <c r="AK728" i="7"/>
  <c r="AL728" i="7"/>
  <c r="AO728" i="7"/>
  <c r="AP728" i="7"/>
  <c r="AP652" i="1"/>
  <c r="AO652" i="1"/>
  <c r="AN653" i="1"/>
  <c r="AL652" i="1"/>
  <c r="AJ653" i="1"/>
  <c r="AK652" i="1"/>
  <c r="AJ730" i="7" l="1"/>
  <c r="AK729" i="7"/>
  <c r="AL729" i="7"/>
  <c r="AP729" i="7"/>
  <c r="AO729" i="7"/>
  <c r="AL653" i="1"/>
  <c r="AK653" i="1"/>
  <c r="AJ654" i="1"/>
  <c r="AP653" i="1"/>
  <c r="AO653" i="1"/>
  <c r="AN654" i="1"/>
  <c r="AJ731" i="7" l="1"/>
  <c r="AK730" i="7"/>
  <c r="AL730" i="7"/>
  <c r="AO730" i="7"/>
  <c r="AP730" i="7"/>
  <c r="AP654" i="1"/>
  <c r="AO654" i="1"/>
  <c r="AN655" i="1"/>
  <c r="AL654" i="1"/>
  <c r="AK654" i="1"/>
  <c r="AJ655" i="1"/>
  <c r="AJ732" i="7" l="1"/>
  <c r="AK731" i="7"/>
  <c r="AL731" i="7"/>
  <c r="AP731" i="7"/>
  <c r="AO731" i="7"/>
  <c r="AL655" i="1"/>
  <c r="AJ656" i="1"/>
  <c r="AK655" i="1"/>
  <c r="AP655" i="1"/>
  <c r="AO655" i="1"/>
  <c r="AN656" i="1"/>
  <c r="AJ733" i="7" l="1"/>
  <c r="AK732" i="7"/>
  <c r="AL732" i="7"/>
  <c r="AP732" i="7"/>
  <c r="AO732" i="7"/>
  <c r="AP656" i="1"/>
  <c r="AN657" i="1"/>
  <c r="AO656" i="1"/>
  <c r="AL656" i="1"/>
  <c r="AK656" i="1"/>
  <c r="AJ657" i="1"/>
  <c r="AJ734" i="7" l="1"/>
  <c r="AK733" i="7"/>
  <c r="AL733" i="7"/>
  <c r="AP733" i="7"/>
  <c r="AO733" i="7"/>
  <c r="AL657" i="1"/>
  <c r="AK657" i="1"/>
  <c r="AJ658" i="1"/>
  <c r="AP657" i="1"/>
  <c r="AN658" i="1"/>
  <c r="AO657" i="1"/>
  <c r="AJ735" i="7" l="1"/>
  <c r="AK734" i="7"/>
  <c r="AL734" i="7"/>
  <c r="AO734" i="7"/>
  <c r="AP734" i="7"/>
  <c r="AL658" i="1"/>
  <c r="AK658" i="1"/>
  <c r="AJ659" i="1"/>
  <c r="AP658" i="1"/>
  <c r="AO658" i="1"/>
  <c r="AN659" i="1"/>
  <c r="AJ736" i="7" l="1"/>
  <c r="AL735" i="7"/>
  <c r="AK735" i="7"/>
  <c r="AP735" i="7"/>
  <c r="AO735" i="7"/>
  <c r="AP659" i="1"/>
  <c r="AO659" i="1"/>
  <c r="AN660" i="1"/>
  <c r="AL659" i="1"/>
  <c r="AK659" i="1"/>
  <c r="AJ660" i="1"/>
  <c r="AJ737" i="7" l="1"/>
  <c r="AK736" i="7"/>
  <c r="AL736" i="7"/>
  <c r="AP736" i="7"/>
  <c r="AO736" i="7"/>
  <c r="AL660" i="1"/>
  <c r="AK660" i="1"/>
  <c r="AJ661" i="1"/>
  <c r="AP660" i="1"/>
  <c r="AO660" i="1"/>
  <c r="AN661" i="1"/>
  <c r="AJ738" i="7" l="1"/>
  <c r="AK737" i="7"/>
  <c r="AL737" i="7"/>
  <c r="AP737" i="7"/>
  <c r="AO737" i="7"/>
  <c r="AP661" i="1"/>
  <c r="AN662" i="1"/>
  <c r="AO661" i="1"/>
  <c r="AL661" i="1"/>
  <c r="AK661" i="1"/>
  <c r="AJ662" i="1"/>
  <c r="AJ739" i="7" l="1"/>
  <c r="AK738" i="7"/>
  <c r="AL738" i="7"/>
  <c r="AO738" i="7"/>
  <c r="AP738" i="7"/>
  <c r="AL662" i="1"/>
  <c r="AK662" i="1"/>
  <c r="AJ663" i="1"/>
  <c r="AP662" i="1"/>
  <c r="AN663" i="1"/>
  <c r="AO662" i="1"/>
  <c r="AJ740" i="7" l="1"/>
  <c r="AK739" i="7"/>
  <c r="AL739" i="7"/>
  <c r="AP739" i="7"/>
  <c r="AO739" i="7"/>
  <c r="AP663" i="1"/>
  <c r="AO663" i="1"/>
  <c r="AN664" i="1"/>
  <c r="AL663" i="1"/>
  <c r="AK663" i="1"/>
  <c r="AJ664" i="1"/>
  <c r="AJ741" i="7" l="1"/>
  <c r="AL740" i="7"/>
  <c r="AK740" i="7"/>
  <c r="AO740" i="7"/>
  <c r="AP740" i="7"/>
  <c r="AL664" i="1"/>
  <c r="AK664" i="1"/>
  <c r="AJ665" i="1"/>
  <c r="AP664" i="1"/>
  <c r="AO664" i="1"/>
  <c r="AN665" i="1"/>
  <c r="AJ742" i="7" l="1"/>
  <c r="AK741" i="7"/>
  <c r="AL741" i="7"/>
  <c r="AP741" i="7"/>
  <c r="AO741" i="7"/>
  <c r="AL665" i="1"/>
  <c r="AK665" i="1"/>
  <c r="AJ666" i="1"/>
  <c r="AP665" i="1"/>
  <c r="AN666" i="1"/>
  <c r="AO665" i="1"/>
  <c r="AJ743" i="7" l="1"/>
  <c r="AK742" i="7"/>
  <c r="AL742" i="7"/>
  <c r="AO742" i="7"/>
  <c r="AP742" i="7"/>
  <c r="AP666" i="1"/>
  <c r="AN667" i="1"/>
  <c r="AO666" i="1"/>
  <c r="AL666" i="1"/>
  <c r="AK666" i="1"/>
  <c r="AJ667" i="1"/>
  <c r="AJ744" i="7" l="1"/>
  <c r="AL743" i="7"/>
  <c r="AK743" i="7"/>
  <c r="AP743" i="7"/>
  <c r="AO743" i="7"/>
  <c r="AP667" i="1"/>
  <c r="AO667" i="1"/>
  <c r="AN668" i="1"/>
  <c r="AL667" i="1"/>
  <c r="AK667" i="1"/>
  <c r="AJ668" i="1"/>
  <c r="AJ745" i="7" l="1"/>
  <c r="AK744" i="7"/>
  <c r="AL744" i="7"/>
  <c r="AO744" i="7"/>
  <c r="AP744" i="7"/>
  <c r="AP668" i="1"/>
  <c r="AN669" i="1"/>
  <c r="AO668" i="1"/>
  <c r="AL668" i="1"/>
  <c r="AK668" i="1"/>
  <c r="AJ669" i="1"/>
  <c r="AJ746" i="7" l="1"/>
  <c r="AK745" i="7"/>
  <c r="AL745" i="7"/>
  <c r="AP745" i="7"/>
  <c r="AO745" i="7"/>
  <c r="AL669" i="1"/>
  <c r="AK669" i="1"/>
  <c r="AJ670" i="1"/>
  <c r="AP669" i="1"/>
  <c r="AN670" i="1"/>
  <c r="AO669" i="1"/>
  <c r="AK746" i="7" l="1"/>
  <c r="AL746" i="7"/>
  <c r="AP746" i="7"/>
  <c r="AO746" i="7"/>
  <c r="AP670" i="1"/>
  <c r="AN671" i="1"/>
  <c r="AO670" i="1"/>
  <c r="AL670" i="1"/>
  <c r="AK670" i="1"/>
  <c r="AJ671" i="1"/>
  <c r="AL671" i="1" l="1"/>
  <c r="AK671" i="1"/>
  <c r="AJ672" i="1"/>
  <c r="AP671" i="1"/>
  <c r="AN672" i="1"/>
  <c r="AO671" i="1"/>
  <c r="AP672" i="1" l="1"/>
  <c r="AN673" i="1"/>
  <c r="AO672" i="1"/>
  <c r="AL672" i="1"/>
  <c r="AK672" i="1"/>
  <c r="AJ673" i="1"/>
  <c r="AL673" i="1" l="1"/>
  <c r="AK673" i="1"/>
  <c r="AJ674" i="1"/>
  <c r="AP673" i="1"/>
  <c r="AN674" i="1"/>
  <c r="AO673" i="1"/>
  <c r="AP674" i="1" l="1"/>
  <c r="AN675" i="1"/>
  <c r="AO674" i="1"/>
  <c r="AL674" i="1"/>
  <c r="AK674" i="1"/>
  <c r="AJ675" i="1"/>
  <c r="AL675" i="1" l="1"/>
  <c r="AK675" i="1"/>
  <c r="AJ676" i="1"/>
  <c r="AP675" i="1"/>
  <c r="AN676" i="1"/>
  <c r="AO675" i="1"/>
  <c r="AP676" i="1" l="1"/>
  <c r="AO676" i="1"/>
  <c r="AN677" i="1"/>
  <c r="AL676" i="1"/>
  <c r="AK676" i="1"/>
  <c r="AJ677" i="1"/>
  <c r="AL677" i="1" l="1"/>
  <c r="AK677" i="1"/>
  <c r="AJ678" i="1"/>
  <c r="AP677" i="1"/>
  <c r="AO677" i="1"/>
  <c r="AN678" i="1"/>
  <c r="AP678" i="1" l="1"/>
  <c r="AO678" i="1"/>
  <c r="AN679" i="1"/>
  <c r="AL678" i="1"/>
  <c r="AK678" i="1"/>
  <c r="AJ679" i="1"/>
  <c r="AP679" i="1" l="1"/>
  <c r="AN680" i="1"/>
  <c r="AO679" i="1"/>
  <c r="AL679" i="1"/>
  <c r="AK679" i="1"/>
  <c r="AJ680" i="1"/>
  <c r="AL680" i="1" l="1"/>
  <c r="AK680" i="1"/>
  <c r="AJ681" i="1"/>
  <c r="AP680" i="1"/>
  <c r="AO680" i="1"/>
  <c r="AN681" i="1"/>
  <c r="AP681" i="1" l="1"/>
  <c r="AN682" i="1"/>
  <c r="AO681" i="1"/>
  <c r="AL681" i="1"/>
  <c r="AK681" i="1"/>
  <c r="AJ682" i="1"/>
  <c r="AL682" i="1" l="1"/>
  <c r="AK682" i="1"/>
  <c r="AJ683" i="1"/>
  <c r="AP682" i="1"/>
  <c r="AN683" i="1"/>
  <c r="AO682" i="1"/>
  <c r="AP683" i="1" l="1"/>
  <c r="AN684" i="1"/>
  <c r="AO683" i="1"/>
  <c r="AL683" i="1"/>
  <c r="AJ684" i="1"/>
  <c r="AK683" i="1"/>
  <c r="AL684" i="1" l="1"/>
  <c r="AK684" i="1"/>
  <c r="AJ685" i="1"/>
  <c r="AP684" i="1"/>
  <c r="AO684" i="1"/>
  <c r="AN685" i="1"/>
  <c r="AL685" i="1" l="1"/>
  <c r="AJ686" i="1"/>
  <c r="AK685" i="1"/>
  <c r="AP685" i="1"/>
  <c r="AO685" i="1"/>
  <c r="AN686" i="1"/>
  <c r="AP686" i="1" l="1"/>
  <c r="AO686" i="1"/>
  <c r="AN687" i="1"/>
  <c r="AL686" i="1"/>
  <c r="AK686" i="1"/>
  <c r="AJ687" i="1"/>
  <c r="AL687" i="1" l="1"/>
  <c r="AJ688" i="1"/>
  <c r="AK687" i="1"/>
  <c r="AP687" i="1"/>
  <c r="AO687" i="1"/>
  <c r="AN688" i="1"/>
  <c r="AP688" i="1" l="1"/>
  <c r="AO688" i="1"/>
  <c r="AN689" i="1"/>
  <c r="AL688" i="1"/>
  <c r="AJ689" i="1"/>
  <c r="AK688" i="1"/>
  <c r="AP689" i="1" l="1"/>
  <c r="AN690" i="1"/>
  <c r="AO689" i="1"/>
  <c r="AL689" i="1"/>
  <c r="AK689" i="1"/>
  <c r="AJ690" i="1"/>
  <c r="AL690" i="1" l="1"/>
  <c r="AK690" i="1"/>
  <c r="AJ691" i="1"/>
  <c r="AP690" i="1"/>
  <c r="AN691" i="1"/>
  <c r="AO690" i="1"/>
  <c r="AL691" i="1" l="1"/>
  <c r="AJ692" i="1"/>
  <c r="AK691" i="1"/>
  <c r="AP691" i="1"/>
  <c r="AO691" i="1"/>
  <c r="AN692" i="1"/>
  <c r="AP692" i="1" l="1"/>
  <c r="AN693" i="1"/>
  <c r="AO692" i="1"/>
  <c r="AL692" i="1"/>
  <c r="AK692" i="1"/>
  <c r="AJ693" i="1"/>
  <c r="AP693" i="1" l="1"/>
  <c r="AO693" i="1"/>
  <c r="AN694" i="1"/>
  <c r="AL693" i="1"/>
  <c r="AK693" i="1"/>
  <c r="AJ694" i="1"/>
  <c r="AP694" i="1" l="1"/>
  <c r="AN695" i="1"/>
  <c r="AO694" i="1"/>
  <c r="AL694" i="1"/>
  <c r="AK694" i="1"/>
  <c r="AJ695" i="1"/>
  <c r="AL695" i="1" l="1"/>
  <c r="AJ696" i="1"/>
  <c r="AK695" i="1"/>
  <c r="AP695" i="1"/>
  <c r="AO695" i="1"/>
  <c r="AN696" i="1"/>
  <c r="AL696" i="1" l="1"/>
  <c r="AK696" i="1"/>
  <c r="AJ697" i="1"/>
  <c r="AP696" i="1"/>
  <c r="AN697" i="1"/>
  <c r="AO696" i="1"/>
  <c r="AP697" i="1" l="1"/>
  <c r="AN698" i="1"/>
  <c r="AO697" i="1"/>
  <c r="AL697" i="1"/>
  <c r="AK697" i="1"/>
  <c r="AJ698" i="1"/>
  <c r="AL698" i="1" l="1"/>
  <c r="AK698" i="1"/>
  <c r="AJ699" i="1"/>
  <c r="AP698" i="1"/>
  <c r="AN699" i="1"/>
  <c r="AO698" i="1"/>
  <c r="AP699" i="1" l="1"/>
  <c r="AO699" i="1"/>
  <c r="AN700" i="1"/>
  <c r="AL699" i="1"/>
  <c r="AJ700" i="1"/>
  <c r="AK699" i="1"/>
  <c r="AL700" i="1" l="1"/>
  <c r="AK700" i="1"/>
  <c r="AJ701" i="1"/>
  <c r="AP700" i="1"/>
  <c r="AN701" i="1"/>
  <c r="AO700" i="1"/>
  <c r="AP701" i="1" l="1"/>
  <c r="AO701" i="1"/>
  <c r="AN702" i="1"/>
  <c r="AL701" i="1"/>
  <c r="AJ702" i="1"/>
  <c r="AK701" i="1"/>
  <c r="AL702" i="1" l="1"/>
  <c r="AJ703" i="1"/>
  <c r="AK702" i="1"/>
  <c r="AP702" i="1"/>
  <c r="AN703" i="1"/>
  <c r="AO702" i="1"/>
  <c r="AP703" i="1" l="1"/>
  <c r="AO703" i="1"/>
  <c r="AN704" i="1"/>
  <c r="AL703" i="1"/>
  <c r="AK703" i="1"/>
  <c r="AJ704" i="1"/>
  <c r="AP704" i="1" l="1"/>
  <c r="AO704" i="1"/>
  <c r="AN705" i="1"/>
  <c r="AL704" i="1"/>
  <c r="AJ705" i="1"/>
  <c r="AK704" i="1"/>
  <c r="AL705" i="1" l="1"/>
  <c r="AJ706" i="1"/>
  <c r="AK705" i="1"/>
  <c r="AP705" i="1"/>
  <c r="AO705" i="1"/>
  <c r="AN706" i="1"/>
  <c r="AP706" i="1" l="1"/>
  <c r="AN707" i="1"/>
  <c r="AO706" i="1"/>
  <c r="AL706" i="1"/>
  <c r="AK706" i="1"/>
  <c r="AJ707" i="1"/>
  <c r="AL707" i="1" l="1"/>
  <c r="AJ708" i="1"/>
  <c r="AK707" i="1"/>
  <c r="AP707" i="1"/>
  <c r="AO707" i="1"/>
  <c r="AN708" i="1"/>
  <c r="AP708" i="1" l="1"/>
  <c r="AN709" i="1"/>
  <c r="AO708" i="1"/>
  <c r="AL708" i="1"/>
  <c r="AK708" i="1"/>
  <c r="AJ709" i="1"/>
  <c r="AL709" i="1" l="1"/>
  <c r="AJ710" i="1"/>
  <c r="AK709" i="1"/>
  <c r="AP709" i="1"/>
  <c r="AO709" i="1"/>
  <c r="AN710" i="1"/>
  <c r="AP710" i="1" l="1"/>
  <c r="AN711" i="1"/>
  <c r="AO710" i="1"/>
  <c r="AL710" i="1"/>
  <c r="AK710" i="1"/>
  <c r="AJ711" i="1"/>
  <c r="AL711" i="1" l="1"/>
  <c r="AJ712" i="1"/>
  <c r="AK711" i="1"/>
  <c r="AP711" i="1"/>
  <c r="AO711" i="1"/>
  <c r="AN712" i="1"/>
  <c r="AP712" i="1" l="1"/>
  <c r="AO712" i="1"/>
  <c r="AN713" i="1"/>
  <c r="AL712" i="1"/>
  <c r="AK712" i="1"/>
  <c r="AJ713" i="1"/>
  <c r="AL713" i="1" l="1"/>
  <c r="AK713" i="1"/>
  <c r="AJ714" i="1"/>
  <c r="AP713" i="1"/>
  <c r="AN714" i="1"/>
  <c r="AO713" i="1"/>
  <c r="AP714" i="1" l="1"/>
  <c r="AO714" i="1"/>
  <c r="AN715" i="1"/>
  <c r="AL714" i="1"/>
  <c r="AK714" i="1"/>
  <c r="AJ715" i="1"/>
  <c r="AP715" i="1" l="1"/>
  <c r="AO715" i="1"/>
  <c r="AN716" i="1"/>
  <c r="AL715" i="1"/>
  <c r="AK715" i="1"/>
  <c r="AJ716" i="1"/>
  <c r="AL716" i="1" l="1"/>
  <c r="AJ717" i="1"/>
  <c r="AK716" i="1"/>
  <c r="AP716" i="1"/>
  <c r="AO716" i="1"/>
  <c r="AN717" i="1"/>
  <c r="AP717" i="1" l="1"/>
  <c r="AN718" i="1"/>
  <c r="AO717" i="1"/>
  <c r="AL717" i="1"/>
  <c r="AJ718" i="1"/>
  <c r="AK717" i="1"/>
  <c r="AP718" i="1" l="1"/>
  <c r="AO718" i="1"/>
  <c r="AN719" i="1"/>
  <c r="AL718" i="1"/>
  <c r="AK718" i="1"/>
  <c r="AJ719" i="1"/>
  <c r="AL719" i="1" l="1"/>
  <c r="AJ720" i="1"/>
  <c r="AK719" i="1"/>
  <c r="AP719" i="1"/>
  <c r="AO719" i="1"/>
  <c r="AN720" i="1"/>
  <c r="AP720" i="1" l="1"/>
  <c r="AN721" i="1"/>
  <c r="AO720" i="1"/>
  <c r="AL720" i="1"/>
  <c r="AK720" i="1"/>
  <c r="AJ721" i="1"/>
  <c r="AL721" i="1" l="1"/>
  <c r="AK721" i="1"/>
  <c r="AJ722" i="1"/>
  <c r="AP721" i="1"/>
  <c r="AO721" i="1"/>
  <c r="AN722" i="1"/>
  <c r="AP722" i="1" l="1"/>
  <c r="AO722" i="1"/>
  <c r="AN723" i="1"/>
  <c r="AL722" i="1"/>
  <c r="AJ723" i="1"/>
  <c r="AK722" i="1"/>
  <c r="AP723" i="1" l="1"/>
  <c r="AO723" i="1"/>
  <c r="AN724" i="1"/>
  <c r="AL723" i="1"/>
  <c r="AJ724" i="1"/>
  <c r="AK723" i="1"/>
  <c r="AP724" i="1" l="1"/>
  <c r="AN725" i="1"/>
  <c r="AO724" i="1"/>
  <c r="AL724" i="1"/>
  <c r="AK724" i="1"/>
  <c r="AJ725" i="1"/>
  <c r="AL725" i="1" l="1"/>
  <c r="AK725" i="1"/>
  <c r="AJ726" i="1"/>
  <c r="AP725" i="1"/>
  <c r="AN726" i="1"/>
  <c r="AO725" i="1"/>
  <c r="AL726" i="1" l="1"/>
  <c r="AK726" i="1"/>
  <c r="AJ727" i="1"/>
  <c r="AP726" i="1"/>
  <c r="AO726" i="1"/>
  <c r="AN727" i="1"/>
  <c r="AP727" i="1" l="1"/>
  <c r="AN728" i="1"/>
  <c r="AO727" i="1"/>
  <c r="AL727" i="1"/>
  <c r="AK727" i="1"/>
  <c r="AJ728" i="1"/>
  <c r="AL728" i="1" l="1"/>
  <c r="AK728" i="1"/>
  <c r="AJ729" i="1"/>
  <c r="AP728" i="1"/>
  <c r="AN729" i="1"/>
  <c r="AO728" i="1"/>
  <c r="AP729" i="1" l="1"/>
  <c r="AO729" i="1"/>
  <c r="AN730" i="1"/>
  <c r="AL729" i="1"/>
  <c r="AJ730" i="1"/>
  <c r="AK729" i="1"/>
  <c r="AL730" i="1" l="1"/>
  <c r="AK730" i="1"/>
  <c r="AJ731" i="1"/>
  <c r="AP730" i="1"/>
  <c r="AN731" i="1"/>
  <c r="AO730" i="1"/>
  <c r="AP731" i="1" l="1"/>
  <c r="AN732" i="1"/>
  <c r="AO731" i="1"/>
  <c r="AL731" i="1"/>
  <c r="AK731" i="1"/>
  <c r="AJ732" i="1"/>
  <c r="AL732" i="1" l="1"/>
  <c r="AK732" i="1"/>
  <c r="AJ733" i="1"/>
  <c r="AP732" i="1"/>
  <c r="AO732" i="1"/>
  <c r="AN733" i="1"/>
  <c r="AL733" i="1" l="1"/>
  <c r="AK733" i="1"/>
  <c r="AJ734" i="1"/>
  <c r="AP733" i="1"/>
  <c r="AO733" i="1"/>
  <c r="AN734" i="1"/>
  <c r="AL734" i="1" l="1"/>
  <c r="AK734" i="1"/>
  <c r="AJ735" i="1"/>
  <c r="AP734" i="1"/>
  <c r="AO734" i="1"/>
  <c r="AN735" i="1"/>
  <c r="AL735" i="1" l="1"/>
  <c r="AK735" i="1"/>
  <c r="AJ736" i="1"/>
  <c r="AP735" i="1"/>
  <c r="AO735" i="1"/>
  <c r="AN736" i="1"/>
  <c r="AP736" i="1" l="1"/>
  <c r="AO736" i="1"/>
  <c r="AN737" i="1"/>
  <c r="AL736" i="1"/>
  <c r="AJ737" i="1"/>
  <c r="AK736" i="1"/>
  <c r="AL737" i="1" l="1"/>
  <c r="AK737" i="1"/>
  <c r="AJ738" i="1"/>
  <c r="AP737" i="1"/>
  <c r="AN738" i="1"/>
  <c r="AO737" i="1"/>
  <c r="AP738" i="1" l="1"/>
  <c r="AN739" i="1"/>
  <c r="AO738" i="1"/>
  <c r="AL738" i="1"/>
  <c r="AK738" i="1"/>
  <c r="AJ739" i="1"/>
  <c r="AL739" i="1" l="1"/>
  <c r="AK739" i="1"/>
  <c r="AJ740" i="1"/>
  <c r="AP739" i="1"/>
  <c r="AN740" i="1"/>
  <c r="AO739" i="1"/>
  <c r="AP740" i="1" l="1"/>
  <c r="AO740" i="1"/>
  <c r="AN741" i="1"/>
  <c r="AL740" i="1"/>
  <c r="AJ741" i="1"/>
  <c r="AK740" i="1"/>
  <c r="AL741" i="1" l="1"/>
  <c r="AK741" i="1"/>
  <c r="AJ742" i="1"/>
  <c r="AP741" i="1"/>
  <c r="AO741" i="1"/>
  <c r="AN742" i="1"/>
  <c r="AL742" i="1" l="1"/>
  <c r="AK742" i="1"/>
  <c r="AJ743" i="1"/>
  <c r="AP742" i="1"/>
  <c r="AO742" i="1"/>
  <c r="AN743" i="1"/>
  <c r="AP743" i="1" l="1"/>
  <c r="AO743" i="1"/>
  <c r="AN744" i="1"/>
  <c r="AL743" i="1"/>
  <c r="AJ744" i="1"/>
  <c r="AK743" i="1"/>
  <c r="AL744" i="1" l="1"/>
  <c r="AJ745" i="1"/>
  <c r="AK744" i="1"/>
  <c r="AP744" i="1"/>
  <c r="AN745" i="1"/>
  <c r="AO744" i="1"/>
  <c r="AP745" i="1" l="1"/>
  <c r="AN746" i="1"/>
  <c r="AO745" i="1"/>
  <c r="AL745" i="1"/>
  <c r="AK745" i="1"/>
  <c r="AJ746" i="1"/>
  <c r="AL746" i="1" l="1"/>
  <c r="AK746" i="1"/>
  <c r="AO746" i="1"/>
  <c r="AP7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600FD-6BD8-405A-9047-23318240093F}" keepAlive="1" name="Query - Assembly" description="Connection to the 'Assembly' query in the workbook." type="5" refreshedVersion="8" background="1" saveData="1">
    <dbPr connection="Provider=Microsoft.Mashup.OleDb.1;Data Source=$Workbook$;Location=Assembly;Extended Properties=&quot;&quot;" command="SELECT * FROM [Assembly]"/>
  </connection>
  <connection id="2" xr16:uid="{8FC4B43E-968F-4B50-9AE9-660E1CD46383}" keepAlive="1" name="Query - Periodically report" description="Connection to the 'Periodically report' query in the workbook." type="5" refreshedVersion="6" background="1" saveData="1">
    <dbPr connection="Provider=Microsoft.Mashup.OleDb.1;Data Source=$Workbook$;Location=&quot;Periodically report&quot;;Extended Properties=&quot;&quot;" command="SELECT * FROM [Periodically report]"/>
  </connection>
</connections>
</file>

<file path=xl/sharedStrings.xml><?xml version="1.0" encoding="utf-8"?>
<sst xmlns="http://schemas.openxmlformats.org/spreadsheetml/2006/main" count="7232" uniqueCount="421">
  <si>
    <t>Year</t>
  </si>
  <si>
    <t>Month</t>
  </si>
  <si>
    <t>Noncomformity Report</t>
  </si>
  <si>
    <t>Week</t>
  </si>
  <si>
    <t>From</t>
  </si>
  <si>
    <t>To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</si>
  <si>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</si>
  <si>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</si>
  <si>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</si>
  <si>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</si>
  <si>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</si>
  <si>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</si>
  <si>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</si>
  <si>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</si>
  <si>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</si>
  <si>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</si>
  <si>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</si>
  <si>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</si>
  <si>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</t>
  </si>
  <si>
    <t>Weeknum</t>
  </si>
  <si>
    <t>Month-Year</t>
  </si>
  <si>
    <t>Register Date</t>
  </si>
  <si>
    <t>MFG Date</t>
  </si>
  <si>
    <t>Day</t>
  </si>
  <si>
    <t>Code</t>
  </si>
  <si>
    <t>Customer</t>
  </si>
  <si>
    <t>Product code</t>
  </si>
  <si>
    <t>Note</t>
  </si>
  <si>
    <t>Product type</t>
  </si>
  <si>
    <t>Total</t>
  </si>
  <si>
    <t>Total NG from machine</t>
  </si>
  <si>
    <t>Total NG</t>
  </si>
  <si>
    <t>Tanshi biến màu
端子変色</t>
  </si>
  <si>
    <t>Tanshi oxi hóa	
端子酸化</t>
  </si>
  <si>
    <t>Trầy dây, dơ dây do NL
電線傷,  電線汚れ"</t>
  </si>
  <si>
    <t>IH biến dạng
IH 変形</t>
  </si>
  <si>
    <t>Dập cạn
浅打ち</t>
  </si>
  <si>
    <t>Dập sâu
深打ち</t>
  </si>
  <si>
    <t>Tưa lõi
心線こぼれ</t>
  </si>
  <si>
    <t>Ló lõi
心線飛び出し</t>
  </si>
  <si>
    <t>Đứt lõi
芯線切れ　</t>
  </si>
  <si>
    <t>Hụt lõi 
浅い打ち</t>
  </si>
  <si>
    <t>Đuôi NG
カットオフタブ</t>
  </si>
  <si>
    <t>Bavia
バリ</t>
  </si>
  <si>
    <t>Berumau
ベルマウス</t>
  </si>
  <si>
    <t>Tanshi biến dạng
端子変形</t>
  </si>
  <si>
    <t>Cong
ベンドアップ, ベンドアウト</t>
  </si>
  <si>
    <t>Ransu biến dạng
ランス 変形</t>
  </si>
  <si>
    <t>Không có tanshi　
端子が無い</t>
  </si>
  <si>
    <t>Dập sai block　
block違う</t>
  </si>
  <si>
    <t>Mấu ôm NG</t>
  </si>
  <si>
    <t>NIDEC VN</t>
  </si>
  <si>
    <t>O-O</t>
  </si>
  <si>
    <t>Automatic</t>
  </si>
  <si>
    <t>MINEBEA C</t>
  </si>
  <si>
    <t>NISHIKI</t>
  </si>
  <si>
    <t>O-I</t>
  </si>
  <si>
    <t>STANLEY</t>
  </si>
  <si>
    <t>TOA</t>
  </si>
  <si>
    <t>HATING</t>
  </si>
  <si>
    <t>HITACHI TAGA</t>
  </si>
  <si>
    <t>HEIWA</t>
  </si>
  <si>
    <t>Total</t>
    <phoneticPr fontId="0"/>
  </si>
  <si>
    <t>O-I</t>
    <phoneticPr fontId="0"/>
  </si>
  <si>
    <t>Inspected Qty</t>
    <phoneticPr fontId="0"/>
  </si>
  <si>
    <t>non-conformity Qty</t>
    <phoneticPr fontId="0"/>
  </si>
  <si>
    <t>non-conformity ratio</t>
    <phoneticPr fontId="0"/>
  </si>
  <si>
    <t>O-O</t>
    <phoneticPr fontId="0"/>
  </si>
  <si>
    <t>Target</t>
    <phoneticPr fontId="0"/>
  </si>
  <si>
    <t>-</t>
  </si>
  <si>
    <t>SMC</t>
  </si>
  <si>
    <t>All</t>
  </si>
  <si>
    <t>NIPRON</t>
  </si>
  <si>
    <t>OIZUMI</t>
  </si>
  <si>
    <t>TOHKAI</t>
  </si>
  <si>
    <t>KUBO</t>
  </si>
  <si>
    <t>KANETSU</t>
  </si>
  <si>
    <t>TAKAIGHI SHOKAI</t>
  </si>
  <si>
    <t>TOHKAI DENSEN</t>
  </si>
  <si>
    <t>HITACHI SHIMIZU</t>
  </si>
  <si>
    <t>PHEONIX CONTACT</t>
  </si>
  <si>
    <t>RINNAI</t>
  </si>
  <si>
    <t>Week 3</t>
  </si>
  <si>
    <t>Machine</t>
  </si>
  <si>
    <t>Semi-Automatic</t>
  </si>
  <si>
    <t>86P MIITSUAKI</t>
  </si>
  <si>
    <t>AIWA</t>
  </si>
  <si>
    <t>HITACHI TOCHIGI</t>
  </si>
  <si>
    <t>光昭・摂津（タカラスタンダード）</t>
  </si>
  <si>
    <t>ORIENT SYSTEM</t>
  </si>
  <si>
    <t>SANKYO</t>
  </si>
  <si>
    <t>エレマテック浜松</t>
  </si>
  <si>
    <t>フェニックスコンタクト</t>
  </si>
  <si>
    <t>東芝ライテック</t>
  </si>
  <si>
    <t>日立オートモティブシステムズ</t>
  </si>
  <si>
    <t>東和電機</t>
  </si>
  <si>
    <t>MRD</t>
  </si>
  <si>
    <t>NAGOYA</t>
  </si>
  <si>
    <t>MINEBEA M</t>
  </si>
  <si>
    <t>TECHNO</t>
  </si>
  <si>
    <t>NIDEC SV</t>
  </si>
  <si>
    <t>MINEBEA TW</t>
  </si>
  <si>
    <t>NG from Material</t>
  </si>
  <si>
    <t>NG from Machine</t>
  </si>
  <si>
    <t>Week 2</t>
  </si>
  <si>
    <t>Week 1</t>
  </si>
  <si>
    <t>Week 4</t>
  </si>
  <si>
    <t>NG content</t>
  </si>
  <si>
    <t>%</t>
  </si>
  <si>
    <t>Remark</t>
  </si>
  <si>
    <t>Cumulative (%)</t>
  </si>
  <si>
    <t>% Type of NG</t>
  </si>
  <si>
    <t>Week 5</t>
  </si>
  <si>
    <t>Week 6</t>
  </si>
  <si>
    <t>4O-O</t>
  </si>
  <si>
    <t>4O-I</t>
  </si>
  <si>
    <t>Non-Comformity Report</t>
  </si>
  <si>
    <t>O-I %NG following content</t>
  </si>
  <si>
    <t>O-O %NG following content</t>
  </si>
  <si>
    <t>Non-Comformity Product_Total Report</t>
  </si>
  <si>
    <t>Non-Comformity Product_Report for processing</t>
  </si>
  <si>
    <t>Total produce-Total NG by processing</t>
  </si>
  <si>
    <t>Others for IC</t>
  </si>
  <si>
    <t>Others for Processing</t>
  </si>
  <si>
    <t>ppm O-I</t>
  </si>
  <si>
    <t>ppm O-O</t>
  </si>
  <si>
    <t>Cụp</t>
  </si>
  <si>
    <t>Ngữa</t>
  </si>
  <si>
    <t>`</t>
  </si>
  <si>
    <t xml:space="preserve"> Copy O-I</t>
  </si>
  <si>
    <t>18O-I</t>
  </si>
  <si>
    <t xml:space="preserve"> Copy O-O</t>
  </si>
  <si>
    <t>18O-O</t>
  </si>
  <si>
    <t>NG from Processing</t>
  </si>
  <si>
    <t>NG from Incorrect parts</t>
  </si>
  <si>
    <t>NG from Dimension</t>
  </si>
  <si>
    <t>NG from Other reason</t>
  </si>
  <si>
    <t>=IF($F$4="","",
IF($BH$4=TRUE,SUMIFS(Periodically_report__3[Total],Periodically_report__3[Product type],$D$5,Periodically_report__3[MFG Date],"&gt;="&amp;$R$28,Periodically_report__3[MFG Date],"&lt;="&amp;$R$29),
IF(AND($BF$5=TRUE,$BI$5=FALSE),SUMIFS(Periodically_report__3[Total],Periodically_report__3[Product type],$D$5,Periodically_report__3[Machine Type],$B$3,Periodically_report__3[MFG Date],"&gt;="&amp;$R$28,Periodically_report__3[MFG Date],"&lt;="&amp;$R$29),
IF(AND($BF$5=FALSE,$BI$5=TRUE),SUMIFS(Periodically_report__3[Total],Periodically_report__3[Product type],$D$5,Periodically_report__3[Customer],$B$5,Periodically_report__3[MFG Date],"&gt;="&amp;$R$28,Periodically_report__3[MFG Date],"&lt;="&amp;$R$29),
IF(AND($BI$5=FALSE,$BH$5=FALSE),SUMIFS(Periodically_report__3[Total],Periodically_report__3[Product type],$D$5,Periodically_report__3[Machine Type],$B$3,Periodically_report__3[Customer],$B$5,Periodically_report__3[MFG Date],"&gt;="&amp;$R$28,Periodically_report__3[MFG Date],"&lt;="&amp;$R$29),"")))))</t>
  </si>
  <si>
    <t>Pareto data for weekly report_All</t>
  </si>
  <si>
    <t>Pareto data for weekly report_Processing</t>
  </si>
  <si>
    <t>19O-I</t>
  </si>
  <si>
    <t>5O-I</t>
  </si>
  <si>
    <t>19O-O</t>
  </si>
  <si>
    <t>5O-O</t>
  </si>
  <si>
    <t>Pareto data for Monthly report_All</t>
  </si>
  <si>
    <t>Pareto data for Monthly report_Processing</t>
  </si>
  <si>
    <t>Pareto data for Annual report_All</t>
  </si>
  <si>
    <t>Pareto data for Annual report_Processing</t>
  </si>
  <si>
    <t>Total Produce</t>
  </si>
  <si>
    <t>Specific Amount</t>
  </si>
  <si>
    <t>Total NG from material</t>
  </si>
  <si>
    <t>NG Type</t>
  </si>
  <si>
    <t>Comp.</t>
  </si>
  <si>
    <t>Category</t>
  </si>
  <si>
    <t>Reson for Others</t>
  </si>
  <si>
    <t>Column25</t>
  </si>
  <si>
    <t>Column26</t>
  </si>
  <si>
    <t>Material</t>
  </si>
  <si>
    <t>Housing</t>
  </si>
  <si>
    <t>đội gờ hs</t>
  </si>
  <si>
    <t>Processing</t>
  </si>
  <si>
    <t>Wire</t>
  </si>
  <si>
    <t>Others</t>
  </si>
  <si>
    <t>dây ngắn</t>
  </si>
  <si>
    <t>cat sai dayxanh B</t>
  </si>
  <si>
    <t>cat ngan dau A</t>
  </si>
  <si>
    <t>Material (Caused by supplier or Warehouse)</t>
  </si>
  <si>
    <t>NG, dính dơ, dị vật do NL</t>
  </si>
  <si>
    <t>Cháy dây</t>
  </si>
  <si>
    <t>Oxi hóa</t>
  </si>
  <si>
    <t>Trầy, dơ do NL</t>
  </si>
  <si>
    <t>Không đạt do NL</t>
  </si>
  <si>
    <t>Sai phối màu 誤配色</t>
  </si>
  <si>
    <t>Sai ống チューブ間違い</t>
  </si>
  <si>
    <t>Thông dòng NG</t>
  </si>
  <si>
    <t>Dập sai</t>
  </si>
  <si>
    <t>Sai vị trí</t>
  </si>
  <si>
    <t>Sai kích thước</t>
  </si>
  <si>
    <t>Ngắn, dài</t>
  </si>
  <si>
    <t>Sút</t>
  </si>
  <si>
    <t>Biến dạng</t>
  </si>
  <si>
    <t>Hở</t>
  </si>
  <si>
    <t>Gờ tanshi bám ít vào gờ housing ランスのロックが不十分</t>
  </si>
  <si>
    <t>Tuột mấu ôm vỏ do tán cạn 浅打ちで被覆カシメ外れ</t>
  </si>
  <si>
    <t>Dính dị vật 端子が異物付き</t>
  </si>
  <si>
    <t>Bẩn, dơ</t>
  </si>
  <si>
    <t>Thiếu dấu marking PS PSマーキング不足</t>
  </si>
  <si>
    <t>Biến dạng vị trí Soket</t>
  </si>
  <si>
    <t>Bị bể, mẻ, cấn</t>
  </si>
  <si>
    <t>Xỏ ngược đầu</t>
  </si>
  <si>
    <t>Bị trầy xước</t>
  </si>
  <si>
    <t>Bị gãy khóa</t>
  </si>
  <si>
    <t>Rách</t>
  </si>
  <si>
    <t>Contact bị cháy コン クト焼け</t>
  </si>
  <si>
    <t>Tanshi dính HKH はん  着</t>
  </si>
  <si>
    <t>Hở hộp nối 端子勘合部(接点）が開いている</t>
  </si>
  <si>
    <t>Sum</t>
  </si>
  <si>
    <t>NG from Lack of parts</t>
  </si>
  <si>
    <t>Incorrect-part</t>
  </si>
  <si>
    <t>Rework</t>
  </si>
  <si>
    <t>Bk không đạt, tái chế</t>
  </si>
  <si>
    <t xml:space="preserve">BK không đạt </t>
  </si>
  <si>
    <t>đã được tái chế (60)</t>
  </si>
  <si>
    <t xml:space="preserve">BK k đạt </t>
  </si>
  <si>
    <t>đã tái chế (93)</t>
  </si>
  <si>
    <t>Terminal</t>
  </si>
  <si>
    <t xml:space="preserve">TS biến dạng </t>
  </si>
  <si>
    <t>đã tái chế (7 )</t>
  </si>
  <si>
    <t>đã tái chế(30)</t>
  </si>
  <si>
    <t>BK k đạt</t>
  </si>
  <si>
    <t>đã tái chế (60)</t>
  </si>
  <si>
    <t>BK K đạt</t>
  </si>
  <si>
    <t xml:space="preserve">29 BK K đạt </t>
  </si>
  <si>
    <t>đã tái chế (29)</t>
  </si>
  <si>
    <t>1 ts biến dang</t>
  </si>
  <si>
    <t>đã tái chế (1)</t>
  </si>
  <si>
    <t xml:space="preserve">11 ĐỘI gờ HS </t>
  </si>
  <si>
    <t xml:space="preserve">1 Dây ngắn </t>
  </si>
  <si>
    <t>TS biến dạng</t>
  </si>
  <si>
    <t>đội gờ HS</t>
  </si>
  <si>
    <t xml:space="preserve">1 cắt ngắn B </t>
  </si>
  <si>
    <t xml:space="preserve">1 Đứt lõi trắng đen B </t>
  </si>
  <si>
    <t xml:space="preserve">1 Dây đen B trầy </t>
  </si>
  <si>
    <t xml:space="preserve">1 đầu B ngắn </t>
  </si>
  <si>
    <t xml:space="preserve">4 đứt lõi </t>
  </si>
  <si>
    <t xml:space="preserve">cháy dây </t>
  </si>
  <si>
    <t>sai kích thước dây max</t>
  </si>
  <si>
    <t xml:space="preserve">do NDJ phán định </t>
  </si>
  <si>
    <t>do NDJ phán định</t>
  </si>
  <si>
    <t>Mẻ, lõm, biến dạng</t>
  </si>
  <si>
    <t>Ngược nút bọc</t>
  </si>
  <si>
    <t>Ngược Diode</t>
  </si>
  <si>
    <t>Thiếu dây</t>
  </si>
  <si>
    <t>Dây ngắn/dài</t>
  </si>
  <si>
    <t>Thiếu ống</t>
  </si>
  <si>
    <t>Tanshi biến đạng</t>
  </si>
  <si>
    <t>Cấn, trầy</t>
  </si>
  <si>
    <t>Tưa lõi</t>
  </si>
  <si>
    <t>Đứt Lõi</t>
  </si>
  <si>
    <t>Đội gờ HS</t>
  </si>
  <si>
    <t>Bk không đạt</t>
  </si>
  <si>
    <t>HKH NG</t>
  </si>
  <si>
    <t>20O-I</t>
  </si>
  <si>
    <t xml:space="preserve">1 hs dơ </t>
  </si>
  <si>
    <t xml:space="preserve">1 siu ló ra ngoài </t>
  </si>
  <si>
    <t xml:space="preserve">28 BK K Đạt </t>
  </si>
  <si>
    <t>đã tái chế</t>
  </si>
  <si>
    <t xml:space="preserve">80 BK K đạt </t>
  </si>
  <si>
    <t xml:space="preserve">60 bk k đạt </t>
  </si>
  <si>
    <t xml:space="preserve">đã tái chế </t>
  </si>
  <si>
    <t>130 bk k đạt</t>
  </si>
  <si>
    <t>7 đứt lõi (mtđ)</t>
  </si>
  <si>
    <t>3 rách vỏ dây(mtđ)</t>
  </si>
  <si>
    <t>Dimension</t>
  </si>
  <si>
    <t>20O-O</t>
  </si>
  <si>
    <t>trầy ts</t>
  </si>
  <si>
    <t>Tape</t>
  </si>
  <si>
    <t>1 Day rút NG</t>
  </si>
  <si>
    <t xml:space="preserve">BIẾN DẠNG </t>
  </si>
  <si>
    <t>21O-I</t>
  </si>
  <si>
    <t xml:space="preserve">6 sai phối màu </t>
  </si>
  <si>
    <t xml:space="preserve">2 trầy dây </t>
  </si>
  <si>
    <t xml:space="preserve">1 ts biến dạng </t>
  </si>
  <si>
    <t>1 OXH</t>
  </si>
  <si>
    <t>1 Biến dạng</t>
  </si>
  <si>
    <t>2 sai phối màu</t>
  </si>
  <si>
    <t xml:space="preserve">2 ts OXH </t>
  </si>
  <si>
    <t xml:space="preserve">1 SOCKET dơ </t>
  </si>
  <si>
    <t>15</t>
  </si>
  <si>
    <t>40</t>
  </si>
  <si>
    <t xml:space="preserve">4 khuyết hs </t>
  </si>
  <si>
    <t xml:space="preserve">3 trầy HS </t>
  </si>
  <si>
    <t>1 HS dính dị vật</t>
  </si>
  <si>
    <t>3 Khuyết hs</t>
  </si>
  <si>
    <t>1 ts biến dạng</t>
  </si>
  <si>
    <t>3 Đội gờ HS</t>
  </si>
  <si>
    <t>3 rách seal</t>
  </si>
  <si>
    <t>1 rách seal</t>
  </si>
  <si>
    <t>3 ĐỘI gờ HS</t>
  </si>
  <si>
    <t xml:space="preserve">1 DÂY NGẮN </t>
  </si>
  <si>
    <t>1 RÁCH SEAL</t>
  </si>
  <si>
    <t xml:space="preserve">4 Dây calbe dính màu , 1 dây trắng B biến dạng(trầy) </t>
  </si>
  <si>
    <t>1 lõi trắng B oxh</t>
  </si>
  <si>
    <t xml:space="preserve">1 xanh lá B ngắn </t>
  </si>
  <si>
    <t>1 đầu A, 1 đầu B ngắn</t>
  </si>
  <si>
    <t>1 tuốt đứt xanh lá A</t>
  </si>
  <si>
    <t>1 DÂY TRẮNG B BIẾN DẠNG</t>
  </si>
  <si>
    <t xml:space="preserve">1 dđầu A ngắn </t>
  </si>
  <si>
    <t xml:space="preserve">xanh lá A biến dạng </t>
  </si>
  <si>
    <t>tuốt đứt đầu A</t>
  </si>
  <si>
    <t xml:space="preserve">đầu B xanh lá ngắn </t>
  </si>
  <si>
    <t>21O-O</t>
  </si>
  <si>
    <t>1 B xanh LÁ ngắn</t>
  </si>
  <si>
    <t xml:space="preserve">1 trắng đen B NGẮN </t>
  </si>
  <si>
    <t>2 lược biến dạng</t>
  </si>
  <si>
    <t>Tube</t>
  </si>
  <si>
    <t xml:space="preserve">3 khò sai kích thước </t>
  </si>
  <si>
    <t xml:space="preserve">1 trầy cáp </t>
  </si>
  <si>
    <t xml:space="preserve">1 sai kt cáp </t>
  </si>
  <si>
    <t>cháy dây điện trong cáp</t>
  </si>
  <si>
    <t>2 dập sai</t>
  </si>
  <si>
    <t>1 sai vị trí</t>
  </si>
  <si>
    <t>1 TRẦY</t>
  </si>
  <si>
    <t>60</t>
  </si>
  <si>
    <t>99</t>
  </si>
  <si>
    <t>150</t>
  </si>
  <si>
    <t>30</t>
  </si>
  <si>
    <t>1</t>
  </si>
  <si>
    <t>50</t>
  </si>
  <si>
    <t>20</t>
  </si>
  <si>
    <t xml:space="preserve">1 đầu A ngắn ,1 trắng đen b ngắn </t>
  </si>
  <si>
    <t>2 rách gromet</t>
  </si>
  <si>
    <t>gãy chân pin trong khóa hs</t>
  </si>
  <si>
    <t>rách gromet</t>
  </si>
  <si>
    <t>Appearance</t>
  </si>
  <si>
    <t>2</t>
  </si>
  <si>
    <t>5</t>
  </si>
  <si>
    <t>4</t>
  </si>
  <si>
    <t>Assembly error</t>
  </si>
  <si>
    <t>NG from Appearance</t>
  </si>
  <si>
    <t xml:space="preserve">2 Đầu A ngắn </t>
  </si>
  <si>
    <t xml:space="preserve">dây trắng ,dây đen B trầy </t>
  </si>
  <si>
    <t>Tanshi biến dạng</t>
  </si>
  <si>
    <t xml:space="preserve">1 dây dơ </t>
  </si>
  <si>
    <t>OXH dây trắng B</t>
  </si>
  <si>
    <t>1 TUỐT đứt Dây nối đứt A</t>
  </si>
  <si>
    <t>14</t>
  </si>
  <si>
    <t>10</t>
  </si>
  <si>
    <t>11</t>
  </si>
  <si>
    <t>29</t>
  </si>
  <si>
    <t>2 Rách gomet</t>
  </si>
  <si>
    <t>socket dính dơ</t>
  </si>
  <si>
    <t>8</t>
  </si>
  <si>
    <t>6</t>
  </si>
  <si>
    <t>26</t>
  </si>
  <si>
    <t>sai kích thước cáp</t>
  </si>
  <si>
    <t>Lack of parts</t>
  </si>
  <si>
    <t>ĐỨT dây điện</t>
  </si>
  <si>
    <t>MTD</t>
  </si>
  <si>
    <t>Caused by preprocess</t>
  </si>
  <si>
    <t>Mấu ôm vỏ biến dạng</t>
  </si>
  <si>
    <t xml:space="preserve">ống ngắn </t>
  </si>
  <si>
    <t>25</t>
  </si>
  <si>
    <t>1 Rách seal</t>
  </si>
  <si>
    <t>27</t>
  </si>
  <si>
    <t>22O-I</t>
  </si>
  <si>
    <t>3 SOCKET dính dơ</t>
  </si>
  <si>
    <t>2 rách gomet</t>
  </si>
  <si>
    <t>2 Rách seal</t>
  </si>
  <si>
    <t>37</t>
  </si>
  <si>
    <t>34</t>
  </si>
  <si>
    <t>23</t>
  </si>
  <si>
    <t xml:space="preserve">KHUYẾT </t>
  </si>
  <si>
    <t>22O-O</t>
  </si>
  <si>
    <t xml:space="preserve">dây calbe đầu B dài </t>
  </si>
  <si>
    <t>1 tuốt đứt xanh lá A, 1 Xlá B ngắn, 3 trắng đen B ngắn</t>
  </si>
  <si>
    <t>2 Tuốt đứt xanh lá A</t>
  </si>
  <si>
    <t>1 Cắt sai dây đầu B</t>
  </si>
  <si>
    <t>2 dđầu B ngắn, 1 tuốt đứt xanh lá A</t>
  </si>
  <si>
    <t>2 Rách gromet</t>
  </si>
  <si>
    <t>1 sai vị trí (btp)</t>
  </si>
  <si>
    <t>1 rách gromet</t>
  </si>
  <si>
    <t>1 đứt lõi xanh lá A</t>
  </si>
  <si>
    <t>23O-I</t>
  </si>
  <si>
    <t xml:space="preserve">1 siu ló dài </t>
  </si>
  <si>
    <t xml:space="preserve">1 trầy dây calbe </t>
  </si>
  <si>
    <t>23O-O</t>
  </si>
  <si>
    <t xml:space="preserve">4 rách dây </t>
  </si>
  <si>
    <t>1 chân switch biến dạng</t>
  </si>
  <si>
    <t>1 Đầu A ngắn</t>
  </si>
  <si>
    <t>1 OXH lõi dây trắng</t>
  </si>
  <si>
    <t>1 đứt lõi dây xanh lá A</t>
  </si>
  <si>
    <t>39</t>
  </si>
  <si>
    <t>80</t>
  </si>
  <si>
    <t>38</t>
  </si>
  <si>
    <t>49</t>
  </si>
  <si>
    <t>22</t>
  </si>
  <si>
    <t>(NVL)</t>
  </si>
  <si>
    <t>6O-I</t>
  </si>
  <si>
    <t xml:space="preserve">dây xanh lá B ngắn </t>
  </si>
  <si>
    <t>6O-O</t>
  </si>
  <si>
    <t xml:space="preserve">1 macking dây calbe dài </t>
  </si>
  <si>
    <t xml:space="preserve">Seal ló dài </t>
  </si>
  <si>
    <t>24O-I</t>
  </si>
  <si>
    <t>13</t>
  </si>
  <si>
    <t>24O-O</t>
  </si>
  <si>
    <t>12</t>
  </si>
  <si>
    <t>1 sai kt dây'</t>
  </si>
  <si>
    <t>2 sai kt cáp (mtđ)</t>
  </si>
  <si>
    <t>6 rách dây</t>
  </si>
  <si>
    <t xml:space="preserve">1 đầu A ngắn </t>
  </si>
  <si>
    <t xml:space="preserve">1 dây calbe dính màu </t>
  </si>
  <si>
    <t>1 bush A  dính màu</t>
  </si>
  <si>
    <t xml:space="preserve">1 trắng đen đầu B ngắn </t>
  </si>
  <si>
    <t>1 Dây calbe dính màu ,1 bush A dính màu</t>
  </si>
  <si>
    <t xml:space="preserve">2 LÕI A oxh </t>
  </si>
  <si>
    <t>1 cắt sai dây đầu B</t>
  </si>
  <si>
    <t>1 trắng đen B ngắn</t>
  </si>
  <si>
    <t>2 Xanh lá B ngắn ,1 cắt sai dây đầu B, 1 trắng đen B ngắn</t>
  </si>
  <si>
    <t xml:space="preserve">2 bể hs </t>
  </si>
  <si>
    <t xml:space="preserve">3 ts biến dạng </t>
  </si>
  <si>
    <t xml:space="preserve">1 sai vị tri </t>
  </si>
  <si>
    <t xml:space="preserve">2 SAI macking dây </t>
  </si>
  <si>
    <t>1 dập sâu</t>
  </si>
  <si>
    <t>4 trầy hs</t>
  </si>
  <si>
    <t xml:space="preserve">gờ hs biến dạng </t>
  </si>
  <si>
    <t xml:space="preserve">2 Rách nắp,1 thiếu gromet </t>
  </si>
  <si>
    <t xml:space="preserve">ts bị vênh </t>
  </si>
  <si>
    <t xml:space="preserve">1 ts k có số </t>
  </si>
  <si>
    <t xml:space="preserve">2 lõi dài </t>
  </si>
  <si>
    <t>Retainer</t>
  </si>
  <si>
    <t>25O-I</t>
  </si>
  <si>
    <t>25O-O</t>
  </si>
  <si>
    <t>trầy lược</t>
  </si>
  <si>
    <t>dính HKH</t>
  </si>
  <si>
    <t>18</t>
  </si>
  <si>
    <t xml:space="preserve">1  SAI KT </t>
  </si>
  <si>
    <t>không thấy số 1</t>
  </si>
  <si>
    <t xml:space="preserve">2 Đầu A ngắn , 2 xanh lá B ngắn </t>
  </si>
  <si>
    <t xml:space="preserve">1 Dây calbe dính màu </t>
  </si>
  <si>
    <t>1 tuốt đứt lõi đầu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</si>
</sst>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dd\-mm\-yyyy"/>
    <numFmt numFmtId="166" formatCode="mm\-yyyy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Calibri"/>
      <family val="3"/>
      <charset val="128"/>
      <scheme val="minor"/>
    </font>
    <font>
      <b/>
      <sz val="12"/>
      <color rgb="FF0000FF"/>
      <name val="Times New Roman"/>
      <family val="1"/>
    </font>
    <font>
      <sz val="11"/>
      <color theme="0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Times New Roman"/>
      <family val="1"/>
    </font>
    <font>
      <b/>
      <sz val="10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double">
        <color indexed="64"/>
      </right>
      <top style="medium">
        <color indexed="64"/>
      </top>
      <bottom/>
      <diagonal style="hair">
        <color indexed="64"/>
      </diagonal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66FFFF"/>
      </left>
      <right style="medium">
        <color theme="0"/>
      </right>
      <top style="thin">
        <color rgb="FF66FFFF"/>
      </top>
      <bottom style="medium">
        <color theme="0"/>
      </bottom>
      <diagonal/>
    </border>
    <border>
      <left/>
      <right/>
      <top style="medium">
        <color theme="0"/>
      </top>
      <bottom style="thin">
        <color rgb="FF66FFFF"/>
      </bottom>
      <diagonal/>
    </border>
    <border>
      <left style="medium">
        <color theme="0"/>
      </left>
      <right style="thin">
        <color rgb="FF66FFFF"/>
      </right>
      <top style="medium">
        <color theme="0"/>
      </top>
      <bottom style="thin">
        <color rgb="FF66FFFF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double">
        <color indexed="64"/>
      </right>
      <top/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ck">
        <color theme="0"/>
      </top>
      <bottom/>
      <diagonal/>
    </border>
    <border>
      <left/>
      <right style="thin">
        <color theme="0" tint="-0.34998626667073579"/>
      </right>
      <top style="thick">
        <color theme="0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rgb="FFFFFF00"/>
      </right>
      <top style="thick">
        <color theme="0"/>
      </top>
      <bottom style="thick">
        <color theme="0"/>
      </bottom>
      <diagonal/>
    </border>
    <border>
      <left style="thin">
        <color theme="0" tint="-0.34998626667073579"/>
      </left>
      <right/>
      <top style="thick">
        <color theme="0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 tint="-0.34998626667073579"/>
      </right>
      <top/>
      <bottom style="thick">
        <color theme="0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double">
        <color indexed="64"/>
      </right>
      <top/>
      <bottom style="double">
        <color indexed="64"/>
      </bottom>
      <diagonal style="hair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hair">
        <color indexed="64"/>
      </diagonal>
    </border>
    <border diagonalDown="1">
      <left style="medium">
        <color indexed="64"/>
      </left>
      <right style="thin">
        <color indexed="64"/>
      </right>
      <top/>
      <bottom style="double">
        <color indexed="64"/>
      </bottom>
      <diagonal style="hair">
        <color indexed="64"/>
      </diagonal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/>
      </right>
      <top style="thin">
        <color rgb="FF66FFFF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theme="0"/>
      </top>
      <bottom style="thin">
        <color rgb="FF66FF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theme="0" tint="-0.499984740745262"/>
      </left>
      <right/>
      <top style="thick">
        <color theme="0"/>
      </top>
      <bottom/>
      <diagonal/>
    </border>
    <border>
      <left/>
      <right style="thin">
        <color theme="0" tint="-0.499984740745262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rgb="FF66FFFF"/>
      </bottom>
      <diagonal/>
    </border>
    <border>
      <left style="thin">
        <color theme="0" tint="-0.499984740745262"/>
      </left>
      <right/>
      <top/>
      <bottom style="thin">
        <color rgb="FF66FFFF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0" xfId="0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vertical="center"/>
    </xf>
    <xf numFmtId="0" fontId="0" fillId="0" borderId="0" xfId="0" applyProtection="1">
      <protection locked="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Continuous" vertical="center"/>
    </xf>
    <xf numFmtId="0" fontId="0" fillId="0" borderId="0" xfId="0" applyProtection="1">
      <protection hidden="1"/>
    </xf>
    <xf numFmtId="0" fontId="0" fillId="0" borderId="0" xfId="0" quotePrefix="1" applyProtection="1">
      <protection hidden="1"/>
    </xf>
    <xf numFmtId="14" fontId="0" fillId="0" borderId="0" xfId="0" applyNumberFormat="1" applyProtection="1">
      <protection hidden="1"/>
    </xf>
    <xf numFmtId="0" fontId="0" fillId="0" borderId="1" xfId="0" applyBorder="1" applyProtection="1">
      <protection hidden="1"/>
    </xf>
    <xf numFmtId="14" fontId="0" fillId="0" borderId="1" xfId="0" applyNumberFormat="1" applyBorder="1" applyProtection="1">
      <protection hidden="1"/>
    </xf>
    <xf numFmtId="1" fontId="0" fillId="0" borderId="0" xfId="0" applyNumberFormat="1" applyProtection="1">
      <protection hidden="1"/>
    </xf>
    <xf numFmtId="0" fontId="3" fillId="0" borderId="13" xfId="0" applyFont="1" applyBorder="1" applyAlignment="1" applyProtection="1">
      <alignment vertical="center"/>
      <protection hidden="1"/>
    </xf>
    <xf numFmtId="0" fontId="3" fillId="0" borderId="8" xfId="0" applyFont="1" applyBorder="1" applyAlignment="1" applyProtection="1">
      <alignment vertical="center"/>
      <protection hidden="1"/>
    </xf>
    <xf numFmtId="38" fontId="3" fillId="0" borderId="14" xfId="0" applyNumberFormat="1" applyFont="1" applyBorder="1" applyAlignment="1" applyProtection="1">
      <alignment horizontal="center" vertical="center" shrinkToFit="1"/>
      <protection hidden="1"/>
    </xf>
    <xf numFmtId="0" fontId="0" fillId="5" borderId="0" xfId="0" applyFill="1" applyAlignment="1" applyProtection="1">
      <alignment horizontal="centerContinuous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Protection="1">
      <protection locked="0"/>
    </xf>
    <xf numFmtId="0" fontId="0" fillId="5" borderId="18" xfId="0" applyFill="1" applyBorder="1" applyAlignment="1" applyProtection="1">
      <alignment horizontal="centerContinuous" vertical="center"/>
      <protection locked="0"/>
    </xf>
    <xf numFmtId="0" fontId="0" fillId="7" borderId="17" xfId="0" applyFill="1" applyBorder="1" applyAlignment="1" applyProtection="1">
      <alignment horizontal="centerContinuous" vertical="center"/>
      <protection locked="0"/>
    </xf>
    <xf numFmtId="14" fontId="0" fillId="7" borderId="17" xfId="0" applyNumberFormat="1" applyFill="1" applyBorder="1" applyAlignment="1" applyProtection="1">
      <alignment horizontal="centerContinuous" vertical="center"/>
      <protection locked="0"/>
    </xf>
    <xf numFmtId="38" fontId="3" fillId="0" borderId="7" xfId="0" applyNumberFormat="1" applyFont="1" applyBorder="1" applyAlignment="1" applyProtection="1">
      <alignment horizontal="center" vertical="center" shrinkToFit="1"/>
      <protection hidden="1"/>
    </xf>
    <xf numFmtId="0" fontId="3" fillId="0" borderId="1" xfId="0" applyFont="1" applyBorder="1" applyAlignment="1" applyProtection="1">
      <alignment horizontal="centerContinuous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Continuous"/>
      <protection locked="0"/>
    </xf>
    <xf numFmtId="0" fontId="7" fillId="2" borderId="19" xfId="0" applyFont="1" applyFill="1" applyBorder="1" applyAlignment="1" applyProtection="1">
      <alignment horizontal="centerContinuous"/>
      <protection locked="0"/>
    </xf>
    <xf numFmtId="0" fontId="3" fillId="0" borderId="23" xfId="0" applyFont="1" applyBorder="1" applyAlignment="1" applyProtection="1">
      <alignment vertical="center"/>
      <protection hidden="1"/>
    </xf>
    <xf numFmtId="38" fontId="3" fillId="0" borderId="24" xfId="0" applyNumberFormat="1" applyFont="1" applyBorder="1" applyAlignment="1" applyProtection="1">
      <alignment horizontal="center" vertical="center" shrinkToFit="1"/>
      <protection hidden="1"/>
    </xf>
    <xf numFmtId="38" fontId="3" fillId="0" borderId="23" xfId="0" applyNumberFormat="1" applyFont="1" applyBorder="1" applyAlignment="1" applyProtection="1">
      <alignment horizontal="center" vertical="center" shrinkToFit="1"/>
      <protection hidden="1"/>
    </xf>
    <xf numFmtId="38" fontId="3" fillId="0" borderId="25" xfId="0" applyNumberFormat="1" applyFont="1" applyBorder="1" applyAlignment="1" applyProtection="1">
      <alignment horizontal="center" vertical="center" shrinkToFit="1"/>
      <protection hidden="1"/>
    </xf>
    <xf numFmtId="38" fontId="3" fillId="0" borderId="27" xfId="0" applyNumberFormat="1" applyFont="1" applyBorder="1" applyAlignment="1" applyProtection="1">
      <alignment horizontal="center" vertical="center" shrinkToFit="1"/>
      <protection hidden="1"/>
    </xf>
    <xf numFmtId="38" fontId="3" fillId="0" borderId="8" xfId="0" applyNumberFormat="1" applyFont="1" applyBorder="1" applyAlignment="1" applyProtection="1">
      <alignment horizontal="center" vertical="center" shrinkToFit="1"/>
      <protection hidden="1"/>
    </xf>
    <xf numFmtId="38" fontId="3" fillId="0" borderId="28" xfId="0" applyNumberFormat="1" applyFont="1" applyBorder="1" applyAlignment="1" applyProtection="1">
      <alignment horizontal="center" vertical="center" shrinkToFit="1"/>
      <protection hidden="1"/>
    </xf>
    <xf numFmtId="0" fontId="3" fillId="0" borderId="30" xfId="0" applyFont="1" applyBorder="1" applyAlignment="1" applyProtection="1">
      <alignment vertical="center"/>
      <protection hidden="1"/>
    </xf>
    <xf numFmtId="38" fontId="3" fillId="0" borderId="31" xfId="0" applyNumberFormat="1" applyFont="1" applyBorder="1" applyAlignment="1" applyProtection="1">
      <alignment horizontal="center" vertical="center" shrinkToFit="1"/>
      <protection hidden="1"/>
    </xf>
    <xf numFmtId="38" fontId="3" fillId="0" borderId="30" xfId="0" applyNumberFormat="1" applyFont="1" applyBorder="1" applyAlignment="1" applyProtection="1">
      <alignment horizontal="center" vertical="center" shrinkToFit="1"/>
      <protection hidden="1"/>
    </xf>
    <xf numFmtId="38" fontId="3" fillId="0" borderId="32" xfId="0" applyNumberFormat="1" applyFont="1" applyBorder="1" applyAlignment="1" applyProtection="1">
      <alignment horizontal="center" vertical="center" shrinkToFit="1"/>
      <protection hidden="1"/>
    </xf>
    <xf numFmtId="38" fontId="3" fillId="0" borderId="41" xfId="0" applyNumberFormat="1" applyFont="1" applyBorder="1" applyAlignment="1" applyProtection="1">
      <alignment horizontal="center" vertical="center" shrinkToFit="1"/>
      <protection hidden="1"/>
    </xf>
    <xf numFmtId="38" fontId="3" fillId="0" borderId="42" xfId="0" applyNumberFormat="1" applyFont="1" applyBorder="1" applyAlignment="1" applyProtection="1">
      <alignment horizontal="center" vertical="center" shrinkToFit="1"/>
      <protection hidden="1"/>
    </xf>
    <xf numFmtId="38" fontId="3" fillId="0" borderId="43" xfId="0" applyNumberFormat="1" applyFont="1" applyBorder="1" applyAlignment="1" applyProtection="1">
      <alignment horizontal="center" vertical="center" shrinkToFit="1"/>
      <protection hidden="1"/>
    </xf>
    <xf numFmtId="38" fontId="3" fillId="0" borderId="45" xfId="0" applyNumberFormat="1" applyFont="1" applyBorder="1" applyAlignment="1" applyProtection="1">
      <alignment horizontal="center" vertical="center" shrinkToFit="1"/>
      <protection hidden="1"/>
    </xf>
    <xf numFmtId="38" fontId="3" fillId="0" borderId="13" xfId="0" applyNumberFormat="1" applyFont="1" applyBorder="1" applyAlignment="1" applyProtection="1">
      <alignment horizontal="center" vertical="center" shrinkToFit="1"/>
      <protection hidden="1"/>
    </xf>
    <xf numFmtId="38" fontId="3" fillId="0" borderId="46" xfId="0" applyNumberFormat="1" applyFont="1" applyBorder="1" applyAlignment="1" applyProtection="1">
      <alignment horizontal="center" vertical="center" shrinkToFit="1"/>
      <protection hidden="1"/>
    </xf>
    <xf numFmtId="0" fontId="3" fillId="0" borderId="48" xfId="0" applyFont="1" applyBorder="1" applyAlignment="1" applyProtection="1">
      <alignment vertical="center"/>
      <protection hidden="1"/>
    </xf>
    <xf numFmtId="38" fontId="3" fillId="0" borderId="49" xfId="0" applyNumberFormat="1" applyFont="1" applyBorder="1" applyAlignment="1" applyProtection="1">
      <alignment horizontal="center" vertical="center" shrinkToFit="1"/>
      <protection hidden="1"/>
    </xf>
    <xf numFmtId="38" fontId="3" fillId="0" borderId="48" xfId="0" applyNumberFormat="1" applyFont="1" applyBorder="1" applyAlignment="1" applyProtection="1">
      <alignment horizontal="center" vertical="center" shrinkToFit="1"/>
      <protection hidden="1"/>
    </xf>
    <xf numFmtId="38" fontId="3" fillId="0" borderId="50" xfId="0" applyNumberFormat="1" applyFont="1" applyBorder="1" applyAlignment="1" applyProtection="1">
      <alignment horizontal="center" vertical="center" shrinkToFit="1"/>
      <protection hidden="1"/>
    </xf>
    <xf numFmtId="38" fontId="3" fillId="0" borderId="51" xfId="0" applyNumberFormat="1" applyFont="1" applyBorder="1" applyAlignment="1" applyProtection="1">
      <alignment horizontal="center" vertical="center" shrinkToFit="1"/>
      <protection hidden="1"/>
    </xf>
    <xf numFmtId="38" fontId="3" fillId="0" borderId="52" xfId="0" applyNumberFormat="1" applyFont="1" applyBorder="1" applyAlignment="1" applyProtection="1">
      <alignment horizontal="center" vertical="center" shrinkToFit="1"/>
      <protection hidden="1"/>
    </xf>
    <xf numFmtId="38" fontId="3" fillId="0" borderId="10" xfId="0" applyNumberFormat="1" applyFont="1" applyBorder="1" applyAlignment="1" applyProtection="1">
      <alignment horizontal="center" vertical="center" shrinkToFit="1"/>
      <protection hidden="1"/>
    </xf>
    <xf numFmtId="14" fontId="3" fillId="10" borderId="35" xfId="0" quotePrefix="1" applyNumberFormat="1" applyFont="1" applyFill="1" applyBorder="1" applyAlignment="1" applyProtection="1">
      <alignment horizontal="center" vertical="center"/>
      <protection hidden="1"/>
    </xf>
    <xf numFmtId="14" fontId="3" fillId="10" borderId="36" xfId="0" quotePrefix="1" applyNumberFormat="1" applyFont="1" applyFill="1" applyBorder="1" applyAlignment="1" applyProtection="1">
      <alignment horizontal="center" vertical="center"/>
      <protection hidden="1"/>
    </xf>
    <xf numFmtId="14" fontId="3" fillId="10" borderId="37" xfId="0" quotePrefix="1" applyNumberFormat="1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0" fillId="2" borderId="21" xfId="0" applyFill="1" applyBorder="1" applyAlignment="1" applyProtection="1">
      <alignment horizontal="centerContinuous"/>
      <protection locked="0"/>
    </xf>
    <xf numFmtId="0" fontId="0" fillId="2" borderId="0" xfId="0" applyFill="1" applyProtection="1">
      <protection hidden="1"/>
    </xf>
    <xf numFmtId="14" fontId="0" fillId="0" borderId="0" xfId="0" quotePrefix="1" applyNumberFormat="1" applyAlignment="1" applyProtection="1">
      <alignment horizontal="center"/>
      <protection hidden="1"/>
    </xf>
    <xf numFmtId="0" fontId="3" fillId="0" borderId="9" xfId="0" applyFont="1" applyBorder="1" applyAlignment="1" applyProtection="1">
      <alignment vertical="center"/>
      <protection hidden="1"/>
    </xf>
    <xf numFmtId="0" fontId="3" fillId="0" borderId="9" xfId="0" applyFont="1" applyBorder="1" applyAlignment="1" applyProtection="1">
      <alignment horizontal="center" vertical="center"/>
      <protection hidden="1"/>
    </xf>
    <xf numFmtId="1" fontId="3" fillId="0" borderId="9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" fontId="3" fillId="0" borderId="11" xfId="0" applyNumberFormat="1" applyFont="1" applyBorder="1" applyAlignment="1" applyProtection="1">
      <alignment horizontal="center" vertical="center"/>
      <protection hidden="1"/>
    </xf>
    <xf numFmtId="0" fontId="0" fillId="8" borderId="15" xfId="0" applyFill="1" applyBorder="1" applyAlignment="1" applyProtection="1">
      <alignment horizontal="center" vertical="center"/>
      <protection hidden="1"/>
    </xf>
    <xf numFmtId="0" fontId="0" fillId="5" borderId="16" xfId="0" applyFill="1" applyBorder="1" applyProtection="1">
      <protection hidden="1"/>
    </xf>
    <xf numFmtId="0" fontId="6" fillId="6" borderId="15" xfId="0" applyFont="1" applyFill="1" applyBorder="1" applyAlignment="1" applyProtection="1">
      <alignment horizontal="center" vertical="center"/>
      <protection hidden="1"/>
    </xf>
    <xf numFmtId="0" fontId="6" fillId="6" borderId="17" xfId="0" applyFont="1" applyFill="1" applyBorder="1" applyAlignment="1" applyProtection="1">
      <alignment horizontal="centerContinuous" vertical="center"/>
      <protection locked="0"/>
    </xf>
    <xf numFmtId="0" fontId="2" fillId="5" borderId="53" xfId="0" applyFont="1" applyFill="1" applyBorder="1" applyAlignment="1" applyProtection="1">
      <alignment horizontal="centerContinuous"/>
      <protection locked="0"/>
    </xf>
    <xf numFmtId="0" fontId="0" fillId="5" borderId="53" xfId="0" applyFill="1" applyBorder="1" applyAlignment="1" applyProtection="1">
      <alignment horizontal="centerContinuous"/>
      <protection locked="0"/>
    </xf>
    <xf numFmtId="0" fontId="0" fillId="5" borderId="54" xfId="0" applyFill="1" applyBorder="1" applyAlignment="1" applyProtection="1">
      <alignment horizontal="centerContinuous"/>
      <protection hidden="1"/>
    </xf>
    <xf numFmtId="0" fontId="0" fillId="5" borderId="55" xfId="0" applyFill="1" applyBorder="1" applyAlignment="1" applyProtection="1">
      <alignment horizontal="centerContinuous"/>
      <protection hidden="1"/>
    </xf>
    <xf numFmtId="0" fontId="0" fillId="5" borderId="55" xfId="0" applyFill="1" applyBorder="1" applyProtection="1">
      <protection hidden="1"/>
    </xf>
    <xf numFmtId="0" fontId="0" fillId="5" borderId="56" xfId="0" applyFill="1" applyBorder="1" applyProtection="1">
      <protection locked="0"/>
    </xf>
    <xf numFmtId="0" fontId="0" fillId="5" borderId="57" xfId="0" applyFill="1" applyBorder="1" applyProtection="1">
      <protection hidden="1"/>
    </xf>
    <xf numFmtId="0" fontId="0" fillId="2" borderId="58" xfId="0" applyFill="1" applyBorder="1" applyAlignment="1" applyProtection="1">
      <alignment horizontal="centerContinuous"/>
      <protection hidden="1"/>
    </xf>
    <xf numFmtId="0" fontId="7" fillId="2" borderId="19" xfId="0" applyFont="1" applyFill="1" applyBorder="1" applyAlignment="1" applyProtection="1">
      <alignment horizontal="centerContinuous" vertical="center"/>
      <protection locked="0"/>
    </xf>
    <xf numFmtId="38" fontId="0" fillId="0" borderId="0" xfId="0" applyNumberFormat="1" applyProtection="1">
      <protection hidden="1"/>
    </xf>
    <xf numFmtId="0" fontId="0" fillId="0" borderId="9" xfId="0" applyBorder="1" applyProtection="1"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1" fontId="0" fillId="0" borderId="10" xfId="0" applyNumberForma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59" xfId="0" applyFill="1" applyBorder="1" applyProtection="1">
      <protection locked="0"/>
    </xf>
    <xf numFmtId="0" fontId="0" fillId="5" borderId="60" xfId="0" applyFill="1" applyBorder="1" applyProtection="1">
      <protection locked="0"/>
    </xf>
    <xf numFmtId="0" fontId="0" fillId="5" borderId="61" xfId="0" applyFill="1" applyBorder="1" applyProtection="1">
      <protection locked="0"/>
    </xf>
    <xf numFmtId="1" fontId="0" fillId="0" borderId="11" xfId="0" applyNumberFormat="1" applyBorder="1" applyAlignment="1" applyProtection="1">
      <alignment horizontal="center"/>
      <protection hidden="1"/>
    </xf>
    <xf numFmtId="0" fontId="9" fillId="0" borderId="8" xfId="0" applyFont="1" applyBorder="1" applyAlignment="1" applyProtection="1">
      <alignment vertical="center"/>
      <protection hidden="1"/>
    </xf>
    <xf numFmtId="0" fontId="9" fillId="0" borderId="48" xfId="0" applyFont="1" applyBorder="1" applyAlignment="1" applyProtection="1">
      <alignment vertical="center"/>
      <protection hidden="1"/>
    </xf>
    <xf numFmtId="0" fontId="9" fillId="0" borderId="30" xfId="0" applyFont="1" applyBorder="1" applyAlignment="1" applyProtection="1">
      <alignment vertical="center"/>
      <protection hidden="1"/>
    </xf>
    <xf numFmtId="0" fontId="0" fillId="0" borderId="0" xfId="0" quotePrefix="1" applyProtection="1"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2" fillId="5" borderId="74" xfId="0" applyFont="1" applyFill="1" applyBorder="1" applyAlignment="1" applyProtection="1">
      <alignment horizontal="centerContinuous"/>
      <protection hidden="1"/>
    </xf>
    <xf numFmtId="0" fontId="0" fillId="5" borderId="75" xfId="0" applyFill="1" applyBorder="1" applyAlignment="1" applyProtection="1">
      <alignment horizontal="centerContinuous"/>
      <protection locked="0"/>
    </xf>
    <xf numFmtId="0" fontId="0" fillId="8" borderId="76" xfId="0" applyFill="1" applyBorder="1" applyAlignment="1" applyProtection="1">
      <alignment horizontal="center" vertical="center"/>
      <protection hidden="1"/>
    </xf>
    <xf numFmtId="0" fontId="0" fillId="5" borderId="78" xfId="0" applyFill="1" applyBorder="1" applyProtection="1">
      <protection hidden="1"/>
    </xf>
    <xf numFmtId="0" fontId="0" fillId="5" borderId="75" xfId="0" applyFill="1" applyBorder="1" applyProtection="1">
      <protection locked="0"/>
    </xf>
    <xf numFmtId="0" fontId="6" fillId="6" borderId="76" xfId="0" applyFont="1" applyFill="1" applyBorder="1" applyAlignment="1" applyProtection="1">
      <alignment horizontal="center" vertical="center"/>
      <protection hidden="1"/>
    </xf>
    <xf numFmtId="0" fontId="0" fillId="5" borderId="74" xfId="0" applyFill="1" applyBorder="1" applyProtection="1">
      <protection hidden="1"/>
    </xf>
    <xf numFmtId="0" fontId="0" fillId="5" borderId="74" xfId="0" applyFill="1" applyBorder="1" applyProtection="1">
      <protection locked="0"/>
    </xf>
    <xf numFmtId="0" fontId="2" fillId="5" borderId="81" xfId="0" applyFont="1" applyFill="1" applyBorder="1" applyAlignment="1" applyProtection="1">
      <alignment horizontal="centerContinuous"/>
      <protection locked="0"/>
    </xf>
    <xf numFmtId="0" fontId="0" fillId="8" borderId="76" xfId="0" applyFill="1" applyBorder="1" applyAlignment="1" applyProtection="1">
      <alignment horizontal="center" vertical="center"/>
      <protection locked="0"/>
    </xf>
    <xf numFmtId="0" fontId="0" fillId="5" borderId="78" xfId="0" applyFill="1" applyBorder="1" applyProtection="1">
      <protection locked="0"/>
    </xf>
    <xf numFmtId="0" fontId="11" fillId="11" borderId="0" xfId="0" applyFont="1" applyFill="1" applyAlignment="1">
      <alignment horizontal="centerContinuous"/>
    </xf>
    <xf numFmtId="0" fontId="10" fillId="11" borderId="0" xfId="0" applyFont="1" applyFill="1" applyAlignment="1">
      <alignment horizontal="centerContinuous"/>
    </xf>
    <xf numFmtId="1" fontId="0" fillId="0" borderId="10" xfId="0" applyNumberFormat="1" applyBorder="1" applyAlignment="1" applyProtection="1">
      <alignment horizontal="center"/>
      <protection hidden="1"/>
    </xf>
    <xf numFmtId="164" fontId="0" fillId="5" borderId="0" xfId="0" applyNumberFormat="1" applyFill="1" applyProtection="1">
      <protection locked="0"/>
    </xf>
    <xf numFmtId="0" fontId="0" fillId="5" borderId="55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0" fillId="5" borderId="0" xfId="0" applyFill="1" applyProtection="1">
      <protection hidden="1"/>
    </xf>
    <xf numFmtId="0" fontId="0" fillId="0" borderId="83" xfId="0" applyBorder="1" applyProtection="1">
      <protection hidden="1"/>
    </xf>
    <xf numFmtId="0" fontId="3" fillId="0" borderId="83" xfId="0" applyFont="1" applyBorder="1" applyAlignment="1" applyProtection="1">
      <alignment horizontal="center" vertical="center"/>
      <protection hidden="1"/>
    </xf>
    <xf numFmtId="1" fontId="3" fillId="0" borderId="83" xfId="0" applyNumberFormat="1" applyFont="1" applyBorder="1" applyAlignment="1" applyProtection="1">
      <alignment horizontal="center" vertical="center"/>
      <protection hidden="1"/>
    </xf>
    <xf numFmtId="1" fontId="0" fillId="0" borderId="83" xfId="0" applyNumberFormat="1" applyBorder="1" applyAlignment="1" applyProtection="1">
      <alignment horizontal="center"/>
      <protection hidden="1"/>
    </xf>
    <xf numFmtId="0" fontId="0" fillId="5" borderId="57" xfId="0" applyFill="1" applyBorder="1" applyProtection="1">
      <protection locked="0"/>
    </xf>
    <xf numFmtId="0" fontId="12" fillId="5" borderId="0" xfId="0" applyFont="1" applyFill="1" applyProtection="1">
      <protection locked="0"/>
    </xf>
    <xf numFmtId="0" fontId="0" fillId="5" borderId="82" xfId="0" applyFill="1" applyBorder="1" applyAlignment="1" applyProtection="1">
      <alignment horizontal="centerContinuous"/>
      <protection locked="0"/>
    </xf>
    <xf numFmtId="0" fontId="0" fillId="5" borderId="54" xfId="0" applyFill="1" applyBorder="1" applyAlignment="1" applyProtection="1">
      <alignment horizontal="center"/>
      <protection locked="0"/>
    </xf>
    <xf numFmtId="0" fontId="0" fillId="5" borderId="55" xfId="0" applyFill="1" applyBorder="1" applyAlignment="1" applyProtection="1">
      <alignment horizontal="center"/>
      <protection locked="0"/>
    </xf>
    <xf numFmtId="14" fontId="3" fillId="10" borderId="35" xfId="0" quotePrefix="1" applyNumberFormat="1" applyFont="1" applyFill="1" applyBorder="1" applyAlignment="1" applyProtection="1">
      <alignment horizontal="center" vertical="center"/>
      <protection locked="0"/>
    </xf>
    <xf numFmtId="14" fontId="3" fillId="10" borderId="36" xfId="0" quotePrefix="1" applyNumberFormat="1" applyFont="1" applyFill="1" applyBorder="1" applyAlignment="1" applyProtection="1">
      <alignment horizontal="center" vertical="center"/>
      <protection locked="0"/>
    </xf>
    <xf numFmtId="14" fontId="3" fillId="10" borderId="37" xfId="0" quotePrefix="1" applyNumberFormat="1" applyFont="1" applyFill="1" applyBorder="1" applyAlignment="1" applyProtection="1">
      <alignment horizontal="center" vertical="center"/>
      <protection locked="0"/>
    </xf>
    <xf numFmtId="0" fontId="3" fillId="10" borderId="3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14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8" fontId="3" fillId="0" borderId="7" xfId="0" applyNumberFormat="1" applyFont="1" applyBorder="1" applyAlignment="1" applyProtection="1">
      <alignment horizontal="center" vertical="center" shrinkToFit="1"/>
      <protection locked="0"/>
    </xf>
    <xf numFmtId="38" fontId="3" fillId="0" borderId="41" xfId="0" applyNumberFormat="1" applyFont="1" applyBorder="1" applyAlignment="1" applyProtection="1">
      <alignment horizontal="center" vertical="center" shrinkToFit="1"/>
      <protection locked="0"/>
    </xf>
    <xf numFmtId="38" fontId="3" fillId="0" borderId="42" xfId="0" applyNumberFormat="1" applyFont="1" applyBorder="1" applyAlignment="1" applyProtection="1">
      <alignment horizontal="center" vertical="center" shrinkToFit="1"/>
      <protection locked="0"/>
    </xf>
    <xf numFmtId="38" fontId="3" fillId="0" borderId="43" xfId="0" applyNumberFormat="1" applyFont="1" applyBorder="1" applyAlignment="1" applyProtection="1">
      <alignment horizontal="center" vertical="center" shrinkToFit="1"/>
      <protection locked="0"/>
    </xf>
    <xf numFmtId="14" fontId="0" fillId="0" borderId="1" xfId="0" applyNumberFormat="1" applyBorder="1" applyProtection="1">
      <protection locked="0"/>
    </xf>
    <xf numFmtId="1" fontId="0" fillId="0" borderId="0" xfId="0" applyNumberFormat="1" applyProtection="1">
      <protection locked="0"/>
    </xf>
    <xf numFmtId="14" fontId="0" fillId="0" borderId="0" xfId="0" quotePrefix="1" applyNumberFormat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Continuous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1" fontId="3" fillId="5" borderId="0" xfId="0" applyNumberFormat="1" applyFont="1" applyFill="1" applyAlignment="1" applyProtection="1">
      <alignment horizontal="center" vertical="center"/>
      <protection locked="0"/>
    </xf>
    <xf numFmtId="0" fontId="0" fillId="0" borderId="56" xfId="0" applyBorder="1" applyProtection="1">
      <protection locked="0"/>
    </xf>
    <xf numFmtId="0" fontId="0" fillId="5" borderId="18" xfId="0" applyFill="1" applyBorder="1" applyAlignment="1" applyProtection="1">
      <alignment horizontal="centerContinuous" vertical="center"/>
      <protection hidden="1"/>
    </xf>
    <xf numFmtId="0" fontId="6" fillId="6" borderId="17" xfId="0" applyFont="1" applyFill="1" applyBorder="1" applyAlignment="1" applyProtection="1">
      <alignment horizontal="centerContinuous" vertical="center"/>
      <protection hidden="1"/>
    </xf>
    <xf numFmtId="14" fontId="6" fillId="6" borderId="17" xfId="0" applyNumberFormat="1" applyFont="1" applyFill="1" applyBorder="1" applyAlignment="1" applyProtection="1">
      <alignment horizontal="centerContinuous" vertical="center"/>
      <protection hidden="1"/>
    </xf>
    <xf numFmtId="0" fontId="0" fillId="0" borderId="60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61" xfId="0" applyBorder="1" applyProtection="1">
      <protection locked="0"/>
    </xf>
    <xf numFmtId="0" fontId="0" fillId="0" borderId="57" xfId="0" applyBorder="1" applyProtection="1">
      <protection locked="0"/>
    </xf>
    <xf numFmtId="164" fontId="0" fillId="5" borderId="0" xfId="0" applyNumberFormat="1" applyFill="1" applyProtection="1">
      <protection hidden="1"/>
    </xf>
    <xf numFmtId="0" fontId="0" fillId="5" borderId="84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hidden="1"/>
    </xf>
    <xf numFmtId="0" fontId="0" fillId="5" borderId="85" xfId="0" applyFill="1" applyBorder="1" applyProtection="1">
      <protection hidden="1"/>
    </xf>
    <xf numFmtId="0" fontId="13" fillId="0" borderId="13" xfId="0" applyFont="1" applyBorder="1" applyAlignment="1" applyProtection="1">
      <alignment vertical="center"/>
      <protection hidden="1"/>
    </xf>
    <xf numFmtId="38" fontId="13" fillId="0" borderId="45" xfId="0" applyNumberFormat="1" applyFont="1" applyBorder="1" applyAlignment="1" applyProtection="1">
      <alignment horizontal="center" vertical="center" shrinkToFit="1"/>
      <protection hidden="1"/>
    </xf>
    <xf numFmtId="38" fontId="13" fillId="0" borderId="13" xfId="0" applyNumberFormat="1" applyFont="1" applyBorder="1" applyAlignment="1" applyProtection="1">
      <alignment horizontal="center" vertical="center" shrinkToFit="1"/>
      <protection hidden="1"/>
    </xf>
    <xf numFmtId="38" fontId="13" fillId="0" borderId="46" xfId="0" applyNumberFormat="1" applyFont="1" applyBorder="1" applyAlignment="1" applyProtection="1">
      <alignment horizontal="center" vertical="center" shrinkToFit="1"/>
      <protection hidden="1"/>
    </xf>
    <xf numFmtId="0" fontId="13" fillId="0" borderId="23" xfId="0" applyFont="1" applyBorder="1" applyAlignment="1" applyProtection="1">
      <alignment vertical="center"/>
      <protection hidden="1"/>
    </xf>
    <xf numFmtId="38" fontId="13" fillId="0" borderId="24" xfId="0" applyNumberFormat="1" applyFont="1" applyBorder="1" applyAlignment="1" applyProtection="1">
      <alignment horizontal="center" vertical="center" shrinkToFit="1"/>
      <protection hidden="1"/>
    </xf>
    <xf numFmtId="38" fontId="13" fillId="0" borderId="23" xfId="0" applyNumberFormat="1" applyFont="1" applyBorder="1" applyAlignment="1" applyProtection="1">
      <alignment horizontal="center" vertical="center" shrinkToFit="1"/>
      <protection hidden="1"/>
    </xf>
    <xf numFmtId="38" fontId="13" fillId="0" borderId="25" xfId="0" applyNumberFormat="1" applyFont="1" applyBorder="1" applyAlignment="1" applyProtection="1">
      <alignment horizontal="center" vertical="center" shrinkToFit="1"/>
      <protection hidden="1"/>
    </xf>
    <xf numFmtId="0" fontId="14" fillId="0" borderId="23" xfId="0" applyFont="1" applyBorder="1" applyAlignment="1" applyProtection="1">
      <alignment vertical="center"/>
      <protection hidden="1"/>
    </xf>
    <xf numFmtId="0" fontId="3" fillId="0" borderId="65" xfId="0" applyFont="1" applyBorder="1" applyAlignment="1" applyProtection="1">
      <alignment horizontal="center" vertical="center"/>
      <protection hidden="1"/>
    </xf>
    <xf numFmtId="0" fontId="3" fillId="0" borderId="66" xfId="0" applyFont="1" applyBorder="1" applyAlignment="1" applyProtection="1">
      <alignment horizontal="center" vertical="center"/>
      <protection hidden="1"/>
    </xf>
    <xf numFmtId="0" fontId="3" fillId="0" borderId="67" xfId="0" applyFont="1" applyBorder="1" applyAlignment="1" applyProtection="1">
      <alignment horizontal="center" vertical="center"/>
      <protection hidden="1"/>
    </xf>
    <xf numFmtId="0" fontId="3" fillId="0" borderId="68" xfId="0" applyFont="1" applyBorder="1" applyAlignment="1" applyProtection="1">
      <alignment horizontal="center" vertical="center"/>
      <protection hidden="1"/>
    </xf>
    <xf numFmtId="0" fontId="8" fillId="11" borderId="62" xfId="0" applyFont="1" applyFill="1" applyBorder="1" applyAlignment="1" applyProtection="1">
      <alignment horizontal="center" vertical="center"/>
      <protection locked="0"/>
    </xf>
    <xf numFmtId="0" fontId="8" fillId="11" borderId="63" xfId="0" applyFont="1" applyFill="1" applyBorder="1" applyAlignment="1" applyProtection="1">
      <alignment horizontal="center" vertical="center"/>
      <protection locked="0"/>
    </xf>
    <xf numFmtId="0" fontId="8" fillId="11" borderId="64" xfId="0" applyFont="1" applyFill="1" applyBorder="1" applyAlignment="1" applyProtection="1">
      <alignment horizontal="center" vertical="center"/>
      <protection locked="0"/>
    </xf>
    <xf numFmtId="0" fontId="3" fillId="0" borderId="72" xfId="0" applyFont="1" applyBorder="1" applyAlignment="1" applyProtection="1">
      <alignment horizontal="center" vertical="center"/>
      <protection hidden="1"/>
    </xf>
    <xf numFmtId="0" fontId="3" fillId="0" borderId="73" xfId="0" applyFont="1" applyBorder="1" applyAlignment="1" applyProtection="1">
      <alignment horizontal="center" vertical="center"/>
      <protection hidden="1"/>
    </xf>
    <xf numFmtId="0" fontId="3" fillId="0" borderId="70" xfId="0" applyFont="1" applyBorder="1" applyAlignment="1" applyProtection="1">
      <alignment horizontal="center" vertical="center"/>
      <protection hidden="1"/>
    </xf>
    <xf numFmtId="0" fontId="3" fillId="0" borderId="71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69" xfId="0" applyFont="1" applyBorder="1" applyAlignment="1" applyProtection="1">
      <alignment horizontal="center" vertical="center"/>
      <protection hidden="1"/>
    </xf>
    <xf numFmtId="14" fontId="5" fillId="9" borderId="4" xfId="0" applyNumberFormat="1" applyFont="1" applyFill="1" applyBorder="1" applyAlignment="1" applyProtection="1">
      <alignment horizontal="center" vertical="center"/>
      <protection hidden="1"/>
    </xf>
    <xf numFmtId="14" fontId="5" fillId="9" borderId="5" xfId="0" applyNumberFormat="1" applyFont="1" applyFill="1" applyBorder="1" applyAlignment="1" applyProtection="1">
      <alignment horizontal="center" vertical="center"/>
      <protection hidden="1"/>
    </xf>
    <xf numFmtId="14" fontId="5" fillId="9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0" fontId="3" fillId="0" borderId="29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3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47" xfId="0" applyFont="1" applyBorder="1" applyAlignment="1" applyProtection="1">
      <alignment horizontal="center" vertical="center"/>
      <protection hidden="1"/>
    </xf>
    <xf numFmtId="0" fontId="3" fillId="0" borderId="39" xfId="0" applyFont="1" applyBorder="1" applyAlignment="1" applyProtection="1">
      <alignment horizontal="center" vertical="center"/>
      <protection hidden="1"/>
    </xf>
    <xf numFmtId="0" fontId="3" fillId="0" borderId="40" xfId="0" applyFont="1" applyBorder="1" applyAlignment="1" applyProtection="1">
      <alignment horizontal="center" vertical="center"/>
      <protection hidden="1"/>
    </xf>
    <xf numFmtId="0" fontId="3" fillId="0" borderId="77" xfId="0" applyFont="1" applyBorder="1" applyAlignment="1" applyProtection="1">
      <alignment horizontal="center" vertical="center"/>
      <protection hidden="1"/>
    </xf>
    <xf numFmtId="0" fontId="3" fillId="0" borderId="79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80" xfId="0" applyFont="1" applyBorder="1" applyAlignment="1" applyProtection="1">
      <alignment horizontal="center" vertical="center"/>
      <protection hidden="1"/>
    </xf>
    <xf numFmtId="0" fontId="3" fillId="0" borderId="77" xfId="0" applyFont="1" applyBorder="1" applyAlignment="1" applyProtection="1">
      <alignment horizontal="center" vertical="center"/>
      <protection locked="0"/>
    </xf>
    <xf numFmtId="0" fontId="3" fillId="0" borderId="79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80" xfId="0" applyFont="1" applyBorder="1" applyAlignment="1" applyProtection="1">
      <alignment horizontal="center" vertical="center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14" fontId="5" fillId="9" borderId="5" xfId="0" applyNumberFormat="1" applyFont="1" applyFill="1" applyBorder="1" applyAlignment="1" applyProtection="1">
      <alignment horizontal="center" vertical="center"/>
      <protection locked="0"/>
    </xf>
    <xf numFmtId="14" fontId="5" fillId="9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72" xfId="0" applyFont="1" applyBorder="1" applyAlignment="1" applyProtection="1">
      <alignment horizontal="center" vertical="center"/>
      <protection locked="0"/>
    </xf>
    <xf numFmtId="0" fontId="3" fillId="0" borderId="73" xfId="0" applyFont="1" applyBorder="1" applyAlignment="1" applyProtection="1">
      <alignment horizontal="center" vertical="center"/>
      <protection locked="0"/>
    </xf>
    <xf numFmtId="0" fontId="3" fillId="0" borderId="70" xfId="0" applyFont="1" applyBorder="1" applyAlignment="1" applyProtection="1">
      <alignment horizontal="center" vertical="center"/>
      <protection locked="0"/>
    </xf>
    <xf numFmtId="0" fontId="3" fillId="0" borderId="7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 applyProtection="1">
      <alignment horizontal="center" vertical="center"/>
      <protection locked="0"/>
    </xf>
    <xf numFmtId="14" fontId="0" fillId="7" borderId="17" xfId="0" applyNumberFormat="1" applyFill="1" applyBorder="1" applyAlignment="1" applyProtection="1">
      <alignment horizontal="centerContinuous" vertical="center"/>
      <protection hidden="1"/>
    </xf>
  </cellXfs>
  <cellStyles count="1">
    <cellStyle name="Normal" xfId="0" builtinId="0"/>
  </cellStyles>
  <dxfs count="27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3" formatCode="#,##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numFmt numFmtId="3" formatCode="#,##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left" vertical="center" textRotation="0" wrapText="0" indent="0" justifyLastLine="0" shrinkToFit="0" readingOrder="0"/>
      <protection locked="1" hidden="1"/>
    </dxf>
    <dxf>
      <numFmt numFmtId="0" formatCode="General"/>
      <alignment horizontal="left" vertical="center" textRotation="0" wrapText="0" indent="0" justifyLastLine="0" shrinkToFit="0" readingOrder="0"/>
      <protection locked="1" hidden="1"/>
    </dxf>
    <dxf>
      <numFmt numFmtId="0" formatCode="General"/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7" formatCode="m/d/yyyy"/>
      <alignment horizontal="center" vertical="center" textRotation="0" wrapText="0" indent="0" justifyLastLine="0" shrinkToFit="0" readingOrder="0"/>
      <protection locked="0" hidden="0"/>
    </dxf>
    <dxf>
      <numFmt numFmtId="167" formatCode="m/d/yyyy"/>
      <alignment horizontal="center" vertical="center" textRotation="0" wrapText="0" indent="0" justifyLastLine="0" shrinkToFit="0" readingOrder="0"/>
      <protection locked="0" hidden="0"/>
    </dxf>
    <dxf>
      <numFmt numFmtId="167" formatCode="m/d/yyyy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FFCCFF"/>
      <color rgb="FFFF99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C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layout>
        <c:manualLayout>
          <c:xMode val="edge"/>
          <c:yMode val="edge"/>
          <c:x val="0.37792708800324387"/>
          <c:y val="4.08997955010224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C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96281299703314"/>
          <c:y val="8.7621209925446433E-2"/>
          <c:w val="0.52380343210461755"/>
          <c:h val="0.88612885045811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D5-4061-866A-F087668547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D5-4061-866A-F0876685477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2C270D0-F7F6-490D-90AB-25537D5F500F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2D5-4061-866A-F087668547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6039C6-443F-4DE0-8738-43444A2B0C2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2D5-4061-866A-F0876685477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'Weekly Report'!$D$43:$E$45</c15:sqref>
                  </c15:fullRef>
                </c:ext>
              </c:extLst>
              <c:f>'Weekly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Processing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 Report'!$M$43:$M$45</c15:sqref>
                  </c15:fullRef>
                </c:ext>
              </c:extLst>
              <c:f>'Weekly Report'!$M$44:$M$45</c:f>
              <c:numCache>
                <c:formatCode>#,##0_);[Red]\(#,##0\)</c:formatCode>
                <c:ptCount val="2"/>
                <c:pt idx="0">
                  <c:v>33</c:v>
                </c:pt>
                <c:pt idx="1">
                  <c:v>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'Weekly Report'!$M$43</c15:sqref>
                  <c15:explosion val="21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72D5-4061-866A-F087668547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38032227022615"/>
          <c:y val="0.45654348421171287"/>
          <c:w val="0.2974975466610319"/>
          <c:h val="0.12218862212775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65990452203364E-2"/>
          <c:y val="0.12886715566422169"/>
          <c:w val="0.82835067311061072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Report'!$BZ$77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'Weekly Report'!$BY$78:$BY$114</c:f>
              <c:strCache>
                <c:ptCount val="37"/>
                <c:pt idx="0">
                  <c:v>Cháy dây</c:v>
                </c:pt>
                <c:pt idx="1">
                  <c:v>Dây ngắn/dài</c:v>
                </c:pt>
                <c:pt idx="2">
                  <c:v>Cấn, trầy</c:v>
                </c:pt>
                <c:pt idx="3">
                  <c:v>Sai phối màu 誤配色</c:v>
                </c:pt>
                <c:pt idx="4">
                  <c:v>Sai ống チューブ間違い</c:v>
                </c:pt>
                <c:pt idx="5">
                  <c:v>Ngược nút bọc</c:v>
                </c:pt>
                <c:pt idx="6">
                  <c:v>Thông dòng NG</c:v>
                </c:pt>
                <c:pt idx="7">
                  <c:v>Ngược Diode</c:v>
                </c:pt>
                <c:pt idx="8">
                  <c:v>Dập sai</c:v>
                </c:pt>
                <c:pt idx="9">
                  <c:v>Thiếu dây</c:v>
                </c:pt>
                <c:pt idx="10">
                  <c:v>Sai vị trí</c:v>
                </c:pt>
                <c:pt idx="11">
                  <c:v>Sai kích thước</c:v>
                </c:pt>
                <c:pt idx="12">
                  <c:v>Ngắn, dài</c:v>
                </c:pt>
                <c:pt idx="13">
                  <c:v>Sút</c:v>
                </c:pt>
                <c:pt idx="14">
                  <c:v>Biến dạng</c:v>
                </c:pt>
                <c:pt idx="15">
                  <c:v>Hở</c:v>
                </c:pt>
                <c:pt idx="16">
                  <c:v>Gờ tanshi bám ít vào gờ housing ランスのロックが不十分</c:v>
                </c:pt>
                <c:pt idx="17">
                  <c:v>Tuột mấu ôm vỏ do tán cạn 浅打ちで被覆カシメ外れ</c:v>
                </c:pt>
                <c:pt idx="18">
                  <c:v>Thiếu ống</c:v>
                </c:pt>
                <c:pt idx="19">
                  <c:v>Dính dị vật 端子が異物付き</c:v>
                </c:pt>
                <c:pt idx="20">
                  <c:v>Tanshi biến dạng</c:v>
                </c:pt>
                <c:pt idx="21">
                  <c:v>Bẩn, dơ</c:v>
                </c:pt>
                <c:pt idx="22">
                  <c:v>Tưa lõi</c:v>
                </c:pt>
                <c:pt idx="23">
                  <c:v>Đứt Lõi</c:v>
                </c:pt>
                <c:pt idx="24">
                  <c:v>Thiếu dấu marking PS PSマーキング不足</c:v>
                </c:pt>
                <c:pt idx="25">
                  <c:v>Biến dạng vị trí Soket</c:v>
                </c:pt>
                <c:pt idx="26">
                  <c:v>Bị bể, mẻ, cấn</c:v>
                </c:pt>
                <c:pt idx="27">
                  <c:v>Xỏ ngược đầu</c:v>
                </c:pt>
                <c:pt idx="28">
                  <c:v>Bị trầy xước</c:v>
                </c:pt>
                <c:pt idx="29">
                  <c:v>Bị gãy khóa</c:v>
                </c:pt>
                <c:pt idx="30">
                  <c:v>Bk không đạt</c:v>
                </c:pt>
                <c:pt idx="31">
                  <c:v>Rách</c:v>
                </c:pt>
                <c:pt idx="32">
                  <c:v>Contact bị cháy コン クト焼け</c:v>
                </c:pt>
                <c:pt idx="33">
                  <c:v>HKH NG</c:v>
                </c:pt>
                <c:pt idx="34">
                  <c:v>Tanshi dính HKH はん  着</c:v>
                </c:pt>
                <c:pt idx="35">
                  <c:v>Hở hộp nối 端子勘合部(接点）が開いている</c:v>
                </c:pt>
                <c:pt idx="36">
                  <c:v>Others for Processing</c:v>
                </c:pt>
              </c:strCache>
            </c:strRef>
          </c:cat>
          <c:val>
            <c:numRef>
              <c:f>'Weekly Report'!$BZ$78:$BZ$114</c:f>
              <c:numCache>
                <c:formatCode>General</c:formatCode>
                <c:ptCount val="37"/>
                <c:pt idx="0">
                  <c:v>16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E-444D-9904-2E2DDCE1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'Weekly Report'!$CB$77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'Weekly Report'!$BY$78:$BY$114</c:f>
              <c:strCache>
                <c:ptCount val="37"/>
                <c:pt idx="0">
                  <c:v>Cháy dây</c:v>
                </c:pt>
                <c:pt idx="1">
                  <c:v>Dây ngắn/dài</c:v>
                </c:pt>
                <c:pt idx="2">
                  <c:v>Cấn, trầy</c:v>
                </c:pt>
                <c:pt idx="3">
                  <c:v>Sai phối màu 誤配色</c:v>
                </c:pt>
                <c:pt idx="4">
                  <c:v>Sai ống チューブ間違い</c:v>
                </c:pt>
                <c:pt idx="5">
                  <c:v>Ngược nút bọc</c:v>
                </c:pt>
                <c:pt idx="6">
                  <c:v>Thông dòng NG</c:v>
                </c:pt>
                <c:pt idx="7">
                  <c:v>Ngược Diode</c:v>
                </c:pt>
                <c:pt idx="8">
                  <c:v>Dập sai</c:v>
                </c:pt>
                <c:pt idx="9">
                  <c:v>Thiếu dây</c:v>
                </c:pt>
                <c:pt idx="10">
                  <c:v>Sai vị trí</c:v>
                </c:pt>
                <c:pt idx="11">
                  <c:v>Sai kích thước</c:v>
                </c:pt>
                <c:pt idx="12">
                  <c:v>Ngắn, dài</c:v>
                </c:pt>
                <c:pt idx="13">
                  <c:v>Sút</c:v>
                </c:pt>
                <c:pt idx="14">
                  <c:v>Biến dạng</c:v>
                </c:pt>
                <c:pt idx="15">
                  <c:v>Hở</c:v>
                </c:pt>
                <c:pt idx="16">
                  <c:v>Gờ tanshi bám ít vào gờ housing ランスのロックが不十分</c:v>
                </c:pt>
                <c:pt idx="17">
                  <c:v>Tuột mấu ôm vỏ do tán cạn 浅打ちで被覆カシメ外れ</c:v>
                </c:pt>
                <c:pt idx="18">
                  <c:v>Thiếu ống</c:v>
                </c:pt>
                <c:pt idx="19">
                  <c:v>Dính dị vật 端子が異物付き</c:v>
                </c:pt>
                <c:pt idx="20">
                  <c:v>Tanshi biến dạng</c:v>
                </c:pt>
                <c:pt idx="21">
                  <c:v>Bẩn, dơ</c:v>
                </c:pt>
                <c:pt idx="22">
                  <c:v>Tưa lõi</c:v>
                </c:pt>
                <c:pt idx="23">
                  <c:v>Đứt Lõi</c:v>
                </c:pt>
                <c:pt idx="24">
                  <c:v>Thiếu dấu marking PS PSマーキング不足</c:v>
                </c:pt>
                <c:pt idx="25">
                  <c:v>Biến dạng vị trí Soket</c:v>
                </c:pt>
                <c:pt idx="26">
                  <c:v>Bị bể, mẻ, cấn</c:v>
                </c:pt>
                <c:pt idx="27">
                  <c:v>Xỏ ngược đầu</c:v>
                </c:pt>
                <c:pt idx="28">
                  <c:v>Bị trầy xước</c:v>
                </c:pt>
                <c:pt idx="29">
                  <c:v>Bị gãy khóa</c:v>
                </c:pt>
                <c:pt idx="30">
                  <c:v>Bk không đạt</c:v>
                </c:pt>
                <c:pt idx="31">
                  <c:v>Rách</c:v>
                </c:pt>
                <c:pt idx="32">
                  <c:v>Contact bị cháy コン クト焼け</c:v>
                </c:pt>
                <c:pt idx="33">
                  <c:v>HKH NG</c:v>
                </c:pt>
                <c:pt idx="34">
                  <c:v>Tanshi dính HKH はん  着</c:v>
                </c:pt>
                <c:pt idx="35">
                  <c:v>Hở hộp nối 端子勘合部(接点）が開いている</c:v>
                </c:pt>
                <c:pt idx="36">
                  <c:v>Others for Processing</c:v>
                </c:pt>
              </c:strCache>
            </c:strRef>
          </c:cat>
          <c:val>
            <c:numRef>
              <c:f>'Weekly Report'!$CB$78:$CB$114</c:f>
              <c:numCache>
                <c:formatCode>0</c:formatCode>
                <c:ptCount val="37"/>
                <c:pt idx="0">
                  <c:v>59.259259259259252</c:v>
                </c:pt>
                <c:pt idx="1">
                  <c:v>92.592592592592581</c:v>
                </c:pt>
                <c:pt idx="2">
                  <c:v>99.999999999999986</c:v>
                </c:pt>
                <c:pt idx="3">
                  <c:v>99.999999999999986</c:v>
                </c:pt>
                <c:pt idx="4">
                  <c:v>99.999999999999986</c:v>
                </c:pt>
                <c:pt idx="5">
                  <c:v>99.999999999999986</c:v>
                </c:pt>
                <c:pt idx="6">
                  <c:v>99.999999999999986</c:v>
                </c:pt>
                <c:pt idx="7">
                  <c:v>99.999999999999986</c:v>
                </c:pt>
                <c:pt idx="8">
                  <c:v>99.999999999999986</c:v>
                </c:pt>
                <c:pt idx="9">
                  <c:v>99.999999999999986</c:v>
                </c:pt>
                <c:pt idx="10">
                  <c:v>99.999999999999986</c:v>
                </c:pt>
                <c:pt idx="11">
                  <c:v>99.999999999999986</c:v>
                </c:pt>
                <c:pt idx="12">
                  <c:v>99.999999999999986</c:v>
                </c:pt>
                <c:pt idx="13">
                  <c:v>99.999999999999986</c:v>
                </c:pt>
                <c:pt idx="14">
                  <c:v>99.999999999999986</c:v>
                </c:pt>
                <c:pt idx="15">
                  <c:v>99.999999999999986</c:v>
                </c:pt>
                <c:pt idx="16">
                  <c:v>99.999999999999986</c:v>
                </c:pt>
                <c:pt idx="17">
                  <c:v>99.999999999999986</c:v>
                </c:pt>
                <c:pt idx="18">
                  <c:v>99.999999999999986</c:v>
                </c:pt>
                <c:pt idx="19">
                  <c:v>99.999999999999986</c:v>
                </c:pt>
                <c:pt idx="20">
                  <c:v>99.999999999999986</c:v>
                </c:pt>
                <c:pt idx="21">
                  <c:v>99.999999999999986</c:v>
                </c:pt>
                <c:pt idx="22">
                  <c:v>99.999999999999986</c:v>
                </c:pt>
                <c:pt idx="23">
                  <c:v>99.999999999999986</c:v>
                </c:pt>
                <c:pt idx="24">
                  <c:v>99.999999999999986</c:v>
                </c:pt>
                <c:pt idx="25">
                  <c:v>99.999999999999986</c:v>
                </c:pt>
                <c:pt idx="26">
                  <c:v>99.999999999999986</c:v>
                </c:pt>
                <c:pt idx="27">
                  <c:v>99.999999999999986</c:v>
                </c:pt>
                <c:pt idx="28">
                  <c:v>99.999999999999986</c:v>
                </c:pt>
                <c:pt idx="29">
                  <c:v>99.999999999999986</c:v>
                </c:pt>
                <c:pt idx="30">
                  <c:v>99.999999999999986</c:v>
                </c:pt>
                <c:pt idx="31">
                  <c:v>99.999999999999986</c:v>
                </c:pt>
                <c:pt idx="32">
                  <c:v>99.999999999999986</c:v>
                </c:pt>
                <c:pt idx="33">
                  <c:v>99.999999999999986</c:v>
                </c:pt>
                <c:pt idx="34">
                  <c:v>99.999999999999986</c:v>
                </c:pt>
                <c:pt idx="35">
                  <c:v>99.999999999999986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444D-9904-2E2DDCE1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5217833922"/>
              <c:y val="0.84071668303075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1868714605879237E-3"/>
                <c:y val="0.3338066726989199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31911264343339"/>
              <c:y val="0.3057009927548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45766677018649"/>
          <c:y val="2.6765093218409169E-2"/>
          <c:w val="0.31271496559916534"/>
          <c:h val="5.609480075736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C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C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4811563055431"/>
          <c:y val="9.0867940743413658E-2"/>
          <c:w val="0.51302416011888652"/>
          <c:h val="0.889825821491334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A9-4ACF-972B-4F3933F208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A9-4ACF-972B-4F3933F208B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2C270D0-F7F6-490D-90AB-25537D5F500F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A9-4ACF-972B-4F3933F2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6039C6-443F-4DE0-8738-43444A2B0C2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4A9-4ACF-972B-4F3933F208B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 Report'!$D$43:$E$45</c15:sqref>
                  </c15:fullRef>
                </c:ext>
              </c:extLst>
              <c:f>'Monthly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Machine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Report'!$M$43:$M$45</c15:sqref>
                  </c15:fullRef>
                </c:ext>
              </c:extLst>
              <c:f>'Monthly Report'!$M$44:$M$45</c:f>
              <c:numCache>
                <c:formatCode>#,##0_);[Red]\(#,##0\)</c:formatCode>
                <c:ptCount val="2"/>
                <c:pt idx="0">
                  <c:v>122</c:v>
                </c:pt>
                <c:pt idx="1">
                  <c:v>1180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'Monthly Report'!$M$43</c15:sqref>
                  <c15:explosion val="21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64A9-4ACF-972B-4F3933F208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41342107937701"/>
          <c:y val="0.40944429338340982"/>
          <c:w val="0.26039388313919271"/>
          <c:h val="0.1492839335060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C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C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3596850694592"/>
          <c:y val="8.5624406068748563E-2"/>
          <c:w val="0.47307124033597814"/>
          <c:h val="0.89955176980775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3-4D27-9F86-FD37D7B0DD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3-4D27-9F86-FD37D7B0DD86}"/>
              </c:ext>
            </c:extLst>
          </c:dPt>
          <c:dLbls>
            <c:dLbl>
              <c:idx val="0"/>
              <c:layout>
                <c:manualLayout>
                  <c:x val="-0.12320725481965093"/>
                  <c:y val="0.11397308073710945"/>
                </c:manualLayout>
              </c:layout>
              <c:tx>
                <c:rich>
                  <a:bodyPr/>
                  <a:lstStyle/>
                  <a:p>
                    <a:fld id="{56445F10-740F-4902-BCBF-9F8390D524FC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013-4D27-9F86-FD37D7B0DD86}"/>
                </c:ext>
              </c:extLst>
            </c:dLbl>
            <c:dLbl>
              <c:idx val="1"/>
              <c:layout>
                <c:manualLayout>
                  <c:x val="0.11961042922152264"/>
                  <c:y val="-0.20067344287809022"/>
                </c:manualLayout>
              </c:layout>
              <c:tx>
                <c:rich>
                  <a:bodyPr/>
                  <a:lstStyle/>
                  <a:p>
                    <a:fld id="{C0D60AEA-DE9E-423E-9878-17D0DA7F6A23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13-4D27-9F86-FD37D7B0DD86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 Report'!$D$43:$E$45</c15:sqref>
                  </c15:fullRef>
                </c:ext>
              </c:extLst>
              <c:f>'Monthly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Machine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Report'!$M$46:$M$48</c15:sqref>
                  </c15:fullRef>
                </c:ext>
              </c:extLst>
              <c:f>'Monthly Report'!$M$47:$M$48</c:f>
              <c:numCache>
                <c:formatCode>#,##0_);[Red]\(#,##0\)</c:formatCode>
                <c:ptCount val="2"/>
                <c:pt idx="0">
                  <c:v>140</c:v>
                </c:pt>
                <c:pt idx="1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2013-4D27-9F86-FD37D7B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75821595576463"/>
          <c:y val="0.4267673819240016"/>
          <c:w val="0.22217801526099404"/>
          <c:h val="0.1207075095180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Report'!$F$68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Report'!$E$69:$E$113</c:f>
              <c:strCache>
                <c:ptCount val="45"/>
                <c:pt idx="0">
                  <c:v>Others for Processing</c:v>
                </c:pt>
                <c:pt idx="1">
                  <c:v>Sai phối màu 誤配色</c:v>
                </c:pt>
                <c:pt idx="2">
                  <c:v>Đội gờ HS</c:v>
                </c:pt>
                <c:pt idx="3">
                  <c:v>Oxi hóa</c:v>
                </c:pt>
                <c:pt idx="4">
                  <c:v>Dây ngắn/dài</c:v>
                </c:pt>
                <c:pt idx="5">
                  <c:v>Tanshi biến dạng</c:v>
                </c:pt>
                <c:pt idx="6">
                  <c:v>Mẻ, lõm, biến dạng</c:v>
                </c:pt>
                <c:pt idx="7">
                  <c:v>NG, dính dơ, dị vật do NL</c:v>
                </c:pt>
                <c:pt idx="8">
                  <c:v>Others for IC</c:v>
                </c:pt>
                <c:pt idx="9">
                  <c:v>Cấn, trầy</c:v>
                </c:pt>
                <c:pt idx="10">
                  <c:v>Dập sai</c:v>
                </c:pt>
                <c:pt idx="11">
                  <c:v>Bị trầy xước</c:v>
                </c:pt>
                <c:pt idx="12">
                  <c:v>Ngắn, dài</c:v>
                </c:pt>
                <c:pt idx="13">
                  <c:v>Dính dị vật 端子が異物付き</c:v>
                </c:pt>
                <c:pt idx="14">
                  <c:v>Trầy, dơ do NL</c:v>
                </c:pt>
                <c:pt idx="15">
                  <c:v>Sai kích thước</c:v>
                </c:pt>
                <c:pt idx="16">
                  <c:v>MTD</c:v>
                </c:pt>
                <c:pt idx="17">
                  <c:v>Sai ống チューブ間違い</c:v>
                </c:pt>
                <c:pt idx="18">
                  <c:v>Thiếu dây</c:v>
                </c:pt>
                <c:pt idx="19">
                  <c:v>Tuột mấu ôm vỏ do tán cạn 浅打ちで被覆カシメ外れ</c:v>
                </c:pt>
                <c:pt idx="20">
                  <c:v>Cháy dây</c:v>
                </c:pt>
                <c:pt idx="21">
                  <c:v>Không đạt do NL</c:v>
                </c:pt>
                <c:pt idx="22">
                  <c:v>Ngược nút bọc</c:v>
                </c:pt>
                <c:pt idx="23">
                  <c:v>Thông dòng NG</c:v>
                </c:pt>
                <c:pt idx="24">
                  <c:v>Ngược Diode</c:v>
                </c:pt>
                <c:pt idx="25">
                  <c:v>Sai vị trí</c:v>
                </c:pt>
                <c:pt idx="26">
                  <c:v>Sút</c:v>
                </c:pt>
                <c:pt idx="27">
                  <c:v>Biến dạng</c:v>
                </c:pt>
                <c:pt idx="28">
                  <c:v>Hở</c:v>
                </c:pt>
                <c:pt idx="29">
                  <c:v>Gờ tanshi bám ít vào gờ housing ランスのロックが不十分</c:v>
                </c:pt>
                <c:pt idx="30">
                  <c:v>Thiếu ống</c:v>
                </c:pt>
                <c:pt idx="31">
                  <c:v>Bẩn, dơ</c:v>
                </c:pt>
                <c:pt idx="32">
                  <c:v>Tưa lõi</c:v>
                </c:pt>
                <c:pt idx="33">
                  <c:v>Đứt Lõi</c:v>
                </c:pt>
                <c:pt idx="34">
                  <c:v>Thiếu dấu marking PS PSマーキング不足</c:v>
                </c:pt>
                <c:pt idx="35">
                  <c:v>Biến dạng vị trí Soket</c:v>
                </c:pt>
                <c:pt idx="36">
                  <c:v>Bị bể, mẻ, cấn</c:v>
                </c:pt>
                <c:pt idx="37">
                  <c:v>Xỏ ngược đầu</c:v>
                </c:pt>
                <c:pt idx="38">
                  <c:v>Bị gãy khóa</c:v>
                </c:pt>
                <c:pt idx="39">
                  <c:v>Bk không đạt</c:v>
                </c:pt>
                <c:pt idx="40">
                  <c:v>Rách</c:v>
                </c:pt>
                <c:pt idx="41">
                  <c:v>Contact bị cháy コン クト焼け</c:v>
                </c:pt>
                <c:pt idx="42">
                  <c:v>HKH NG</c:v>
                </c:pt>
                <c:pt idx="43">
                  <c:v>Tanshi dính HKH はん  着</c:v>
                </c:pt>
                <c:pt idx="44">
                  <c:v>Hở hộp nối 端子勘合部(接点）が開いている</c:v>
                </c:pt>
              </c:strCache>
            </c:strRef>
          </c:cat>
          <c:val>
            <c:numRef>
              <c:f>'Monthly Report'!$F$69:$F$113</c:f>
              <c:numCache>
                <c:formatCode>General</c:formatCode>
                <c:ptCount val="45"/>
                <c:pt idx="0">
                  <c:v>1032</c:v>
                </c:pt>
                <c:pt idx="1">
                  <c:v>58</c:v>
                </c:pt>
                <c:pt idx="2">
                  <c:v>47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A-4B08-B46D-1594E064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'Monthly Report'!$H$68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'Monthly Report'!$H$69:$H$113</c:f>
              <c:numCache>
                <c:formatCode>0</c:formatCode>
                <c:ptCount val="45"/>
                <c:pt idx="0">
                  <c:v>79.262672811059915</c:v>
                </c:pt>
                <c:pt idx="1">
                  <c:v>83.717357910906301</c:v>
                </c:pt>
                <c:pt idx="2">
                  <c:v>87.327188940092171</c:v>
                </c:pt>
                <c:pt idx="3">
                  <c:v>89.477726574500778</c:v>
                </c:pt>
                <c:pt idx="4">
                  <c:v>91.551459293394785</c:v>
                </c:pt>
                <c:pt idx="5">
                  <c:v>93.548387096774206</c:v>
                </c:pt>
                <c:pt idx="6">
                  <c:v>95.084485407066069</c:v>
                </c:pt>
                <c:pt idx="7">
                  <c:v>96.236559139784958</c:v>
                </c:pt>
                <c:pt idx="8">
                  <c:v>96.850998463901703</c:v>
                </c:pt>
                <c:pt idx="9">
                  <c:v>97.465437788018448</c:v>
                </c:pt>
                <c:pt idx="10">
                  <c:v>98.003072196620593</c:v>
                </c:pt>
                <c:pt idx="11">
                  <c:v>98.540706605222738</c:v>
                </c:pt>
                <c:pt idx="12">
                  <c:v>98.84792626728111</c:v>
                </c:pt>
                <c:pt idx="13">
                  <c:v>99.155145929339483</c:v>
                </c:pt>
                <c:pt idx="14">
                  <c:v>99.385560675883255</c:v>
                </c:pt>
                <c:pt idx="15">
                  <c:v>99.615975422427027</c:v>
                </c:pt>
                <c:pt idx="16">
                  <c:v>99.692780337941613</c:v>
                </c:pt>
                <c:pt idx="17">
                  <c:v>99.769585253456199</c:v>
                </c:pt>
                <c:pt idx="18">
                  <c:v>99.846390168970785</c:v>
                </c:pt>
                <c:pt idx="19">
                  <c:v>99.923195084485371</c:v>
                </c:pt>
                <c:pt idx="20">
                  <c:v>99.999999999999957</c:v>
                </c:pt>
                <c:pt idx="21">
                  <c:v>99.999999999999957</c:v>
                </c:pt>
                <c:pt idx="22">
                  <c:v>99.999999999999957</c:v>
                </c:pt>
                <c:pt idx="23">
                  <c:v>99.999999999999957</c:v>
                </c:pt>
                <c:pt idx="24">
                  <c:v>99.999999999999957</c:v>
                </c:pt>
                <c:pt idx="25">
                  <c:v>99.999999999999957</c:v>
                </c:pt>
                <c:pt idx="26">
                  <c:v>99.999999999999957</c:v>
                </c:pt>
                <c:pt idx="27">
                  <c:v>99.999999999999957</c:v>
                </c:pt>
                <c:pt idx="28">
                  <c:v>99.999999999999957</c:v>
                </c:pt>
                <c:pt idx="29">
                  <c:v>99.999999999999957</c:v>
                </c:pt>
                <c:pt idx="30">
                  <c:v>99.999999999999957</c:v>
                </c:pt>
                <c:pt idx="31">
                  <c:v>99.999999999999957</c:v>
                </c:pt>
                <c:pt idx="32">
                  <c:v>99.999999999999957</c:v>
                </c:pt>
                <c:pt idx="33">
                  <c:v>99.999999999999957</c:v>
                </c:pt>
                <c:pt idx="34">
                  <c:v>99.999999999999957</c:v>
                </c:pt>
                <c:pt idx="35">
                  <c:v>99.999999999999957</c:v>
                </c:pt>
                <c:pt idx="36">
                  <c:v>99.999999999999957</c:v>
                </c:pt>
                <c:pt idx="37">
                  <c:v>99.999999999999957</c:v>
                </c:pt>
                <c:pt idx="38">
                  <c:v>99.999999999999957</c:v>
                </c:pt>
                <c:pt idx="39">
                  <c:v>99.999999999999957</c:v>
                </c:pt>
                <c:pt idx="40">
                  <c:v>99.999999999999957</c:v>
                </c:pt>
                <c:pt idx="41">
                  <c:v>99.999999999999957</c:v>
                </c:pt>
                <c:pt idx="42">
                  <c:v>99.999999999999957</c:v>
                </c:pt>
                <c:pt idx="43">
                  <c:v>99.999999999999957</c:v>
                </c:pt>
                <c:pt idx="44">
                  <c:v>99.999999999999957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A-4B08-B46D-1594E064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114866800168896"/>
              <c:y val="0.9229787664716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26406431423801"/>
          <c:y val="2.2698756485773467E-2"/>
          <c:w val="0.31271496559916534"/>
          <c:h val="6.2038877531054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65990452203364E-2"/>
          <c:y val="0.12886715566422169"/>
          <c:w val="0.82835067311061072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Report'!$K$68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Report'!$J$69:$J$113</c:f>
              <c:strCache>
                <c:ptCount val="45"/>
                <c:pt idx="0">
                  <c:v>NG, dính dơ, dị vật do NL</c:v>
                </c:pt>
                <c:pt idx="1">
                  <c:v>Cháy dây</c:v>
                </c:pt>
                <c:pt idx="2">
                  <c:v>Dây ngắn/dài</c:v>
                </c:pt>
                <c:pt idx="3">
                  <c:v>Trầy, dơ do NL</c:v>
                </c:pt>
                <c:pt idx="4">
                  <c:v>Đứt Lõi</c:v>
                </c:pt>
                <c:pt idx="5">
                  <c:v>Oxi hóa</c:v>
                </c:pt>
                <c:pt idx="6">
                  <c:v>Others for IC</c:v>
                </c:pt>
                <c:pt idx="7">
                  <c:v>Cấn, trầy</c:v>
                </c:pt>
                <c:pt idx="8">
                  <c:v>Không đạt do NL</c:v>
                </c:pt>
                <c:pt idx="9">
                  <c:v>Mẻ, lõm, biến dạng</c:v>
                </c:pt>
                <c:pt idx="10">
                  <c:v>Đội gờ HS</c:v>
                </c:pt>
                <c:pt idx="11">
                  <c:v>MTD</c:v>
                </c:pt>
                <c:pt idx="12">
                  <c:v>Sai phối màu 誤配色</c:v>
                </c:pt>
                <c:pt idx="13">
                  <c:v>Sai ống チューブ間違い</c:v>
                </c:pt>
                <c:pt idx="14">
                  <c:v>Ngược nút bọc</c:v>
                </c:pt>
                <c:pt idx="15">
                  <c:v>Thông dòng NG</c:v>
                </c:pt>
                <c:pt idx="16">
                  <c:v>Ngược Diode</c:v>
                </c:pt>
                <c:pt idx="17">
                  <c:v>Dập sai</c:v>
                </c:pt>
                <c:pt idx="18">
                  <c:v>Thiếu dây</c:v>
                </c:pt>
                <c:pt idx="19">
                  <c:v>Sai vị trí</c:v>
                </c:pt>
                <c:pt idx="20">
                  <c:v>Sai kích thước</c:v>
                </c:pt>
                <c:pt idx="21">
                  <c:v>Ngắn, dài</c:v>
                </c:pt>
                <c:pt idx="22">
                  <c:v>Sút</c:v>
                </c:pt>
                <c:pt idx="23">
                  <c:v>Biến dạng</c:v>
                </c:pt>
                <c:pt idx="24">
                  <c:v>Hở</c:v>
                </c:pt>
                <c:pt idx="25">
                  <c:v>Gờ tanshi bám ít vào gờ housing ランスのロックが不十分</c:v>
                </c:pt>
                <c:pt idx="26">
                  <c:v>Tuột mấu ôm vỏ do tán cạn 浅打ちで被覆カシメ外れ</c:v>
                </c:pt>
                <c:pt idx="27">
                  <c:v>Thiếu ống</c:v>
                </c:pt>
                <c:pt idx="28">
                  <c:v>Dính dị vật 端子が異物付き</c:v>
                </c:pt>
                <c:pt idx="29">
                  <c:v>Tanshi biến dạng</c:v>
                </c:pt>
                <c:pt idx="30">
                  <c:v>Bẩn, dơ</c:v>
                </c:pt>
                <c:pt idx="31">
                  <c:v>Tưa lõi</c:v>
                </c:pt>
                <c:pt idx="32">
                  <c:v>Thiếu dấu marking PS PSマーキング不足</c:v>
                </c:pt>
                <c:pt idx="33">
                  <c:v>Biến dạng vị trí Soket</c:v>
                </c:pt>
                <c:pt idx="34">
                  <c:v>Bị bể, mẻ, cấn</c:v>
                </c:pt>
                <c:pt idx="35">
                  <c:v>Xỏ ngược đầu</c:v>
                </c:pt>
                <c:pt idx="36">
                  <c:v>Bị trầy xước</c:v>
                </c:pt>
                <c:pt idx="37">
                  <c:v>Bị gãy khóa</c:v>
                </c:pt>
                <c:pt idx="38">
                  <c:v>Bk không đạt</c:v>
                </c:pt>
                <c:pt idx="39">
                  <c:v>Rách</c:v>
                </c:pt>
                <c:pt idx="40">
                  <c:v>Contact bị cháy コン クト焼け</c:v>
                </c:pt>
                <c:pt idx="41">
                  <c:v>HKH NG</c:v>
                </c:pt>
                <c:pt idx="42">
                  <c:v>Tanshi dính HKH はん  着</c:v>
                </c:pt>
                <c:pt idx="43">
                  <c:v>Hở hộp nối 端子勘合部(接点）が開いている</c:v>
                </c:pt>
                <c:pt idx="44">
                  <c:v>Others for Processing</c:v>
                </c:pt>
              </c:strCache>
            </c:strRef>
          </c:cat>
          <c:val>
            <c:numRef>
              <c:f>'Monthly Report'!$K$69:$K$113</c:f>
              <c:numCache>
                <c:formatCode>General</c:formatCode>
                <c:ptCount val="45"/>
                <c:pt idx="0">
                  <c:v>116</c:v>
                </c:pt>
                <c:pt idx="1">
                  <c:v>46</c:v>
                </c:pt>
                <c:pt idx="2">
                  <c:v>27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A-4ADD-9149-40344B18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'Monthly Report'!$M$68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'Monthly Report'!$M$69:$M$113</c:f>
              <c:numCache>
                <c:formatCode>0</c:formatCode>
                <c:ptCount val="45"/>
                <c:pt idx="0">
                  <c:v>51.101321585903079</c:v>
                </c:pt>
                <c:pt idx="1">
                  <c:v>71.365638766519822</c:v>
                </c:pt>
                <c:pt idx="2">
                  <c:v>83.259911894273131</c:v>
                </c:pt>
                <c:pt idx="3">
                  <c:v>88.105726872246706</c:v>
                </c:pt>
                <c:pt idx="4">
                  <c:v>92.070484581497809</c:v>
                </c:pt>
                <c:pt idx="5">
                  <c:v>95.594713656387682</c:v>
                </c:pt>
                <c:pt idx="6">
                  <c:v>97.797356828193855</c:v>
                </c:pt>
                <c:pt idx="7">
                  <c:v>100.00000000000003</c:v>
                </c:pt>
                <c:pt idx="8">
                  <c:v>100.00000000000003</c:v>
                </c:pt>
                <c:pt idx="9">
                  <c:v>100.00000000000003</c:v>
                </c:pt>
                <c:pt idx="10">
                  <c:v>100.00000000000003</c:v>
                </c:pt>
                <c:pt idx="11">
                  <c:v>100.00000000000003</c:v>
                </c:pt>
                <c:pt idx="12">
                  <c:v>100.00000000000003</c:v>
                </c:pt>
                <c:pt idx="13">
                  <c:v>100.00000000000003</c:v>
                </c:pt>
                <c:pt idx="14">
                  <c:v>100.00000000000003</c:v>
                </c:pt>
                <c:pt idx="15">
                  <c:v>100.00000000000003</c:v>
                </c:pt>
                <c:pt idx="16">
                  <c:v>100.00000000000003</c:v>
                </c:pt>
                <c:pt idx="17">
                  <c:v>100.00000000000003</c:v>
                </c:pt>
                <c:pt idx="18">
                  <c:v>100.00000000000003</c:v>
                </c:pt>
                <c:pt idx="19">
                  <c:v>100.00000000000003</c:v>
                </c:pt>
                <c:pt idx="20">
                  <c:v>100.00000000000003</c:v>
                </c:pt>
                <c:pt idx="21">
                  <c:v>100.00000000000003</c:v>
                </c:pt>
                <c:pt idx="22">
                  <c:v>100.00000000000003</c:v>
                </c:pt>
                <c:pt idx="23">
                  <c:v>100.00000000000003</c:v>
                </c:pt>
                <c:pt idx="24">
                  <c:v>100.00000000000003</c:v>
                </c:pt>
                <c:pt idx="25">
                  <c:v>100.00000000000003</c:v>
                </c:pt>
                <c:pt idx="26">
                  <c:v>100.00000000000003</c:v>
                </c:pt>
                <c:pt idx="27">
                  <c:v>100.00000000000003</c:v>
                </c:pt>
                <c:pt idx="28">
                  <c:v>100.00000000000003</c:v>
                </c:pt>
                <c:pt idx="29">
                  <c:v>100.00000000000003</c:v>
                </c:pt>
                <c:pt idx="30">
                  <c:v>100.00000000000003</c:v>
                </c:pt>
                <c:pt idx="31">
                  <c:v>100.00000000000003</c:v>
                </c:pt>
                <c:pt idx="32">
                  <c:v>100.00000000000003</c:v>
                </c:pt>
                <c:pt idx="33">
                  <c:v>100.00000000000003</c:v>
                </c:pt>
                <c:pt idx="34">
                  <c:v>100.00000000000003</c:v>
                </c:pt>
                <c:pt idx="35">
                  <c:v>100.00000000000003</c:v>
                </c:pt>
                <c:pt idx="36">
                  <c:v>100.00000000000003</c:v>
                </c:pt>
                <c:pt idx="37">
                  <c:v>100.00000000000003</c:v>
                </c:pt>
                <c:pt idx="38">
                  <c:v>100.00000000000003</c:v>
                </c:pt>
                <c:pt idx="39">
                  <c:v>100.00000000000003</c:v>
                </c:pt>
                <c:pt idx="40">
                  <c:v>100.00000000000003</c:v>
                </c:pt>
                <c:pt idx="41">
                  <c:v>100.00000000000003</c:v>
                </c:pt>
                <c:pt idx="42">
                  <c:v>100.00000000000003</c:v>
                </c:pt>
                <c:pt idx="43">
                  <c:v>100.00000000000003</c:v>
                </c:pt>
                <c:pt idx="44">
                  <c:v>100.00000000000003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A-4ADD-9149-40344B18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57391348422426"/>
              <c:y val="0.94011672705436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1868714605879237E-3"/>
                <c:y val="0.3338066726989199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31911264343339"/>
              <c:y val="0.3057009927548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28406664980955"/>
          <c:y val="1.9271164369235337E-2"/>
          <c:w val="0.31271496559916534"/>
          <c:h val="6.8894061764130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CCFF"/>
                </a:solidFill>
              </a:rPr>
              <a:t>Total produce-Total 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Report'!$F$4:$L$4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</c:strCache>
            </c:strRef>
          </c:cat>
          <c:val>
            <c:numRef>
              <c:f>'Monthly Report'!$F$5:$L$5</c:f>
              <c:numCache>
                <c:formatCode>#,##0_);[Red]\(#,##0\)</c:formatCode>
                <c:ptCount val="7"/>
                <c:pt idx="0">
                  <c:v>126811</c:v>
                </c:pt>
                <c:pt idx="1">
                  <c:v>151122</c:v>
                </c:pt>
                <c:pt idx="2">
                  <c:v>187123</c:v>
                </c:pt>
                <c:pt idx="3">
                  <c:v>205428</c:v>
                </c:pt>
                <c:pt idx="4">
                  <c:v>120758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2-42FA-8884-5A9CCB2462C0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Report'!$F$4:$L$4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</c:strCache>
            </c:strRef>
          </c:cat>
          <c:val>
            <c:numRef>
              <c:f>'Monthly Report'!$F$8:$L$8</c:f>
              <c:numCache>
                <c:formatCode>#,##0_);[Red]\(#,##0\)</c:formatCode>
                <c:ptCount val="7"/>
                <c:pt idx="0">
                  <c:v>203905</c:v>
                </c:pt>
                <c:pt idx="1">
                  <c:v>237198</c:v>
                </c:pt>
                <c:pt idx="2">
                  <c:v>315792</c:v>
                </c:pt>
                <c:pt idx="3">
                  <c:v>145545</c:v>
                </c:pt>
                <c:pt idx="4">
                  <c:v>45804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2-42FA-8884-5A9CCB24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579528"/>
        <c:axId val="1032585432"/>
      </c:barChart>
      <c:lineChart>
        <c:grouping val="standard"/>
        <c:varyColors val="0"/>
        <c:ser>
          <c:idx val="3"/>
          <c:order val="3"/>
          <c:tx>
            <c:v>O-O (ppm)</c:v>
          </c:tx>
          <c:spPr>
            <a:ln w="254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'Monthly Report'!$F$10:$L$10</c:f>
              <c:numCache>
                <c:formatCode>#,##0_);[Red]\(#,##0\)</c:formatCode>
                <c:ptCount val="7"/>
                <c:pt idx="0">
                  <c:v>98.084892474436629</c:v>
                </c:pt>
                <c:pt idx="1">
                  <c:v>118.04484017571818</c:v>
                </c:pt>
                <c:pt idx="2">
                  <c:v>440.16314536150378</c:v>
                </c:pt>
                <c:pt idx="3">
                  <c:v>247.34618159332166</c:v>
                </c:pt>
                <c:pt idx="4">
                  <c:v>87.328617587983572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42FA-8884-5A9CCB2462C0}"/>
            </c:ext>
          </c:extLst>
        </c:ser>
        <c:ser>
          <c:idx val="2"/>
          <c:order val="2"/>
          <c:tx>
            <c:v>O-I (ppm)</c:v>
          </c:tx>
          <c:spPr>
            <a:ln w="2540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'Monthly Report'!$F$7:$L$7</c:f>
              <c:numCache>
                <c:formatCode>#,##0_);[Red]\(#,##0\)</c:formatCode>
                <c:ptCount val="7"/>
                <c:pt idx="0">
                  <c:v>8161.7525293547087</c:v>
                </c:pt>
                <c:pt idx="1">
                  <c:v>529.37361866571382</c:v>
                </c:pt>
                <c:pt idx="2">
                  <c:v>598.53679130839078</c:v>
                </c:pt>
                <c:pt idx="3">
                  <c:v>214.186965749557</c:v>
                </c:pt>
                <c:pt idx="4">
                  <c:v>256.71177064873547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42FA-8884-5A9CCB2462C0}"/>
            </c:ext>
          </c:extLst>
        </c:ser>
        <c:ser>
          <c:idx val="4"/>
          <c:order val="4"/>
          <c:tx>
            <c:v>Total (ppm)</c:v>
          </c:tx>
          <c:spPr>
            <a:ln w="254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'Weekly Report'!$D$5:$E$14</c:f>
              <c:multiLvlStrCache>
                <c:ptCount val="2"/>
                <c:lvl>
                  <c:pt idx="0">
                    <c:v>Target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'Monthly Report'!$F$13:$L$13</c:f>
              <c:numCache>
                <c:formatCode>#,##0_);[Red]\(#,##0\)</c:formatCode>
                <c:ptCount val="7"/>
                <c:pt idx="0">
                  <c:v>3190.0482589291114</c:v>
                </c:pt>
                <c:pt idx="1">
                  <c:v>278.1211372064277</c:v>
                </c:pt>
                <c:pt idx="2">
                  <c:v>499.09030353041771</c:v>
                </c:pt>
                <c:pt idx="3">
                  <c:v>227.9377615941967</c:v>
                </c:pt>
                <c:pt idx="4">
                  <c:v>210.13196287268406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42FA-8884-5A9CCB24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9040"/>
        <c:axId val="1032590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Report'!$K$3:$K$4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'Weekly Report'!$K$5:$K$14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23955</c:v>
                      </c:pt>
                      <c:pt idx="1">
                        <c:v>17</c:v>
                      </c:pt>
                      <c:pt idx="2">
                        <c:v>709.66395324566895</c:v>
                      </c:pt>
                      <c:pt idx="3">
                        <c:v>53413</c:v>
                      </c:pt>
                      <c:pt idx="4">
                        <c:v>13</c:v>
                      </c:pt>
                      <c:pt idx="5">
                        <c:v>243.3864415030049</c:v>
                      </c:pt>
                      <c:pt idx="6">
                        <c:v>77368</c:v>
                      </c:pt>
                      <c:pt idx="7">
                        <c:v>30</c:v>
                      </c:pt>
                      <c:pt idx="8">
                        <c:v>387.75721228414852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D2-42FA-8884-5A9CCB2462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Report'!$L$3:$L$4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Report'!$L$5:$L$14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D2-42FA-8884-5A9CCB2462C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Report'!$M$3:$M$4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Report'!$M$5:$M$14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187123</c:v>
                      </c:pt>
                      <c:pt idx="1">
                        <c:v>112</c:v>
                      </c:pt>
                      <c:pt idx="2">
                        <c:v>598.53679130839078</c:v>
                      </c:pt>
                      <c:pt idx="3">
                        <c:v>315792</c:v>
                      </c:pt>
                      <c:pt idx="4">
                        <c:v>139</c:v>
                      </c:pt>
                      <c:pt idx="5">
                        <c:v>440.16314536150378</c:v>
                      </c:pt>
                      <c:pt idx="6">
                        <c:v>502915</c:v>
                      </c:pt>
                      <c:pt idx="7">
                        <c:v>251</c:v>
                      </c:pt>
                      <c:pt idx="8">
                        <c:v>499.09030353041771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D2-42FA-8884-5A9CCB2462C0}"/>
                  </c:ext>
                </c:extLst>
              </c15:ser>
            </c15:filteredLineSeries>
          </c:ext>
        </c:extLst>
      </c:lineChart>
      <c:catAx>
        <c:axId val="103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5432"/>
        <c:crosses val="autoZero"/>
        <c:auto val="1"/>
        <c:lblAlgn val="ctr"/>
        <c:lblOffset val="100"/>
        <c:noMultiLvlLbl val="0"/>
      </c:catAx>
      <c:valAx>
        <c:axId val="10325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9528"/>
        <c:crosses val="autoZero"/>
        <c:crossBetween val="between"/>
        <c:dispUnits>
          <c:builtInUnit val="hundredThousands"/>
        </c:dispUnits>
      </c:valAx>
      <c:valAx>
        <c:axId val="103259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9040"/>
        <c:crosses val="max"/>
        <c:crossBetween val="between"/>
      </c:valAx>
      <c:dateAx>
        <c:axId val="1032589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2590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layout>
        <c:manualLayout>
          <c:xMode val="edge"/>
          <c:yMode val="edge"/>
          <c:x val="0.44850909221002294"/>
          <c:y val="1.377268750497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73453792959423E-2"/>
          <c:y val="0.11904418136787842"/>
          <c:w val="0.51873218379348152"/>
          <c:h val="0.841153336422114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24-44B5-B545-276ED2D9CF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24-44B5-B545-276ED2D9CF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24-44B5-B545-276ED2D9CF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24-44B5-B545-276ED2D9CF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24-44B5-B545-276ED2D9CF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254-4E83-B8C2-BC47C72375F2}"/>
              </c:ext>
            </c:extLst>
          </c:dPt>
          <c:dLbls>
            <c:dLbl>
              <c:idx val="0"/>
              <c:layout>
                <c:manualLayout>
                  <c:x val="-6.956523009293257E-2"/>
                  <c:y val="1.1469709280500019E-2"/>
                </c:manualLayout>
              </c:layout>
              <c:tx>
                <c:rich>
                  <a:bodyPr/>
                  <a:lstStyle/>
                  <a:p>
                    <a:fld id="{8481D739-0DD3-4EDE-B7E2-6601B0EDE99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24-44B5-B545-276ED2D9CFCD}"/>
                </c:ext>
              </c:extLst>
            </c:dLbl>
            <c:dLbl>
              <c:idx val="1"/>
              <c:layout>
                <c:manualLayout>
                  <c:x val="5.7878819195037172E-2"/>
                  <c:y val="3.0239993882821718E-2"/>
                </c:manualLayout>
              </c:layout>
              <c:tx>
                <c:rich>
                  <a:bodyPr/>
                  <a:lstStyle/>
                  <a:p>
                    <a:fld id="{8F537949-B405-45CF-8DDF-C5A8C3AB20EB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24-44B5-B545-276ED2D9CFCD}"/>
                </c:ext>
              </c:extLst>
            </c:dLbl>
            <c:dLbl>
              <c:idx val="2"/>
              <c:layout>
                <c:manualLayout>
                  <c:x val="5.7866184448462928E-2"/>
                  <c:y val="0.10947214171039446"/>
                </c:manualLayout>
              </c:layout>
              <c:tx>
                <c:rich>
                  <a:bodyPr/>
                  <a:lstStyle/>
                  <a:p>
                    <a:fld id="{6D556A38-096F-41C7-B024-7AE970B0584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24-44B5-B545-276ED2D9CFCD}"/>
                </c:ext>
              </c:extLst>
            </c:dLbl>
            <c:dLbl>
              <c:idx val="3"/>
              <c:layout>
                <c:manualLayout>
                  <c:x val="-7.715491259795057E-2"/>
                  <c:y val="0.12120129975079384"/>
                </c:manualLayout>
              </c:layout>
              <c:tx>
                <c:rich>
                  <a:bodyPr/>
                  <a:lstStyle/>
                  <a:p>
                    <a:fld id="{12E3B45D-CBA4-4F83-8D6B-48A5B1903676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F24-44B5-B545-276ED2D9CFCD}"/>
                </c:ext>
              </c:extLst>
            </c:dLbl>
            <c:dLbl>
              <c:idx val="4"/>
              <c:layout>
                <c:manualLayout>
                  <c:x val="-6.8655404524551863E-2"/>
                  <c:y val="0.14258414055300853"/>
                </c:manualLayout>
              </c:layout>
              <c:tx>
                <c:rich>
                  <a:bodyPr/>
                  <a:lstStyle/>
                  <a:p>
                    <a:fld id="{365DB72C-2D44-4DE3-AD03-7F73B9A292A6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24-44B5-B545-276ED2D9CFCD}"/>
                </c:ext>
              </c:extLst>
            </c:dLbl>
            <c:dLbl>
              <c:idx val="5"/>
              <c:layout>
                <c:manualLayout>
                  <c:x val="0.17300324966395067"/>
                  <c:y val="-0.14569751938185191"/>
                </c:manualLayout>
              </c:layout>
              <c:tx>
                <c:rich>
                  <a:bodyPr/>
                  <a:lstStyle/>
                  <a:p>
                    <a:fld id="{5BB46ACD-24F8-4399-8E77-EFDFD45DA61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F254-4E83-B8C2-BC47C72375F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 Report'!$BP$43:$BQ$49</c15:sqref>
                  </c15:fullRef>
                </c:ext>
              </c:extLst>
              <c:f>'Monthly Report'!$BP$44:$BQ$49</c:f>
              <c:multiLvlStrCache>
                <c:ptCount val="6"/>
                <c:lvl>
                  <c:pt idx="0">
                    <c:v>NG from Incorrect parts</c:v>
                  </c:pt>
                  <c:pt idx="1">
                    <c:v>Assembly error</c:v>
                  </c:pt>
                  <c:pt idx="2">
                    <c:v>NG from Dimension</c:v>
                  </c:pt>
                  <c:pt idx="3">
                    <c:v>NG from Lack of parts</c:v>
                  </c:pt>
                  <c:pt idx="4">
                    <c:v>NG from Appearance</c:v>
                  </c:pt>
                  <c:pt idx="5">
                    <c:v>NG from Other reason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Report'!$BY$43:$BY$49</c15:sqref>
                  </c15:fullRef>
                </c:ext>
              </c:extLst>
              <c:f>'Monthly Report'!$BY$44:$BY$49</c:f>
              <c:numCache>
                <c:formatCode>#,##0_);[Red]\(#,##0\)</c:formatCode>
                <c:ptCount val="6"/>
                <c:pt idx="0">
                  <c:v>59</c:v>
                </c:pt>
                <c:pt idx="1">
                  <c:v>7</c:v>
                </c:pt>
                <c:pt idx="2">
                  <c:v>34</c:v>
                </c:pt>
                <c:pt idx="3">
                  <c:v>1</c:v>
                </c:pt>
                <c:pt idx="4">
                  <c:v>47</c:v>
                </c:pt>
                <c:pt idx="5">
                  <c:v>1032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9F24-44B5-B545-276ED2D9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5010560388805"/>
          <c:y val="0.24447228794005507"/>
          <c:w val="0.29231194201990574"/>
          <c:h val="0.6139937167423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43667836267761E-2"/>
          <c:y val="0.11357732776071612"/>
          <c:w val="0.51311103097935762"/>
          <c:h val="0.849040878687817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32-486B-966E-FBA2E24866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32-486B-966E-FBA2E24866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32-486B-966E-FBA2E24866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32-486B-966E-FBA2E24866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32-486B-966E-FBA2E24866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D78-4498-90C7-6B9BC4968904}"/>
              </c:ext>
            </c:extLst>
          </c:dPt>
          <c:dLbls>
            <c:dLbl>
              <c:idx val="0"/>
              <c:layout>
                <c:manualLayout>
                  <c:x val="-0.12116274647491609"/>
                  <c:y val="2.2747361858360082E-2"/>
                </c:manualLayout>
              </c:layout>
              <c:tx>
                <c:rich>
                  <a:bodyPr/>
                  <a:lstStyle/>
                  <a:p>
                    <a:fld id="{709A2ED9-15EE-41FC-9EC7-EFE52D8DC81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32-486B-966E-FBA2E2486625}"/>
                </c:ext>
              </c:extLst>
            </c:dLbl>
            <c:dLbl>
              <c:idx val="1"/>
              <c:layout>
                <c:manualLayout>
                  <c:x val="9.0211298502813772E-2"/>
                  <c:y val="0.12249567044588634"/>
                </c:manualLayout>
              </c:layout>
              <c:tx>
                <c:rich>
                  <a:bodyPr/>
                  <a:lstStyle/>
                  <a:p>
                    <a:fld id="{5E5A9FE2-E334-4584-9CBF-FCA8A872013F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32-486B-966E-FBA2E2486625}"/>
                </c:ext>
              </c:extLst>
            </c:dLbl>
            <c:dLbl>
              <c:idx val="2"/>
              <c:layout>
                <c:manualLayout>
                  <c:x val="3.3082257973884741E-2"/>
                  <c:y val="0.13294232649071358"/>
                </c:manualLayout>
              </c:layout>
              <c:tx>
                <c:rich>
                  <a:bodyPr/>
                  <a:lstStyle/>
                  <a:p>
                    <a:fld id="{551F3929-FBF3-4BE2-88BB-54AE611E6F4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32-486B-966E-FBA2E2486625}"/>
                </c:ext>
              </c:extLst>
            </c:dLbl>
            <c:dLbl>
              <c:idx val="3"/>
              <c:layout>
                <c:manualLayout>
                  <c:x val="-8.2705644934711844E-2"/>
                  <c:y val="0.11730205278592376"/>
                </c:manualLayout>
              </c:layout>
              <c:tx>
                <c:rich>
                  <a:bodyPr/>
                  <a:lstStyle/>
                  <a:p>
                    <a:fld id="{0BD2F412-FCCB-4D10-AB6F-135A622C4DE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C32-486B-966E-FBA2E2486625}"/>
                </c:ext>
              </c:extLst>
            </c:dLbl>
            <c:dLbl>
              <c:idx val="4"/>
              <c:layout>
                <c:manualLayout>
                  <c:x val="0.13059383914460621"/>
                  <c:y val="-0.11114305782653215"/>
                </c:manualLayout>
              </c:layout>
              <c:tx>
                <c:rich>
                  <a:bodyPr/>
                  <a:lstStyle/>
                  <a:p>
                    <a:fld id="{199C6FDB-B92C-4A0E-89DC-9D652F1E138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C32-486B-966E-FBA2E2486625}"/>
                </c:ext>
              </c:extLst>
            </c:dLbl>
            <c:dLbl>
              <c:idx val="5"/>
              <c:layout>
                <c:manualLayout>
                  <c:x val="0.12287695818871475"/>
                  <c:y val="2.7370478983382136E-2"/>
                </c:manualLayout>
              </c:layout>
              <c:tx>
                <c:rich>
                  <a:bodyPr/>
                  <a:lstStyle/>
                  <a:p>
                    <a:fld id="{2DA0453C-1972-474A-A289-8100C2EF79A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D78-4498-90C7-6B9BC496890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'Monthly Report'!$BP$50:$BQ$56</c15:sqref>
                  </c15:fullRef>
                </c:ext>
              </c:extLst>
              <c:f>'Monthly Report'!$BP$51:$BQ$56</c:f>
              <c:multiLvlStrCache>
                <c:ptCount val="6"/>
                <c:lvl>
                  <c:pt idx="0">
                    <c:v>NG from Incorrect parts</c:v>
                  </c:pt>
                  <c:pt idx="1">
                    <c:v>Assembly error</c:v>
                  </c:pt>
                  <c:pt idx="2">
                    <c:v>NG from Dimension</c:v>
                  </c:pt>
                  <c:pt idx="3">
                    <c:v>NG from Lack of parts</c:v>
                  </c:pt>
                  <c:pt idx="4">
                    <c:v>NG from Appearance</c:v>
                  </c:pt>
                  <c:pt idx="5">
                    <c:v>NG from Other reason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Report'!$BY$50:$BY$56</c15:sqref>
                  </c15:fullRef>
                </c:ext>
              </c:extLst>
              <c:f>'Monthly Report'!$BY$51:$BY$56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'Monthly Report'!$BY$50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-1"/>
                    <c:layout>
                      <c:manualLayout>
                        <c:x val="0.13470529239769527"/>
                        <c:y val="-1.215805471124626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C8968A52-C9CD-4738-AE4F-011F771968DC}" type="PERCENTAGE">
                            <a:rPr lang="en-US" baseline="0"/>
                            <a:pPr/>
                            <a:t>[PERCENTAGE]</a:t>
                          </a:fld>
                          <a:endParaRPr lang="en-US"/>
                        </a:p>
                      </c:rich>
                    </c:tx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86E8-4958-AE73-1E961D7D909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EC32-486B-966E-FBA2E248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70452482676459"/>
          <c:y val="0.21902325259195973"/>
          <c:w val="0.28254053134795132"/>
          <c:h val="0.62009344139900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CCFF"/>
                </a:solidFill>
              </a:rPr>
              <a:t>Total produce-Total ppm by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Report'!$BR$4:$BW$4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</c:strCache>
            </c:strRef>
          </c:cat>
          <c:val>
            <c:numRef>
              <c:f>'Monthly Report'!$BR$5:$BW$5</c:f>
              <c:numCache>
                <c:formatCode>#,##0_);[Red]\(#,##0\)</c:formatCode>
                <c:ptCount val="6"/>
                <c:pt idx="0">
                  <c:v>126811</c:v>
                </c:pt>
                <c:pt idx="1">
                  <c:v>151122</c:v>
                </c:pt>
                <c:pt idx="2">
                  <c:v>187123</c:v>
                </c:pt>
                <c:pt idx="3">
                  <c:v>205428</c:v>
                </c:pt>
                <c:pt idx="4">
                  <c:v>120758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6-4B4F-B52E-3746B24CF356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Report'!$BR$4:$BW$4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</c:strCache>
            </c:strRef>
          </c:cat>
          <c:val>
            <c:numRef>
              <c:f>'Monthly Report'!$BR$8:$BW$8</c:f>
              <c:numCache>
                <c:formatCode>#,##0_);[Red]\(#,##0\)</c:formatCode>
                <c:ptCount val="6"/>
                <c:pt idx="0">
                  <c:v>203905</c:v>
                </c:pt>
                <c:pt idx="1">
                  <c:v>237198</c:v>
                </c:pt>
                <c:pt idx="2">
                  <c:v>315792</c:v>
                </c:pt>
                <c:pt idx="3">
                  <c:v>145545</c:v>
                </c:pt>
                <c:pt idx="4">
                  <c:v>45804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6-4B4F-B52E-3746B24C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579528"/>
        <c:axId val="1032585432"/>
      </c:barChart>
      <c:lineChart>
        <c:grouping val="standard"/>
        <c:varyColors val="0"/>
        <c:ser>
          <c:idx val="3"/>
          <c:order val="3"/>
          <c:tx>
            <c:v>O-O (ppm)</c:v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'Monthly Report'!$BP$5:$BQ$13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'Monthly Report'!$BR$10:$BW$10</c:f>
              <c:numCache>
                <c:formatCode>#,##0_);[Red]\(#,##0\)</c:formatCode>
                <c:ptCount val="6"/>
                <c:pt idx="0">
                  <c:v>73.563669355827471</c:v>
                </c:pt>
                <c:pt idx="1">
                  <c:v>33.727097193062342</c:v>
                </c:pt>
                <c:pt idx="2">
                  <c:v>85.499316005471954</c:v>
                </c:pt>
                <c:pt idx="3">
                  <c:v>240.47545432684049</c:v>
                </c:pt>
                <c:pt idx="4">
                  <c:v>43.664308793991786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6-4B4F-B52E-3746B24CF356}"/>
            </c:ext>
          </c:extLst>
        </c:ser>
        <c:ser>
          <c:idx val="2"/>
          <c:order val="2"/>
          <c:tx>
            <c:v>O-I (ppm)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'Monthly Report'!$BP$5:$BQ$13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'Monthly Report'!$BR$7:$BW$7</c:f>
              <c:numCache>
                <c:formatCode>#,##0_);[Red]\(#,##0\)</c:formatCode>
                <c:ptCount val="6"/>
                <c:pt idx="0">
                  <c:v>8011.923255868971</c:v>
                </c:pt>
                <c:pt idx="1">
                  <c:v>264.68680933285691</c:v>
                </c:pt>
                <c:pt idx="2">
                  <c:v>422.18220101216843</c:v>
                </c:pt>
                <c:pt idx="3">
                  <c:v>155.77233872695055</c:v>
                </c:pt>
                <c:pt idx="4">
                  <c:v>107.65332317527617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6-4B4F-B52E-3746B24CF356}"/>
            </c:ext>
          </c:extLst>
        </c:ser>
        <c:ser>
          <c:idx val="4"/>
          <c:order val="4"/>
          <c:tx>
            <c:v>Total (ppm)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'Monthly Report'!$BP$5:$BQ$13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'Monthly Report'!$BR$13:$BW$13</c:f>
              <c:numCache>
                <c:formatCode>#,##0_);[Red]\(#,##0\)</c:formatCode>
                <c:ptCount val="6"/>
                <c:pt idx="0">
                  <c:v>3117.4784407165062</c:v>
                </c:pt>
                <c:pt idx="1">
                  <c:v>123.60939431396787</c:v>
                </c:pt>
                <c:pt idx="2">
                  <c:v>210.7712038813716</c:v>
                </c:pt>
                <c:pt idx="3">
                  <c:v>190.89787533513976</c:v>
                </c:pt>
                <c:pt idx="4">
                  <c:v>90.056555516864591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6-4B4F-B52E-3746B24C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9040"/>
        <c:axId val="1032590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Report'!$K$3:$K$4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'Monthly Report'!$BP$5:$BQ$13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'Weekly Report'!$K$5:$K$14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23955</c:v>
                      </c:pt>
                      <c:pt idx="1">
                        <c:v>17</c:v>
                      </c:pt>
                      <c:pt idx="2">
                        <c:v>709.66395324566895</c:v>
                      </c:pt>
                      <c:pt idx="3">
                        <c:v>53413</c:v>
                      </c:pt>
                      <c:pt idx="4">
                        <c:v>13</c:v>
                      </c:pt>
                      <c:pt idx="5">
                        <c:v>243.3864415030049</c:v>
                      </c:pt>
                      <c:pt idx="6">
                        <c:v>77368</c:v>
                      </c:pt>
                      <c:pt idx="7">
                        <c:v>30</c:v>
                      </c:pt>
                      <c:pt idx="8">
                        <c:v>387.75721228414852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1B6-4B4F-B52E-3746B24CF3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Report'!$L$3:$L$4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Report'!$BP$5:$BQ$13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Report'!$L$5:$L$14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B6-4B4F-B52E-3746B24CF3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Report'!$M$3:$M$4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Report'!$BP$5:$BQ$13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Report'!$M$5:$M$14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187123</c:v>
                      </c:pt>
                      <c:pt idx="1">
                        <c:v>112</c:v>
                      </c:pt>
                      <c:pt idx="2">
                        <c:v>598.53679130839078</c:v>
                      </c:pt>
                      <c:pt idx="3">
                        <c:v>315792</c:v>
                      </c:pt>
                      <c:pt idx="4">
                        <c:v>139</c:v>
                      </c:pt>
                      <c:pt idx="5">
                        <c:v>440.16314536150378</c:v>
                      </c:pt>
                      <c:pt idx="6">
                        <c:v>502915</c:v>
                      </c:pt>
                      <c:pt idx="7">
                        <c:v>251</c:v>
                      </c:pt>
                      <c:pt idx="8">
                        <c:v>499.09030353041771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B6-4B4F-B52E-3746B24CF356}"/>
                  </c:ext>
                </c:extLst>
              </c15:ser>
            </c15:filteredLineSeries>
          </c:ext>
        </c:extLst>
      </c:lineChart>
      <c:catAx>
        <c:axId val="103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5432"/>
        <c:crosses val="autoZero"/>
        <c:auto val="1"/>
        <c:lblAlgn val="ctr"/>
        <c:lblOffset val="100"/>
        <c:noMultiLvlLbl val="0"/>
      </c:catAx>
      <c:valAx>
        <c:axId val="10325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9528"/>
        <c:crosses val="autoZero"/>
        <c:crossBetween val="between"/>
        <c:dispUnits>
          <c:builtInUnit val="hundredThousands"/>
        </c:dispUnits>
      </c:valAx>
      <c:valAx>
        <c:axId val="103259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9040"/>
        <c:crosses val="max"/>
        <c:crossBetween val="between"/>
      </c:valAx>
      <c:catAx>
        <c:axId val="103258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9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Report'!$BR$77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Report'!$BQ$78:$BQ$114</c:f>
              <c:strCache>
                <c:ptCount val="37"/>
                <c:pt idx="0">
                  <c:v>Others for Processing</c:v>
                </c:pt>
                <c:pt idx="1">
                  <c:v>Sai phối màu 誤配色</c:v>
                </c:pt>
                <c:pt idx="2">
                  <c:v>Dây ngắn/dài</c:v>
                </c:pt>
                <c:pt idx="3">
                  <c:v>Tanshi biến dạng</c:v>
                </c:pt>
                <c:pt idx="4">
                  <c:v>Cấn, trầy</c:v>
                </c:pt>
                <c:pt idx="5">
                  <c:v>Dập sai</c:v>
                </c:pt>
                <c:pt idx="6">
                  <c:v>Bị trầy xước</c:v>
                </c:pt>
                <c:pt idx="7">
                  <c:v>Ngắn, dài</c:v>
                </c:pt>
                <c:pt idx="8">
                  <c:v>Dính dị vật 端子が異物付き</c:v>
                </c:pt>
                <c:pt idx="9">
                  <c:v>Sai kích thước</c:v>
                </c:pt>
                <c:pt idx="10">
                  <c:v>Sai ống チューブ間違い</c:v>
                </c:pt>
                <c:pt idx="11">
                  <c:v>Thiếu dây</c:v>
                </c:pt>
                <c:pt idx="12">
                  <c:v>Tuột mấu ôm vỏ do tán cạn 浅打ちで被覆カシメ外れ</c:v>
                </c:pt>
                <c:pt idx="13">
                  <c:v>Cháy dây</c:v>
                </c:pt>
                <c:pt idx="14">
                  <c:v>Ngược nút bọc</c:v>
                </c:pt>
                <c:pt idx="15">
                  <c:v>Thông dòng NG</c:v>
                </c:pt>
                <c:pt idx="16">
                  <c:v>Ngược Diode</c:v>
                </c:pt>
                <c:pt idx="17">
                  <c:v>Sai vị trí</c:v>
                </c:pt>
                <c:pt idx="18">
                  <c:v>Sút</c:v>
                </c:pt>
                <c:pt idx="19">
                  <c:v>Biến dạng</c:v>
                </c:pt>
                <c:pt idx="20">
                  <c:v>Hở</c:v>
                </c:pt>
                <c:pt idx="21">
                  <c:v>Gờ tanshi bám ít vào gờ housing ランスのロックが不十分</c:v>
                </c:pt>
                <c:pt idx="22">
                  <c:v>Thiếu ống</c:v>
                </c:pt>
                <c:pt idx="23">
                  <c:v>Bẩn, dơ</c:v>
                </c:pt>
                <c:pt idx="24">
                  <c:v>Tưa lõi</c:v>
                </c:pt>
                <c:pt idx="25">
                  <c:v>Đứt Lõi</c:v>
                </c:pt>
                <c:pt idx="26">
                  <c:v>Thiếu dấu marking PS PSマーキング不足</c:v>
                </c:pt>
                <c:pt idx="27">
                  <c:v>Biến dạng vị trí Soket</c:v>
                </c:pt>
                <c:pt idx="28">
                  <c:v>Bị bể, mẻ, cấn</c:v>
                </c:pt>
                <c:pt idx="29">
                  <c:v>Xỏ ngược đầu</c:v>
                </c:pt>
                <c:pt idx="30">
                  <c:v>Bị gãy khóa</c:v>
                </c:pt>
                <c:pt idx="31">
                  <c:v>Bk không đạt</c:v>
                </c:pt>
                <c:pt idx="32">
                  <c:v>Rách</c:v>
                </c:pt>
                <c:pt idx="33">
                  <c:v>Contact bị cháy コン クト焼け</c:v>
                </c:pt>
                <c:pt idx="34">
                  <c:v>HKH NG</c:v>
                </c:pt>
                <c:pt idx="35">
                  <c:v>Tanshi dính HKH はん  着</c:v>
                </c:pt>
                <c:pt idx="36">
                  <c:v>Hở hộp nối 端子勘合部(接点）が開いている</c:v>
                </c:pt>
              </c:strCache>
            </c:strRef>
          </c:cat>
          <c:val>
            <c:numRef>
              <c:f>'Monthly Report'!$BR$78:$BR$114</c:f>
              <c:numCache>
                <c:formatCode>General</c:formatCode>
                <c:ptCount val="37"/>
                <c:pt idx="0">
                  <c:v>1032</c:v>
                </c:pt>
                <c:pt idx="1">
                  <c:v>58</c:v>
                </c:pt>
                <c:pt idx="2">
                  <c:v>27</c:v>
                </c:pt>
                <c:pt idx="3">
                  <c:v>26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567-B90E-7BB813DE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'Monthly Report'!$BT$77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'Monthly Report'!$BT$78:$BT$114</c:f>
              <c:numCache>
                <c:formatCode>0</c:formatCode>
                <c:ptCount val="37"/>
                <c:pt idx="0">
                  <c:v>87.457627118644069</c:v>
                </c:pt>
                <c:pt idx="1">
                  <c:v>92.372881355932208</c:v>
                </c:pt>
                <c:pt idx="2">
                  <c:v>94.661016949152554</c:v>
                </c:pt>
                <c:pt idx="3">
                  <c:v>96.864406779661024</c:v>
                </c:pt>
                <c:pt idx="4">
                  <c:v>97.542372881355945</c:v>
                </c:pt>
                <c:pt idx="5">
                  <c:v>98.13559322033899</c:v>
                </c:pt>
                <c:pt idx="6">
                  <c:v>98.728813559322035</c:v>
                </c:pt>
                <c:pt idx="7">
                  <c:v>99.067796610169495</c:v>
                </c:pt>
                <c:pt idx="8">
                  <c:v>99.406779661016955</c:v>
                </c:pt>
                <c:pt idx="9">
                  <c:v>99.661016949152554</c:v>
                </c:pt>
                <c:pt idx="10">
                  <c:v>99.745762711864415</c:v>
                </c:pt>
                <c:pt idx="11">
                  <c:v>99.830508474576277</c:v>
                </c:pt>
                <c:pt idx="12">
                  <c:v>99.915254237288138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3-4567-B90E-7BB813DE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43881257267082"/>
              <c:y val="0.93373998792786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17228149511598"/>
          <c:y val="2.5178674371129965E-2"/>
          <c:w val="0.31271496559916534"/>
          <c:h val="6.8681492332838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C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layout>
        <c:manualLayout>
          <c:xMode val="edge"/>
          <c:yMode val="edge"/>
          <c:x val="0.36336943441636582"/>
          <c:y val="4.08997955010224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C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1005239868482"/>
          <c:y val="8.8423103553773572E-2"/>
          <c:w val="0.5267883301590911"/>
          <c:h val="0.895216978245817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A1-4E5D-B44F-CA4A0DDFB3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A1-4E5D-B44F-CA4A0DDFB35E}"/>
              </c:ext>
            </c:extLst>
          </c:dPt>
          <c:dLbls>
            <c:dLbl>
              <c:idx val="0"/>
              <c:layout>
                <c:manualLayout>
                  <c:x val="-0.13240076939841003"/>
                  <c:y val="0.11204539799497536"/>
                </c:manualLayout>
              </c:layout>
              <c:tx>
                <c:rich>
                  <a:bodyPr/>
                  <a:lstStyle/>
                  <a:p>
                    <a:fld id="{56445F10-740F-4902-BCBF-9F8390D524FC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6A1-4E5D-B44F-CA4A0DDFB35E}"/>
                </c:ext>
              </c:extLst>
            </c:dLbl>
            <c:dLbl>
              <c:idx val="1"/>
              <c:layout>
                <c:manualLayout>
                  <c:x val="0.11833139088660849"/>
                  <c:y val="-7.2714809731352387E-2"/>
                </c:manualLayout>
              </c:layout>
              <c:tx>
                <c:rich>
                  <a:bodyPr/>
                  <a:lstStyle/>
                  <a:p>
                    <a:fld id="{C0D60AEA-DE9E-423E-9878-17D0DA7F6A23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6A1-4E5D-B44F-CA4A0DDFB35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'Weekly Report'!$D$43:$E$45</c15:sqref>
                  </c15:fullRef>
                </c:ext>
              </c:extLst>
              <c:f>'Weekly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Processing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 Report'!$M$46:$M$48</c15:sqref>
                  </c15:fullRef>
                </c:ext>
              </c:extLst>
              <c:f>'Weekly Report'!$M$47:$M$48</c:f>
              <c:numCache>
                <c:formatCode>#,##0_);[Red]\(#,##0\)</c:formatCode>
                <c:ptCount val="2"/>
                <c:pt idx="0">
                  <c:v>112</c:v>
                </c:pt>
                <c:pt idx="1">
                  <c:v>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'Weekly Report'!$M$46</c15:sqref>
                  <c15:explosion val="29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36A1-4E5D-B44F-CA4A0DDF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52635568568367"/>
          <c:y val="0.41564368871069024"/>
          <c:w val="0.27449482172129208"/>
          <c:h val="0.114008663027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65990452203364E-2"/>
          <c:y val="0.12886715566422169"/>
          <c:w val="0.82835067311061072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Report'!$BW$77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Report'!$BV$78:$BV$114</c:f>
              <c:strCache>
                <c:ptCount val="37"/>
                <c:pt idx="0">
                  <c:v>Cháy dây</c:v>
                </c:pt>
                <c:pt idx="1">
                  <c:v>Dây ngắn/dài</c:v>
                </c:pt>
                <c:pt idx="2">
                  <c:v>Đứt Lõi</c:v>
                </c:pt>
                <c:pt idx="3">
                  <c:v>Cấn, trầy</c:v>
                </c:pt>
                <c:pt idx="4">
                  <c:v>Sai phối màu 誤配色</c:v>
                </c:pt>
                <c:pt idx="5">
                  <c:v>Sai ống チューブ間違い</c:v>
                </c:pt>
                <c:pt idx="6">
                  <c:v>Ngược nút bọc</c:v>
                </c:pt>
                <c:pt idx="7">
                  <c:v>Thông dòng NG</c:v>
                </c:pt>
                <c:pt idx="8">
                  <c:v>Ngược Diode</c:v>
                </c:pt>
                <c:pt idx="9">
                  <c:v>Dập sai</c:v>
                </c:pt>
                <c:pt idx="10">
                  <c:v>Thiếu dây</c:v>
                </c:pt>
                <c:pt idx="11">
                  <c:v>Sai vị trí</c:v>
                </c:pt>
                <c:pt idx="12">
                  <c:v>Sai kích thước</c:v>
                </c:pt>
                <c:pt idx="13">
                  <c:v>Ngắn, dài</c:v>
                </c:pt>
                <c:pt idx="14">
                  <c:v>Sút</c:v>
                </c:pt>
                <c:pt idx="15">
                  <c:v>Biến dạng</c:v>
                </c:pt>
                <c:pt idx="16">
                  <c:v>Hở</c:v>
                </c:pt>
                <c:pt idx="17">
                  <c:v>Gờ tanshi bám ít vào gờ housing ランスのロックが不十分</c:v>
                </c:pt>
                <c:pt idx="18">
                  <c:v>Tuột mấu ôm vỏ do tán cạn 浅打ちで被覆カシメ外れ</c:v>
                </c:pt>
                <c:pt idx="19">
                  <c:v>Thiếu ống</c:v>
                </c:pt>
                <c:pt idx="20">
                  <c:v>Dính dị vật 端子が異物付き</c:v>
                </c:pt>
                <c:pt idx="21">
                  <c:v>Tanshi biến dạng</c:v>
                </c:pt>
                <c:pt idx="22">
                  <c:v>Bẩn, dơ</c:v>
                </c:pt>
                <c:pt idx="23">
                  <c:v>Tưa lõi</c:v>
                </c:pt>
                <c:pt idx="24">
                  <c:v>Thiếu dấu marking PS PSマーキング不足</c:v>
                </c:pt>
                <c:pt idx="25">
                  <c:v>Biến dạng vị trí Soket</c:v>
                </c:pt>
                <c:pt idx="26">
                  <c:v>Bị bể, mẻ, cấn</c:v>
                </c:pt>
                <c:pt idx="27">
                  <c:v>Xỏ ngược đầu</c:v>
                </c:pt>
                <c:pt idx="28">
                  <c:v>Bị trầy xước</c:v>
                </c:pt>
                <c:pt idx="29">
                  <c:v>Bị gãy khóa</c:v>
                </c:pt>
                <c:pt idx="30">
                  <c:v>Bk không đạt</c:v>
                </c:pt>
                <c:pt idx="31">
                  <c:v>Rách</c:v>
                </c:pt>
                <c:pt idx="32">
                  <c:v>Contact bị cháy コン クト焼け</c:v>
                </c:pt>
                <c:pt idx="33">
                  <c:v>HKH NG</c:v>
                </c:pt>
                <c:pt idx="34">
                  <c:v>Tanshi dính HKH はん  着</c:v>
                </c:pt>
                <c:pt idx="35">
                  <c:v>Hở hộp nối 端子勘合部(接点）が開いている</c:v>
                </c:pt>
                <c:pt idx="36">
                  <c:v>Others for Processing</c:v>
                </c:pt>
              </c:strCache>
            </c:strRef>
          </c:cat>
          <c:val>
            <c:numRef>
              <c:f>'Monthly Report'!$BW$78:$BW$114</c:f>
              <c:numCache>
                <c:formatCode>General</c:formatCode>
                <c:ptCount val="37"/>
                <c:pt idx="0">
                  <c:v>46</c:v>
                </c:pt>
                <c:pt idx="1">
                  <c:v>27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C8E-A52F-FFC84279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'Monthly Report'!$BY$77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'Monthly Report'!$BY$78:$BY$114</c:f>
              <c:numCache>
                <c:formatCode>0</c:formatCode>
                <c:ptCount val="37"/>
                <c:pt idx="0">
                  <c:v>52.873563218390807</c:v>
                </c:pt>
                <c:pt idx="1">
                  <c:v>83.908045977011497</c:v>
                </c:pt>
                <c:pt idx="2">
                  <c:v>94.252873563218401</c:v>
                </c:pt>
                <c:pt idx="3">
                  <c:v>100.00000000000001</c:v>
                </c:pt>
                <c:pt idx="4">
                  <c:v>100.00000000000001</c:v>
                </c:pt>
                <c:pt idx="5">
                  <c:v>100.00000000000001</c:v>
                </c:pt>
                <c:pt idx="6">
                  <c:v>100.00000000000001</c:v>
                </c:pt>
                <c:pt idx="7">
                  <c:v>100.00000000000001</c:v>
                </c:pt>
                <c:pt idx="8">
                  <c:v>100.00000000000001</c:v>
                </c:pt>
                <c:pt idx="9">
                  <c:v>100.00000000000001</c:v>
                </c:pt>
                <c:pt idx="10">
                  <c:v>100.00000000000001</c:v>
                </c:pt>
                <c:pt idx="11">
                  <c:v>100.00000000000001</c:v>
                </c:pt>
                <c:pt idx="12">
                  <c:v>100.00000000000001</c:v>
                </c:pt>
                <c:pt idx="13">
                  <c:v>100.00000000000001</c:v>
                </c:pt>
                <c:pt idx="14">
                  <c:v>100.00000000000001</c:v>
                </c:pt>
                <c:pt idx="15">
                  <c:v>100.00000000000001</c:v>
                </c:pt>
                <c:pt idx="16">
                  <c:v>100.00000000000001</c:v>
                </c:pt>
                <c:pt idx="17">
                  <c:v>100.00000000000001</c:v>
                </c:pt>
                <c:pt idx="18">
                  <c:v>100.00000000000001</c:v>
                </c:pt>
                <c:pt idx="19">
                  <c:v>100.00000000000001</c:v>
                </c:pt>
                <c:pt idx="20">
                  <c:v>100.00000000000001</c:v>
                </c:pt>
                <c:pt idx="21">
                  <c:v>100.00000000000001</c:v>
                </c:pt>
                <c:pt idx="22">
                  <c:v>100.00000000000001</c:v>
                </c:pt>
                <c:pt idx="23">
                  <c:v>100.00000000000001</c:v>
                </c:pt>
                <c:pt idx="24">
                  <c:v>100.00000000000001</c:v>
                </c:pt>
                <c:pt idx="25">
                  <c:v>100.00000000000001</c:v>
                </c:pt>
                <c:pt idx="26">
                  <c:v>100.00000000000001</c:v>
                </c:pt>
                <c:pt idx="27">
                  <c:v>100.00000000000001</c:v>
                </c:pt>
                <c:pt idx="28">
                  <c:v>100.00000000000001</c:v>
                </c:pt>
                <c:pt idx="29">
                  <c:v>100.00000000000001</c:v>
                </c:pt>
                <c:pt idx="30">
                  <c:v>100.00000000000001</c:v>
                </c:pt>
                <c:pt idx="31">
                  <c:v>100.00000000000001</c:v>
                </c:pt>
                <c:pt idx="32">
                  <c:v>100.00000000000001</c:v>
                </c:pt>
                <c:pt idx="33">
                  <c:v>100.00000000000001</c:v>
                </c:pt>
                <c:pt idx="34">
                  <c:v>100.00000000000001</c:v>
                </c:pt>
                <c:pt idx="35">
                  <c:v>100.00000000000001</c:v>
                </c:pt>
                <c:pt idx="36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C8E-A52F-FFC84279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69025275950103"/>
              <c:y val="0.9371852936987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1868714605879237E-3"/>
                <c:y val="0.3338066726989199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31911264343339"/>
              <c:y val="0.3057009927548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27307374249467"/>
          <c:y val="1.4842757058468466E-2"/>
          <c:w val="0.31271496559916534"/>
          <c:h val="7.5572103874612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19627544353788"/>
          <c:y val="0.11552012520174108"/>
          <c:w val="0.40964117396645994"/>
          <c:h val="0.858720920754470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F2-4EE0-A5B1-95BFF60401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F2-4EE0-A5B1-95BFF60401F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2C270D0-F7F6-490D-90AB-25537D5F500F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EF2-4EE0-A5B1-95BFF60401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6039C6-443F-4DE0-8738-43444A2B0C2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EF2-4EE0-A5B1-95BFF60401F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'Annual Report'!$D$43:$E$45</c15:sqref>
                  </c15:fullRef>
                </c:ext>
              </c:extLst>
              <c:f>'Annual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Machine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Report'!$R$43:$R$45</c15:sqref>
                  </c15:fullRef>
                </c:ext>
              </c:extLst>
              <c:f>'Annual Report'!$R$44:$R$45</c:f>
              <c:numCache>
                <c:formatCode>#,##0_);[Red]\(#,##0\)</c:formatCode>
                <c:ptCount val="2"/>
                <c:pt idx="0">
                  <c:v>186</c:v>
                </c:pt>
                <c:pt idx="1">
                  <c:v>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'Annual Report'!$R$43</c15:sqref>
                  <c15:explosion val="21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6EF2-4EE0-A5B1-95BFF60401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06129515071664"/>
          <c:y val="0.41252539084788314"/>
          <c:w val="0.19864176702492292"/>
          <c:h val="0.16511436070491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C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C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97396904541223"/>
          <c:y val="0.1195239725469099"/>
          <c:w val="0.39853304514157128"/>
          <c:h val="0.848738364226210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54-408C-AA6F-0003AE4260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54-408C-AA6F-0003AE42602C}"/>
              </c:ext>
            </c:extLst>
          </c:dPt>
          <c:dLbls>
            <c:dLbl>
              <c:idx val="0"/>
              <c:layout>
                <c:manualLayout>
                  <c:x val="-8.5001259996919737E-2"/>
                  <c:y val="9.4950522489036737E-2"/>
                </c:manualLayout>
              </c:layout>
              <c:tx>
                <c:rich>
                  <a:bodyPr/>
                  <a:lstStyle/>
                  <a:p>
                    <a:fld id="{56445F10-740F-4902-BCBF-9F8390D524FC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54-408C-AA6F-0003AE42602C}"/>
                </c:ext>
              </c:extLst>
            </c:dLbl>
            <c:dLbl>
              <c:idx val="1"/>
              <c:layout>
                <c:manualLayout>
                  <c:x val="8.7778917847894641E-2"/>
                  <c:y val="-0.11226129342527852"/>
                </c:manualLayout>
              </c:layout>
              <c:tx>
                <c:rich>
                  <a:bodyPr/>
                  <a:lstStyle/>
                  <a:p>
                    <a:fld id="{C0D60AEA-DE9E-423E-9878-17D0DA7F6A23}" type="PERCENTAGE">
                      <a:rPr lang="en-US" baseline="0">
                        <a:solidFill>
                          <a:srgbClr val="0000FF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54-408C-AA6F-0003AE42602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'Annual Report'!$D$43:$E$45</c15:sqref>
                  </c15:fullRef>
                </c:ext>
              </c:extLst>
              <c:f>'Annual Report'!$D$44:$E$45</c:f>
              <c:multiLvlStrCache>
                <c:ptCount val="2"/>
                <c:lvl>
                  <c:pt idx="0">
                    <c:v>NG from Material</c:v>
                  </c:pt>
                  <c:pt idx="1">
                    <c:v>NG from Machine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Report'!$R$46:$R$48</c15:sqref>
                  </c15:fullRef>
                </c:ext>
              </c:extLst>
              <c:f>'Annual Report'!$R$47:$R$48</c:f>
              <c:numCache>
                <c:formatCode>#,##0_);[Red]\(#,##0\)</c:formatCode>
                <c:ptCount val="2"/>
                <c:pt idx="0">
                  <c:v>152</c:v>
                </c:pt>
                <c:pt idx="1">
                  <c:v>167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ED54-408C-AA6F-0003AE42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999538868685068"/>
          <c:y val="0.39596224384995354"/>
          <c:w val="0.20913866733049979"/>
          <c:h val="0.177536720953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FFCCFF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produce-Total ppm</a:t>
            </a:r>
            <a:endParaRPr lang="en-US">
              <a:solidFill>
                <a:srgbClr val="FFCCFF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95605738070387E-2"/>
          <c:y val="4.4805899602057664E-2"/>
          <c:w val="0.86976985535225348"/>
          <c:h val="0.77673141745928709"/>
        </c:manualLayout>
      </c:layout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'Annual Report'!$F$4:$Q$4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Report'!$F$5:$Q$5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28950</c:v>
                </c:pt>
                <c:pt idx="4">
                  <c:v>791242</c:v>
                </c:pt>
                <c:pt idx="5">
                  <c:v>411255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0-407E-B683-58C829EA0782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'Annual Report'!$F$4:$Q$4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Report'!$F$8:$Q$8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27404</c:v>
                </c:pt>
                <c:pt idx="4">
                  <c:v>948244</c:v>
                </c:pt>
                <c:pt idx="5">
                  <c:v>396146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0-407E-B683-58C829EA078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8956576"/>
        <c:axId val="578952640"/>
      </c:barChart>
      <c:lineChart>
        <c:grouping val="standard"/>
        <c:varyColors val="0"/>
        <c:ser>
          <c:idx val="2"/>
          <c:order val="2"/>
          <c:tx>
            <c:v>O-I (ppm)</c:v>
          </c:tx>
          <c:spPr>
            <a:ln w="2540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'Annual Report'!$F$7:$Q$7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1645.5142674428303</c:v>
                </c:pt>
                <c:pt idx="5">
                  <c:v>325.8319047792732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0-407E-B683-58C829EA0782}"/>
            </c:ext>
          </c:extLst>
        </c:ser>
        <c:ser>
          <c:idx val="3"/>
          <c:order val="3"/>
          <c:tx>
            <c:v>O-O (ppm)</c:v>
          </c:tx>
          <c:spPr>
            <a:ln w="254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'Annual Report'!$F$10:$Q$10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145.96409283316302</c:v>
                </c:pt>
                <c:pt idx="4">
                  <c:v>239.38986168117069</c:v>
                </c:pt>
                <c:pt idx="5">
                  <c:v>222.14032200249403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0-407E-B683-58C829EA0782}"/>
            </c:ext>
          </c:extLst>
        </c:ser>
        <c:ser>
          <c:idx val="4"/>
          <c:order val="4"/>
          <c:tx>
            <c:v>Total (ppm)</c:v>
          </c:tx>
          <c:spPr>
            <a:ln w="254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'Annual Report'!$F$13:$Q$13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70.979877204812439</c:v>
                </c:pt>
                <c:pt idx="4">
                  <c:v>878.99528941307949</c:v>
                </c:pt>
                <c:pt idx="5">
                  <c:v>274.95631043310573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0-407E-B683-58C829EA0782}"/>
            </c:ext>
          </c:extLst>
        </c:ser>
        <c:ser>
          <c:idx val="5"/>
          <c:order val="5"/>
          <c:tx>
            <c:v>Target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88E0-407E-B683-58C829EA0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205696"/>
        <c:axId val="589204712"/>
      </c:lineChart>
      <c:catAx>
        <c:axId val="5789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2640"/>
        <c:crosses val="autoZero"/>
        <c:auto val="1"/>
        <c:lblAlgn val="ctr"/>
        <c:lblOffset val="100"/>
        <c:noMultiLvlLbl val="0"/>
      </c:catAx>
      <c:valAx>
        <c:axId val="578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layout>
            <c:manualLayout>
              <c:xMode val="edge"/>
              <c:yMode val="edge"/>
              <c:x val="3.8070566055346299E-3"/>
              <c:y val="0.24375596611005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6576"/>
        <c:crossesAt val="1"/>
        <c:crossBetween val="between"/>
        <c:dispUnits>
          <c:builtInUnit val="hundredThousands"/>
        </c:dispUnits>
      </c:valAx>
      <c:valAx>
        <c:axId val="589204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5696"/>
        <c:crosses val="max"/>
        <c:crossBetween val="between"/>
      </c:valAx>
      <c:catAx>
        <c:axId val="58920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9204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2177691271737"/>
          <c:y val="0.92576313756887119"/>
          <c:w val="0.58121839921910456"/>
          <c:h val="4.841546292934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15748031496062992" l="0.11811023622047245" r="0.11811023622047245" t="0.15748031496062992" header="0.31496062992125984" footer="0.31496062992125984"/>
    <c:pageSetup paperSize="9"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Report'!$F$68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Report'!$E$69:$E$113</c:f>
              <c:strCache>
                <c:ptCount val="45"/>
                <c:pt idx="0">
                  <c:v>Others for Processing</c:v>
                </c:pt>
                <c:pt idx="1">
                  <c:v>Oxi hóa</c:v>
                </c:pt>
                <c:pt idx="2">
                  <c:v>Sai phối màu 誤配色</c:v>
                </c:pt>
                <c:pt idx="3">
                  <c:v>Tanshi biến dạng</c:v>
                </c:pt>
                <c:pt idx="4">
                  <c:v>Đội gờ HS</c:v>
                </c:pt>
                <c:pt idx="5">
                  <c:v>NG, dính dơ, dị vật do NL</c:v>
                </c:pt>
                <c:pt idx="6">
                  <c:v>Dây ngắn/dài</c:v>
                </c:pt>
                <c:pt idx="7">
                  <c:v>Mẻ, lõm, biến dạng</c:v>
                </c:pt>
                <c:pt idx="8">
                  <c:v>Cấn, trầy</c:v>
                </c:pt>
                <c:pt idx="9">
                  <c:v>Bị trầy xước</c:v>
                </c:pt>
                <c:pt idx="10">
                  <c:v>Others for IC</c:v>
                </c:pt>
                <c:pt idx="11">
                  <c:v>Dập sai</c:v>
                </c:pt>
                <c:pt idx="12">
                  <c:v>Dính dị vật 端子が異物付き</c:v>
                </c:pt>
                <c:pt idx="13">
                  <c:v>Ngắn, dài</c:v>
                </c:pt>
                <c:pt idx="14">
                  <c:v>Trầy, dơ do NL</c:v>
                </c:pt>
                <c:pt idx="15">
                  <c:v>Sai kích thước</c:v>
                </c:pt>
                <c:pt idx="16">
                  <c:v>Bị bể, mẻ, cấn</c:v>
                </c:pt>
                <c:pt idx="17">
                  <c:v>MTD</c:v>
                </c:pt>
                <c:pt idx="18">
                  <c:v>Sai ống チューブ間違い</c:v>
                </c:pt>
                <c:pt idx="19">
                  <c:v>Thông dòng NG</c:v>
                </c:pt>
                <c:pt idx="20">
                  <c:v>Thiếu dây</c:v>
                </c:pt>
                <c:pt idx="21">
                  <c:v>Tuột mấu ôm vỏ do tán cạn 浅打ちで被覆カシメ外れ</c:v>
                </c:pt>
                <c:pt idx="22">
                  <c:v>Cháy dây</c:v>
                </c:pt>
                <c:pt idx="23">
                  <c:v>Không đạt do NL</c:v>
                </c:pt>
                <c:pt idx="24">
                  <c:v>Ngược nút bọc</c:v>
                </c:pt>
                <c:pt idx="25">
                  <c:v>Ngược Diode</c:v>
                </c:pt>
                <c:pt idx="26">
                  <c:v>Sai vị trí</c:v>
                </c:pt>
                <c:pt idx="27">
                  <c:v>Sút</c:v>
                </c:pt>
                <c:pt idx="28">
                  <c:v>Biến dạng</c:v>
                </c:pt>
                <c:pt idx="29">
                  <c:v>Hở</c:v>
                </c:pt>
                <c:pt idx="30">
                  <c:v>Gờ tanshi bám ít vào gờ housing ランスのロックが不十分</c:v>
                </c:pt>
                <c:pt idx="31">
                  <c:v>Thiếu ống</c:v>
                </c:pt>
                <c:pt idx="32">
                  <c:v>Bẩn, dơ</c:v>
                </c:pt>
                <c:pt idx="33">
                  <c:v>Tưa lõi</c:v>
                </c:pt>
                <c:pt idx="34">
                  <c:v>Đứt Lõi</c:v>
                </c:pt>
                <c:pt idx="35">
                  <c:v>Thiếu dấu marking PS PSマーキング不足</c:v>
                </c:pt>
                <c:pt idx="36">
                  <c:v>Biến dạng vị trí Soket</c:v>
                </c:pt>
                <c:pt idx="37">
                  <c:v>Xỏ ngược đầu</c:v>
                </c:pt>
                <c:pt idx="38">
                  <c:v>Bị gãy khóa</c:v>
                </c:pt>
                <c:pt idx="39">
                  <c:v>Bk không đạt</c:v>
                </c:pt>
                <c:pt idx="40">
                  <c:v>Rách</c:v>
                </c:pt>
                <c:pt idx="41">
                  <c:v>Contact bị cháy コン クト焼け</c:v>
                </c:pt>
                <c:pt idx="42">
                  <c:v>HKH NG</c:v>
                </c:pt>
                <c:pt idx="43">
                  <c:v>Tanshi dính HKH はん  着</c:v>
                </c:pt>
                <c:pt idx="44">
                  <c:v>Hở hộp nối 端子勘合部(接点）が開いている</c:v>
                </c:pt>
              </c:strCache>
            </c:strRef>
          </c:cat>
          <c:val>
            <c:numRef>
              <c:f>'Annual Report'!$F$69:$F$113</c:f>
              <c:numCache>
                <c:formatCode>General</c:formatCode>
                <c:ptCount val="45"/>
                <c:pt idx="0">
                  <c:v>1050</c:v>
                </c:pt>
                <c:pt idx="1">
                  <c:v>66</c:v>
                </c:pt>
                <c:pt idx="2">
                  <c:v>63</c:v>
                </c:pt>
                <c:pt idx="3">
                  <c:v>51</c:v>
                </c:pt>
                <c:pt idx="4">
                  <c:v>49</c:v>
                </c:pt>
                <c:pt idx="5">
                  <c:v>36</c:v>
                </c:pt>
                <c:pt idx="6">
                  <c:v>31</c:v>
                </c:pt>
                <c:pt idx="7">
                  <c:v>21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BAB-B627-CF946F8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'Annual Report'!$H$68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'Annual Report'!$E$69:$E$89</c:f>
              <c:strCache>
                <c:ptCount val="21"/>
                <c:pt idx="0">
                  <c:v>Others for Processing</c:v>
                </c:pt>
                <c:pt idx="1">
                  <c:v>Oxi hóa</c:v>
                </c:pt>
                <c:pt idx="2">
                  <c:v>Sai phối màu 誤配色</c:v>
                </c:pt>
                <c:pt idx="3">
                  <c:v>Tanshi biến dạng</c:v>
                </c:pt>
                <c:pt idx="4">
                  <c:v>Đội gờ HS</c:v>
                </c:pt>
                <c:pt idx="5">
                  <c:v>NG, dính dơ, dị vật do NL</c:v>
                </c:pt>
                <c:pt idx="6">
                  <c:v>Dây ngắn/dài</c:v>
                </c:pt>
                <c:pt idx="7">
                  <c:v>Mẻ, lõm, biến dạng</c:v>
                </c:pt>
                <c:pt idx="8">
                  <c:v>Cấn, trầy</c:v>
                </c:pt>
                <c:pt idx="9">
                  <c:v>Bị trầy xước</c:v>
                </c:pt>
                <c:pt idx="10">
                  <c:v>Others for IC</c:v>
                </c:pt>
                <c:pt idx="11">
                  <c:v>Dập sai</c:v>
                </c:pt>
                <c:pt idx="12">
                  <c:v>Dính dị vật 端子が異物付き</c:v>
                </c:pt>
                <c:pt idx="13">
                  <c:v>Ngắn, dài</c:v>
                </c:pt>
                <c:pt idx="14">
                  <c:v>Trầy, dơ do NL</c:v>
                </c:pt>
                <c:pt idx="15">
                  <c:v>Sai kích thước</c:v>
                </c:pt>
                <c:pt idx="16">
                  <c:v>Bị bể, mẻ, cấn</c:v>
                </c:pt>
                <c:pt idx="17">
                  <c:v>MTD</c:v>
                </c:pt>
                <c:pt idx="18">
                  <c:v>Sai ống チューブ間違い</c:v>
                </c:pt>
                <c:pt idx="19">
                  <c:v>Thông dòng NG</c:v>
                </c:pt>
                <c:pt idx="20">
                  <c:v>Thiếu dây</c:v>
                </c:pt>
              </c:strCache>
            </c:strRef>
          </c:cat>
          <c:val>
            <c:numRef>
              <c:f>'Annual Report'!$H$69:$H$113</c:f>
              <c:numCache>
                <c:formatCode>0</c:formatCode>
                <c:ptCount val="45"/>
                <c:pt idx="0">
                  <c:v>73.119777158774369</c:v>
                </c:pt>
                <c:pt idx="1">
                  <c:v>77.715877437325901</c:v>
                </c:pt>
                <c:pt idx="2">
                  <c:v>82.103064066852369</c:v>
                </c:pt>
                <c:pt idx="3">
                  <c:v>85.654596100278553</c:v>
                </c:pt>
                <c:pt idx="4">
                  <c:v>89.066852367688028</c:v>
                </c:pt>
                <c:pt idx="5">
                  <c:v>91.573816155988865</c:v>
                </c:pt>
                <c:pt idx="6">
                  <c:v>93.732590529247915</c:v>
                </c:pt>
                <c:pt idx="7">
                  <c:v>95.194986072423404</c:v>
                </c:pt>
                <c:pt idx="8">
                  <c:v>96.169916434540397</c:v>
                </c:pt>
                <c:pt idx="9">
                  <c:v>96.935933147632312</c:v>
                </c:pt>
                <c:pt idx="10">
                  <c:v>97.632311977715872</c:v>
                </c:pt>
                <c:pt idx="11">
                  <c:v>98.189415041782723</c:v>
                </c:pt>
                <c:pt idx="12">
                  <c:v>98.746518105849574</c:v>
                </c:pt>
                <c:pt idx="13">
                  <c:v>99.025069637883007</c:v>
                </c:pt>
                <c:pt idx="14">
                  <c:v>99.233983286908071</c:v>
                </c:pt>
                <c:pt idx="15">
                  <c:v>99.442896935933135</c:v>
                </c:pt>
                <c:pt idx="16">
                  <c:v>99.582172701949844</c:v>
                </c:pt>
                <c:pt idx="17">
                  <c:v>99.651810584958199</c:v>
                </c:pt>
                <c:pt idx="18">
                  <c:v>99.721448467966553</c:v>
                </c:pt>
                <c:pt idx="19">
                  <c:v>99.791086350974908</c:v>
                </c:pt>
                <c:pt idx="20">
                  <c:v>99.860724233983262</c:v>
                </c:pt>
                <c:pt idx="21">
                  <c:v>99.930362116991617</c:v>
                </c:pt>
                <c:pt idx="22">
                  <c:v>99.999999999999972</c:v>
                </c:pt>
                <c:pt idx="23">
                  <c:v>99.999999999999972</c:v>
                </c:pt>
                <c:pt idx="24">
                  <c:v>99.999999999999972</c:v>
                </c:pt>
                <c:pt idx="25">
                  <c:v>99.999999999999972</c:v>
                </c:pt>
                <c:pt idx="26">
                  <c:v>99.999999999999972</c:v>
                </c:pt>
                <c:pt idx="27">
                  <c:v>99.999999999999972</c:v>
                </c:pt>
                <c:pt idx="28">
                  <c:v>99.999999999999972</c:v>
                </c:pt>
                <c:pt idx="29">
                  <c:v>99.999999999999972</c:v>
                </c:pt>
                <c:pt idx="30">
                  <c:v>99.999999999999972</c:v>
                </c:pt>
                <c:pt idx="31">
                  <c:v>99.999999999999972</c:v>
                </c:pt>
                <c:pt idx="32">
                  <c:v>99.999999999999972</c:v>
                </c:pt>
                <c:pt idx="33">
                  <c:v>99.999999999999972</c:v>
                </c:pt>
                <c:pt idx="34">
                  <c:v>99.999999999999972</c:v>
                </c:pt>
                <c:pt idx="35">
                  <c:v>99.999999999999972</c:v>
                </c:pt>
                <c:pt idx="36">
                  <c:v>99.999999999999972</c:v>
                </c:pt>
                <c:pt idx="37">
                  <c:v>99.999999999999972</c:v>
                </c:pt>
                <c:pt idx="38">
                  <c:v>99.999999999999972</c:v>
                </c:pt>
                <c:pt idx="39">
                  <c:v>99.999999999999972</c:v>
                </c:pt>
                <c:pt idx="40">
                  <c:v>99.999999999999972</c:v>
                </c:pt>
                <c:pt idx="41">
                  <c:v>99.999999999999972</c:v>
                </c:pt>
                <c:pt idx="42">
                  <c:v>99.999999999999972</c:v>
                </c:pt>
                <c:pt idx="43">
                  <c:v>99.999999999999972</c:v>
                </c:pt>
                <c:pt idx="44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6-4BAB-B627-CF946F8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0005379898"/>
              <c:y val="0.9379738084348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73811687011763"/>
          <c:y val="2.4330660588116618E-2"/>
          <c:w val="0.31271496559916534"/>
          <c:h val="5.971980010921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Report'!$K$68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Report'!$J$69:$J$113</c:f>
              <c:strCache>
                <c:ptCount val="45"/>
                <c:pt idx="0">
                  <c:v>NG, dính dơ, dị vật do NL</c:v>
                </c:pt>
                <c:pt idx="1">
                  <c:v>Cháy dây</c:v>
                </c:pt>
                <c:pt idx="2">
                  <c:v>Dây ngắn/dài</c:v>
                </c:pt>
                <c:pt idx="3">
                  <c:v>Trầy, dơ do NL</c:v>
                </c:pt>
                <c:pt idx="4">
                  <c:v>Đứt Lõi</c:v>
                </c:pt>
                <c:pt idx="5">
                  <c:v>Oxi hóa</c:v>
                </c:pt>
                <c:pt idx="6">
                  <c:v>Others for IC</c:v>
                </c:pt>
                <c:pt idx="7">
                  <c:v>Cấn, trầy</c:v>
                </c:pt>
                <c:pt idx="8">
                  <c:v>Tưa lõi</c:v>
                </c:pt>
                <c:pt idx="9">
                  <c:v>Others for Processing</c:v>
                </c:pt>
                <c:pt idx="10">
                  <c:v>Biến dạng</c:v>
                </c:pt>
                <c:pt idx="11">
                  <c:v>Không đạt do NL</c:v>
                </c:pt>
                <c:pt idx="12">
                  <c:v>Mẻ, lõm, biến dạng</c:v>
                </c:pt>
                <c:pt idx="13">
                  <c:v>Đội gờ HS</c:v>
                </c:pt>
                <c:pt idx="14">
                  <c:v>MTD</c:v>
                </c:pt>
                <c:pt idx="15">
                  <c:v>Sai phối màu 誤配色</c:v>
                </c:pt>
                <c:pt idx="16">
                  <c:v>Sai ống チューブ間違い</c:v>
                </c:pt>
                <c:pt idx="17">
                  <c:v>Ngược nút bọc</c:v>
                </c:pt>
                <c:pt idx="18">
                  <c:v>Thông dòng NG</c:v>
                </c:pt>
                <c:pt idx="19">
                  <c:v>Ngược Diode</c:v>
                </c:pt>
                <c:pt idx="20">
                  <c:v>Dập sai</c:v>
                </c:pt>
                <c:pt idx="21">
                  <c:v>Thiếu dây</c:v>
                </c:pt>
                <c:pt idx="22">
                  <c:v>Sai vị trí</c:v>
                </c:pt>
                <c:pt idx="23">
                  <c:v>Sai kích thước</c:v>
                </c:pt>
                <c:pt idx="24">
                  <c:v>Ngắn, dài</c:v>
                </c:pt>
                <c:pt idx="25">
                  <c:v>Sút</c:v>
                </c:pt>
                <c:pt idx="26">
                  <c:v>Hở</c:v>
                </c:pt>
                <c:pt idx="27">
                  <c:v>Gờ tanshi bám ít vào gờ housing ランスのロックが不十分</c:v>
                </c:pt>
                <c:pt idx="28">
                  <c:v>Tuột mấu ôm vỏ do tán cạn 浅打ちで被覆カシメ外れ</c:v>
                </c:pt>
                <c:pt idx="29">
                  <c:v>Thiếu ống</c:v>
                </c:pt>
                <c:pt idx="30">
                  <c:v>Dính dị vật 端子が異物付き</c:v>
                </c:pt>
                <c:pt idx="31">
                  <c:v>Tanshi biến dạng</c:v>
                </c:pt>
                <c:pt idx="32">
                  <c:v>Bẩn, dơ</c:v>
                </c:pt>
                <c:pt idx="33">
                  <c:v>Thiếu dấu marking PS PSマーキング不足</c:v>
                </c:pt>
                <c:pt idx="34">
                  <c:v>Biến dạng vị trí Soket</c:v>
                </c:pt>
                <c:pt idx="35">
                  <c:v>Bị bể, mẻ, cấn</c:v>
                </c:pt>
                <c:pt idx="36">
                  <c:v>Xỏ ngược đầu</c:v>
                </c:pt>
                <c:pt idx="37">
                  <c:v>Bị trầy xước</c:v>
                </c:pt>
                <c:pt idx="38">
                  <c:v>Bị gãy khóa</c:v>
                </c:pt>
                <c:pt idx="39">
                  <c:v>Bk không đạt</c:v>
                </c:pt>
                <c:pt idx="40">
                  <c:v>Rách</c:v>
                </c:pt>
                <c:pt idx="41">
                  <c:v>Contact bị cháy コン クト焼け</c:v>
                </c:pt>
                <c:pt idx="42">
                  <c:v>HKH NG</c:v>
                </c:pt>
                <c:pt idx="43">
                  <c:v>Tanshi dính HKH はん  着</c:v>
                </c:pt>
                <c:pt idx="44">
                  <c:v>Hở hộp nối 端子勘合部(接点）が開いている</c:v>
                </c:pt>
              </c:strCache>
            </c:strRef>
          </c:cat>
          <c:val>
            <c:numRef>
              <c:f>'Annual Report'!$K$69:$K$113</c:f>
              <c:numCache>
                <c:formatCode>General</c:formatCode>
                <c:ptCount val="45"/>
                <c:pt idx="0">
                  <c:v>117</c:v>
                </c:pt>
                <c:pt idx="1">
                  <c:v>102</c:v>
                </c:pt>
                <c:pt idx="2">
                  <c:v>40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D-4FE1-B3DE-F6FC9211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'Annual Report'!$M$68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'Annual Report'!$J$69:$J$89</c:f>
              <c:strCache>
                <c:ptCount val="21"/>
                <c:pt idx="0">
                  <c:v>NG, dính dơ, dị vật do NL</c:v>
                </c:pt>
                <c:pt idx="1">
                  <c:v>Cháy dây</c:v>
                </c:pt>
                <c:pt idx="2">
                  <c:v>Dây ngắn/dài</c:v>
                </c:pt>
                <c:pt idx="3">
                  <c:v>Trầy, dơ do NL</c:v>
                </c:pt>
                <c:pt idx="4">
                  <c:v>Đứt Lõi</c:v>
                </c:pt>
                <c:pt idx="5">
                  <c:v>Oxi hóa</c:v>
                </c:pt>
                <c:pt idx="6">
                  <c:v>Others for IC</c:v>
                </c:pt>
                <c:pt idx="7">
                  <c:v>Cấn, trầy</c:v>
                </c:pt>
                <c:pt idx="8">
                  <c:v>Tưa lõi</c:v>
                </c:pt>
                <c:pt idx="9">
                  <c:v>Others for Processing</c:v>
                </c:pt>
                <c:pt idx="10">
                  <c:v>Biến dạng</c:v>
                </c:pt>
                <c:pt idx="11">
                  <c:v>Không đạt do NL</c:v>
                </c:pt>
                <c:pt idx="12">
                  <c:v>Mẻ, lõm, biến dạng</c:v>
                </c:pt>
                <c:pt idx="13">
                  <c:v>Đội gờ HS</c:v>
                </c:pt>
                <c:pt idx="14">
                  <c:v>MTD</c:v>
                </c:pt>
                <c:pt idx="15">
                  <c:v>Sai phối màu 誤配色</c:v>
                </c:pt>
                <c:pt idx="16">
                  <c:v>Sai ống チューブ間違い</c:v>
                </c:pt>
                <c:pt idx="17">
                  <c:v>Ngược nút bọc</c:v>
                </c:pt>
                <c:pt idx="18">
                  <c:v>Thông dòng NG</c:v>
                </c:pt>
                <c:pt idx="19">
                  <c:v>Ngược Diode</c:v>
                </c:pt>
                <c:pt idx="20">
                  <c:v>Dập sai</c:v>
                </c:pt>
              </c:strCache>
            </c:strRef>
          </c:cat>
          <c:val>
            <c:numRef>
              <c:f>'Annual Report'!$M$69:$M$113</c:f>
              <c:numCache>
                <c:formatCode>0</c:formatCode>
                <c:ptCount val="45"/>
                <c:pt idx="0">
                  <c:v>36.677115987460816</c:v>
                </c:pt>
                <c:pt idx="1">
                  <c:v>68.652037617554868</c:v>
                </c:pt>
                <c:pt idx="2">
                  <c:v>81.191222570532915</c:v>
                </c:pt>
                <c:pt idx="3">
                  <c:v>86.83385579937304</c:v>
                </c:pt>
                <c:pt idx="4">
                  <c:v>89.968652037617559</c:v>
                </c:pt>
                <c:pt idx="5">
                  <c:v>92.789968652037629</c:v>
                </c:pt>
                <c:pt idx="6">
                  <c:v>95.297805642633236</c:v>
                </c:pt>
                <c:pt idx="7">
                  <c:v>97.492163009404393</c:v>
                </c:pt>
                <c:pt idx="8">
                  <c:v>98.746081504702204</c:v>
                </c:pt>
                <c:pt idx="9">
                  <c:v>99.686520376175565</c:v>
                </c:pt>
                <c:pt idx="10">
                  <c:v>100.00000000000001</c:v>
                </c:pt>
                <c:pt idx="11">
                  <c:v>100.00000000000001</c:v>
                </c:pt>
                <c:pt idx="12">
                  <c:v>100.00000000000001</c:v>
                </c:pt>
                <c:pt idx="13">
                  <c:v>100.00000000000001</c:v>
                </c:pt>
                <c:pt idx="14">
                  <c:v>100.00000000000001</c:v>
                </c:pt>
                <c:pt idx="15">
                  <c:v>100.00000000000001</c:v>
                </c:pt>
                <c:pt idx="16">
                  <c:v>100.00000000000001</c:v>
                </c:pt>
                <c:pt idx="17">
                  <c:v>100.00000000000001</c:v>
                </c:pt>
                <c:pt idx="18">
                  <c:v>100.00000000000001</c:v>
                </c:pt>
                <c:pt idx="19">
                  <c:v>100.00000000000001</c:v>
                </c:pt>
                <c:pt idx="20">
                  <c:v>100.00000000000001</c:v>
                </c:pt>
                <c:pt idx="21">
                  <c:v>100.00000000000001</c:v>
                </c:pt>
                <c:pt idx="22">
                  <c:v>100.00000000000001</c:v>
                </c:pt>
                <c:pt idx="23">
                  <c:v>100.00000000000001</c:v>
                </c:pt>
                <c:pt idx="24">
                  <c:v>100.00000000000001</c:v>
                </c:pt>
                <c:pt idx="25">
                  <c:v>100.00000000000001</c:v>
                </c:pt>
                <c:pt idx="26">
                  <c:v>100.00000000000001</c:v>
                </c:pt>
                <c:pt idx="27">
                  <c:v>100.00000000000001</c:v>
                </c:pt>
                <c:pt idx="28">
                  <c:v>100.00000000000001</c:v>
                </c:pt>
                <c:pt idx="29">
                  <c:v>100.00000000000001</c:v>
                </c:pt>
                <c:pt idx="30">
                  <c:v>100.00000000000001</c:v>
                </c:pt>
                <c:pt idx="31">
                  <c:v>100.00000000000001</c:v>
                </c:pt>
                <c:pt idx="32">
                  <c:v>100.00000000000001</c:v>
                </c:pt>
                <c:pt idx="33">
                  <c:v>100.00000000000001</c:v>
                </c:pt>
                <c:pt idx="34">
                  <c:v>100.00000000000001</c:v>
                </c:pt>
                <c:pt idx="35">
                  <c:v>100.00000000000001</c:v>
                </c:pt>
                <c:pt idx="36">
                  <c:v>100.00000000000001</c:v>
                </c:pt>
                <c:pt idx="37">
                  <c:v>100.00000000000001</c:v>
                </c:pt>
                <c:pt idx="38">
                  <c:v>100.00000000000001</c:v>
                </c:pt>
                <c:pt idx="39">
                  <c:v>100.00000000000001</c:v>
                </c:pt>
                <c:pt idx="40">
                  <c:v>100.00000000000001</c:v>
                </c:pt>
                <c:pt idx="41">
                  <c:v>100.00000000000001</c:v>
                </c:pt>
                <c:pt idx="42">
                  <c:v>100.00000000000001</c:v>
                </c:pt>
                <c:pt idx="43">
                  <c:v>100.00000000000001</c:v>
                </c:pt>
                <c:pt idx="44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D-4FE1-B3DE-F6FC9211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266679548492022"/>
              <c:y val="0.9379738084348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1217815564463"/>
          <c:y val="2.7684355514900442E-2"/>
          <c:w val="0.31271496559916534"/>
          <c:h val="6.978088488957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layout>
        <c:manualLayout>
          <c:xMode val="edge"/>
          <c:yMode val="edge"/>
          <c:x val="0.54174194360976669"/>
          <c:y val="9.9714750084557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8221926336434"/>
          <c:y val="9.1784323526682685E-2"/>
          <c:w val="0.4190749410727459"/>
          <c:h val="0.87142382510259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1E-4B18-9067-B079E2D9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E-4B18-9067-B079E2D9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1E-4B18-9067-B079E2D9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1E-4B18-9067-B079E2D9E9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1E-4B18-9067-B079E2D9E9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FE8-4732-9451-5A16062308A9}"/>
              </c:ext>
            </c:extLst>
          </c:dPt>
          <c:dLbls>
            <c:dLbl>
              <c:idx val="0"/>
              <c:layout>
                <c:manualLayout>
                  <c:x val="9.3232812134516008E-2"/>
                  <c:y val="0.10643742909908319"/>
                </c:manualLayout>
              </c:layout>
              <c:tx>
                <c:rich>
                  <a:bodyPr/>
                  <a:lstStyle/>
                  <a:p>
                    <a:fld id="{86B2B34B-0D19-472F-9419-BA95F50BA610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1E-4B18-9067-B079E2D9E902}"/>
                </c:ext>
              </c:extLst>
            </c:dLbl>
            <c:dLbl>
              <c:idx val="1"/>
              <c:layout>
                <c:manualLayout>
                  <c:x val="5.8499019378519826E-2"/>
                  <c:y val="1.9006683767693426E-2"/>
                </c:manualLayout>
              </c:layout>
              <c:tx>
                <c:rich>
                  <a:bodyPr/>
                  <a:lstStyle/>
                  <a:p>
                    <a:fld id="{267C1A62-BB4F-4BDD-8246-C84E441FACB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D1E-4B18-9067-B079E2D9E902}"/>
                </c:ext>
              </c:extLst>
            </c:dLbl>
            <c:dLbl>
              <c:idx val="2"/>
              <c:layout>
                <c:manualLayout>
                  <c:x val="6.0327113734098568E-2"/>
                  <c:y val="0.16725881715570215"/>
                </c:manualLayout>
              </c:layout>
              <c:tx>
                <c:rich>
                  <a:bodyPr/>
                  <a:lstStyle/>
                  <a:p>
                    <a:fld id="{978BFBDB-C279-4F46-A990-3B32641D591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D1E-4B18-9067-B079E2D9E902}"/>
                </c:ext>
              </c:extLst>
            </c:dLbl>
            <c:dLbl>
              <c:idx val="3"/>
              <c:layout>
                <c:manualLayout>
                  <c:x val="-0.11882613311261857"/>
                  <c:y val="3.4212030781848167E-2"/>
                </c:manualLayout>
              </c:layout>
              <c:tx>
                <c:rich>
                  <a:bodyPr/>
                  <a:lstStyle/>
                  <a:p>
                    <a:fld id="{AC68DB5F-65C7-4764-BBDF-FF26D007DE8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D1E-4B18-9067-B079E2D9E902}"/>
                </c:ext>
              </c:extLst>
            </c:dLbl>
            <c:dLbl>
              <c:idx val="4"/>
              <c:layout>
                <c:manualLayout>
                  <c:x val="1.4624754844629972E-2"/>
                  <c:y val="0.17106015390924084"/>
                </c:manualLayout>
              </c:layout>
              <c:tx>
                <c:rich>
                  <a:bodyPr/>
                  <a:lstStyle/>
                  <a:p>
                    <a:fld id="{255EE169-6B79-49EE-BDB6-014ED86A326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D1E-4B18-9067-B079E2D9E902}"/>
                </c:ext>
              </c:extLst>
            </c:dLbl>
            <c:dLbl>
              <c:idx val="5"/>
              <c:layout>
                <c:manualLayout>
                  <c:x val="4.9358547600626156E-2"/>
                  <c:y val="-0.14064945988093136"/>
                </c:manualLayout>
              </c:layout>
              <c:tx>
                <c:rich>
                  <a:bodyPr/>
                  <a:lstStyle/>
                  <a:p>
                    <a:fld id="{E36D3251-BD7F-4CD7-83D3-D96FE1A2B83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FE8-4732-9451-5A16062308A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'Annual Report'!$BU$43:$BV$49</c15:sqref>
                  </c15:fullRef>
                </c:ext>
              </c:extLst>
              <c:f>'Annual Report'!$BU$44:$BV$49</c:f>
              <c:multiLvlStrCache>
                <c:ptCount val="6"/>
                <c:lvl>
                  <c:pt idx="0">
                    <c:v>NG from Incorrect parts</c:v>
                  </c:pt>
                  <c:pt idx="1">
                    <c:v>Assembly error</c:v>
                  </c:pt>
                  <c:pt idx="2">
                    <c:v>NG from Dimension</c:v>
                  </c:pt>
                  <c:pt idx="3">
                    <c:v>NG from Lack of parts</c:v>
                  </c:pt>
                  <c:pt idx="4">
                    <c:v>NG from Appearance</c:v>
                  </c:pt>
                  <c:pt idx="5">
                    <c:v>NG from Other reason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Report'!$CI$43:$CI$49</c15:sqref>
                  </c15:fullRef>
                </c:ext>
              </c:extLst>
              <c:f>'Annual Report'!$CI$44:$CI$49</c:f>
              <c:numCache>
                <c:formatCode>#,##0_);[Red]\(#,##0\)</c:formatCode>
                <c:ptCount val="6"/>
                <c:pt idx="0">
                  <c:v>64</c:v>
                </c:pt>
                <c:pt idx="1">
                  <c:v>9</c:v>
                </c:pt>
                <c:pt idx="2">
                  <c:v>38</c:v>
                </c:pt>
                <c:pt idx="3">
                  <c:v>1</c:v>
                </c:pt>
                <c:pt idx="4">
                  <c:v>88</c:v>
                </c:pt>
                <c:pt idx="5">
                  <c:v>1050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2D1E-4B18-9067-B079E2D9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94552205364571"/>
          <c:y val="0.27741377400903339"/>
          <c:w val="0.25613885154599575"/>
          <c:h val="0.6073506478734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layout>
        <c:manualLayout>
          <c:xMode val="edge"/>
          <c:yMode val="edge"/>
          <c:x val="0.52296155259240185"/>
          <c:y val="2.4316026623128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6689968042452"/>
          <c:y val="9.8695006876104982E-2"/>
          <c:w val="0.40032327563973213"/>
          <c:h val="0.871212679094545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8-4499-A4AD-57F5E804EF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8-4499-A4AD-57F5E804EF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58-4499-A4AD-57F5E804EF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58-4499-A4AD-57F5E804EF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58-4499-A4AD-57F5E804EF6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2D3-456A-B0A1-EB906E072515}"/>
              </c:ext>
            </c:extLst>
          </c:dPt>
          <c:dLbls>
            <c:dLbl>
              <c:idx val="0"/>
              <c:layout>
                <c:manualLayout>
                  <c:x val="7.0272205603673824E-2"/>
                  <c:y val="8.3775924592148485E-2"/>
                </c:manualLayout>
              </c:layout>
              <c:tx>
                <c:rich>
                  <a:bodyPr/>
                  <a:lstStyle/>
                  <a:p>
                    <a:fld id="{84810B29-58EB-43ED-9A65-11BAD8A30E2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8-4499-A4AD-57F5E804EF6D}"/>
                </c:ext>
              </c:extLst>
            </c:dLbl>
            <c:dLbl>
              <c:idx val="1"/>
              <c:layout>
                <c:manualLayout>
                  <c:x val="8.2140544055835547E-3"/>
                  <c:y val="-1.7792258409832621E-2"/>
                </c:manualLayout>
              </c:layout>
              <c:tx>
                <c:rich>
                  <a:bodyPr/>
                  <a:lstStyle/>
                  <a:p>
                    <a:fld id="{C9D03597-2FB9-4855-9D25-1065FFF7D0F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B58-4499-A4AD-57F5E804EF6D}"/>
                </c:ext>
              </c:extLst>
            </c:dLbl>
            <c:dLbl>
              <c:idx val="2"/>
              <c:layout>
                <c:manualLayout>
                  <c:x val="-0.1062002535574898"/>
                  <c:y val="6.0828233879769641E-2"/>
                </c:manualLayout>
              </c:layout>
              <c:tx>
                <c:rich>
                  <a:bodyPr/>
                  <a:lstStyle/>
                  <a:p>
                    <a:fld id="{01A2C11C-AD89-4493-AAEB-E7BE48344963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B58-4499-A4AD-57F5E804EF6D}"/>
                </c:ext>
              </c:extLst>
            </c:dLbl>
            <c:dLbl>
              <c:idx val="3"/>
              <c:layout>
                <c:manualLayout>
                  <c:x val="-6.6382786032984822E-2"/>
                  <c:y val="9.8845880054625676E-2"/>
                </c:manualLayout>
              </c:layout>
              <c:tx>
                <c:rich>
                  <a:bodyPr/>
                  <a:lstStyle/>
                  <a:p>
                    <a:fld id="{7C0A21DF-AE24-46E1-80A9-2B8A43DB9938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B58-4499-A4AD-57F5E804EF6D}"/>
                </c:ext>
              </c:extLst>
            </c:dLbl>
            <c:dLbl>
              <c:idx val="4"/>
              <c:layout>
                <c:manualLayout>
                  <c:x val="-9.0839601939873921E-2"/>
                  <c:y val="-4.9422940027312838E-2"/>
                </c:manualLayout>
              </c:layout>
              <c:tx>
                <c:rich>
                  <a:bodyPr/>
                  <a:lstStyle/>
                  <a:p>
                    <a:fld id="{A506EC67-2CFB-4B31-B9AA-B5B9165A9372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B58-4499-A4AD-57F5E804EF6D}"/>
                </c:ext>
              </c:extLst>
            </c:dLbl>
            <c:dLbl>
              <c:idx val="5"/>
              <c:layout>
                <c:manualLayout>
                  <c:x val="3.5593998843266111E-3"/>
                  <c:y val="0.12925999699451046"/>
                </c:manualLayout>
              </c:layout>
              <c:tx>
                <c:rich>
                  <a:bodyPr/>
                  <a:lstStyle/>
                  <a:p>
                    <a:fld id="{DBC5C600-B22C-4BB3-A4B8-515C9005940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2D3-456A-B0A1-EB906E07251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'Annual Report'!$BU$50:$BV$56</c15:sqref>
                  </c15:fullRef>
                </c:ext>
              </c:extLst>
              <c:f>'Annual Report'!$BU$51:$BV$56</c:f>
              <c:multiLvlStrCache>
                <c:ptCount val="6"/>
                <c:lvl>
                  <c:pt idx="0">
                    <c:v>NG from Incorrect parts</c:v>
                  </c:pt>
                  <c:pt idx="1">
                    <c:v>Assembly error</c:v>
                  </c:pt>
                  <c:pt idx="2">
                    <c:v>NG from Dimension</c:v>
                  </c:pt>
                  <c:pt idx="3">
                    <c:v>NG from Lack of parts</c:v>
                  </c:pt>
                  <c:pt idx="4">
                    <c:v>NG from Appearance</c:v>
                  </c:pt>
                  <c:pt idx="5">
                    <c:v>NG from Other reason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Report'!$CI$50:$CI$56</c15:sqref>
                  </c15:fullRef>
                </c:ext>
              </c:extLst>
              <c:f>'Annual Report'!$CI$51:$CI$56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124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'Annual Report'!$CI$50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-1"/>
                    <c:layout>
                      <c:manualLayout>
                        <c:x val="0.14205851866397878"/>
                        <c:y val="-1.2158054711246201E-2"/>
                      </c:manualLayout>
                    </c:layout>
                    <c:tx>
                      <c:rich>
                        <a:bodyPr/>
                        <a:lstStyle/>
                        <a:p>
                          <a:fld id="{A3117FCB-3E0B-41F4-8551-C24069B6A5C6}" type="PERCENTAGE">
                            <a:rPr lang="en-US" baseline="0"/>
                            <a:pPr/>
                            <a:t>[PERCENTAGE]</a:t>
                          </a:fld>
                          <a:endParaRPr lang="en-US"/>
                        </a:p>
                      </c:rich>
                    </c:tx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3CDE-45B8-8519-B2D95D44732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FB58-4499-A4AD-57F5E804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42490513804856"/>
          <c:y val="0.21769682513738739"/>
          <c:w val="0.29633265605468456"/>
          <c:h val="0.60211898984419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CCFF"/>
                </a:solidFill>
              </a:rPr>
              <a:t>Total produce-Total ppm by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Report'!$BW$4:$CH$4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Report'!$BW$5:$CH$5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28950</c:v>
                </c:pt>
                <c:pt idx="4">
                  <c:v>791242</c:v>
                </c:pt>
                <c:pt idx="5">
                  <c:v>411255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4-4DC2-9EFF-65E1466E6E15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Report'!$BW$4:$CH$4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Report'!$BW$8:$CH$8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27404</c:v>
                </c:pt>
                <c:pt idx="4">
                  <c:v>948244</c:v>
                </c:pt>
                <c:pt idx="5">
                  <c:v>396146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4-4DC2-9EFF-65E1466E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579528"/>
        <c:axId val="1032585432"/>
      </c:barChart>
      <c:lineChart>
        <c:grouping val="standard"/>
        <c:varyColors val="0"/>
        <c:ser>
          <c:idx val="3"/>
          <c:order val="3"/>
          <c:tx>
            <c:v>O-O (ppm)</c:v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'Annual Report'!$BU$5:$BV$13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'Annual Report'!$BW$10:$CH$10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109.47306962487228</c:v>
                </c:pt>
                <c:pt idx="4">
                  <c:v>91.748537296307703</c:v>
                </c:pt>
                <c:pt idx="5">
                  <c:v>194.37278175218228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4-4DC2-9EFF-65E1466E6E15}"/>
            </c:ext>
          </c:extLst>
        </c:ser>
        <c:ser>
          <c:idx val="2"/>
          <c:order val="2"/>
          <c:tx>
            <c:v>O-I (ppm)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'Annual Report'!$BU$5:$BV$13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'Annual Report'!$BW$7:$CH$7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1491.3262946102457</c:v>
                </c:pt>
                <c:pt idx="5">
                  <c:v>170.210696526486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4-4DC2-9EFF-65E1466E6E15}"/>
            </c:ext>
          </c:extLst>
        </c:ser>
        <c:ser>
          <c:idx val="4"/>
          <c:order val="4"/>
          <c:tx>
            <c:v>Total (ppm)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'Annual Report'!$BU$5:$BV$13</c:f>
              <c:multiLvlStrCache>
                <c:ptCount val="2"/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'Annual Report'!$BW$13:$CH$13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53.234907903609326</c:v>
                </c:pt>
                <c:pt idx="4">
                  <c:v>728.37608350972641</c:v>
                </c:pt>
                <c:pt idx="5">
                  <c:v>182.06566501651594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4-4DC2-9EFF-65E1466E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9040"/>
        <c:axId val="1032590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Report'!$K$3:$K$4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'Annual Report'!$BU$5:$BV$13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'Weekly Report'!$K$5:$K$14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23955</c:v>
                      </c:pt>
                      <c:pt idx="1">
                        <c:v>17</c:v>
                      </c:pt>
                      <c:pt idx="2">
                        <c:v>709.66395324566895</c:v>
                      </c:pt>
                      <c:pt idx="3">
                        <c:v>53413</c:v>
                      </c:pt>
                      <c:pt idx="4">
                        <c:v>13</c:v>
                      </c:pt>
                      <c:pt idx="5">
                        <c:v>243.3864415030049</c:v>
                      </c:pt>
                      <c:pt idx="6">
                        <c:v>77368</c:v>
                      </c:pt>
                      <c:pt idx="7">
                        <c:v>30</c:v>
                      </c:pt>
                      <c:pt idx="8">
                        <c:v>387.75721228414852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24-4DC2-9EFF-65E1466E6E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Report'!$L$3:$L$4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Report'!$BU$5:$BV$13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Report'!$L$5:$L$14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4-4DC2-9EFF-65E1466E6E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Report'!$M$3:$M$4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'Annual Report'!$BU$5:$BV$13</c15:sqref>
                        </c15:formulaRef>
                      </c:ext>
                    </c:extLst>
                    <c:multiLvlStrCache>
                      <c:ptCount val="2"/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Report'!$M$5:$M$14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187123</c:v>
                      </c:pt>
                      <c:pt idx="1">
                        <c:v>112</c:v>
                      </c:pt>
                      <c:pt idx="2">
                        <c:v>598.53679130839078</c:v>
                      </c:pt>
                      <c:pt idx="3">
                        <c:v>315792</c:v>
                      </c:pt>
                      <c:pt idx="4">
                        <c:v>139</c:v>
                      </c:pt>
                      <c:pt idx="5">
                        <c:v>440.16314536150378</c:v>
                      </c:pt>
                      <c:pt idx="6">
                        <c:v>502915</c:v>
                      </c:pt>
                      <c:pt idx="7">
                        <c:v>251</c:v>
                      </c:pt>
                      <c:pt idx="8">
                        <c:v>499.09030353041771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4-4DC2-9EFF-65E1466E6E15}"/>
                  </c:ext>
                </c:extLst>
              </c15:ser>
            </c15:filteredLineSeries>
          </c:ext>
        </c:extLst>
      </c:lineChart>
      <c:catAx>
        <c:axId val="103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5432"/>
        <c:crosses val="autoZero"/>
        <c:auto val="1"/>
        <c:lblAlgn val="ctr"/>
        <c:lblOffset val="100"/>
        <c:noMultiLvlLbl val="0"/>
      </c:catAx>
      <c:valAx>
        <c:axId val="10325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9528"/>
        <c:crosses val="autoZero"/>
        <c:crossBetween val="between"/>
        <c:dispUnits>
          <c:builtInUnit val="hundredThousands"/>
        </c:dispUnits>
      </c:valAx>
      <c:valAx>
        <c:axId val="103259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9040"/>
        <c:crosses val="max"/>
        <c:crossBetween val="between"/>
      </c:valAx>
      <c:catAx>
        <c:axId val="103258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9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Report'!$BW$77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Report'!$BV$78:$BV$114</c:f>
              <c:strCache>
                <c:ptCount val="37"/>
                <c:pt idx="0">
                  <c:v>Others for Processing</c:v>
                </c:pt>
                <c:pt idx="1">
                  <c:v>Sai phối màu 誤配色</c:v>
                </c:pt>
                <c:pt idx="2">
                  <c:v>Tanshi biến dạng</c:v>
                </c:pt>
                <c:pt idx="3">
                  <c:v>Dây ngắn/dài</c:v>
                </c:pt>
                <c:pt idx="4">
                  <c:v>Cấn, trầy</c:v>
                </c:pt>
                <c:pt idx="5">
                  <c:v>Bị trầy xước</c:v>
                </c:pt>
                <c:pt idx="6">
                  <c:v>Dập sai</c:v>
                </c:pt>
                <c:pt idx="7">
                  <c:v>Dính dị vật 端子が異物付き</c:v>
                </c:pt>
                <c:pt idx="8">
                  <c:v>Ngắn, dài</c:v>
                </c:pt>
                <c:pt idx="9">
                  <c:v>Sai kích thước</c:v>
                </c:pt>
                <c:pt idx="10">
                  <c:v>Bị bể, mẻ, cấn</c:v>
                </c:pt>
                <c:pt idx="11">
                  <c:v>Sai ống チューブ間違い</c:v>
                </c:pt>
                <c:pt idx="12">
                  <c:v>Thông dòng NG</c:v>
                </c:pt>
                <c:pt idx="13">
                  <c:v>Thiếu dây</c:v>
                </c:pt>
                <c:pt idx="14">
                  <c:v>Tuột mấu ôm vỏ do tán cạn 浅打ちで被覆カシメ外れ</c:v>
                </c:pt>
                <c:pt idx="15">
                  <c:v>Cháy dây</c:v>
                </c:pt>
                <c:pt idx="16">
                  <c:v>Ngược nút bọc</c:v>
                </c:pt>
                <c:pt idx="17">
                  <c:v>Ngược Diode</c:v>
                </c:pt>
                <c:pt idx="18">
                  <c:v>Sai vị trí</c:v>
                </c:pt>
                <c:pt idx="19">
                  <c:v>Sút</c:v>
                </c:pt>
                <c:pt idx="20">
                  <c:v>Biến dạng</c:v>
                </c:pt>
                <c:pt idx="21">
                  <c:v>Hở</c:v>
                </c:pt>
                <c:pt idx="22">
                  <c:v>Gờ tanshi bám ít vào gờ housing ランスのロックが不十分</c:v>
                </c:pt>
                <c:pt idx="23">
                  <c:v>Thiếu ống</c:v>
                </c:pt>
                <c:pt idx="24">
                  <c:v>Bẩn, dơ</c:v>
                </c:pt>
                <c:pt idx="25">
                  <c:v>Tưa lõi</c:v>
                </c:pt>
                <c:pt idx="26">
                  <c:v>Đứt Lõi</c:v>
                </c:pt>
                <c:pt idx="27">
                  <c:v>Thiếu dấu marking PS PSマーキング不足</c:v>
                </c:pt>
                <c:pt idx="28">
                  <c:v>Biến dạng vị trí Soket</c:v>
                </c:pt>
                <c:pt idx="29">
                  <c:v>Xỏ ngược đầu</c:v>
                </c:pt>
                <c:pt idx="30">
                  <c:v>Bị gãy khóa</c:v>
                </c:pt>
                <c:pt idx="31">
                  <c:v>Bk không đạt</c:v>
                </c:pt>
                <c:pt idx="32">
                  <c:v>Rách</c:v>
                </c:pt>
                <c:pt idx="33">
                  <c:v>Contact bị cháy コン クト焼け</c:v>
                </c:pt>
                <c:pt idx="34">
                  <c:v>HKH NG</c:v>
                </c:pt>
                <c:pt idx="35">
                  <c:v>Tanshi dính HKH はん  着</c:v>
                </c:pt>
                <c:pt idx="36">
                  <c:v>Hở hộp nối 端子勘合部(接点）が開いている</c:v>
                </c:pt>
              </c:strCache>
            </c:strRef>
          </c:cat>
          <c:val>
            <c:numRef>
              <c:f>'Annual Report'!$BW$78:$BW$114</c:f>
              <c:numCache>
                <c:formatCode>General</c:formatCode>
                <c:ptCount val="37"/>
                <c:pt idx="0">
                  <c:v>1050</c:v>
                </c:pt>
                <c:pt idx="1">
                  <c:v>63</c:v>
                </c:pt>
                <c:pt idx="2">
                  <c:v>51</c:v>
                </c:pt>
                <c:pt idx="3">
                  <c:v>31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4-45E1-9953-20079C01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'Annual Report'!$BY$77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'Annual Report'!$BY$78:$BY$114</c:f>
              <c:numCache>
                <c:formatCode>0</c:formatCode>
                <c:ptCount val="37"/>
                <c:pt idx="0">
                  <c:v>84</c:v>
                </c:pt>
                <c:pt idx="1">
                  <c:v>89.04</c:v>
                </c:pt>
                <c:pt idx="2">
                  <c:v>93.12</c:v>
                </c:pt>
                <c:pt idx="3">
                  <c:v>95.600000000000009</c:v>
                </c:pt>
                <c:pt idx="4">
                  <c:v>96.720000000000013</c:v>
                </c:pt>
                <c:pt idx="5">
                  <c:v>97.600000000000009</c:v>
                </c:pt>
                <c:pt idx="6">
                  <c:v>98.240000000000009</c:v>
                </c:pt>
                <c:pt idx="7">
                  <c:v>98.88000000000001</c:v>
                </c:pt>
                <c:pt idx="8">
                  <c:v>99.2</c:v>
                </c:pt>
                <c:pt idx="9">
                  <c:v>99.44</c:v>
                </c:pt>
                <c:pt idx="10">
                  <c:v>99.6</c:v>
                </c:pt>
                <c:pt idx="11">
                  <c:v>99.679999999999993</c:v>
                </c:pt>
                <c:pt idx="12">
                  <c:v>99.759999999999991</c:v>
                </c:pt>
                <c:pt idx="13">
                  <c:v>99.839999999999989</c:v>
                </c:pt>
                <c:pt idx="14">
                  <c:v>99.919999999999987</c:v>
                </c:pt>
                <c:pt idx="15">
                  <c:v>99.999999999999986</c:v>
                </c:pt>
                <c:pt idx="16">
                  <c:v>99.999999999999986</c:v>
                </c:pt>
                <c:pt idx="17">
                  <c:v>99.999999999999986</c:v>
                </c:pt>
                <c:pt idx="18">
                  <c:v>99.999999999999986</c:v>
                </c:pt>
                <c:pt idx="19">
                  <c:v>99.999999999999986</c:v>
                </c:pt>
                <c:pt idx="20">
                  <c:v>99.999999999999986</c:v>
                </c:pt>
                <c:pt idx="21">
                  <c:v>99.999999999999986</c:v>
                </c:pt>
                <c:pt idx="22">
                  <c:v>99.999999999999986</c:v>
                </c:pt>
                <c:pt idx="23">
                  <c:v>99.999999999999986</c:v>
                </c:pt>
                <c:pt idx="24">
                  <c:v>99.999999999999986</c:v>
                </c:pt>
                <c:pt idx="25">
                  <c:v>99.999999999999986</c:v>
                </c:pt>
                <c:pt idx="26">
                  <c:v>99.999999999999986</c:v>
                </c:pt>
                <c:pt idx="27">
                  <c:v>99.999999999999986</c:v>
                </c:pt>
                <c:pt idx="28">
                  <c:v>99.999999999999986</c:v>
                </c:pt>
                <c:pt idx="29">
                  <c:v>99.999999999999986</c:v>
                </c:pt>
                <c:pt idx="30">
                  <c:v>99.999999999999986</c:v>
                </c:pt>
                <c:pt idx="31">
                  <c:v>99.999999999999986</c:v>
                </c:pt>
                <c:pt idx="32">
                  <c:v>99.999999999999986</c:v>
                </c:pt>
                <c:pt idx="33">
                  <c:v>99.999999999999986</c:v>
                </c:pt>
                <c:pt idx="34">
                  <c:v>99.999999999999986</c:v>
                </c:pt>
                <c:pt idx="35">
                  <c:v>99.999999999999986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4-45E1-9953-20079C01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5217833922"/>
              <c:y val="0.84071668303075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00830133280251"/>
          <c:y val="0.87616913411495945"/>
          <c:w val="0.31271496559916534"/>
          <c:h val="0.1100252199526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Report'!$F$68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'Weekly Report'!$E$69:$E$113</c:f>
              <c:strCache>
                <c:ptCount val="45"/>
                <c:pt idx="0">
                  <c:v>Sai phối màu 誤配色</c:v>
                </c:pt>
                <c:pt idx="1">
                  <c:v>Oxi hóa</c:v>
                </c:pt>
                <c:pt idx="2">
                  <c:v>Dây ngắn/dài</c:v>
                </c:pt>
                <c:pt idx="3">
                  <c:v>Tanshi biến dạng</c:v>
                </c:pt>
                <c:pt idx="4">
                  <c:v>Đội gờ HS</c:v>
                </c:pt>
                <c:pt idx="5">
                  <c:v>Others for Processing</c:v>
                </c:pt>
                <c:pt idx="6">
                  <c:v>Ngắn, dài</c:v>
                </c:pt>
                <c:pt idx="7">
                  <c:v>Mẻ, lõm, biến dạng</c:v>
                </c:pt>
                <c:pt idx="8">
                  <c:v>Dính dị vật 端子が異物付き</c:v>
                </c:pt>
                <c:pt idx="9">
                  <c:v>Cấn, trầy</c:v>
                </c:pt>
                <c:pt idx="10">
                  <c:v>NG, dính dơ, dị vật do NL</c:v>
                </c:pt>
                <c:pt idx="11">
                  <c:v>Dập sai</c:v>
                </c:pt>
                <c:pt idx="12">
                  <c:v>Thiếu dây</c:v>
                </c:pt>
                <c:pt idx="13">
                  <c:v>Bị trầy xước</c:v>
                </c:pt>
                <c:pt idx="14">
                  <c:v>Trầy, dơ do NL</c:v>
                </c:pt>
                <c:pt idx="15">
                  <c:v>Không đạt do NL</c:v>
                </c:pt>
                <c:pt idx="16">
                  <c:v>MTD</c:v>
                </c:pt>
                <c:pt idx="17">
                  <c:v>Others for IC</c:v>
                </c:pt>
                <c:pt idx="18">
                  <c:v>Sai ống チューブ間違い</c:v>
                </c:pt>
                <c:pt idx="19">
                  <c:v>Ngược nút bọc</c:v>
                </c:pt>
                <c:pt idx="20">
                  <c:v>Thông dòng NG</c:v>
                </c:pt>
                <c:pt idx="21">
                  <c:v>Ngược Diode</c:v>
                </c:pt>
                <c:pt idx="22">
                  <c:v>Sai vị trí</c:v>
                </c:pt>
                <c:pt idx="23">
                  <c:v>Sai kích thước</c:v>
                </c:pt>
                <c:pt idx="24">
                  <c:v>Sút</c:v>
                </c:pt>
                <c:pt idx="25">
                  <c:v>Biến dạng</c:v>
                </c:pt>
                <c:pt idx="26">
                  <c:v>Hở</c:v>
                </c:pt>
                <c:pt idx="27">
                  <c:v>Gờ tanshi bám ít vào gờ housing ランスのロックが不十分</c:v>
                </c:pt>
                <c:pt idx="28">
                  <c:v>Tuột mấu ôm vỏ do tán cạn 浅打ちで被覆カシメ外れ</c:v>
                </c:pt>
                <c:pt idx="29">
                  <c:v>Thiếu ống</c:v>
                </c:pt>
                <c:pt idx="30">
                  <c:v>Bẩn, dơ</c:v>
                </c:pt>
                <c:pt idx="31">
                  <c:v>Cháy dây</c:v>
                </c:pt>
                <c:pt idx="32">
                  <c:v>Tưa lõi</c:v>
                </c:pt>
                <c:pt idx="33">
                  <c:v>Đứt Lõi</c:v>
                </c:pt>
                <c:pt idx="34">
                  <c:v>Thiếu dấu marking PS PSマーキング不足</c:v>
                </c:pt>
                <c:pt idx="35">
                  <c:v>Biến dạng vị trí Soket</c:v>
                </c:pt>
                <c:pt idx="36">
                  <c:v>Bị bể, mẻ, cấn</c:v>
                </c:pt>
                <c:pt idx="37">
                  <c:v>Xỏ ngược đầu</c:v>
                </c:pt>
                <c:pt idx="38">
                  <c:v>Bị gãy khóa</c:v>
                </c:pt>
                <c:pt idx="39">
                  <c:v>Bk không đạt</c:v>
                </c:pt>
                <c:pt idx="40">
                  <c:v>Rách</c:v>
                </c:pt>
                <c:pt idx="41">
                  <c:v>Contact bị cháy コン クト焼け</c:v>
                </c:pt>
                <c:pt idx="42">
                  <c:v>HKH NG</c:v>
                </c:pt>
                <c:pt idx="43">
                  <c:v>Tanshi dính HKH はん  着</c:v>
                </c:pt>
                <c:pt idx="44">
                  <c:v>Hở hộp nối 端子勘合部(接点）が開いている</c:v>
                </c:pt>
              </c:strCache>
            </c:strRef>
          </c:cat>
          <c:val>
            <c:numRef>
              <c:f>'Weekly Report'!$F$69:$F$113</c:f>
              <c:numCache>
                <c:formatCode>General</c:formatCode>
                <c:ptCount val="45"/>
                <c:pt idx="0">
                  <c:v>33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643-BFD3-14D1FA6E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'Weekly Report'!$H$68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'Weekly Report'!$H$69:$H$113</c:f>
              <c:numCache>
                <c:formatCode>0</c:formatCode>
                <c:ptCount val="45"/>
                <c:pt idx="0">
                  <c:v>29.72972972972973</c:v>
                </c:pt>
                <c:pt idx="1">
                  <c:v>45.945945945945951</c:v>
                </c:pt>
                <c:pt idx="2">
                  <c:v>59.459459459459467</c:v>
                </c:pt>
                <c:pt idx="3">
                  <c:v>69.36936936936938</c:v>
                </c:pt>
                <c:pt idx="4">
                  <c:v>78.378378378378386</c:v>
                </c:pt>
                <c:pt idx="5">
                  <c:v>85.585585585585591</c:v>
                </c:pt>
                <c:pt idx="6">
                  <c:v>89.189189189189193</c:v>
                </c:pt>
                <c:pt idx="7">
                  <c:v>91.891891891891902</c:v>
                </c:pt>
                <c:pt idx="8">
                  <c:v>94.594594594594611</c:v>
                </c:pt>
                <c:pt idx="9">
                  <c:v>96.396396396396412</c:v>
                </c:pt>
                <c:pt idx="10">
                  <c:v>97.29729729729732</c:v>
                </c:pt>
                <c:pt idx="11">
                  <c:v>98.198198198198227</c:v>
                </c:pt>
                <c:pt idx="12">
                  <c:v>99.099099099099135</c:v>
                </c:pt>
                <c:pt idx="13">
                  <c:v>100.00000000000004</c:v>
                </c:pt>
                <c:pt idx="14">
                  <c:v>100.00000000000004</c:v>
                </c:pt>
                <c:pt idx="15">
                  <c:v>100.00000000000004</c:v>
                </c:pt>
                <c:pt idx="16">
                  <c:v>100.00000000000004</c:v>
                </c:pt>
                <c:pt idx="17">
                  <c:v>100.00000000000004</c:v>
                </c:pt>
                <c:pt idx="18">
                  <c:v>100.00000000000004</c:v>
                </c:pt>
                <c:pt idx="19">
                  <c:v>100.00000000000004</c:v>
                </c:pt>
                <c:pt idx="20">
                  <c:v>100.00000000000004</c:v>
                </c:pt>
                <c:pt idx="21">
                  <c:v>100.00000000000004</c:v>
                </c:pt>
                <c:pt idx="22">
                  <c:v>100.00000000000004</c:v>
                </c:pt>
                <c:pt idx="23">
                  <c:v>100.00000000000004</c:v>
                </c:pt>
                <c:pt idx="24">
                  <c:v>100.00000000000004</c:v>
                </c:pt>
                <c:pt idx="25">
                  <c:v>100.00000000000004</c:v>
                </c:pt>
                <c:pt idx="26">
                  <c:v>100.00000000000004</c:v>
                </c:pt>
                <c:pt idx="27">
                  <c:v>100.00000000000004</c:v>
                </c:pt>
                <c:pt idx="28">
                  <c:v>100.00000000000004</c:v>
                </c:pt>
                <c:pt idx="29">
                  <c:v>100.00000000000004</c:v>
                </c:pt>
                <c:pt idx="30">
                  <c:v>100.00000000000004</c:v>
                </c:pt>
                <c:pt idx="31">
                  <c:v>100.00000000000004</c:v>
                </c:pt>
                <c:pt idx="32">
                  <c:v>100.00000000000004</c:v>
                </c:pt>
                <c:pt idx="33">
                  <c:v>100.00000000000004</c:v>
                </c:pt>
                <c:pt idx="34">
                  <c:v>100.00000000000004</c:v>
                </c:pt>
                <c:pt idx="35">
                  <c:v>100.00000000000004</c:v>
                </c:pt>
                <c:pt idx="36">
                  <c:v>100.00000000000004</c:v>
                </c:pt>
                <c:pt idx="37">
                  <c:v>100.00000000000004</c:v>
                </c:pt>
                <c:pt idx="38">
                  <c:v>100.00000000000004</c:v>
                </c:pt>
                <c:pt idx="39">
                  <c:v>100.00000000000004</c:v>
                </c:pt>
                <c:pt idx="40">
                  <c:v>100.00000000000004</c:v>
                </c:pt>
                <c:pt idx="41">
                  <c:v>100.00000000000004</c:v>
                </c:pt>
                <c:pt idx="42">
                  <c:v>100.00000000000004</c:v>
                </c:pt>
                <c:pt idx="43">
                  <c:v>100.00000000000004</c:v>
                </c:pt>
                <c:pt idx="44">
                  <c:v>100.00000000000004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6-4643-BFD3-14D1FA6E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8447497487"/>
              <c:y val="0.9406305994696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57783679042004"/>
          <c:y val="2.1733368600242799E-2"/>
          <c:w val="0.31271496559916534"/>
          <c:h val="7.5572103874612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65990452203364E-2"/>
          <c:y val="0.12886715566422169"/>
          <c:w val="0.82835067311061072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Report'!$CB$77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Report'!$CA$78:$CA$114</c:f>
              <c:strCache>
                <c:ptCount val="37"/>
                <c:pt idx="0">
                  <c:v>Cháy dây</c:v>
                </c:pt>
                <c:pt idx="1">
                  <c:v>Dây ngắn/dài</c:v>
                </c:pt>
                <c:pt idx="2">
                  <c:v>Đứt Lõi</c:v>
                </c:pt>
                <c:pt idx="3">
                  <c:v>Cấn, trầy</c:v>
                </c:pt>
                <c:pt idx="4">
                  <c:v>Tưa lõi</c:v>
                </c:pt>
                <c:pt idx="5">
                  <c:v>Others for Processing</c:v>
                </c:pt>
                <c:pt idx="6">
                  <c:v>Biến dạng</c:v>
                </c:pt>
                <c:pt idx="7">
                  <c:v>Sai phối màu 誤配色</c:v>
                </c:pt>
                <c:pt idx="8">
                  <c:v>Sai ống チューブ間違い</c:v>
                </c:pt>
                <c:pt idx="9">
                  <c:v>Ngược nút bọc</c:v>
                </c:pt>
                <c:pt idx="10">
                  <c:v>Thông dòng NG</c:v>
                </c:pt>
                <c:pt idx="11">
                  <c:v>Ngược Diode</c:v>
                </c:pt>
                <c:pt idx="12">
                  <c:v>Dập sai</c:v>
                </c:pt>
                <c:pt idx="13">
                  <c:v>Thiếu dây</c:v>
                </c:pt>
                <c:pt idx="14">
                  <c:v>Sai vị trí</c:v>
                </c:pt>
                <c:pt idx="15">
                  <c:v>Sai kích thước</c:v>
                </c:pt>
                <c:pt idx="16">
                  <c:v>Ngắn, dài</c:v>
                </c:pt>
                <c:pt idx="17">
                  <c:v>Sút</c:v>
                </c:pt>
                <c:pt idx="18">
                  <c:v>Hở</c:v>
                </c:pt>
                <c:pt idx="19">
                  <c:v>Gờ tanshi bám ít vào gờ housing ランスのロックが不十分</c:v>
                </c:pt>
                <c:pt idx="20">
                  <c:v>Tuột mấu ôm vỏ do tán cạn 浅打ちで被覆カシメ外れ</c:v>
                </c:pt>
                <c:pt idx="21">
                  <c:v>Thiếu ống</c:v>
                </c:pt>
                <c:pt idx="22">
                  <c:v>Dính dị vật 端子が異物付き</c:v>
                </c:pt>
                <c:pt idx="23">
                  <c:v>Tanshi biến dạng</c:v>
                </c:pt>
                <c:pt idx="24">
                  <c:v>Bẩn, dơ</c:v>
                </c:pt>
                <c:pt idx="25">
                  <c:v>Thiếu dấu marking PS PSマーキング不足</c:v>
                </c:pt>
                <c:pt idx="26">
                  <c:v>Biến dạng vị trí Soket</c:v>
                </c:pt>
                <c:pt idx="27">
                  <c:v>Bị bể, mẻ, cấn</c:v>
                </c:pt>
                <c:pt idx="28">
                  <c:v>Xỏ ngược đầu</c:v>
                </c:pt>
                <c:pt idx="29">
                  <c:v>Bị trầy xước</c:v>
                </c:pt>
                <c:pt idx="30">
                  <c:v>Bị gãy khóa</c:v>
                </c:pt>
                <c:pt idx="31">
                  <c:v>Bk không đạt</c:v>
                </c:pt>
                <c:pt idx="32">
                  <c:v>Rách</c:v>
                </c:pt>
                <c:pt idx="33">
                  <c:v>Contact bị cháy コン クト焼け</c:v>
                </c:pt>
                <c:pt idx="34">
                  <c:v>HKH NG</c:v>
                </c:pt>
                <c:pt idx="35">
                  <c:v>Tanshi dính HKH はん  着</c:v>
                </c:pt>
                <c:pt idx="36">
                  <c:v>Hở hộp nối 端子勘合部(接点）が開いている</c:v>
                </c:pt>
              </c:strCache>
            </c:strRef>
          </c:cat>
          <c:val>
            <c:numRef>
              <c:f>'Annual Report'!$CB$78:$CB$114</c:f>
              <c:numCache>
                <c:formatCode>General</c:formatCode>
                <c:ptCount val="37"/>
                <c:pt idx="0">
                  <c:v>102</c:v>
                </c:pt>
                <c:pt idx="1">
                  <c:v>40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0-41AE-9E21-B48BEF5B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'Annual Report'!$CD$77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'Annual Report'!$CD$78:$CD$114</c:f>
              <c:numCache>
                <c:formatCode>0</c:formatCode>
                <c:ptCount val="37"/>
                <c:pt idx="0">
                  <c:v>61.077844311377248</c:v>
                </c:pt>
                <c:pt idx="1">
                  <c:v>85.029940119760482</c:v>
                </c:pt>
                <c:pt idx="2">
                  <c:v>91.017964071856284</c:v>
                </c:pt>
                <c:pt idx="3">
                  <c:v>95.209580838323348</c:v>
                </c:pt>
                <c:pt idx="4">
                  <c:v>97.604790419161674</c:v>
                </c:pt>
                <c:pt idx="5">
                  <c:v>99.401197604790411</c:v>
                </c:pt>
                <c:pt idx="6">
                  <c:v>99.999999999999986</c:v>
                </c:pt>
                <c:pt idx="7">
                  <c:v>99.999999999999986</c:v>
                </c:pt>
                <c:pt idx="8">
                  <c:v>99.999999999999986</c:v>
                </c:pt>
                <c:pt idx="9">
                  <c:v>99.999999999999986</c:v>
                </c:pt>
                <c:pt idx="10">
                  <c:v>99.999999999999986</c:v>
                </c:pt>
                <c:pt idx="11">
                  <c:v>99.999999999999986</c:v>
                </c:pt>
                <c:pt idx="12">
                  <c:v>99.999999999999986</c:v>
                </c:pt>
                <c:pt idx="13">
                  <c:v>99.999999999999986</c:v>
                </c:pt>
                <c:pt idx="14">
                  <c:v>99.999999999999986</c:v>
                </c:pt>
                <c:pt idx="15">
                  <c:v>99.999999999999986</c:v>
                </c:pt>
                <c:pt idx="16">
                  <c:v>99.999999999999986</c:v>
                </c:pt>
                <c:pt idx="17">
                  <c:v>99.999999999999986</c:v>
                </c:pt>
                <c:pt idx="18">
                  <c:v>99.999999999999986</c:v>
                </c:pt>
                <c:pt idx="19">
                  <c:v>99.999999999999986</c:v>
                </c:pt>
                <c:pt idx="20">
                  <c:v>99.999999999999986</c:v>
                </c:pt>
                <c:pt idx="21">
                  <c:v>99.999999999999986</c:v>
                </c:pt>
                <c:pt idx="22">
                  <c:v>99.999999999999986</c:v>
                </c:pt>
                <c:pt idx="23">
                  <c:v>99.999999999999986</c:v>
                </c:pt>
                <c:pt idx="24">
                  <c:v>99.999999999999986</c:v>
                </c:pt>
                <c:pt idx="25">
                  <c:v>99.999999999999986</c:v>
                </c:pt>
                <c:pt idx="26">
                  <c:v>99.999999999999986</c:v>
                </c:pt>
                <c:pt idx="27">
                  <c:v>99.999999999999986</c:v>
                </c:pt>
                <c:pt idx="28">
                  <c:v>99.999999999999986</c:v>
                </c:pt>
                <c:pt idx="29">
                  <c:v>99.999999999999986</c:v>
                </c:pt>
                <c:pt idx="30">
                  <c:v>99.999999999999986</c:v>
                </c:pt>
                <c:pt idx="31">
                  <c:v>99.999999999999986</c:v>
                </c:pt>
                <c:pt idx="32">
                  <c:v>99.999999999999986</c:v>
                </c:pt>
                <c:pt idx="33">
                  <c:v>99.999999999999986</c:v>
                </c:pt>
                <c:pt idx="34">
                  <c:v>99.999999999999986</c:v>
                </c:pt>
                <c:pt idx="35">
                  <c:v>99.999999999999986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0-41AE-9E21-B48BEF5B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5217833922"/>
              <c:y val="0.84071668303075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1868714605879237E-3"/>
                <c:y val="0.3338066726989199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31911264343339"/>
              <c:y val="0.3057009927548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00830133280251"/>
          <c:y val="0.87616913411495945"/>
          <c:w val="0.31271496559916534"/>
          <c:h val="0.1100252199526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65990452203364E-2"/>
          <c:y val="0.12886715566422169"/>
          <c:w val="0.82835067311061072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Report'!$K$68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'Weekly Report'!$J$69:$J$113</c:f>
              <c:strCache>
                <c:ptCount val="45"/>
                <c:pt idx="0">
                  <c:v>NG, dính dơ, dị vật do NL</c:v>
                </c:pt>
                <c:pt idx="1">
                  <c:v>Cháy dây</c:v>
                </c:pt>
                <c:pt idx="2">
                  <c:v>Dây ngắn/dài</c:v>
                </c:pt>
                <c:pt idx="3">
                  <c:v>Oxi hóa</c:v>
                </c:pt>
                <c:pt idx="4">
                  <c:v>Cấn, trầy</c:v>
                </c:pt>
                <c:pt idx="5">
                  <c:v>Trầy, dơ do NL</c:v>
                </c:pt>
                <c:pt idx="6">
                  <c:v>Others for IC</c:v>
                </c:pt>
                <c:pt idx="7">
                  <c:v>Không đạt do NL</c:v>
                </c:pt>
                <c:pt idx="8">
                  <c:v>Mẻ, lõm, biến dạng</c:v>
                </c:pt>
                <c:pt idx="9">
                  <c:v>Đội gờ HS</c:v>
                </c:pt>
                <c:pt idx="10">
                  <c:v>MTD</c:v>
                </c:pt>
                <c:pt idx="11">
                  <c:v>Sai phối màu 誤配色</c:v>
                </c:pt>
                <c:pt idx="12">
                  <c:v>Sai ống チューブ間違い</c:v>
                </c:pt>
                <c:pt idx="13">
                  <c:v>Ngược nút bọc</c:v>
                </c:pt>
                <c:pt idx="14">
                  <c:v>Thông dòng NG</c:v>
                </c:pt>
                <c:pt idx="15">
                  <c:v>Ngược Diode</c:v>
                </c:pt>
                <c:pt idx="16">
                  <c:v>Dập sai</c:v>
                </c:pt>
                <c:pt idx="17">
                  <c:v>Thiếu dây</c:v>
                </c:pt>
                <c:pt idx="18">
                  <c:v>Sai vị trí</c:v>
                </c:pt>
                <c:pt idx="19">
                  <c:v>Sai kích thước</c:v>
                </c:pt>
                <c:pt idx="20">
                  <c:v>Ngắn, dài</c:v>
                </c:pt>
                <c:pt idx="21">
                  <c:v>Sút</c:v>
                </c:pt>
                <c:pt idx="22">
                  <c:v>Biến dạng</c:v>
                </c:pt>
                <c:pt idx="23">
                  <c:v>Hở</c:v>
                </c:pt>
                <c:pt idx="24">
                  <c:v>Gờ tanshi bám ít vào gờ housing ランスのロックが不十分</c:v>
                </c:pt>
                <c:pt idx="25">
                  <c:v>Tuột mấu ôm vỏ do tán cạn 浅打ちで被覆カシメ外れ</c:v>
                </c:pt>
                <c:pt idx="26">
                  <c:v>Thiếu ống</c:v>
                </c:pt>
                <c:pt idx="27">
                  <c:v>Dính dị vật 端子が異物付き</c:v>
                </c:pt>
                <c:pt idx="28">
                  <c:v>Tanshi biến dạng</c:v>
                </c:pt>
                <c:pt idx="29">
                  <c:v>Bẩn, dơ</c:v>
                </c:pt>
                <c:pt idx="30">
                  <c:v>Tưa lõi</c:v>
                </c:pt>
                <c:pt idx="31">
                  <c:v>Đứt Lõi</c:v>
                </c:pt>
                <c:pt idx="32">
                  <c:v>Thiếu dấu marking PS PSマーキング不足</c:v>
                </c:pt>
                <c:pt idx="33">
                  <c:v>Biến dạng vị trí Soket</c:v>
                </c:pt>
                <c:pt idx="34">
                  <c:v>Bị bể, mẻ, cấn</c:v>
                </c:pt>
                <c:pt idx="35">
                  <c:v>Xỏ ngược đầu</c:v>
                </c:pt>
                <c:pt idx="36">
                  <c:v>Bị trầy xước</c:v>
                </c:pt>
                <c:pt idx="37">
                  <c:v>Bị gãy khóa</c:v>
                </c:pt>
                <c:pt idx="38">
                  <c:v>Bk không đạt</c:v>
                </c:pt>
                <c:pt idx="39">
                  <c:v>Rách</c:v>
                </c:pt>
                <c:pt idx="40">
                  <c:v>Contact bị cháy コン クト焼け</c:v>
                </c:pt>
                <c:pt idx="41">
                  <c:v>HKH NG</c:v>
                </c:pt>
                <c:pt idx="42">
                  <c:v>Tanshi dính HKH はん  着</c:v>
                </c:pt>
                <c:pt idx="43">
                  <c:v>Hở hộp nối 端子勘合部(接点）が開いている</c:v>
                </c:pt>
                <c:pt idx="44">
                  <c:v>Others for Processing</c:v>
                </c:pt>
              </c:strCache>
            </c:strRef>
          </c:cat>
          <c:val>
            <c:numRef>
              <c:f>'Weekly Report'!$K$69:$K$113</c:f>
              <c:numCache>
                <c:formatCode>General</c:formatCode>
                <c:ptCount val="45"/>
                <c:pt idx="0">
                  <c:v>103</c:v>
                </c:pt>
                <c:pt idx="1">
                  <c:v>16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F-43D0-8C6D-C6F8E7EB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'Weekly Report'!$M$68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6"/>
              <c:pt idx="0">
                <c:v>IH biến dạng
IH 変形</c:v>
              </c:pt>
              <c:pt idx="1">
                <c:v>Tanshi biến dạng
端子変形</c:v>
              </c:pt>
              <c:pt idx="2">
                <c:v>Tưa lõi
心線こぼれ</c:v>
              </c:pt>
              <c:pt idx="3">
                <c:v>Dập sâu
深打ち</c:v>
              </c:pt>
              <c:pt idx="4">
                <c:v>Đuôi NG
カットオフタブ</c:v>
              </c:pt>
              <c:pt idx="5">
                <c:v>Dập cạn
浅打ち</c:v>
              </c:pt>
              <c:pt idx="6">
                <c:v>Cong
ベンドアップ, ベンドアウト</c:v>
              </c:pt>
              <c:pt idx="7">
                <c:v>Ransu biến dạng
ランス 変形</c:v>
              </c:pt>
              <c:pt idx="8">
                <c:v>Đứt lõi
芯線切れ　</c:v>
              </c:pt>
              <c:pt idx="9">
                <c:v>Ló lõi
心線飛び出し</c:v>
              </c:pt>
              <c:pt idx="10">
                <c:v>Berumau
ベルマウス</c:v>
              </c:pt>
              <c:pt idx="11">
                <c:v>Hụt lõi 
浅い打ち</c:v>
              </c:pt>
              <c:pt idx="12">
                <c:v>Không có tanshi　
端子が無い</c:v>
              </c:pt>
              <c:pt idx="13">
                <c:v>Bavia
バリ</c:v>
              </c:pt>
              <c:pt idx="14">
                <c:v>Lỗi khác
その他</c:v>
              </c:pt>
              <c:pt idx="15">
                <c:v>Dimmensional error</c:v>
              </c:pt>
            </c:strLit>
          </c:cat>
          <c:val>
            <c:numRef>
              <c:f>'Weekly Report'!$M$69:$M$113</c:f>
              <c:numCache>
                <c:formatCode>0</c:formatCode>
                <c:ptCount val="45"/>
                <c:pt idx="0">
                  <c:v>74.100719424460422</c:v>
                </c:pt>
                <c:pt idx="1">
                  <c:v>85.611510791366896</c:v>
                </c:pt>
                <c:pt idx="2">
                  <c:v>92.086330935251794</c:v>
                </c:pt>
                <c:pt idx="3">
                  <c:v>97.122302158273371</c:v>
                </c:pt>
                <c:pt idx="4">
                  <c:v>98.561151079136678</c:v>
                </c:pt>
                <c:pt idx="5">
                  <c:v>99.280575539568332</c:v>
                </c:pt>
                <c:pt idx="6">
                  <c:v>99.999999999999986</c:v>
                </c:pt>
                <c:pt idx="7">
                  <c:v>99.999999999999986</c:v>
                </c:pt>
                <c:pt idx="8">
                  <c:v>99.999999999999986</c:v>
                </c:pt>
                <c:pt idx="9">
                  <c:v>99.999999999999986</c:v>
                </c:pt>
                <c:pt idx="10">
                  <c:v>99.999999999999986</c:v>
                </c:pt>
                <c:pt idx="11">
                  <c:v>99.999999999999986</c:v>
                </c:pt>
                <c:pt idx="12">
                  <c:v>99.999999999999986</c:v>
                </c:pt>
                <c:pt idx="13">
                  <c:v>99.999999999999986</c:v>
                </c:pt>
                <c:pt idx="14">
                  <c:v>99.999999999999986</c:v>
                </c:pt>
                <c:pt idx="15">
                  <c:v>99.999999999999986</c:v>
                </c:pt>
                <c:pt idx="16">
                  <c:v>99.999999999999986</c:v>
                </c:pt>
                <c:pt idx="17">
                  <c:v>99.999999999999986</c:v>
                </c:pt>
                <c:pt idx="18">
                  <c:v>99.999999999999986</c:v>
                </c:pt>
                <c:pt idx="19">
                  <c:v>99.999999999999986</c:v>
                </c:pt>
                <c:pt idx="20">
                  <c:v>99.999999999999986</c:v>
                </c:pt>
                <c:pt idx="21">
                  <c:v>99.999999999999986</c:v>
                </c:pt>
                <c:pt idx="22">
                  <c:v>99.999999999999986</c:v>
                </c:pt>
                <c:pt idx="23">
                  <c:v>99.999999999999986</c:v>
                </c:pt>
                <c:pt idx="24">
                  <c:v>99.999999999999986</c:v>
                </c:pt>
                <c:pt idx="25">
                  <c:v>99.999999999999986</c:v>
                </c:pt>
                <c:pt idx="26">
                  <c:v>99.999999999999986</c:v>
                </c:pt>
                <c:pt idx="27">
                  <c:v>99.999999999999986</c:v>
                </c:pt>
                <c:pt idx="28">
                  <c:v>99.999999999999986</c:v>
                </c:pt>
                <c:pt idx="29">
                  <c:v>99.999999999999986</c:v>
                </c:pt>
                <c:pt idx="30">
                  <c:v>99.999999999999986</c:v>
                </c:pt>
                <c:pt idx="31">
                  <c:v>99.999999999999986</c:v>
                </c:pt>
                <c:pt idx="32">
                  <c:v>99.999999999999986</c:v>
                </c:pt>
                <c:pt idx="33">
                  <c:v>99.999999999999986</c:v>
                </c:pt>
                <c:pt idx="34">
                  <c:v>99.999999999999986</c:v>
                </c:pt>
                <c:pt idx="35">
                  <c:v>99.999999999999986</c:v>
                </c:pt>
                <c:pt idx="36">
                  <c:v>99.999999999999986</c:v>
                </c:pt>
                <c:pt idx="37">
                  <c:v>99.999999999999986</c:v>
                </c:pt>
                <c:pt idx="38">
                  <c:v>99.999999999999986</c:v>
                </c:pt>
                <c:pt idx="39">
                  <c:v>99.999999999999986</c:v>
                </c:pt>
                <c:pt idx="40">
                  <c:v>99.999999999999986</c:v>
                </c:pt>
                <c:pt idx="41">
                  <c:v>99.999999999999986</c:v>
                </c:pt>
                <c:pt idx="42">
                  <c:v>99.999999999999986</c:v>
                </c:pt>
                <c:pt idx="43">
                  <c:v>99.999999999999986</c:v>
                </c:pt>
                <c:pt idx="44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3D0-8C6D-C6F8E7EB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301093422513948"/>
              <c:y val="0.9371852936987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1868714605879237E-3"/>
                <c:y val="0.3338066726989199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31911264343339"/>
              <c:y val="0.30570099275487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20814598922506"/>
          <c:y val="1.4842757058468466E-2"/>
          <c:w val="0.31271496559916534"/>
          <c:h val="7.2126798103725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CCFF"/>
                </a:solidFill>
              </a:rPr>
              <a:t>Total produce-Total 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Report'!$F$5:$L$5</c:f>
              <c:numCache>
                <c:formatCode>#,##0_);[Red]\(#,##0\)</c:formatCode>
                <c:ptCount val="7"/>
                <c:pt idx="0">
                  <c:v>35124</c:v>
                </c:pt>
                <c:pt idx="1">
                  <c:v>37727</c:v>
                </c:pt>
                <c:pt idx="2">
                  <c:v>32741</c:v>
                </c:pt>
                <c:pt idx="3">
                  <c:v>30173</c:v>
                </c:pt>
                <c:pt idx="4">
                  <c:v>27403</c:v>
                </c:pt>
                <c:pt idx="5">
                  <c:v>23955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0-4D99-AEED-C53612F9E474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Report'!$F$8:$L$8</c:f>
              <c:numCache>
                <c:formatCode>#,##0_);[Red]\(#,##0\)</c:formatCode>
                <c:ptCount val="7"/>
                <c:pt idx="0">
                  <c:v>54933</c:v>
                </c:pt>
                <c:pt idx="1">
                  <c:v>70734</c:v>
                </c:pt>
                <c:pt idx="2">
                  <c:v>44507</c:v>
                </c:pt>
                <c:pt idx="3">
                  <c:v>39802</c:v>
                </c:pt>
                <c:pt idx="4">
                  <c:v>52403</c:v>
                </c:pt>
                <c:pt idx="5">
                  <c:v>53413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0-4D99-AEED-C53612F9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579528"/>
        <c:axId val="1032585432"/>
      </c:barChart>
      <c:lineChart>
        <c:grouping val="standard"/>
        <c:varyColors val="0"/>
        <c:ser>
          <c:idx val="3"/>
          <c:order val="3"/>
          <c:tx>
            <c:v>O-O (ppm)</c:v>
          </c:tx>
          <c:spPr>
            <a:ln w="254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Report'!$F$10:$L$10</c:f>
              <c:numCache>
                <c:formatCode>#,##0_);[Red]\(#,##0\)</c:formatCode>
                <c:ptCount val="7"/>
                <c:pt idx="0">
                  <c:v>54.611981868822021</c:v>
                </c:pt>
                <c:pt idx="1">
                  <c:v>1498.5721152486781</c:v>
                </c:pt>
                <c:pt idx="2">
                  <c:v>247.15213337227848</c:v>
                </c:pt>
                <c:pt idx="3">
                  <c:v>50.248731219536708</c:v>
                </c:pt>
                <c:pt idx="4">
                  <c:v>76.331507738106609</c:v>
                </c:pt>
                <c:pt idx="5">
                  <c:v>243.3864415030049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0-4D99-AEED-C53612F9E474}"/>
            </c:ext>
          </c:extLst>
        </c:ser>
        <c:ser>
          <c:idx val="2"/>
          <c:order val="2"/>
          <c:tx>
            <c:v>O-I (ppm)</c:v>
          </c:tx>
          <c:spPr>
            <a:ln w="2540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Report'!$F$7:$L$7</c:f>
              <c:numCache>
                <c:formatCode>#,##0_);[Red]\(#,##0\)</c:formatCode>
                <c:ptCount val="7"/>
                <c:pt idx="0">
                  <c:v>284.70561439471589</c:v>
                </c:pt>
                <c:pt idx="1">
                  <c:v>901.21133405783655</c:v>
                </c:pt>
                <c:pt idx="2">
                  <c:v>427.59842399438014</c:v>
                </c:pt>
                <c:pt idx="3">
                  <c:v>729.12869121399922</c:v>
                </c:pt>
                <c:pt idx="4">
                  <c:v>547.38532277487866</c:v>
                </c:pt>
                <c:pt idx="5">
                  <c:v>709.66395324566895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0-4D99-AEED-C53612F9E474}"/>
            </c:ext>
          </c:extLst>
        </c:ser>
        <c:ser>
          <c:idx val="4"/>
          <c:order val="4"/>
          <c:tx>
            <c:v>Total (ppm)</c:v>
          </c:tx>
          <c:spPr>
            <a:ln w="254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'Weekly Report'!$D$5:$E$14</c:f>
              <c:multiLvlStrCache>
                <c:ptCount val="2"/>
                <c:lvl>
                  <c:pt idx="0">
                    <c:v>Target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'Weekly Report'!$F$13:$L$13</c:f>
              <c:numCache>
                <c:formatCode>#,##0_);[Red]\(#,##0\)</c:formatCode>
                <c:ptCount val="7"/>
                <c:pt idx="0">
                  <c:v>144.35302086456355</c:v>
                </c:pt>
                <c:pt idx="1">
                  <c:v>1290.7865500041489</c:v>
                </c:pt>
                <c:pt idx="2">
                  <c:v>323.63297431648715</c:v>
                </c:pt>
                <c:pt idx="3">
                  <c:v>342.97963558413716</c:v>
                </c:pt>
                <c:pt idx="4">
                  <c:v>238.07733754354308</c:v>
                </c:pt>
                <c:pt idx="5">
                  <c:v>387.75721228414852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0-4D99-AEED-C53612F9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9040"/>
        <c:axId val="1032590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Report'!$K$3:$K$4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'Weekly Report'!$K$5:$K$14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23955</c:v>
                      </c:pt>
                      <c:pt idx="1">
                        <c:v>17</c:v>
                      </c:pt>
                      <c:pt idx="2">
                        <c:v>709.66395324566895</c:v>
                      </c:pt>
                      <c:pt idx="3">
                        <c:v>53413</c:v>
                      </c:pt>
                      <c:pt idx="4">
                        <c:v>13</c:v>
                      </c:pt>
                      <c:pt idx="5">
                        <c:v>243.3864415030049</c:v>
                      </c:pt>
                      <c:pt idx="6">
                        <c:v>77368</c:v>
                      </c:pt>
                      <c:pt idx="7">
                        <c:v>30</c:v>
                      </c:pt>
                      <c:pt idx="8">
                        <c:v>387.75721228414852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960-4D99-AEED-C53612F9E47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Report'!$L$3:$L$4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Report'!$L$5:$L$14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60-4D99-AEED-C53612F9E4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Report'!$M$3:$M$4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Report'!$M$5:$M$14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187123</c:v>
                      </c:pt>
                      <c:pt idx="1">
                        <c:v>112</c:v>
                      </c:pt>
                      <c:pt idx="2">
                        <c:v>598.53679130839078</c:v>
                      </c:pt>
                      <c:pt idx="3">
                        <c:v>315792</c:v>
                      </c:pt>
                      <c:pt idx="4">
                        <c:v>139</c:v>
                      </c:pt>
                      <c:pt idx="5">
                        <c:v>440.16314536150378</c:v>
                      </c:pt>
                      <c:pt idx="6">
                        <c:v>502915</c:v>
                      </c:pt>
                      <c:pt idx="7">
                        <c:v>251</c:v>
                      </c:pt>
                      <c:pt idx="8">
                        <c:v>499.09030353041771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60-4D99-AEED-C53612F9E474}"/>
                  </c:ext>
                </c:extLst>
              </c15:ser>
            </c15:filteredLineSeries>
          </c:ext>
        </c:extLst>
      </c:lineChart>
      <c:dateAx>
        <c:axId val="103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5432"/>
        <c:crosses val="autoZero"/>
        <c:auto val="1"/>
        <c:lblOffset val="100"/>
        <c:baseTimeUnit val="days"/>
      </c:dateAx>
      <c:valAx>
        <c:axId val="10325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9528"/>
        <c:crosses val="autoZero"/>
        <c:crossBetween val="between"/>
        <c:dispUnits>
          <c:builtInUnit val="hundredThousands"/>
        </c:dispUnits>
      </c:valAx>
      <c:valAx>
        <c:axId val="103259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9040"/>
        <c:crosses val="max"/>
        <c:crossBetween val="between"/>
      </c:valAx>
      <c:dateAx>
        <c:axId val="1032589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2590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O-I</a:t>
            </a:r>
          </a:p>
        </c:rich>
      </c:tx>
      <c:layout>
        <c:manualLayout>
          <c:xMode val="edge"/>
          <c:yMode val="edge"/>
          <c:x val="0.44850909221002294"/>
          <c:y val="1.377268750497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9141990754148"/>
          <c:y val="0.17850981521457882"/>
          <c:w val="0.54197106565100073"/>
          <c:h val="0.7810078374011558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4B-4F86-A2BE-D806CCAE92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4B-4F86-A2BE-D806CCAE92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31-48A1-8791-2E3D1A1EAB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531-48A1-8791-2E3D1A1EAB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31-48A1-8791-2E3D1A1EAB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FD-466B-BF64-D74AFF4AC043}"/>
              </c:ext>
            </c:extLst>
          </c:dPt>
          <c:dLbls>
            <c:dLbl>
              <c:idx val="0"/>
              <c:layout>
                <c:manualLayout>
                  <c:x val="5.0581741646721617E-3"/>
                  <c:y val="0.14402891619012301"/>
                </c:manualLayout>
              </c:layout>
              <c:tx>
                <c:rich>
                  <a:bodyPr/>
                  <a:lstStyle/>
                  <a:p>
                    <a:fld id="{8FEBFAF4-6C97-478F-A80B-704B30E6B33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4B-4F86-A2BE-D806CCAE927C}"/>
                </c:ext>
              </c:extLst>
            </c:dLbl>
            <c:dLbl>
              <c:idx val="1"/>
              <c:layout>
                <c:manualLayout>
                  <c:x val="-0.11796968081958718"/>
                  <c:y val="6.1220564584042857E-3"/>
                </c:manualLayout>
              </c:layout>
              <c:tx>
                <c:rich>
                  <a:bodyPr/>
                  <a:lstStyle/>
                  <a:p>
                    <a:fld id="{840D48B0-1C41-42F7-AF4C-8C03A1B3AA36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4B-4F86-A2BE-D806CCAE927C}"/>
                </c:ext>
              </c:extLst>
            </c:dLbl>
            <c:dLbl>
              <c:idx val="2"/>
              <c:layout>
                <c:manualLayout>
                  <c:x val="-0.12415968274033665"/>
                  <c:y val="6.6055388237201626E-2"/>
                </c:manualLayout>
              </c:layout>
              <c:tx>
                <c:rich>
                  <a:bodyPr/>
                  <a:lstStyle/>
                  <a:p>
                    <a:fld id="{D282279F-29A4-4E8B-B1F1-CBD4CFB4E11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531-48A1-8791-2E3D1A1EABC6}"/>
                </c:ext>
              </c:extLst>
            </c:dLbl>
            <c:dLbl>
              <c:idx val="3"/>
              <c:layout>
                <c:manualLayout>
                  <c:x val="-6.7494124675103601E-2"/>
                  <c:y val="-7.8558416831776001E-2"/>
                </c:manualLayout>
              </c:layout>
              <c:tx>
                <c:rich>
                  <a:bodyPr/>
                  <a:lstStyle/>
                  <a:p>
                    <a:fld id="{53B7A898-C82D-4571-A82A-3AD70A580C2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531-48A1-8791-2E3D1A1EABC6}"/>
                </c:ext>
              </c:extLst>
            </c:dLbl>
            <c:dLbl>
              <c:idx val="4"/>
              <c:layout>
                <c:manualLayout>
                  <c:x val="-4.2142233910782756E-2"/>
                  <c:y val="-4.7233744339521891E-2"/>
                </c:manualLayout>
              </c:layout>
              <c:tx>
                <c:rich>
                  <a:bodyPr/>
                  <a:lstStyle/>
                  <a:p>
                    <a:fld id="{23F9E968-F0EB-4617-9407-1B1377FC5818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531-48A1-8791-2E3D1A1EABC6}"/>
                </c:ext>
              </c:extLst>
            </c:dLbl>
            <c:dLbl>
              <c:idx val="5"/>
              <c:layout>
                <c:manualLayout>
                  <c:x val="0.1136672430343314"/>
                  <c:y val="-1.0905106512151356E-2"/>
                </c:manualLayout>
              </c:layout>
              <c:tx>
                <c:rich>
                  <a:bodyPr/>
                  <a:lstStyle/>
                  <a:p>
                    <a:fld id="{704FD8CA-4D24-4F06-A33F-0963C3A6F41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EFD-466B-BF64-D74AFF4AC04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'Weekly Report'!$BT$43:$BT$49</c15:sqref>
                  </c15:fullRef>
                </c:ext>
              </c:extLst>
              <c:f>'Weekly Report'!$BT$44:$BT$49</c:f>
              <c:strCache>
                <c:ptCount val="6"/>
                <c:pt idx="0">
                  <c:v>NG from Incorrect parts</c:v>
                </c:pt>
                <c:pt idx="1">
                  <c:v>Assembly error</c:v>
                </c:pt>
                <c:pt idx="2">
                  <c:v>NG from Dimension</c:v>
                </c:pt>
                <c:pt idx="3">
                  <c:v>NG from Lack of parts</c:v>
                </c:pt>
                <c:pt idx="4">
                  <c:v>NG from Appearance</c:v>
                </c:pt>
                <c:pt idx="5">
                  <c:v>NG from Other reason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 Report'!$CB$43:$CB$49</c15:sqref>
                  </c15:fullRef>
                </c:ext>
              </c:extLst>
              <c:f>'Weekly Report'!$CB$44:$CB$49</c:f>
              <c:numCache>
                <c:formatCode>#,##0_);[Red]\(#,##0\)</c:formatCode>
                <c:ptCount val="6"/>
                <c:pt idx="0">
                  <c:v>33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17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154B-4F86-A2BE-D806CCAE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46300912878956"/>
          <c:y val="0.26472202489839963"/>
          <c:w val="0.27478340348128771"/>
          <c:h val="0.62239382727761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CFF"/>
                </a:solidFill>
              </a:rPr>
              <a:t>O-O</a:t>
            </a:r>
          </a:p>
        </c:rich>
      </c:tx>
      <c:layout>
        <c:manualLayout>
          <c:xMode val="edge"/>
          <c:yMode val="edge"/>
          <c:x val="0.56498047887783953"/>
          <c:y val="1.3536375411653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1287031091155"/>
          <c:y val="0.12537801260961334"/>
          <c:w val="0.56204120922390921"/>
          <c:h val="0.826300324739777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A5-48E6-AF76-4365A8EBDB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A5-48E6-AF76-4365A8EBDB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50-47DD-AC28-A9DE46E194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650-47DD-AC28-A9DE46E194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50-47DD-AC28-A9DE46E1948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5F-4ADD-B225-829FA0E91234}"/>
              </c:ext>
            </c:extLst>
          </c:dPt>
          <c:dLbls>
            <c:dLbl>
              <c:idx val="0"/>
              <c:layout>
                <c:manualLayout>
                  <c:x val="9.4139095947570459E-2"/>
                  <c:y val="-3.5820766665130058E-3"/>
                </c:manualLayout>
              </c:layout>
              <c:tx>
                <c:rich>
                  <a:bodyPr/>
                  <a:lstStyle/>
                  <a:p>
                    <a:fld id="{6234ECD5-B0CE-4167-B38C-A3F9999AAEA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A5-48E6-AF76-4365A8EBDBA4}"/>
                </c:ext>
              </c:extLst>
            </c:dLbl>
            <c:dLbl>
              <c:idx val="1"/>
              <c:layout>
                <c:manualLayout>
                  <c:x val="-7.5681526499010304E-2"/>
                  <c:y val="0.11721088846852699"/>
                </c:manualLayout>
              </c:layout>
              <c:tx>
                <c:rich>
                  <a:bodyPr/>
                  <a:lstStyle/>
                  <a:p>
                    <a:fld id="{79749B9A-5322-44A8-AE74-80A1EB2FABC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A5-48E6-AF76-4365A8EBDBA4}"/>
                </c:ext>
              </c:extLst>
            </c:dLbl>
            <c:dLbl>
              <c:idx val="2"/>
              <c:layout>
                <c:manualLayout>
                  <c:x val="-9.7175658889593827E-2"/>
                  <c:y val="-9.8271000737693154E-2"/>
                </c:manualLayout>
              </c:layout>
              <c:tx>
                <c:rich>
                  <a:bodyPr/>
                  <a:lstStyle/>
                  <a:p>
                    <a:fld id="{C36DA8B2-9C0A-4058-83F4-9A764AB6303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650-47DD-AC28-A9DE46E1948A}"/>
                </c:ext>
              </c:extLst>
            </c:dLbl>
            <c:dLbl>
              <c:idx val="3"/>
              <c:layout>
                <c:manualLayout>
                  <c:x val="6.1442133647858228E-2"/>
                  <c:y val="5.8938093186982933E-3"/>
                </c:manualLayout>
              </c:layout>
              <c:tx>
                <c:rich>
                  <a:bodyPr/>
                  <a:lstStyle/>
                  <a:p>
                    <a:fld id="{11BB1394-A175-461B-B91E-7F0FFBDBE8F8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650-47DD-AC28-A9DE46E1948A}"/>
                </c:ext>
              </c:extLst>
            </c:dLbl>
            <c:dLbl>
              <c:idx val="4"/>
              <c:layout>
                <c:manualLayout>
                  <c:x val="0.11290887156466166"/>
                  <c:y val="0.14372298632049549"/>
                </c:manualLayout>
              </c:layout>
              <c:tx>
                <c:rich>
                  <a:bodyPr/>
                  <a:lstStyle/>
                  <a:p>
                    <a:fld id="{CEA502A8-ECD8-4685-B914-3C914028398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650-47DD-AC28-A9DE46E1948A}"/>
                </c:ext>
              </c:extLst>
            </c:dLbl>
            <c:dLbl>
              <c:idx val="5"/>
              <c:layout>
                <c:manualLayout>
                  <c:x val="0.14731691278994635"/>
                  <c:y val="4.3993220087874402E-2"/>
                </c:manualLayout>
              </c:layout>
              <c:tx>
                <c:rich>
                  <a:bodyPr/>
                  <a:lstStyle/>
                  <a:p>
                    <a:fld id="{CF8481CE-81DF-4AA5-8B98-CBEEE483EE2B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05F-4ADD-B225-829FA0E9123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'Weekly Report'!$BT$50:$BT$56</c15:sqref>
                  </c15:fullRef>
                </c:ext>
              </c:extLst>
              <c:f>'Weekly Report'!$BT$51:$BT$56</c:f>
              <c:strCache>
                <c:ptCount val="6"/>
                <c:pt idx="0">
                  <c:v>NG from Incorrect parts</c:v>
                </c:pt>
                <c:pt idx="1">
                  <c:v>Assembly error</c:v>
                </c:pt>
                <c:pt idx="2">
                  <c:v>NG from Dimension</c:v>
                </c:pt>
                <c:pt idx="3">
                  <c:v>NG from Lack of parts</c:v>
                </c:pt>
                <c:pt idx="4">
                  <c:v>NG from Appearance</c:v>
                </c:pt>
                <c:pt idx="5">
                  <c:v>NG from Other reason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 Report'!$CB$50:$CB$56</c15:sqref>
                  </c15:fullRef>
                </c:ext>
              </c:extLst>
              <c:f>'Weekly Report'!$CB$51:$CB$56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'Weekly Report'!$CB$50</c15:sqref>
                  <c15:explosion val="1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A7A5-48E6-AF76-4365A8EB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88875774301585"/>
          <c:y val="0.27562511807689671"/>
          <c:w val="0.27837489204002358"/>
          <c:h val="0.6506677578559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CCFF"/>
                </a:solidFill>
              </a:rPr>
              <a:t>Total produce-Total ppm by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O-I (pcs)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'Weekly Report'!$BU$4:$CA$4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Report'!$BU$5:$CA$5</c:f>
              <c:numCache>
                <c:formatCode>#,##0_);[Red]\(#,##0\)</c:formatCode>
                <c:ptCount val="7"/>
                <c:pt idx="0">
                  <c:v>35124</c:v>
                </c:pt>
                <c:pt idx="1">
                  <c:v>37727</c:v>
                </c:pt>
                <c:pt idx="2">
                  <c:v>32741</c:v>
                </c:pt>
                <c:pt idx="3">
                  <c:v>30173</c:v>
                </c:pt>
                <c:pt idx="4">
                  <c:v>27403</c:v>
                </c:pt>
                <c:pt idx="5">
                  <c:v>23955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B-4FA8-BAB1-068F89312D66}"/>
            </c:ext>
          </c:extLst>
        </c:ser>
        <c:ser>
          <c:idx val="1"/>
          <c:order val="1"/>
          <c:tx>
            <c:v>O-O (pcs)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'Weekly Report'!$BU$4:$CA$4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Report'!$BU$8:$CA$8</c:f>
              <c:numCache>
                <c:formatCode>#,##0_);[Red]\(#,##0\)</c:formatCode>
                <c:ptCount val="7"/>
                <c:pt idx="0">
                  <c:v>54933</c:v>
                </c:pt>
                <c:pt idx="1">
                  <c:v>70734</c:v>
                </c:pt>
                <c:pt idx="2">
                  <c:v>44507</c:v>
                </c:pt>
                <c:pt idx="3">
                  <c:v>39802</c:v>
                </c:pt>
                <c:pt idx="4">
                  <c:v>52403</c:v>
                </c:pt>
                <c:pt idx="5">
                  <c:v>53413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B-4FA8-BAB1-068F8931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579528"/>
        <c:axId val="1032585432"/>
      </c:barChart>
      <c:lineChart>
        <c:grouping val="standard"/>
        <c:varyColors val="0"/>
        <c:ser>
          <c:idx val="3"/>
          <c:order val="3"/>
          <c:tx>
            <c:v>O-O (ppm)</c:v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Report'!$BU$10:$CA$10</c:f>
              <c:numCache>
                <c:formatCode>#,##0_);[Red]\(#,##0\)</c:formatCode>
                <c:ptCount val="7"/>
                <c:pt idx="0">
                  <c:v>54.611981868822021</c:v>
                </c:pt>
                <c:pt idx="1">
                  <c:v>56.549891141459554</c:v>
                </c:pt>
                <c:pt idx="2">
                  <c:v>89.873503044464911</c:v>
                </c:pt>
                <c:pt idx="3">
                  <c:v>25.124365609768354</c:v>
                </c:pt>
                <c:pt idx="4">
                  <c:v>57.24863080357995</c:v>
                </c:pt>
                <c:pt idx="5">
                  <c:v>224.66440754123528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B-4FA8-BAB1-068F89312D66}"/>
            </c:ext>
          </c:extLst>
        </c:ser>
        <c:ser>
          <c:idx val="2"/>
          <c:order val="2"/>
          <c:tx>
            <c:v>O-I (ppm)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Report'!$F$4:$L$4</c:f>
              <c:numCache>
                <c:formatCode>m/d/yyyy</c:formatCode>
                <c:ptCount val="7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</c:numCache>
            </c:numRef>
          </c:cat>
          <c:val>
            <c:numRef>
              <c:f>'Weekly Report'!$BU$7:$CA$7</c:f>
              <c:numCache>
                <c:formatCode>#,##0_);[Red]\(#,##0\)</c:formatCode>
                <c:ptCount val="7"/>
                <c:pt idx="0">
                  <c:v>113.88224575788635</c:v>
                </c:pt>
                <c:pt idx="1">
                  <c:v>450.60566702891828</c:v>
                </c:pt>
                <c:pt idx="2">
                  <c:v>397.05567942335296</c:v>
                </c:pt>
                <c:pt idx="3">
                  <c:v>695.98647797699937</c:v>
                </c:pt>
                <c:pt idx="4">
                  <c:v>291.9388388132686</c:v>
                </c:pt>
                <c:pt idx="5">
                  <c:v>667.9190148194532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B-4FA8-BAB1-068F89312D66}"/>
            </c:ext>
          </c:extLst>
        </c:ser>
        <c:ser>
          <c:idx val="4"/>
          <c:order val="4"/>
          <c:tx>
            <c:v>Total (ppm)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'Weekly Report'!$D$5:$E$14</c:f>
              <c:multiLvlStrCache>
                <c:ptCount val="2"/>
                <c:lvl>
                  <c:pt idx="0">
                    <c:v>Target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Total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O-O</c:v>
                  </c:pt>
                  <c:pt idx="1">
                    <c:v>Inspected Qty</c:v>
                  </c:pt>
                </c:lvl>
                <c:lvl>
                  <c:pt idx="1">
                    <c:v>non-conformity ratio</c:v>
                  </c:pt>
                </c:lvl>
                <c:lvl>
                  <c:pt idx="1">
                    <c:v>non-conformity Qty</c:v>
                  </c:pt>
                </c:lvl>
                <c:lvl>
                  <c:pt idx="0">
                    <c:v>O-I</c:v>
                  </c:pt>
                  <c:pt idx="1">
                    <c:v>Inspected Qty</c:v>
                  </c:pt>
                </c:lvl>
              </c:multiLvlStrCache>
            </c:multiLvlStrRef>
          </c:cat>
          <c:val>
            <c:numRef>
              <c:f>'Weekly Report'!$BU$13:$CA$13</c:f>
              <c:numCache>
                <c:formatCode>#,##0_);[Red]\(#,##0\)</c:formatCode>
                <c:ptCount val="7"/>
                <c:pt idx="0">
                  <c:v>77.728549696303446</c:v>
                </c:pt>
                <c:pt idx="1">
                  <c:v>193.61798250062236</c:v>
                </c:pt>
                <c:pt idx="2">
                  <c:v>220.07042253521126</c:v>
                </c:pt>
                <c:pt idx="3">
                  <c:v>314.39799928545909</c:v>
                </c:pt>
                <c:pt idx="4">
                  <c:v>137.83424805152495</c:v>
                </c:pt>
                <c:pt idx="5">
                  <c:v>361.90673146520527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B-4FA8-BAB1-068F8931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9040"/>
        <c:axId val="10325903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Report'!$K$3:$K$4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'Weekly Report'!$K$5:$K$14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23955</c:v>
                      </c:pt>
                      <c:pt idx="1">
                        <c:v>17</c:v>
                      </c:pt>
                      <c:pt idx="2">
                        <c:v>709.66395324566895</c:v>
                      </c:pt>
                      <c:pt idx="3">
                        <c:v>53413</c:v>
                      </c:pt>
                      <c:pt idx="4">
                        <c:v>13</c:v>
                      </c:pt>
                      <c:pt idx="5">
                        <c:v>243.3864415030049</c:v>
                      </c:pt>
                      <c:pt idx="6">
                        <c:v>77368</c:v>
                      </c:pt>
                      <c:pt idx="7">
                        <c:v>30</c:v>
                      </c:pt>
                      <c:pt idx="8">
                        <c:v>387.75721228414852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CBB-4FA8-BAB1-068F89312D6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Report'!$L$3:$L$4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Report'!$L$5:$L$14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BB-4FA8-BAB1-068F89312D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Report'!$M$3:$M$4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Report'!$D$5:$E$14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Target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Total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O-O</c:v>
                        </c:pt>
                        <c:pt idx="1">
                          <c:v>Inspected Qty</c:v>
                        </c:pt>
                      </c:lvl>
                      <c:lvl>
                        <c:pt idx="1">
                          <c:v>non-conformity ratio</c:v>
                        </c:pt>
                      </c:lvl>
                      <c:lvl>
                        <c:pt idx="1">
                          <c:v>non-conformity Qty</c:v>
                        </c:pt>
                      </c:lvl>
                      <c:lvl>
                        <c:pt idx="0">
                          <c:v>O-I</c:v>
                        </c:pt>
                        <c:pt idx="1">
                          <c:v>Inspected Qty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'Weekly Report'!$M$5:$M$14</c15:sqref>
                        </c15:formulaRef>
                      </c:ext>
                    </c:extLst>
                    <c:numCache>
                      <c:formatCode>#,##0_);[Red]\(#,##0\)</c:formatCode>
                      <c:ptCount val="10"/>
                      <c:pt idx="0">
                        <c:v>187123</c:v>
                      </c:pt>
                      <c:pt idx="1">
                        <c:v>112</c:v>
                      </c:pt>
                      <c:pt idx="2">
                        <c:v>598.53679130839078</c:v>
                      </c:pt>
                      <c:pt idx="3">
                        <c:v>315792</c:v>
                      </c:pt>
                      <c:pt idx="4">
                        <c:v>139</c:v>
                      </c:pt>
                      <c:pt idx="5">
                        <c:v>440.16314536150378</c:v>
                      </c:pt>
                      <c:pt idx="6">
                        <c:v>502915</c:v>
                      </c:pt>
                      <c:pt idx="7">
                        <c:v>251</c:v>
                      </c:pt>
                      <c:pt idx="8">
                        <c:v>499.09030353041771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BB-4FA8-BAB1-068F89312D66}"/>
                  </c:ext>
                </c:extLst>
              </c15:ser>
            </c15:filteredLineSeries>
          </c:ext>
        </c:extLst>
      </c:lineChart>
      <c:dateAx>
        <c:axId val="103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C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5432"/>
        <c:crosses val="autoZero"/>
        <c:auto val="1"/>
        <c:lblOffset val="100"/>
        <c:baseTimeUnit val="days"/>
      </c:dateAx>
      <c:valAx>
        <c:axId val="10325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検査数</a:t>
                </a:r>
                <a:r>
                  <a:rPr lang="en-US">
                    <a:solidFill>
                      <a:srgbClr val="FFCCFF"/>
                    </a:solidFill>
                  </a:rPr>
                  <a:t>(100,000pcs)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9528"/>
        <c:crosses val="autoZero"/>
        <c:crossBetween val="between"/>
        <c:dispUnits>
          <c:builtInUnit val="hundredThousands"/>
        </c:dispUnits>
      </c:valAx>
      <c:valAx>
        <c:axId val="103259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>
                    <a:solidFill>
                      <a:srgbClr val="FFCCFF"/>
                    </a:solidFill>
                  </a:rPr>
                  <a:t>不適合率 </a:t>
                </a:r>
                <a:r>
                  <a:rPr lang="en-US">
                    <a:solidFill>
                      <a:srgbClr val="FFCCFF"/>
                    </a:solidFill>
                  </a:rPr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9040"/>
        <c:crosses val="max"/>
        <c:crossBetween val="between"/>
      </c:valAx>
      <c:dateAx>
        <c:axId val="1032589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2590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Chart for O-I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5731048324848E-2"/>
          <c:y val="0.12886715566422169"/>
          <c:w val="0.82216334722865525"/>
          <c:h val="0.5804649968876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Report'!$BU$77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'Weekly Report'!$BT$78:$BT$114</c:f>
              <c:strCache>
                <c:ptCount val="37"/>
                <c:pt idx="0">
                  <c:v>Sai phối màu 誤配色</c:v>
                </c:pt>
                <c:pt idx="1">
                  <c:v>Dây ngắn/dài</c:v>
                </c:pt>
                <c:pt idx="2">
                  <c:v>Tanshi biến dạng</c:v>
                </c:pt>
                <c:pt idx="3">
                  <c:v>Others for Processing</c:v>
                </c:pt>
                <c:pt idx="4">
                  <c:v>Ngắn, dài</c:v>
                </c:pt>
                <c:pt idx="5">
                  <c:v>Dính dị vật 端子が異物付き</c:v>
                </c:pt>
                <c:pt idx="6">
                  <c:v>Cấn, trầy</c:v>
                </c:pt>
                <c:pt idx="7">
                  <c:v>Dập sai</c:v>
                </c:pt>
                <c:pt idx="8">
                  <c:v>Thiếu dây</c:v>
                </c:pt>
                <c:pt idx="9">
                  <c:v>Bị trầy xước</c:v>
                </c:pt>
                <c:pt idx="10">
                  <c:v>Sai ống チューブ間違い</c:v>
                </c:pt>
                <c:pt idx="11">
                  <c:v>Ngược nút bọc</c:v>
                </c:pt>
                <c:pt idx="12">
                  <c:v>Thông dòng NG</c:v>
                </c:pt>
                <c:pt idx="13">
                  <c:v>Ngược Diode</c:v>
                </c:pt>
                <c:pt idx="14">
                  <c:v>Sai vị trí</c:v>
                </c:pt>
                <c:pt idx="15">
                  <c:v>Sai kích thước</c:v>
                </c:pt>
                <c:pt idx="16">
                  <c:v>Sút</c:v>
                </c:pt>
                <c:pt idx="17">
                  <c:v>Biến dạng</c:v>
                </c:pt>
                <c:pt idx="18">
                  <c:v>Hở</c:v>
                </c:pt>
                <c:pt idx="19">
                  <c:v>Gờ tanshi bám ít vào gờ housing ランスのロックが不十分</c:v>
                </c:pt>
                <c:pt idx="20">
                  <c:v>Tuột mấu ôm vỏ do tán cạn 浅打ちで被覆カシメ外れ</c:v>
                </c:pt>
                <c:pt idx="21">
                  <c:v>Thiếu ống</c:v>
                </c:pt>
                <c:pt idx="22">
                  <c:v>Bẩn, dơ</c:v>
                </c:pt>
                <c:pt idx="23">
                  <c:v>Cháy dây</c:v>
                </c:pt>
                <c:pt idx="24">
                  <c:v>Tưa lõi</c:v>
                </c:pt>
                <c:pt idx="25">
                  <c:v>Đứt Lõi</c:v>
                </c:pt>
                <c:pt idx="26">
                  <c:v>Thiếu dấu marking PS PSマーキング不足</c:v>
                </c:pt>
                <c:pt idx="27">
                  <c:v>Biến dạng vị trí Soket</c:v>
                </c:pt>
                <c:pt idx="28">
                  <c:v>Bị bể, mẻ, cấn</c:v>
                </c:pt>
                <c:pt idx="29">
                  <c:v>Xỏ ngược đầu</c:v>
                </c:pt>
                <c:pt idx="30">
                  <c:v>Bị gãy khóa</c:v>
                </c:pt>
                <c:pt idx="31">
                  <c:v>Bk không đạt</c:v>
                </c:pt>
                <c:pt idx="32">
                  <c:v>Rách</c:v>
                </c:pt>
                <c:pt idx="33">
                  <c:v>Contact bị cháy コン クト焼け</c:v>
                </c:pt>
                <c:pt idx="34">
                  <c:v>HKH NG</c:v>
                </c:pt>
                <c:pt idx="35">
                  <c:v>Tanshi dính HKH はん  着</c:v>
                </c:pt>
                <c:pt idx="36">
                  <c:v>Hở hộp nối 端子勘合部(接点）が開いている</c:v>
                </c:pt>
              </c:strCache>
            </c:strRef>
          </c:cat>
          <c:val>
            <c:numRef>
              <c:f>'Weekly Report'!$BU$78:$BU$114</c:f>
              <c:numCache>
                <c:formatCode>General</c:formatCode>
                <c:ptCount val="37"/>
                <c:pt idx="0">
                  <c:v>33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E-4475-8974-135F9B1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957648"/>
        <c:axId val="546956664"/>
      </c:barChart>
      <c:lineChart>
        <c:grouping val="standard"/>
        <c:varyColors val="0"/>
        <c:ser>
          <c:idx val="1"/>
          <c:order val="1"/>
          <c:tx>
            <c:strRef>
              <c:f>'Weekly Report'!$BW$77</c:f>
              <c:strCache>
                <c:ptCount val="1"/>
                <c:pt idx="0">
                  <c:v>Cumulative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'Weekly Report'!$BT$78:$BT$114</c:f>
              <c:strCache>
                <c:ptCount val="37"/>
                <c:pt idx="0">
                  <c:v>Sai phối màu 誤配色</c:v>
                </c:pt>
                <c:pt idx="1">
                  <c:v>Dây ngắn/dài</c:v>
                </c:pt>
                <c:pt idx="2">
                  <c:v>Tanshi biến dạng</c:v>
                </c:pt>
                <c:pt idx="3">
                  <c:v>Others for Processing</c:v>
                </c:pt>
                <c:pt idx="4">
                  <c:v>Ngắn, dài</c:v>
                </c:pt>
                <c:pt idx="5">
                  <c:v>Dính dị vật 端子が異物付き</c:v>
                </c:pt>
                <c:pt idx="6">
                  <c:v>Cấn, trầy</c:v>
                </c:pt>
                <c:pt idx="7">
                  <c:v>Dập sai</c:v>
                </c:pt>
                <c:pt idx="8">
                  <c:v>Thiếu dây</c:v>
                </c:pt>
                <c:pt idx="9">
                  <c:v>Bị trầy xước</c:v>
                </c:pt>
                <c:pt idx="10">
                  <c:v>Sai ống チューブ間違い</c:v>
                </c:pt>
                <c:pt idx="11">
                  <c:v>Ngược nút bọc</c:v>
                </c:pt>
                <c:pt idx="12">
                  <c:v>Thông dòng NG</c:v>
                </c:pt>
                <c:pt idx="13">
                  <c:v>Ngược Diode</c:v>
                </c:pt>
                <c:pt idx="14">
                  <c:v>Sai vị trí</c:v>
                </c:pt>
                <c:pt idx="15">
                  <c:v>Sai kích thước</c:v>
                </c:pt>
                <c:pt idx="16">
                  <c:v>Sút</c:v>
                </c:pt>
                <c:pt idx="17">
                  <c:v>Biến dạng</c:v>
                </c:pt>
                <c:pt idx="18">
                  <c:v>Hở</c:v>
                </c:pt>
                <c:pt idx="19">
                  <c:v>Gờ tanshi bám ít vào gờ housing ランスのロックが不十分</c:v>
                </c:pt>
                <c:pt idx="20">
                  <c:v>Tuột mấu ôm vỏ do tán cạn 浅打ちで被覆カシメ外れ</c:v>
                </c:pt>
                <c:pt idx="21">
                  <c:v>Thiếu ống</c:v>
                </c:pt>
                <c:pt idx="22">
                  <c:v>Bẩn, dơ</c:v>
                </c:pt>
                <c:pt idx="23">
                  <c:v>Cháy dây</c:v>
                </c:pt>
                <c:pt idx="24">
                  <c:v>Tưa lõi</c:v>
                </c:pt>
                <c:pt idx="25">
                  <c:v>Đứt Lõi</c:v>
                </c:pt>
                <c:pt idx="26">
                  <c:v>Thiếu dấu marking PS PSマーキング不足</c:v>
                </c:pt>
                <c:pt idx="27">
                  <c:v>Biến dạng vị trí Soket</c:v>
                </c:pt>
                <c:pt idx="28">
                  <c:v>Bị bể, mẻ, cấn</c:v>
                </c:pt>
                <c:pt idx="29">
                  <c:v>Xỏ ngược đầu</c:v>
                </c:pt>
                <c:pt idx="30">
                  <c:v>Bị gãy khóa</c:v>
                </c:pt>
                <c:pt idx="31">
                  <c:v>Bk không đạt</c:v>
                </c:pt>
                <c:pt idx="32">
                  <c:v>Rách</c:v>
                </c:pt>
                <c:pt idx="33">
                  <c:v>Contact bị cháy コン クト焼け</c:v>
                </c:pt>
                <c:pt idx="34">
                  <c:v>HKH NG</c:v>
                </c:pt>
                <c:pt idx="35">
                  <c:v>Tanshi dính HKH はん  着</c:v>
                </c:pt>
                <c:pt idx="36">
                  <c:v>Hở hộp nối 端子勘合部(接点）が開いている</c:v>
                </c:pt>
              </c:strCache>
            </c:strRef>
          </c:cat>
          <c:val>
            <c:numRef>
              <c:f>'Weekly Report'!$BW$78:$BW$114</c:f>
              <c:numCache>
                <c:formatCode>0</c:formatCode>
                <c:ptCount val="37"/>
                <c:pt idx="0">
                  <c:v>41.77215189873418</c:v>
                </c:pt>
                <c:pt idx="1">
                  <c:v>60.75949367088608</c:v>
                </c:pt>
                <c:pt idx="2">
                  <c:v>74.683544303797476</c:v>
                </c:pt>
                <c:pt idx="3">
                  <c:v>84.810126582278485</c:v>
                </c:pt>
                <c:pt idx="4">
                  <c:v>89.87341772151899</c:v>
                </c:pt>
                <c:pt idx="5">
                  <c:v>93.670886075949369</c:v>
                </c:pt>
                <c:pt idx="6">
                  <c:v>96.202531645569621</c:v>
                </c:pt>
                <c:pt idx="7">
                  <c:v>97.468354430379748</c:v>
                </c:pt>
                <c:pt idx="8">
                  <c:v>98.734177215189874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475-8974-135F9B1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4864"/>
        <c:axId val="546970440"/>
      </c:lineChart>
      <c:catAx>
        <c:axId val="546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NG</a:t>
                </a:r>
                <a:r>
                  <a:rPr lang="en-US" baseline="0">
                    <a:solidFill>
                      <a:srgbClr val="FFFF00"/>
                    </a:solidFill>
                  </a:rPr>
                  <a:t> content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21075217833922"/>
              <c:y val="0.84071668303075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6664"/>
        <c:crosses val="autoZero"/>
        <c:auto val="1"/>
        <c:lblAlgn val="ctr"/>
        <c:lblOffset val="100"/>
        <c:noMultiLvlLbl val="0"/>
      </c:catAx>
      <c:valAx>
        <c:axId val="546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FF00"/>
                    </a:solidFill>
                  </a:rPr>
                  <a:t>Quantity (pcs)</a:t>
                </a:r>
              </a:p>
            </c:rich>
          </c:tx>
          <c:layout>
            <c:manualLayout>
              <c:xMode val="edge"/>
              <c:yMode val="edge"/>
              <c:x val="5.2185246943053983E-3"/>
              <c:y val="4.9735286756637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653388914620968E-3"/>
                <c:y val="0.3305466889988384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69704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4864"/>
        <c:crosses val="max"/>
        <c:crossBetween val="between"/>
        <c:majorUnit val="20"/>
      </c:valAx>
      <c:catAx>
        <c:axId val="54696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97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05138283143397"/>
          <c:y val="2.6765093218409169E-2"/>
          <c:w val="0.27679567575742647"/>
          <c:h val="6.283610301771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48</xdr:row>
      <xdr:rowOff>66676</xdr:rowOff>
    </xdr:from>
    <xdr:to>
      <xdr:col>7</xdr:col>
      <xdr:colOff>750091</xdr:colOff>
      <xdr:row>65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2666E-282E-43E3-A5D1-7647B5B8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773906</xdr:colOff>
      <xdr:row>48</xdr:row>
      <xdr:rowOff>66675</xdr:rowOff>
    </xdr:from>
    <xdr:to>
      <xdr:col>13</xdr:col>
      <xdr:colOff>28575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5976E2-F759-4986-BB49-A81D5DAA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116</xdr:row>
      <xdr:rowOff>57150</xdr:rowOff>
    </xdr:from>
    <xdr:to>
      <xdr:col>7</xdr:col>
      <xdr:colOff>647700</xdr:colOff>
      <xdr:row>136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8822E-E005-42BF-8322-081A07299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653144</xdr:colOff>
      <xdr:row>116</xdr:row>
      <xdr:rowOff>57150</xdr:rowOff>
    </xdr:from>
    <xdr:to>
      <xdr:col>15</xdr:col>
      <xdr:colOff>1</xdr:colOff>
      <xdr:row>136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439925-A438-4068-AF4E-ABA95B084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476250</xdr:colOff>
      <xdr:row>15</xdr:row>
      <xdr:rowOff>20239</xdr:rowOff>
    </xdr:from>
    <xdr:to>
      <xdr:col>14</xdr:col>
      <xdr:colOff>35718</xdr:colOff>
      <xdr:row>38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16058-3DEA-4624-B2BA-E0085B002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876300</xdr:colOff>
      <xdr:row>56</xdr:row>
      <xdr:rowOff>85726</xdr:rowOff>
    </xdr:from>
    <xdr:to>
      <xdr:col>74</xdr:col>
      <xdr:colOff>857249</xdr:colOff>
      <xdr:row>73</xdr:row>
      <xdr:rowOff>171451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7A8CD6-8E4F-4A5A-89CE-88FD468E0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885824</xdr:colOff>
      <xdr:row>56</xdr:row>
      <xdr:rowOff>85726</xdr:rowOff>
    </xdr:from>
    <xdr:to>
      <xdr:col>80</xdr:col>
      <xdr:colOff>514349</xdr:colOff>
      <xdr:row>73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96D998-657D-45B6-8B54-7CBD66333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476250</xdr:colOff>
      <xdr:row>15</xdr:row>
      <xdr:rowOff>20239</xdr:rowOff>
    </xdr:from>
    <xdr:to>
      <xdr:col>81</xdr:col>
      <xdr:colOff>35718</xdr:colOff>
      <xdr:row>38</xdr:row>
      <xdr:rowOff>173831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8E98DD-A0C8-4F7A-BF79-8FDFFB83D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0</xdr:colOff>
      <xdr:row>117</xdr:row>
      <xdr:rowOff>85725</xdr:rowOff>
    </xdr:from>
    <xdr:to>
      <xdr:col>74</xdr:col>
      <xdr:colOff>676275</xdr:colOff>
      <xdr:row>137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86A3C-E5D0-44E8-9152-B0EB3595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695326</xdr:colOff>
      <xdr:row>117</xdr:row>
      <xdr:rowOff>85725</xdr:rowOff>
    </xdr:from>
    <xdr:to>
      <xdr:col>82</xdr:col>
      <xdr:colOff>0</xdr:colOff>
      <xdr:row>137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43B853-0423-4150-92A7-CF6FAE40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206828</xdr:colOff>
      <xdr:row>48</xdr:row>
      <xdr:rowOff>78266</xdr:rowOff>
    </xdr:from>
    <xdr:to>
      <xdr:col>7</xdr:col>
      <xdr:colOff>628648</xdr:colOff>
      <xdr:row>65</xdr:row>
      <xdr:rowOff>119710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DF70E-7C53-4EBB-A1DF-6879E689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647698</xdr:colOff>
      <xdr:row>48</xdr:row>
      <xdr:rowOff>76200</xdr:rowOff>
    </xdr:from>
    <xdr:to>
      <xdr:col>12</xdr:col>
      <xdr:colOff>1012370</xdr:colOff>
      <xdr:row>65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E2988-0BA0-47E7-81E0-5798FA444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7</xdr:col>
      <xdr:colOff>523874</xdr:colOff>
      <xdr:row>135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0BB8F-B409-43C5-85EC-2662B634E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115</xdr:row>
      <xdr:rowOff>0</xdr:rowOff>
    </xdr:from>
    <xdr:to>
      <xdr:col>15</xdr:col>
      <xdr:colOff>0</xdr:colOff>
      <xdr:row>135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260C9-6DE2-49A0-9D11-4938A2EE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154782</xdr:colOff>
      <xdr:row>15</xdr:row>
      <xdr:rowOff>47625</xdr:rowOff>
    </xdr:from>
    <xdr:to>
      <xdr:col>14</xdr:col>
      <xdr:colOff>35718</xdr:colOff>
      <xdr:row>39</xdr:row>
      <xdr:rowOff>20242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55631-0771-4B59-978F-CAFD089E1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141515</xdr:colOff>
      <xdr:row>56</xdr:row>
      <xdr:rowOff>76200</xdr:rowOff>
    </xdr:from>
    <xdr:to>
      <xdr:col>71</xdr:col>
      <xdr:colOff>523875</xdr:colOff>
      <xdr:row>74</xdr:row>
      <xdr:rowOff>66965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A52D6-2AD1-4881-B129-3850A334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542927</xdr:colOff>
      <xdr:row>56</xdr:row>
      <xdr:rowOff>76199</xdr:rowOff>
    </xdr:from>
    <xdr:to>
      <xdr:col>77</xdr:col>
      <xdr:colOff>32658</xdr:colOff>
      <xdr:row>74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B2B446-862A-4684-AFAE-72155BA9E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476250</xdr:colOff>
      <xdr:row>15</xdr:row>
      <xdr:rowOff>20239</xdr:rowOff>
    </xdr:from>
    <xdr:to>
      <xdr:col>78</xdr:col>
      <xdr:colOff>35718</xdr:colOff>
      <xdr:row>38</xdr:row>
      <xdr:rowOff>173831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3C4DA-0334-4DEF-B219-31078BA36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8163</xdr:colOff>
      <xdr:row>117</xdr:row>
      <xdr:rowOff>66670</xdr:rowOff>
    </xdr:from>
    <xdr:to>
      <xdr:col>71</xdr:col>
      <xdr:colOff>571499</xdr:colOff>
      <xdr:row>137</xdr:row>
      <xdr:rowOff>133344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FF6601-B936-4F12-B5FC-B3A551C8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581025</xdr:colOff>
      <xdr:row>117</xdr:row>
      <xdr:rowOff>66675</xdr:rowOff>
    </xdr:from>
    <xdr:to>
      <xdr:col>78</xdr:col>
      <xdr:colOff>933450</xdr:colOff>
      <xdr:row>137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9701EB-2818-4CE9-871C-A0784B5D5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587828</xdr:colOff>
      <xdr:row>48</xdr:row>
      <xdr:rowOff>85726</xdr:rowOff>
    </xdr:from>
    <xdr:to>
      <xdr:col>10</xdr:col>
      <xdr:colOff>250372</xdr:colOff>
      <xdr:row>65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1DED6-954F-40B7-89E4-13E49396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304801</xdr:colOff>
      <xdr:row>48</xdr:row>
      <xdr:rowOff>85726</xdr:rowOff>
    </xdr:from>
    <xdr:to>
      <xdr:col>17</xdr:col>
      <xdr:colOff>32659</xdr:colOff>
      <xdr:row>65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5E371-9B8B-4DB4-8FB9-6A92CB9C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71436</xdr:rowOff>
    </xdr:from>
    <xdr:to>
      <xdr:col>18</xdr:col>
      <xdr:colOff>11906</xdr:colOff>
      <xdr:row>38</xdr:row>
      <xdr:rowOff>116497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6F4C5024-A520-489D-88FE-A693F175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117</xdr:row>
      <xdr:rowOff>17693</xdr:rowOff>
    </xdr:from>
    <xdr:to>
      <xdr:col>10</xdr:col>
      <xdr:colOff>130968</xdr:colOff>
      <xdr:row>137</xdr:row>
      <xdr:rowOff>103418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D31DC-9FEB-4EDA-AF4C-BBE0C0820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161925</xdr:colOff>
      <xdr:row>117</xdr:row>
      <xdr:rowOff>17693</xdr:rowOff>
    </xdr:from>
    <xdr:to>
      <xdr:col>20</xdr:col>
      <xdr:colOff>0</xdr:colOff>
      <xdr:row>137</xdr:row>
      <xdr:rowOff>103418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0F406E-16E4-4BDD-AA7F-96E20AD3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587829</xdr:colOff>
      <xdr:row>56</xdr:row>
      <xdr:rowOff>76200</xdr:rowOff>
    </xdr:from>
    <xdr:to>
      <xdr:col>79</xdr:col>
      <xdr:colOff>478972</xdr:colOff>
      <xdr:row>74</xdr:row>
      <xdr:rowOff>86102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519A8A-9DD7-4A25-9F2D-A4AAA9415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79</xdr:col>
      <xdr:colOff>533400</xdr:colOff>
      <xdr:row>56</xdr:row>
      <xdr:rowOff>76199</xdr:rowOff>
    </xdr:from>
    <xdr:to>
      <xdr:col>86</xdr:col>
      <xdr:colOff>65315</xdr:colOff>
      <xdr:row>74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115FD-EFF0-4416-9F67-0F3FF3021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476250</xdr:colOff>
      <xdr:row>15</xdr:row>
      <xdr:rowOff>20239</xdr:rowOff>
    </xdr:from>
    <xdr:to>
      <xdr:col>88</xdr:col>
      <xdr:colOff>35718</xdr:colOff>
      <xdr:row>38</xdr:row>
      <xdr:rowOff>173831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050BE2-7568-4693-91C6-CC4B6366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0</xdr:colOff>
      <xdr:row>120</xdr:row>
      <xdr:rowOff>21774</xdr:rowOff>
    </xdr:from>
    <xdr:to>
      <xdr:col>78</xdr:col>
      <xdr:colOff>781050</xdr:colOff>
      <xdr:row>140</xdr:row>
      <xdr:rowOff>92531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F03246-715F-472F-875E-62ABA126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805544</xdr:colOff>
      <xdr:row>120</xdr:row>
      <xdr:rowOff>21774</xdr:rowOff>
    </xdr:from>
    <xdr:to>
      <xdr:col>89</xdr:col>
      <xdr:colOff>1</xdr:colOff>
      <xdr:row>140</xdr:row>
      <xdr:rowOff>92531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4306FB-3CB2-4598-A2A0-CA7F42B4F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C651E7-788A-4440-8264-66CC440FD37C}" autoFormatId="16" applyNumberFormats="0" applyBorderFormats="0" applyFontFormats="0" applyPatternFormats="0" applyAlignmentFormats="0" applyWidthHeightFormats="0">
  <queryTableRefresh nextId="73">
    <queryTableFields count="25">
      <queryTableField id="1" name="Weeknum" tableColumnId="1"/>
      <queryTableField id="2" name="Month-Year" tableColumnId="2"/>
      <queryTableField id="3" name="Register Date" tableColumnId="3"/>
      <queryTableField id="4" name="MFG Date" tableColumnId="4"/>
      <queryTableField id="5" name="Year" tableColumnId="5"/>
      <queryTableField id="6" name="Month" tableColumnId="6"/>
      <queryTableField id="7" name="Day" tableColumnId="7"/>
      <queryTableField id="8" name="Code" tableColumnId="8"/>
      <queryTableField id="9" name="Customer" tableColumnId="9"/>
      <queryTableField id="10" name="Product code" tableColumnId="10"/>
      <queryTableField id="11" name="Note" tableColumnId="11"/>
      <queryTableField id="12" name="Product type" tableColumnId="12"/>
      <queryTableField id="57" name="Total Produce" tableColumnId="14"/>
      <queryTableField id="17" name="Total NG" tableColumnId="17"/>
      <queryTableField id="58" name="Specific Amount" tableColumnId="15"/>
      <queryTableField id="59" name="Total NG from material" tableColumnId="18"/>
      <queryTableField id="16" name="Total NG from machine" tableColumnId="16"/>
      <queryTableField id="60" name="NG Type" tableColumnId="19"/>
      <queryTableField id="61" name="Comp." tableColumnId="20"/>
      <queryTableField id="62" name="Category" tableColumnId="21"/>
      <queryTableField id="63" name="NG content" tableColumnId="22"/>
      <queryTableField id="64" name="Reson for Others" tableColumnId="23"/>
      <queryTableField id="65" name="Remark" tableColumnId="24"/>
      <queryTableField id="66" name="Column25" tableColumnId="25"/>
      <queryTableField id="67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4B00E-7FED-4FBD-8678-56C3AA99E609}" name="Table_Assembly" displayName="Table_Assembly" ref="A1:Y1111" tableType="queryTable" totalsRowShown="0" headerRowDxfId="26" dataDxfId="25">
  <autoFilter ref="A1:Y1111" xr:uid="{E6D4B00E-7FED-4FBD-8678-56C3AA99E609}"/>
  <tableColumns count="25">
    <tableColumn id="1" xr3:uid="{9177A86E-2D4F-44B0-A795-8FCADB2C5015}" uniqueName="1" name="Weeknum" queryTableFieldId="1" dataDxfId="24"/>
    <tableColumn id="2" xr3:uid="{E90520C9-71DA-4156-AE32-83C40AB777D5}" uniqueName="2" name="Month-Year" queryTableFieldId="2" dataDxfId="23"/>
    <tableColumn id="3" xr3:uid="{9A6622C4-3347-4337-82A3-687873C52C55}" uniqueName="3" name="Register Date" queryTableFieldId="3" dataDxfId="22"/>
    <tableColumn id="4" xr3:uid="{F440ED02-724F-416D-98BF-09053FC75EBC}" uniqueName="4" name="MFG Date" queryTableFieldId="4" dataDxfId="21"/>
    <tableColumn id="5" xr3:uid="{4C3BF502-5AEB-496D-901F-DF6DDC6081E9}" uniqueName="5" name="Year" queryTableFieldId="5" dataDxfId="20"/>
    <tableColumn id="6" xr3:uid="{58058F76-FE89-475D-A49C-79589BD48ECB}" uniqueName="6" name="Month" queryTableFieldId="6" dataDxfId="19"/>
    <tableColumn id="7" xr3:uid="{261851FE-34BE-4CA5-91D5-7CC88D30CF9F}" uniqueName="7" name="Day" queryTableFieldId="7" dataDxfId="18"/>
    <tableColumn id="8" xr3:uid="{19AA69FC-4193-438B-861E-5D5B6BF96C7E}" uniqueName="8" name="Code" queryTableFieldId="8" dataDxfId="17"/>
    <tableColumn id="9" xr3:uid="{5132FABD-7960-4E34-8DD2-ED5DB0731414}" uniqueName="9" name="Customer" queryTableFieldId="9" dataDxfId="16"/>
    <tableColumn id="10" xr3:uid="{98F44D63-06B0-4993-9EE4-2DA13EC754C6}" uniqueName="10" name="Product code" queryTableFieldId="10" dataDxfId="15"/>
    <tableColumn id="11" xr3:uid="{8A039D7A-5219-4592-ADDC-8055EFFDDBCD}" uniqueName="11" name="Note" queryTableFieldId="11" dataDxfId="14"/>
    <tableColumn id="12" xr3:uid="{66C88E0E-69D3-42B9-A390-6971B546D6B6}" uniqueName="12" name="Product type" queryTableFieldId="12" dataDxfId="13"/>
    <tableColumn id="14" xr3:uid="{CF307F2B-17D9-4F22-91F2-725F49DB9BEC}" uniqueName="14" name="Total Produce" queryTableFieldId="57" dataDxfId="12"/>
    <tableColumn id="17" xr3:uid="{83D0A3DB-0E37-4815-B463-D5F9223EDF8E}" uniqueName="17" name="Total NG" queryTableFieldId="17" dataDxfId="11"/>
    <tableColumn id="15" xr3:uid="{E3439451-9C57-4703-B5E0-0C1111C966D2}" uniqueName="15" name="Specific Amount" queryTableFieldId="58" dataDxfId="10"/>
    <tableColumn id="18" xr3:uid="{A5B0938B-260A-48EA-9061-A80F95A7C719}" uniqueName="18" name="Total NG from material" queryTableFieldId="59" dataDxfId="9"/>
    <tableColumn id="16" xr3:uid="{5D1CB81F-9083-4BA8-8E6E-65EDCF1C95F6}" uniqueName="16" name="Total NG from machine" queryTableFieldId="16" dataDxfId="8"/>
    <tableColumn id="19" xr3:uid="{31261964-AC82-4EBA-984D-0DC28D235A84}" uniqueName="19" name="NG Type" queryTableFieldId="60" dataDxfId="7"/>
    <tableColumn id="20" xr3:uid="{FC27DBFA-19C8-4DCE-BDCF-55F49445265D}" uniqueName="20" name="Comp." queryTableFieldId="61" dataDxfId="6"/>
    <tableColumn id="21" xr3:uid="{889F88F8-D5D6-4E76-805C-B1477C0FA03D}" uniqueName="21" name="Category" queryTableFieldId="62" dataDxfId="5"/>
    <tableColumn id="22" xr3:uid="{BC0325FB-FB1A-4F51-9912-EC7BDA714419}" uniqueName="22" name="NG content" queryTableFieldId="63" dataDxfId="4"/>
    <tableColumn id="23" xr3:uid="{C5EEB3BB-C089-44F6-A05F-028AAD44A28F}" uniqueName="23" name="Reson for Others" queryTableFieldId="64" dataDxfId="3"/>
    <tableColumn id="24" xr3:uid="{D0D3041E-2AD2-4155-8721-21AD50DD9F69}" uniqueName="24" name="Remark" queryTableFieldId="65" dataDxfId="2"/>
    <tableColumn id="25" xr3:uid="{CB66C5C8-CC5F-46A4-9C8B-E0F3E8D5D66A}" uniqueName="25" name="Column25" queryTableFieldId="66" dataDxfId="1"/>
    <tableColumn id="26" xr3:uid="{1861FED6-5372-4F56-86D5-C324051C9D75}" uniqueName="26" name="Column26" queryTableFieldId="6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746"/>
  <sheetViews>
    <sheetView showGridLines="0" tabSelected="1" zoomScale="70" zoomScaleNormal="70" workbookViewId="0">
      <selection activeCell="I9" sqref="I9"/>
    </sheetView>
  </sheetViews>
  <sheetFormatPr defaultColWidth="9.1328125" defaultRowHeight="14.75"/>
  <cols>
    <col min="1" max="2" width="14.7265625" style="6" customWidth="1"/>
    <col min="3" max="3" width="3.7265625" style="6" customWidth="1"/>
    <col min="4" max="4" width="14.7265625" style="6" customWidth="1"/>
    <col min="5" max="5" width="24.26953125" style="6" customWidth="1"/>
    <col min="6" max="14" width="13.7265625" style="6" customWidth="1"/>
    <col min="15" max="15" width="13.7265625" style="12" customWidth="1"/>
    <col min="16" max="24" width="9.1328125" style="12" hidden="1" customWidth="1"/>
    <col min="25" max="25" width="11.26953125" style="12" hidden="1" customWidth="1"/>
    <col min="26" max="56" width="12.1328125" style="12" hidden="1" customWidth="1"/>
    <col min="57" max="66" width="9.1328125" style="12" hidden="1" customWidth="1"/>
    <col min="67" max="67" width="9.1328125" style="12"/>
    <col min="68" max="69" width="13.7265625" style="6" customWidth="1"/>
    <col min="70" max="70" width="3.7265625" style="6" customWidth="1"/>
    <col min="71" max="71" width="9.1328125" style="6"/>
    <col min="72" max="72" width="20.1328125" style="6" customWidth="1"/>
    <col min="73" max="81" width="13.7265625" style="6" customWidth="1"/>
    <col min="82" max="82" width="13.7265625" style="12" customWidth="1"/>
    <col min="83" max="96" width="9.1328125" style="6" hidden="1" customWidth="1"/>
    <col min="97" max="97" width="20.26953125" style="6" hidden="1" customWidth="1"/>
    <col min="98" max="104" width="9.1328125" style="6" hidden="1" customWidth="1"/>
    <col min="105" max="105" width="9.1328125" style="6" customWidth="1"/>
    <col min="106" max="16384" width="9.1328125" style="6"/>
  </cols>
  <sheetData>
    <row r="1" spans="1:104" ht="25" thickTop="1" thickBot="1">
      <c r="A1" s="89" t="s">
        <v>119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8"/>
      <c r="BP1" s="191" t="s">
        <v>120</v>
      </c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3"/>
    </row>
    <row r="2" spans="1:104" ht="20" thickTop="1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BP2" s="104"/>
      <c r="BQ2" s="23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3"/>
    </row>
    <row r="3" spans="1:104" ht="15.5">
      <c r="A3" s="169" t="s">
        <v>83</v>
      </c>
      <c r="B3" s="129" t="s">
        <v>71</v>
      </c>
      <c r="C3" s="22"/>
      <c r="D3" s="206"/>
      <c r="E3" s="198"/>
      <c r="F3" s="200" t="s">
        <v>29</v>
      </c>
      <c r="G3" s="201"/>
      <c r="H3" s="201"/>
      <c r="I3" s="201"/>
      <c r="J3" s="201"/>
      <c r="K3" s="201"/>
      <c r="L3" s="201"/>
      <c r="M3" s="202"/>
      <c r="N3" s="21"/>
      <c r="O3" s="84"/>
      <c r="BP3" s="105"/>
      <c r="BQ3" s="23"/>
      <c r="BR3" s="22"/>
      <c r="BS3" s="196"/>
      <c r="BT3" s="198"/>
      <c r="BU3" s="200" t="s">
        <v>121</v>
      </c>
      <c r="BV3" s="201"/>
      <c r="BW3" s="201"/>
      <c r="BX3" s="201"/>
      <c r="BY3" s="201"/>
      <c r="BZ3" s="201"/>
      <c r="CA3" s="201"/>
      <c r="CB3" s="202"/>
      <c r="CC3" s="22"/>
      <c r="CD3" s="114"/>
    </row>
    <row r="4" spans="1:104" ht="15.5" thickBot="1">
      <c r="A4" s="170"/>
      <c r="B4" s="28"/>
      <c r="C4" s="23"/>
      <c r="D4" s="207"/>
      <c r="E4" s="208"/>
      <c r="F4" s="60">
        <f>B13</f>
        <v>45061</v>
      </c>
      <c r="G4" s="61">
        <f t="shared" ref="G4:L4" si="0">IFERROR(IF(F4=$B$15,"",F4+1),"")</f>
        <v>45062</v>
      </c>
      <c r="H4" s="61">
        <f t="shared" si="0"/>
        <v>45063</v>
      </c>
      <c r="I4" s="61">
        <f t="shared" si="0"/>
        <v>45064</v>
      </c>
      <c r="J4" s="61">
        <f t="shared" si="0"/>
        <v>45065</v>
      </c>
      <c r="K4" s="61">
        <f t="shared" si="0"/>
        <v>45066</v>
      </c>
      <c r="L4" s="62">
        <f t="shared" si="0"/>
        <v>45067</v>
      </c>
      <c r="M4" s="63" t="s">
        <v>62</v>
      </c>
      <c r="N4" s="23"/>
      <c r="O4" s="85"/>
      <c r="P4" s="12" t="e">
        <f>SUMIFS(#REF!,#REF!,'Weekly Report'!D5:D7,#REF!,'Weekly Report'!K4)</f>
        <v>#REF!</v>
      </c>
      <c r="BH4" s="12" t="b">
        <f>AND(BF5,BI5)</f>
        <v>1</v>
      </c>
      <c r="BP4" s="105"/>
      <c r="BQ4" s="23"/>
      <c r="BR4" s="23"/>
      <c r="BS4" s="197"/>
      <c r="BT4" s="199"/>
      <c r="BU4" s="60">
        <f>F4</f>
        <v>45061</v>
      </c>
      <c r="BV4" s="61">
        <f t="shared" ref="BV4" si="1">IFERROR(IF(BU4=$B$15,"",BU4+1),"")</f>
        <v>45062</v>
      </c>
      <c r="BW4" s="61">
        <f t="shared" ref="BW4" si="2">IFERROR(IF(BV4=$B$15,"",BV4+1),"")</f>
        <v>45063</v>
      </c>
      <c r="BX4" s="61">
        <f t="shared" ref="BX4" si="3">IFERROR(IF(BW4=$B$15,"",BW4+1),"")</f>
        <v>45064</v>
      </c>
      <c r="BY4" s="61">
        <f t="shared" ref="BY4" si="4">IFERROR(IF(BX4=$B$15,"",BX4+1),"")</f>
        <v>45065</v>
      </c>
      <c r="BZ4" s="61">
        <f t="shared" ref="BZ4" si="5">IFERROR(IF(BY4=$B$15,"",BY4+1),"")</f>
        <v>45066</v>
      </c>
      <c r="CA4" s="62">
        <f t="shared" ref="CA4" si="6">IFERROR(IF(BZ4=$B$15,"",BZ4+1),"")</f>
        <v>45067</v>
      </c>
      <c r="CB4" s="63" t="s">
        <v>62</v>
      </c>
      <c r="CC4" s="23"/>
      <c r="CD4" s="85"/>
    </row>
    <row r="5" spans="1:104" ht="16.25" thickTop="1" thickBot="1">
      <c r="A5" s="26" t="s">
        <v>25</v>
      </c>
      <c r="B5" s="29" t="s">
        <v>71</v>
      </c>
      <c r="C5" s="140"/>
      <c r="D5" s="209" t="s">
        <v>63</v>
      </c>
      <c r="E5" s="18" t="s">
        <v>64</v>
      </c>
      <c r="F5" s="50">
        <f>IF($F$4="","",
IF($BH$4=TRUE,SUMIFS(Table_Assembly[Total Produce],Table_Assembly[Product type],$D$5,Table_Assembly[MFG Date],$F$4),
IF(AND($BF$5=TRUE,$BI$5=FALSE),SUMIFS(Table_Assembly[Total Produce],Table_Assembly[Product type],$D$5,Table_Assembly[MFG Date],$F$4),
IF(AND($BF$5=FALSE,$BI$5=TRUE),SUMIFS(Table_Assembly[Total Produce],Table_Assembly[Customer],$B$5,Table_Assembly[Product type],$D$5,Table_Assembly[MFG Date],$F$4),
IF(AND($BI$5=FALSE,$BH$5=FALSE),SUMIFS(Table_Assembly[Total Produce],Table_Assembly[Customer],$B$5,Table_Assembly[Product type],$D$5,Table_Assembly[MFG Date],$F$4),"")))))</f>
        <v>35124</v>
      </c>
      <c r="G5" s="50">
        <f>IF($G$4="","",
IF($BH$4=TRUE,SUMIFS(Table_Assembly[Total Produce],Table_Assembly[Product type],$D$5,Table_Assembly[MFG Date],$G$4),
IF(AND($BF$5=TRUE,$BI$5=FALSE),SUMIFS(Table_Assembly[Total Produce],Table_Assembly[Product type],$D$5,Table_Assembly[MFG Date],$G$4),
IF(AND($BF$5=FALSE,$BI$5=TRUE),SUMIFS(Table_Assembly[Total Produce],Table_Assembly[Customer],$B$5,Table_Assembly[Product type],$D$5,Table_Assembly[MFG Date],$G$4),
IF(AND($BI$5=FALSE,$BH$5=FALSE),SUMIFS(Table_Assembly[Total Produce],Table_Assembly[Customer],$B$5,Table_Assembly[Product type],$D$5,Table_Assembly[MFG Date],$G$4),"")))))</f>
        <v>37727</v>
      </c>
      <c r="H5" s="50">
        <f>IF($H$4="","",
IF($BH$4=TRUE,SUMIFS(Table_Assembly[Total Produce],Table_Assembly[Product type],$D$5,Table_Assembly[MFG Date],$H$4),
IF(AND($BF$5=TRUE,$BI$5=FALSE),SUMIFS(Table_Assembly[Total Produce],Table_Assembly[Product type],$D$5,Table_Assembly[MFG Date],$H$4),
IF(AND($BF$5=FALSE,$BI$5=TRUE),SUMIFS(Table_Assembly[Total Produce],Table_Assembly[Customer],$B$5,Table_Assembly[Product type],$D$5,Table_Assembly[MFG Date],$H$4),
IF(AND($BI$5=FALSE,$BH$5=FALSE),SUMIFS(Table_Assembly[Total Produce],Table_Assembly[Customer],$B$5,Table_Assembly[Product type],$D$5,Table_Assembly[MFG Date],$H$4),"")))))</f>
        <v>32741</v>
      </c>
      <c r="I5" s="50">
        <f>IF($I$4="","",
IF($BH$4=TRUE,SUMIFS(Table_Assembly[Total Produce],Table_Assembly[Product type],$D$5,Table_Assembly[MFG Date],$I$4),
IF(AND($BF$5=TRUE,$BI$5=FALSE),SUMIFS(Table_Assembly[Total Produce],Table_Assembly[Product type],$D$5,Table_Assembly[MFG Date],$I$4),
IF(AND($BF$5=FALSE,$BI$5=TRUE),SUMIFS(Table_Assembly[Total Produce],Table_Assembly[Customer],$B$5,Table_Assembly[Product type],$D$5,Table_Assembly[MFG Date],$I$4),
IF(AND($BI$5=FALSE,$BH$5=FALSE),SUMIFS(Table_Assembly[Total Produce],Table_Assembly[Customer],$B$5,Table_Assembly[Product type],$D$5,Table_Assembly[MFG Date],$I$4),"")))))</f>
        <v>30173</v>
      </c>
      <c r="J5" s="50">
        <f>IF($J$4="","",
IF($BH$4=TRUE,SUMIFS(Table_Assembly[Total Produce],Table_Assembly[Product type],$D$5,Table_Assembly[MFG Date],$J$4),
IF(AND($BF$5=TRUE,$BI$5=FALSE),SUMIFS(Table_Assembly[Total Produce],Table_Assembly[Product type],$D$5,Table_Assembly[MFG Date],$J$4),
IF(AND($BF$5=FALSE,$BI$5=TRUE),SUMIFS(Table_Assembly[Total Produce],Table_Assembly[Customer],$B$5,Table_Assembly[Product type],$D$5,Table_Assembly[MFG Date],$J$4),
IF(AND($BI$5=FALSE,$BH$5=FALSE),SUMIFS(Table_Assembly[Total Produce],Table_Assembly[Customer],$B$5,Table_Assembly[Product type],$D$5,Table_Assembly[MFG Date],$J$4),"")))))</f>
        <v>27403</v>
      </c>
      <c r="K5" s="50">
        <f>IF($K$4="","",
IF($BH$4=TRUE,SUMIFS(Table_Assembly[Total Produce],Table_Assembly[Product type],$D$5,Table_Assembly[MFG Date],$K$4),
IF(AND($BF$5=TRUE,$BI$5=FALSE),SUMIFS(Table_Assembly[Total Produce],Table_Assembly[Product type],$D$5,Table_Assembly[MFG Date],$K$4),
IF(AND($BF$5=FALSE,$BI$5=TRUE),SUMIFS(Table_Assembly[Total Produce],Table_Assembly[Customer],$B$5,Table_Assembly[Product type],$D$5,Table_Assembly[MFG Date],$K$4),
IF(AND($BI$5=FALSE,$BH$5=FALSE),SUMIFS(Table_Assembly[Total Produce],Table_Assembly[Customer],$B$5,Table_Assembly[Product type],$D$5,Table_Assembly[MFG Date],$K$4),"")))))</f>
        <v>23955</v>
      </c>
      <c r="L5" s="51">
        <f>IF($L$4="","",
IF($BH$4=TRUE,SUMIFS(Table_Assembly[Total Produce],Table_Assembly[Product type],$D$5,Table_Assembly[MFG Date],$L$4),
IF(AND($BF$5=TRUE,$BI$5=FALSE),SUMIFS(Table_Assembly[Total Produce],Table_Assembly[Product type],$D$5,Table_Assembly[MFG Date],$L$4),
IF(AND($BF$5=FALSE,$BI$5=TRUE),SUMIFS(Table_Assembly[Total Produce],Table_Assembly[Customer],$B$5,Table_Assembly[Product type],$D$5,Table_Assembly[MFG Date],$L$4),
IF(AND($BI$5=FALSE,$BH$5=FALSE),SUMIFS(Table_Assembly[Total Produce],Table_Assembly[Customer],$B$5,Table_Assembly[Product type],$D$5,Table_Assembly[MFG Date],$L$4),"")))))</f>
        <v>0</v>
      </c>
      <c r="M5" s="52">
        <f>SUM(F5:L5)</f>
        <v>187123</v>
      </c>
      <c r="N5" s="23"/>
      <c r="O5" s="85"/>
      <c r="BF5" s="12" t="b">
        <f>$B$5=BG5</f>
        <v>1</v>
      </c>
      <c r="BG5" s="12" t="s">
        <v>71</v>
      </c>
      <c r="BH5" s="12" t="str">
        <f ca="1">OFFSET($BG$5,0,0,COUNTA($BG$5:$BG$52))</f>
        <v>All</v>
      </c>
      <c r="BI5" s="12" t="b">
        <f>B3=BJ5</f>
        <v>1</v>
      </c>
      <c r="BJ5" s="12" t="s">
        <v>71</v>
      </c>
      <c r="BP5" s="105"/>
      <c r="BQ5" s="23"/>
      <c r="BR5" s="23"/>
      <c r="BS5" s="187" t="s">
        <v>63</v>
      </c>
      <c r="BT5" s="18" t="s">
        <v>64</v>
      </c>
      <c r="BU5" s="50">
        <f>IF($F$4="","",
IF($BH$4=TRUE,SUMIFS(Table_Assembly[Total Produce],Table_Assembly[Product type],$D$5,Table_Assembly[MFG Date],$F$4),
IF(AND($BF$5=TRUE,$BI$5=FALSE),SUMIFS(Table_Assembly[Total Produce],Table_Assembly[Product type],$D$5,Table_Assembly[MFG Date],$F$4),
IF(AND($BF$5=FALSE,$BI$5=TRUE),SUMIFS(Table_Assembly[Total Produce],Table_Assembly[Customer],$B$5,Table_Assembly[Product type],$D$5,Table_Assembly[MFG Date],$F$4),
IF(AND($BI$5=FALSE,$BH$5=FALSE),SUMIFS(Table_Assembly[Total Produce],Table_Assembly[Customer],$B$5,Table_Assembly[Product type],$D$5,Table_Assembly[MFG Date],$F$4),"")))))</f>
        <v>35124</v>
      </c>
      <c r="BV5" s="50">
        <f>IF($G$4="","",
IF($BH$4=TRUE,SUMIFS(Table_Assembly[Total Produce],Table_Assembly[Product type],$D$5,Table_Assembly[MFG Date],$G$4),
IF(AND($BF$5=TRUE,$BI$5=FALSE),SUMIFS(Table_Assembly[Total Produce],Table_Assembly[Product type],$D$5,Table_Assembly[MFG Date],$G$4),
IF(AND($BF$5=FALSE,$BI$5=TRUE),SUMIFS(Table_Assembly[Total Produce],Table_Assembly[Customer],$B$5,Table_Assembly[Product type],$D$5,Table_Assembly[MFG Date],$G$4),
IF(AND($BI$5=FALSE,$BH$5=FALSE),SUMIFS(Table_Assembly[Total Produce],Table_Assembly[Customer],$B$5,Table_Assembly[Product type],$D$5,Table_Assembly[MFG Date],$G$4),"")))))</f>
        <v>37727</v>
      </c>
      <c r="BW5" s="50">
        <f>IF($H$4="","",
IF($BH$4=TRUE,SUMIFS(Table_Assembly[Total Produce],Table_Assembly[Product type],$D$5,Table_Assembly[MFG Date],$H$4),
IF(AND($BF$5=TRUE,$BI$5=FALSE),SUMIFS(Table_Assembly[Total Produce],Table_Assembly[Product type],$D$5,Table_Assembly[MFG Date],$H$4),
IF(AND($BF$5=FALSE,$BI$5=TRUE),SUMIFS(Table_Assembly[Total Produce],Table_Assembly[Customer],$B$5,Table_Assembly[Product type],$D$5,Table_Assembly[MFG Date],$H$4),
IF(AND($BI$5=FALSE,$BH$5=FALSE),SUMIFS(Table_Assembly[Total Produce],Table_Assembly[Customer],$B$5,Table_Assembly[Product type],$D$5,Table_Assembly[MFG Date],$H$4),"")))))</f>
        <v>32741</v>
      </c>
      <c r="BX5" s="50">
        <f>IF($I$4="","",
IF($BH$4=TRUE,SUMIFS(Table_Assembly[Total Produce],Table_Assembly[Product type],$D$5,Table_Assembly[MFG Date],$I$4),
IF(AND($BF$5=TRUE,$BI$5=FALSE),SUMIFS(Table_Assembly[Total Produce],Table_Assembly[Product type],$D$5,Table_Assembly[MFG Date],$I$4),
IF(AND($BF$5=FALSE,$BI$5=TRUE),SUMIFS(Table_Assembly[Total Produce],Table_Assembly[Customer],$B$5,Table_Assembly[Product type],$D$5,Table_Assembly[MFG Date],$I$4),
IF(AND($BI$5=FALSE,$BH$5=FALSE),SUMIFS(Table_Assembly[Total Produce],Table_Assembly[Customer],$B$5,Table_Assembly[Product type],$D$5,Table_Assembly[MFG Date],$I$4),"")))))</f>
        <v>30173</v>
      </c>
      <c r="BY5" s="50">
        <f>IF($J$4="","",
IF($BH$4=TRUE,SUMIFS(Table_Assembly[Total Produce],Table_Assembly[Product type],$D$5,Table_Assembly[MFG Date],$J$4),
IF(AND($BF$5=TRUE,$BI$5=FALSE),SUMIFS(Table_Assembly[Total Produce],Table_Assembly[Product type],$D$5,Table_Assembly[MFG Date],$J$4),
IF(AND($BF$5=FALSE,$BI$5=TRUE),SUMIFS(Table_Assembly[Total Produce],Table_Assembly[Customer],$B$5,Table_Assembly[Product type],$D$5,Table_Assembly[MFG Date],$J$4),
IF(AND($BI$5=FALSE,$BH$5=FALSE),SUMIFS(Table_Assembly[Total Produce],Table_Assembly[Customer],$B$5,Table_Assembly[Product type],$D$5,Table_Assembly[MFG Date],$J$4),"")))))</f>
        <v>27403</v>
      </c>
      <c r="BZ5" s="50">
        <f>IF($K$4="","",
IF($BH$4=TRUE,SUMIFS(Table_Assembly[Total Produce],Table_Assembly[Product type],$D$5,Table_Assembly[MFG Date],$K$4),
IF(AND($BF$5=TRUE,$BI$5=FALSE),SUMIFS(Table_Assembly[Total Produce],Table_Assembly[Product type],$D$5,Table_Assembly[MFG Date],$K$4),
IF(AND($BF$5=FALSE,$BI$5=TRUE),SUMIFS(Table_Assembly[Total Produce],Table_Assembly[Customer],$B$5,Table_Assembly[Product type],$D$5,Table_Assembly[MFG Date],$K$4),
IF(AND($BI$5=FALSE,$BH$5=FALSE),SUMIFS(Table_Assembly[Total Produce],Table_Assembly[Customer],$B$5,Table_Assembly[Product type],$D$5,Table_Assembly[MFG Date],$K$4),"")))))</f>
        <v>23955</v>
      </c>
      <c r="CA5" s="51">
        <f>IF($L$4="","",
IF($BH$4=TRUE,SUMIFS(Table_Assembly[Total Produce],Table_Assembly[Product type],$D$5,Table_Assembly[MFG Date],$L$4),
IF(AND($BF$5=TRUE,$BI$5=FALSE),SUMIFS(Table_Assembly[Total Produce],Table_Assembly[Product type],$D$5,Table_Assembly[MFG Date],$L$4),
IF(AND($BF$5=FALSE,$BI$5=TRUE),SUMIFS(Table_Assembly[Total Produce],Table_Assembly[Customer],$B$5,Table_Assembly[Product type],$D$5,Table_Assembly[MFG Date],$L$4),
IF(AND($BI$5=FALSE,$BH$5=FALSE),SUMIFS(Table_Assembly[Total Produce],Table_Assembly[Customer],$B$5,Table_Assembly[Product type],$D$5,Table_Assembly[MFG Date],$L$4),"")))))</f>
        <v>0</v>
      </c>
      <c r="CB5" s="52">
        <f>SUM(BU5:CA5)</f>
        <v>187123</v>
      </c>
      <c r="CC5" s="23"/>
      <c r="CD5" s="85"/>
    </row>
    <row r="6" spans="1:104" ht="15.5" thickBot="1">
      <c r="A6" s="27"/>
      <c r="B6" s="28"/>
      <c r="C6" s="140"/>
      <c r="D6" s="204"/>
      <c r="E6" s="19" t="s">
        <v>65</v>
      </c>
      <c r="F6" s="40">
        <f>IF($F$4="","",
IF($BH$4=TRUE,SUMIFS(Table_Assembly[Total NG],Table_Assembly[Product type],$D$5,Table_Assembly[MFG Date],$F$4),
IF(AND($BF$5=TRUE,$BI$5=FALSE),SUMIFS(Table_Assembly[Total NG],Table_Assembly[Product type],$D$5,Table_Assembly[MFG Date],$F$4),
IF(AND($BF$5=FALSE,$BI$5=TRUE),SUMIFS(Table_Assembly[Total NG],Table_Assembly[Customer],$B$5,Table_Assembly[Product type],$D$5,Table_Assembly[MFG Date],$F$4),
IF(AND($BI$5=FALSE,$BH$5=FALSE),SUMIFS(Table_Assembly[Total NG],Table_Assembly[Customer],$B$5,Table_Assembly[Product type],$D$5,Table_Assembly[MFG Date],$F$4),"")))))</f>
        <v>10</v>
      </c>
      <c r="G6" s="40">
        <f>IF($G$4="","",
IF($BH$4=TRUE,SUMIFS(Table_Assembly[Total NG],Table_Assembly[Product type],$D$5,Table_Assembly[MFG Date],$G$4),
IF(AND($BF$5=TRUE,$BI$5=FALSE),SUMIFS(Table_Assembly[Total NG],Table_Assembly[Product type],$D$5,Table_Assembly[MFG Date],$G$4),
IF(AND($BF$5=FALSE,$BI$5=TRUE),SUMIFS(Table_Assembly[Total NG],Table_Assembly[Customer],$B$5,Table_Assembly[Product type],$D$5,Table_Assembly[MFG Date],$G$4),
IF(AND($BI$5=FALSE,$BH$5=FALSE),SUMIFS(Table_Assembly[Total NG],Table_Assembly[Customer],$B$5,Table_Assembly[Product type],$D$5,Table_Assembly[MFG Date],$G$4),"")))))</f>
        <v>34</v>
      </c>
      <c r="H6" s="40">
        <f>IF($H$4="","",
IF($BH$4=TRUE,SUMIFS(Table_Assembly[Total NG],Table_Assembly[Product type],$D$5,Table_Assembly[MFG Date],$H$4),
IF(AND($BF$5=TRUE,$BI$5=FALSE),SUMIFS(Table_Assembly[Total NG],Table_Assembly[Product type],$D$5,Table_Assembly[MFG Date],$H$4),
IF(AND($BF$5=FALSE,$BI$5=TRUE),SUMIFS(Table_Assembly[Total NG],Table_Assembly[Customer],$B$5,Table_Assembly[Product type],$D$5,Table_Assembly[MFG Date],$H$4),
IF(AND($BI$5=FALSE,$BH$5=FALSE),SUMIFS(Table_Assembly[Total NG],Table_Assembly[Customer],$B$5,Table_Assembly[Product type],$D$5,Table_Assembly[MFG Date],$H$4),"")))))</f>
        <v>14</v>
      </c>
      <c r="I6" s="40">
        <f>IF($I$4="","",
IF($BH$4=TRUE,SUMIFS(Table_Assembly[Total NG],Table_Assembly[Product type],$D$5,Table_Assembly[MFG Date],$I$4),
IF(AND($BF$5=TRUE,$BI$5=FALSE),SUMIFS(Table_Assembly[Total NG],Table_Assembly[Product type],$D$5,Table_Assembly[MFG Date],$I$4),
IF(AND($BF$5=FALSE,$BI$5=TRUE),SUMIFS(Table_Assembly[Total NG],Table_Assembly[Customer],$B$5,Table_Assembly[Product type],$D$5,Table_Assembly[MFG Date],$I$4),
IF(AND($BI$5=FALSE,$BH$5=FALSE),SUMIFS(Table_Assembly[Total NG],Table_Assembly[Customer],$B$5,Table_Assembly[Product type],$D$5,Table_Assembly[MFG Date],$I$4),"")))))</f>
        <v>22</v>
      </c>
      <c r="J6" s="40">
        <f>IF($J$4="","",
IF($BH$4=TRUE,SUMIFS(Table_Assembly[Total NG],Table_Assembly[Product type],$D$5,Table_Assembly[MFG Date],$J$4),
IF(AND($BF$5=TRUE,$BI$5=FALSE),SUMIFS(Table_Assembly[Total NG],Table_Assembly[Product type],$D$5,Table_Assembly[MFG Date],$J$4),
IF(AND($BF$5=FALSE,$BI$5=TRUE),SUMIFS(Table_Assembly[Total NG],Table_Assembly[Customer],$B$5,Table_Assembly[Product type],$D$5,Table_Assembly[MFG Date],$J$4),
IF(AND($BI$5=FALSE,$BH$5=FALSE),SUMIFS(Table_Assembly[Total NG],Table_Assembly[Customer],$B$5,Table_Assembly[Product type],$D$5,Table_Assembly[MFG Date],$J$4),"")))))</f>
        <v>15</v>
      </c>
      <c r="K6" s="40">
        <f>IF($K$4="","",
IF($BH$4=TRUE,SUMIFS(Table_Assembly[Total NG],Table_Assembly[Product type],$D$5,Table_Assembly[MFG Date],$K$4),
IF(AND($BF$5=TRUE,$BI$5=FALSE),SUMIFS(Table_Assembly[Total NG],Table_Assembly[Product type],$D$5,Table_Assembly[MFG Date],$K$4),
IF(AND($BF$5=FALSE,$BI$5=TRUE),SUMIFS(Table_Assembly[Total NG],Table_Assembly[Customer],$B$5,Table_Assembly[Product type],$D$5,Table_Assembly[MFG Date],$K$4),
IF(AND($BI$5=FALSE,$BH$5=FALSE),SUMIFS(Table_Assembly[Total NG],Table_Assembly[Customer],$B$5,Table_Assembly[Product type],$D$5,Table_Assembly[MFG Date],$K$4),"")))))</f>
        <v>17</v>
      </c>
      <c r="L6" s="41">
        <f>IF($L$4="","",
IF($BH$4=TRUE,SUMIFS(Table_Assembly[Total NG],Table_Assembly[Product type],$D$5,Table_Assembly[MFG Date],$L$4),
IF(AND($BF$5=TRUE,$BI$5=FALSE),SUMIFS(Table_Assembly[Total NG],Table_Assembly[Product type],$D$5,Table_Assembly[MFG Date],$L$4),
IF(AND($BF$5=FALSE,$BI$5=TRUE),SUMIFS(Table_Assembly[Total NG],Table_Assembly[Customer],$B$5,Table_Assembly[Product type],$D$5,Table_Assembly[MFG Date],$L$4),
IF(AND($BI$5=FALSE,$BH$5=FALSE),SUMIFS(Table_Assembly[Total NG],Table_Assembly[Customer],$B$5,Table_Assembly[Product type],$D$5,Table_Assembly[MFG Date],$L$4),"")))))</f>
        <v>0</v>
      </c>
      <c r="M6" s="42">
        <f>SUM(F6:L6)</f>
        <v>112</v>
      </c>
      <c r="N6" s="23"/>
      <c r="O6" s="85"/>
      <c r="P6" s="13" t="e">
        <f>SUMIFS(#REF!,#REF!,'Weekly Report'!D5:D7,#REF!,'Weekly Report'!K4)</f>
        <v>#REF!</v>
      </c>
      <c r="BJ6" s="12" t="s">
        <v>53</v>
      </c>
      <c r="BP6" s="105"/>
      <c r="BQ6" s="23"/>
      <c r="BR6" s="23"/>
      <c r="BS6" s="188"/>
      <c r="BT6" s="19" t="s">
        <v>65</v>
      </c>
      <c r="BU6" s="40">
        <f>IF($F$4="","",
IF($BH$4=TRUE,SUMIFS(Table_Assembly[Total NG from machine],Table_Assembly[Product type],$D$5,Table_Assembly[MFG Date],$F$4),
IF(AND($BF$5=TRUE,$BI$5=FALSE),SUMIFS(Table_Assembly[Total NG from machine],Table_Assembly[Product type],$D$5,Table_Assembly[MFG Date],$F$4),
IF(AND($BF$5=FALSE,$BI$5=TRUE),SUMIFS(Table_Assembly[Total NG from machine],Table_Assembly[Customer],$B$5,Table_Assembly[Product type],$D$5,Table_Assembly[MFG Date],$F$4),
IF(AND($BI$5=FALSE,$BH$5=FALSE),SUMIFS(Table_Assembly[Total NG from machine],Table_Assembly[Customer],$B$5,Table_Assembly[Product type],$D$5,Table_Assembly[MFG Date],$F$4),"")))))</f>
        <v>4</v>
      </c>
      <c r="BV6" s="40">
        <f>IF($G$4="","",
IF($BH$4=TRUE,SUMIFS(Table_Assembly[Total NG from machine],Table_Assembly[Product type],$D$5,Table_Assembly[MFG Date],$G$4),
IF(AND($BF$5=TRUE,$BI$5=FALSE),SUMIFS(Table_Assembly[Total NG from machine],#REF!,$B$3,Table_Assembly[Product type],$D$5,Table_Assembly[MFG Date],$G$4),
IF(AND($BF$5=FALSE,$BI$5=TRUE),SUMIFS(Table_Assembly[Total NG from machine],Table_Assembly[Customer],$B$5,Table_Assembly[Product type],$D$5,Table_Assembly[MFG Date],$G$4),
IF(AND($BI$5=FALSE,$BH$5=FALSE),SUMIFS(Table_Assembly[Total NG from machine],#REF!,$B$3,Table_Assembly[Customer],$B$5,Table_Assembly[Product type],$D$5,Table_Assembly[MFG Date],$G$4),"")))))</f>
        <v>17</v>
      </c>
      <c r="BW6" s="40">
        <f>IF($H$4="","",
IF($BH$4=TRUE,SUMIFS(Table_Assembly[Total NG from machine],Table_Assembly[Product type],$D$5,Table_Assembly[MFG Date],$H$4),
IF(AND($BF$5=TRUE,$BI$5=FALSE),SUMIFS(Table_Assembly[Total NG from machine],#REF!,$B$3,Table_Assembly[Product type],$D$5,Table_Assembly[MFG Date],$H$4),
IF(AND($BF$5=FALSE,$BI$5=TRUE),SUMIFS(Table_Assembly[Total NG from machine],Table_Assembly[Customer],$B$5,Table_Assembly[Product type],$D$5,Table_Assembly[MFG Date],$H$4),
IF(AND($BI$5=FALSE,$BH$5=FALSE),SUMIFS(Table_Assembly[Total NG from machine],#REF!,$B$3,Table_Assembly[Customer],$B$5,Table_Assembly[Product type],$D$5,Table_Assembly[MFG Date],$H$4),"")))))</f>
        <v>13</v>
      </c>
      <c r="BX6" s="40">
        <f>IF($I$4="","",
IF($BH$4=TRUE,SUMIFS(Table_Assembly[Total NG from machine],Table_Assembly[Product type],$D$5,Table_Assembly[MFG Date],$I$4),
IF(AND($BF$5=TRUE,$BI$5=FALSE),SUMIFS(Table_Assembly[Total NG from machine],#REF!,$B$3,Table_Assembly[Product type],$D$5,Table_Assembly[MFG Date],$I$4),
IF(AND($BF$5=FALSE,$BI$5=TRUE),SUMIFS(Table_Assembly[Total NG from machine],Table_Assembly[Customer],$B$5,Table_Assembly[Product type],$D$5,Table_Assembly[MFG Date],$I$4),
IF(AND($BI$5=FALSE,$BH$5=FALSE),SUMIFS(Table_Assembly[Total NG from machine],#REF!,$B$3,Table_Assembly[Customer],$B$5,Table_Assembly[Product type],$D$5,Table_Assembly[MFG Date],$I$4),"")))))</f>
        <v>21</v>
      </c>
      <c r="BY6" s="40">
        <f>IF($J$4="","",
IF($BH$4=TRUE,SUMIFS(Table_Assembly[Total NG from machine],Table_Assembly[Product type],$D$5,Table_Assembly[MFG Date],$J$4),
IF(AND($BF$5=TRUE,$BI$5=FALSE),SUMIFS(Table_Assembly[Total NG from machine],#REF!,$B$3,Table_Assembly[Product type],$D$5,Table_Assembly[MFG Date],$J$4),
IF(AND($BF$5=FALSE,$BI$5=TRUE),SUMIFS(Table_Assembly[Total NG from machine],Table_Assembly[Customer],$B$5,Table_Assembly[Product type],$D$5,Table_Assembly[MFG Date],$J$4),
IF(AND($BI$5=FALSE,$BH$5=FALSE),SUMIFS(Table_Assembly[Total NG from machine],#REF!,$B$3,Table_Assembly[Customer],$B$5,Table_Assembly[Product type],$D$5,Table_Assembly[MFG Date],$J$4),"")))))</f>
        <v>8</v>
      </c>
      <c r="BZ6" s="40">
        <f>IF($K$4="","",
IF($BH$4=TRUE,SUMIFS(Table_Assembly[Total NG from machine],Table_Assembly[Product type],$D$5,Table_Assembly[MFG Date],$K$4),
IF(AND($BF$5=TRUE,$BI$5=FALSE),SUMIFS(Table_Assembly[Total NG from machine],#REF!,$B$3,Table_Assembly[Product type],$D$5,Table_Assembly[MFG Date],$K$4),
IF(AND($BF$5=FALSE,$BI$5=TRUE),SUMIFS(Table_Assembly[Total NG from machine],Table_Assembly[Customer],$B$5,Table_Assembly[Product type],$D$5,Table_Assembly[MFG Date],$K$4),
IF(AND($BI$5=FALSE,$BH$5=FALSE),SUMIFS(Table_Assembly[Total NG from machine],#REF!,$B$3,Table_Assembly[Customer],$B$5,Table_Assembly[Product type],$D$5,Table_Assembly[MFG Date],$K$4),"")))))</f>
        <v>16</v>
      </c>
      <c r="CA6" s="41">
        <f>IF($L$4="","",
IF($BH$4=TRUE,SUMIFS(Table_Assembly[Total NG from machine],Table_Assembly[Product type],$D$5,Table_Assembly[MFG Date],$L$4),
IF(AND($BF$5=TRUE,$BI$5=FALSE),SUMIFS(Table_Assembly[Total NG from machine],#REF!,$B$3,Table_Assembly[Product type],$D$5,Table_Assembly[MFG Date],$L$4),
IF(AND($BF$5=FALSE,$BI$5=TRUE),SUMIFS(Table_Assembly[Total NG from machine],Table_Assembly[Customer],$B$5,Table_Assembly[Product type],$D$5,Table_Assembly[MFG Date],$L$4),
IF(AND($BI$5=FALSE,$BH$5=FALSE),SUMIFS(Table_Assembly[Total NG from machine],#REF!,$B$3,Table_Assembly[Customer],$B$5,Table_Assembly[Product type],$D$5,Table_Assembly[MFG Date],$L$4),"")))))</f>
        <v>0</v>
      </c>
      <c r="CB6" s="42">
        <f>SUM(BU6:CA6)</f>
        <v>79</v>
      </c>
      <c r="CC6" s="23"/>
      <c r="CD6" s="85"/>
    </row>
    <row r="7" spans="1:104" ht="15.5" thickBot="1">
      <c r="A7" s="26" t="s">
        <v>0</v>
      </c>
      <c r="B7" s="29">
        <v>2023</v>
      </c>
      <c r="C7" s="140"/>
      <c r="D7" s="210"/>
      <c r="E7" s="53" t="s">
        <v>66</v>
      </c>
      <c r="F7" s="54">
        <f t="shared" ref="F7:M7" si="7">IFERROR(F6/F5*1000000,"")</f>
        <v>284.70561439471589</v>
      </c>
      <c r="G7" s="54">
        <f t="shared" si="7"/>
        <v>901.21133405783655</v>
      </c>
      <c r="H7" s="54">
        <f t="shared" si="7"/>
        <v>427.59842399438014</v>
      </c>
      <c r="I7" s="54">
        <f t="shared" si="7"/>
        <v>729.12869121399922</v>
      </c>
      <c r="J7" s="54">
        <f t="shared" si="7"/>
        <v>547.38532277487866</v>
      </c>
      <c r="K7" s="54">
        <f t="shared" si="7"/>
        <v>709.66395324566895</v>
      </c>
      <c r="L7" s="55" t="str">
        <f t="shared" si="7"/>
        <v/>
      </c>
      <c r="M7" s="56">
        <f t="shared" si="7"/>
        <v>598.53679130839078</v>
      </c>
      <c r="N7" s="23"/>
      <c r="O7" s="85"/>
      <c r="P7" s="12" t="e">
        <f>SUMIFS(#REF!,#REF!,'Weekly Report'!D5:D7,#REF!,'Weekly Report'!K4)</f>
        <v>#REF!</v>
      </c>
      <c r="Q7" s="12" t="e">
        <f>SUMIFS(#REF!,#REF!,'Weekly Report'!D5:D7,#REF!,'Weekly Report'!K4)</f>
        <v>#REF!</v>
      </c>
      <c r="R7" s="12" t="e">
        <f>SUMIFS(#REF!,#REF!,'Weekly Report'!$B$5,#REF!,'Weekly Report'!$D$5:$D$7,#REF!,'Weekly Report'!$K$4)</f>
        <v>#REF!</v>
      </c>
      <c r="U7" s="12" t="b">
        <f>$B$9=V7</f>
        <v>0</v>
      </c>
      <c r="V7" s="12" t="s">
        <v>6</v>
      </c>
      <c r="W7" s="12">
        <v>1</v>
      </c>
      <c r="X7" s="12" t="e">
        <f>VALUE(V7)</f>
        <v>#VALUE!</v>
      </c>
      <c r="Y7" s="12" t="s">
        <v>4</v>
      </c>
      <c r="Z7" s="14">
        <f>IFERROR(DATE($B$7,IF(U7=TRUE,W7,IF(U8=TRUE,W8,IF(U9=TRUE,W9,IF(U10=TRUE,W10,IF(U11=TRUE,W11,IF(U12=TRUE,W12,IF(U13=TRUE,W13,IF(U14=TRUE,W14,IF(U15=TRUE,W15,IF(U16=TRUE,W16,IF(U17=TRUE,W17,IF(U18=TRUE,W18,"")))))))))))),1),"")</f>
        <v>45047</v>
      </c>
      <c r="AA7" s="12" t="s">
        <v>18</v>
      </c>
      <c r="AB7" s="14">
        <f>IFERROR(EOMONTH(Z7,0),"")</f>
        <v>45077</v>
      </c>
      <c r="AD7" s="15" t="e">
        <f>IF($F$4="","",
IF($BH$4=TRUE,SUMIFS(#REF!,#REF!,'Weekly Report'!$D$5,#REF!,'Weekly Report'!$F$4),
IF(AND($BF$5=TRUE,$BI$5=FALSE),SUMIFS(#REF!,#REF!,'Weekly Report'!$B$3,#REF!,'Weekly Report'!$D$5,#REF!,'Weekly Report'!$F$4),
IF(AND($BF$5=FALSE,$BI$5=TRUE),SUMIFS(#REF!,#REF!,'Weekly Report'!$B$5,#REF!,'Weekly Report'!$D$5,#REF!,'Weekly Report'!$F$4),
IF(AND($BI$5=FALSE,$BH$5=FALSE),SUMIFS(#REF!,#REF!,'Weekly Report'!$B$3,#REF!,'Weekly Report'!$B$5,#REF!,'Weekly Report'!$D$5,#REF!,'Weekly Report'!$F$4),"")))))</f>
        <v>#REF!</v>
      </c>
      <c r="AE7" s="15" t="e">
        <f>IF($G$4="","",
IF($BH$4=TRUE,SUMIFS(#REF!,#REF!,'Weekly Report'!$D$5,#REF!,'Weekly Report'!$G$4),
IF(AND($BF$5=TRUE,$BI$5=FALSE),SUMIFS(#REF!,#REF!,'Weekly Report'!$B$3,#REF!,'Weekly Report'!$D$5,#REF!,'Weekly Report'!$G$4),
IF(AND($BF$5=FALSE,$BI$5=TRUE),SUMIFS(#REF!,#REF!,'Weekly Report'!$B$5,#REF!,'Weekly Report'!$D$5,#REF!,'Weekly Report'!$G$4),
IF(AND($BI$5=FALSE,$BH$5=FALSE),SUMIFS(#REF!,#REF!,'Weekly Report'!$B$3,#REF!,'Weekly Report'!$B$5,#REF!,'Weekly Report'!$D$5,#REF!,'Weekly Report'!$G$4),"")))))</f>
        <v>#REF!</v>
      </c>
      <c r="AF7" s="15" t="e">
        <f>IF($H$4="","",
IF($BH$4=TRUE,SUMIFS(#REF!,#REF!,'Weekly Report'!$D$5,#REF!,'Weekly Report'!$H$4),
IF(AND($BF$5=TRUE,$BI$5=FALSE),SUMIFS(#REF!,#REF!,'Weekly Report'!$B$3,#REF!,'Weekly Report'!$D$5,#REF!,'Weekly Report'!$H$4),
IF(AND($BF$5=FALSE,$BI$5=TRUE),SUMIFS(#REF!,#REF!,'Weekly Report'!$B$5,#REF!,'Weekly Report'!$D$5,#REF!,'Weekly Report'!$H$4),
IF(AND($BI$5=FALSE,$BH$5=FALSE),SUMIFS(#REF!,#REF!,'Weekly Report'!$B$3,#REF!,'Weekly Report'!$B$5,#REF!,'Weekly Report'!$D$5,#REF!,'Weekly Report'!$H$4),"")))))</f>
        <v>#REF!</v>
      </c>
      <c r="AG7" s="15" t="e">
        <f>IF($I$4="","",
IF($BH$4=TRUE,SUMIFS(#REF!,#REF!,'Weekly Report'!$D$5,#REF!,'Weekly Report'!$I$4),
IF(AND($BF$5=TRUE,$BI$5=FALSE),SUMIFS(#REF!,#REF!,'Weekly Report'!$B$3,#REF!,'Weekly Report'!$D$5,#REF!,'Weekly Report'!$I$4),
IF(AND($BF$5=FALSE,$BI$5=TRUE),SUMIFS(#REF!,#REF!,'Weekly Report'!$B$5,#REF!,'Weekly Report'!$D$5,#REF!,'Weekly Report'!$I$4),
IF(AND($BI$5=FALSE,$BH$5=FALSE),SUMIFS(#REF!,#REF!,'Weekly Report'!$B$3,#REF!,'Weekly Report'!$B$5,#REF!,'Weekly Report'!$D$5,#REF!,'Weekly Report'!$I$4),"")))))</f>
        <v>#REF!</v>
      </c>
      <c r="AH7" s="15" t="e">
        <f>IF($J$4="","",
IF($BH$4=TRUE,SUMIFS(#REF!,#REF!,'Weekly Report'!$D$5,#REF!,'Weekly Report'!$J$4),
IF(AND($BF$5=TRUE,$BI$5=FALSE),SUMIFS(#REF!,#REF!,'Weekly Report'!$B$3,#REF!,'Weekly Report'!$D$5,#REF!,'Weekly Report'!$J$4),
IF(AND($BF$5=FALSE,$BI$5=TRUE),SUMIFS(#REF!,#REF!,'Weekly Report'!$B$5,#REF!,'Weekly Report'!$D$5,#REF!,'Weekly Report'!$J$4),
IF(AND($BI$5=FALSE,$BH$5=FALSE),SUMIFS(#REF!,#REF!,'Weekly Report'!$B$3,#REF!,'Weekly Report'!$B$5,#REF!,'Weekly Report'!$D$5,#REF!,'Weekly Report'!$J$4),"")))))</f>
        <v>#REF!</v>
      </c>
      <c r="AI7" s="15" t="e">
        <f>IF($K$4="","",
IF($BH$4=TRUE,SUMIFS(#REF!,#REF!,'Weekly Report'!$D$5,#REF!,'Weekly Report'!$K$4),
IF(AND($BF$5=TRUE,$BI$5=FALSE),SUMIFS(#REF!,#REF!,'Weekly Report'!$B$3,#REF!,'Weekly Report'!$D$5,#REF!,'Weekly Report'!$K$4),
IF(AND($BF$5=FALSE,$BI$5=TRUE),SUMIFS(#REF!,#REF!,'Weekly Report'!$B$5,#REF!,'Weekly Report'!$D$5,#REF!,'Weekly Report'!$K$4),
IF(AND($BI$5=FALSE,$BH$5=FALSE),SUMIFS(#REF!,#REF!,'Weekly Report'!$B$3,#REF!,'Weekly Report'!$B$5,#REF!,'Weekly Report'!$D$5,#REF!,'Weekly Report'!$K$4),"")))))</f>
        <v>#REF!</v>
      </c>
      <c r="AJ7" s="15" t="e">
        <f>IF($L$4="","",
IF($BH$4=TRUE,SUMIFS(#REF!,#REF!,'Weekly Report'!$D$5,#REF!,'Weekly Report'!$L$4),
IF(AND($BF$5=TRUE,$BI$5=FALSE),SUMIFS(#REF!,#REF!,'Weekly Report'!$B$3,#REF!,'Weekly Report'!$D$5,#REF!,'Weekly Report'!$L$4),
IF(AND($BF$5=FALSE,$BI$5=TRUE),SUMIFS(#REF!,#REF!,'Weekly Report'!$B$5,#REF!,'Weekly Report'!$D$5,#REF!,'Weekly Report'!$L$4),
IF(AND($BI$5=FALSE,$BH$5=FALSE),SUMIFS(#REF!,#REF!,'Weekly Report'!$B$3,#REF!,'Weekly Report'!$B$5,#REF!,'Weekly Report'!$D$5,#REF!,'Weekly Report'!$L$4),"")))))</f>
        <v>#REF!</v>
      </c>
      <c r="BJ7" s="12" t="s">
        <v>84</v>
      </c>
      <c r="BP7" s="105"/>
      <c r="BQ7" s="23"/>
      <c r="BR7" s="23"/>
      <c r="BS7" s="190"/>
      <c r="BT7" s="53" t="s">
        <v>66</v>
      </c>
      <c r="BU7" s="54">
        <f t="shared" ref="BU7:CB7" si="8">IFERROR(BU6/BU5*1000000,"")</f>
        <v>113.88224575788635</v>
      </c>
      <c r="BV7" s="54">
        <f t="shared" si="8"/>
        <v>450.60566702891828</v>
      </c>
      <c r="BW7" s="54">
        <f t="shared" si="8"/>
        <v>397.05567942335296</v>
      </c>
      <c r="BX7" s="54">
        <f t="shared" si="8"/>
        <v>695.98647797699937</v>
      </c>
      <c r="BY7" s="54">
        <f t="shared" si="8"/>
        <v>291.9388388132686</v>
      </c>
      <c r="BZ7" s="54">
        <f t="shared" si="8"/>
        <v>667.9190148194532</v>
      </c>
      <c r="CA7" s="55" t="str">
        <f t="shared" si="8"/>
        <v/>
      </c>
      <c r="CB7" s="56">
        <f t="shared" si="8"/>
        <v>422.18220101216843</v>
      </c>
      <c r="CC7" s="23"/>
      <c r="CD7" s="85"/>
    </row>
    <row r="8" spans="1:104" ht="16.25" thickTop="1" thickBot="1">
      <c r="A8" s="27"/>
      <c r="B8" s="28"/>
      <c r="C8" s="140"/>
      <c r="D8" s="209" t="s">
        <v>67</v>
      </c>
      <c r="E8" s="18" t="s">
        <v>64</v>
      </c>
      <c r="F8" s="50">
        <f>IF($F$4="","",
IF($BH$4=TRUE,SUMIFS(Table_Assembly[Total Produce],Table_Assembly[Product type],$D$8,Table_Assembly[MFG Date],$F$4),
IF(AND($BF$5=TRUE,$BI$5=FALSE),SUMIFS(Table_Assembly[Total Produce],Table_Assembly[Product type],$D$8,Table_Assembly[MFG Date],$F$4),
IF(AND($BF$5=FALSE,$BI$5=TRUE),SUMIFS(Table_Assembly[Total Produce],Table_Assembly[Customer],$B$5,Table_Assembly[Product type],$D$8,Table_Assembly[MFG Date],$F$4),
IF(AND($BI$5=FALSE,$BH$5=FALSE),SUMIFS(Table_Assembly[Total Produce],Table_Assembly[Customer],$B$5,Table_Assembly[Product type],$D$8,Table_Assembly[MFG Date],$F$4),"")))))</f>
        <v>54933</v>
      </c>
      <c r="G8" s="50">
        <f>IF($G$4="","",
IF($BH$4=TRUE,SUMIFS(Table_Assembly[Total Produce],Table_Assembly[Product type],$D$8,Table_Assembly[MFG Date],$G$4),
IF(AND($BF$5=TRUE,$BI$5=FALSE),SUMIFS(Table_Assembly[Total Produce],Table_Assembly[Product type],$D$8,Table_Assembly[MFG Date],$G$4),
IF(AND($BF$5=FALSE,$BI$5=TRUE),SUMIFS(Table_Assembly[Total Produce],Table_Assembly[Customer],$B$5,Table_Assembly[Product type],$D$8,Table_Assembly[MFG Date],$G$4),
IF(AND($BI$5=FALSE,$BH$5=FALSE),SUMIFS(Table_Assembly[Total Produce],Table_Assembly[Customer],$B$5,Table_Assembly[Product type],$D$8,Table_Assembly[MFG Date],$G$4),"")))))</f>
        <v>70734</v>
      </c>
      <c r="H8" s="50">
        <f>IF($H$4="","",
IF($BH$4=TRUE,SUMIFS(Table_Assembly[Total Produce],Table_Assembly[Product type],$D$8,Table_Assembly[MFG Date],$H$4),
IF(AND($BF$5=TRUE,$BI$5=FALSE),SUMIFS(Table_Assembly[Total Produce],Table_Assembly[Product type],$D$8,Table_Assembly[MFG Date],$H$4),
IF(AND($BF$5=FALSE,$BI$5=TRUE),SUMIFS(Table_Assembly[Total Produce],Table_Assembly[Customer],$B$5,Table_Assembly[Product type],$D$8,Table_Assembly[MFG Date],$H$4),
IF(AND($BI$5=FALSE,$BH$5=FALSE),SUMIFS(Table_Assembly[Total Produce],Table_Assembly[Customer],$B$5,Table_Assembly[Product type],$D$8,Table_Assembly[MFG Date],$H$4),"")))))</f>
        <v>44507</v>
      </c>
      <c r="I8" s="50">
        <f>IF($I$4="","",
IF($BH$4=TRUE,SUMIFS(Table_Assembly[Total Produce],Table_Assembly[Product type],$D$8,Table_Assembly[MFG Date],$I$4),
IF(AND($BF$5=TRUE,$BI$5=FALSE),SUMIFS(Table_Assembly[Total Produce],Table_Assembly[Product type],$D$8,Table_Assembly[MFG Date],$I$4),
IF(AND($BF$5=FALSE,$BI$5=TRUE),SUMIFS(Table_Assembly[Total Produce],Table_Assembly[Customer],$B$5,Table_Assembly[Product type],$D$8,Table_Assembly[MFG Date],$I$4),
IF(AND($BI$5=FALSE,$BH$5=FALSE),SUMIFS(Table_Assembly[Total Produce],Table_Assembly[Customer],$B$5,Table_Assembly[Product type],$D$8,Table_Assembly[MFG Date],$I$4),"")))))</f>
        <v>39802</v>
      </c>
      <c r="J8" s="50">
        <f>IF($J$4="","",
IF($BH$4=TRUE,SUMIFS(Table_Assembly[Total Produce],Table_Assembly[Product type],$D$8,Table_Assembly[MFG Date],$J$4),
IF(AND($BF$5=TRUE,$BI$5=FALSE),SUMIFS(Table_Assembly[Total Produce],Table_Assembly[Product type],$D$8,Table_Assembly[MFG Date],$J$4),
IF(AND($BF$5=FALSE,$BI$5=TRUE),SUMIFS(Table_Assembly[Total Produce],Table_Assembly[Customer],$B$5,Table_Assembly[Product type],$D$8,Table_Assembly[MFG Date],$J$4),
IF(AND($BI$5=FALSE,$BH$5=FALSE),SUMIFS(Table_Assembly[Total Produce],Table_Assembly[Customer],$B$5,Table_Assembly[Product type],$D$8,Table_Assembly[MFG Date],$J$4),"")))))</f>
        <v>52403</v>
      </c>
      <c r="K8" s="50">
        <f>IF($K$4="","",
IF($BH$4=TRUE,SUMIFS(Table_Assembly[Total Produce],Table_Assembly[Product type],$D$8,Table_Assembly[MFG Date],$K$4),
IF(AND($BF$5=TRUE,$BI$5=FALSE),SUMIFS(Table_Assembly[Total Produce],Table_Assembly[Product type],$D$8,Table_Assembly[MFG Date],$K$4),
IF(AND($BF$5=FALSE,$BI$5=TRUE),SUMIFS(Table_Assembly[Total Produce],Table_Assembly[Customer],$B$5,Table_Assembly[Product type],$D$8,Table_Assembly[MFG Date],$K$4),
IF(AND($BI$5=FALSE,$BH$5=FALSE),SUMIFS(Table_Assembly[Total Produce],Table_Assembly[Customer],$B$5,Table_Assembly[Product type],$D$8,Table_Assembly[MFG Date],$K$4),"")))))</f>
        <v>53413</v>
      </c>
      <c r="L8" s="51">
        <f>IF($L$4="","",
IF($BH$4=TRUE,SUMIFS(Table_Assembly[Total Produce],Table_Assembly[Product type],$D$8,Table_Assembly[MFG Date],$L$4),
IF(AND($BF$5=TRUE,$BI$5=FALSE),SUMIFS(Table_Assembly[Total Produce],Table_Assembly[Product type],$D$8,Table_Assembly[MFG Date],$L$4),
IF(AND($BF$5=FALSE,$BI$5=TRUE),SUMIFS(Table_Assembly[Total Produce],Table_Assembly[Customer],$B$5,Table_Assembly[Product type],$D$8,Table_Assembly[MFG Date],$L$4),
IF(AND($BI$5=FALSE,$BH$5=FALSE),SUMIFS(Table_Assembly[Total Produce],Table_Assembly[Customer],$B$5,Table_Assembly[Product type],$D$8,Table_Assembly[MFG Date],$L$4),"")))))</f>
        <v>0</v>
      </c>
      <c r="M8" s="52">
        <f>SUM(F8:L8)</f>
        <v>315792</v>
      </c>
      <c r="N8" s="23"/>
      <c r="O8" s="85"/>
      <c r="P8" s="12" t="e">
        <f>SUMIFS(#REF!,#REF!,'Weekly Report'!$B$5,#REF!,'Weekly Report'!$D$5:$D$7,#REF!,'Weekly Report'!$K$4)</f>
        <v>#REF!</v>
      </c>
      <c r="U8" s="12" t="b">
        <f t="shared" ref="U8:U17" si="9">$B$9=V8</f>
        <v>0</v>
      </c>
      <c r="V8" s="12" t="s">
        <v>7</v>
      </c>
      <c r="W8" s="12">
        <v>2</v>
      </c>
      <c r="BP8" s="105"/>
      <c r="BQ8" s="23"/>
      <c r="BR8" s="23"/>
      <c r="BS8" s="187" t="s">
        <v>67</v>
      </c>
      <c r="BT8" s="18" t="s">
        <v>64</v>
      </c>
      <c r="BU8" s="50">
        <f>IF($F$4="","",
IF($BH$4=TRUE,SUMIFS(Table_Assembly[Total Produce],Table_Assembly[Product type],$D$8,Table_Assembly[MFG Date],$F$4),
IF(AND($BF$5=TRUE,$BI$5=FALSE),SUMIFS(Table_Assembly[Total Produce],Table_Assembly[Product type],$D$8,Table_Assembly[MFG Date],$F$4),
IF(AND($BF$5=FALSE,$BI$5=TRUE),SUMIFS(Table_Assembly[Total Produce],Table_Assembly[Customer],$B$5,Table_Assembly[Product type],$D$8,Table_Assembly[MFG Date],$F$4),
IF(AND($BI$5=FALSE,$BH$5=FALSE),SUMIFS(Table_Assembly[Total Produce],Table_Assembly[Customer],$B$5,Table_Assembly[Product type],$D$8,Table_Assembly[MFG Date],$F$4),"")))))</f>
        <v>54933</v>
      </c>
      <c r="BV8" s="50">
        <f>IF($G$4="","",
IF($BH$4=TRUE,SUMIFS(Table_Assembly[Total Produce],Table_Assembly[Product type],$D$8,Table_Assembly[MFG Date],$G$4),
IF(AND($BF$5=TRUE,$BI$5=FALSE),SUMIFS(Table_Assembly[Total Produce],Table_Assembly[Product type],$D$8,Table_Assembly[MFG Date],$G$4),
IF(AND($BF$5=FALSE,$BI$5=TRUE),SUMIFS(Table_Assembly[Total Produce],Table_Assembly[Customer],$B$5,Table_Assembly[Product type],$D$8,Table_Assembly[MFG Date],$G$4),
IF(AND($BI$5=FALSE,$BH$5=FALSE),SUMIFS(Table_Assembly[Total Produce],Table_Assembly[Customer],$B$5,Table_Assembly[Product type],$D$8,Table_Assembly[MFG Date],$G$4),"")))))</f>
        <v>70734</v>
      </c>
      <c r="BW8" s="50">
        <f>IF($H$4="","",
IF($BH$4=TRUE,SUMIFS(Table_Assembly[Total Produce],Table_Assembly[Product type],$D$8,Table_Assembly[MFG Date],$H$4),
IF(AND($BF$5=TRUE,$BI$5=FALSE),SUMIFS(Table_Assembly[Total Produce],Table_Assembly[Product type],$D$8,Table_Assembly[MFG Date],$H$4),
IF(AND($BF$5=FALSE,$BI$5=TRUE),SUMIFS(Table_Assembly[Total Produce],Table_Assembly[Customer],$B$5,Table_Assembly[Product type],$D$8,Table_Assembly[MFG Date],$H$4),
IF(AND($BI$5=FALSE,$BH$5=FALSE),SUMIFS(Table_Assembly[Total Produce],Table_Assembly[Customer],$B$5,Table_Assembly[Product type],$D$8,Table_Assembly[MFG Date],$H$4),"")))))</f>
        <v>44507</v>
      </c>
      <c r="BX8" s="50">
        <f>IF($I$4="","",
IF($BH$4=TRUE,SUMIFS(Table_Assembly[Total Produce],Table_Assembly[Product type],$D$8,Table_Assembly[MFG Date],$I$4),
IF(AND($BF$5=TRUE,$BI$5=FALSE),SUMIFS(Table_Assembly[Total Produce],Table_Assembly[Product type],$D$8,Table_Assembly[MFG Date],$I$4),
IF(AND($BF$5=FALSE,$BI$5=TRUE),SUMIFS(Table_Assembly[Total Produce],Table_Assembly[Customer],$B$5,Table_Assembly[Product type],$D$8,Table_Assembly[MFG Date],$I$4),
IF(AND($BI$5=FALSE,$BH$5=FALSE),SUMIFS(Table_Assembly[Total Produce],Table_Assembly[Customer],$B$5,Table_Assembly[Product type],$D$8,Table_Assembly[MFG Date],$I$4),"")))))</f>
        <v>39802</v>
      </c>
      <c r="BY8" s="50">
        <f>IF($J$4="","",
IF($BH$4=TRUE,SUMIFS(Table_Assembly[Total Produce],Table_Assembly[Product type],$D$8,Table_Assembly[MFG Date],$J$4),
IF(AND($BF$5=TRUE,$BI$5=FALSE),SUMIFS(Table_Assembly[Total Produce],Table_Assembly[Product type],$D$8,Table_Assembly[MFG Date],$J$4),
IF(AND($BF$5=FALSE,$BI$5=TRUE),SUMIFS(Table_Assembly[Total Produce],Table_Assembly[Customer],$B$5,Table_Assembly[Product type],$D$8,Table_Assembly[MFG Date],$J$4),
IF(AND($BI$5=FALSE,$BH$5=FALSE),SUMIFS(Table_Assembly[Total Produce],Table_Assembly[Customer],$B$5,Table_Assembly[Product type],$D$8,Table_Assembly[MFG Date],$J$4),"")))))</f>
        <v>52403</v>
      </c>
      <c r="BZ8" s="50">
        <f>IF($K$4="","",
IF($BH$4=TRUE,SUMIFS(Table_Assembly[Total Produce],Table_Assembly[Product type],$D$8,Table_Assembly[MFG Date],$K$4),
IF(AND($BF$5=TRUE,$BI$5=FALSE),SUMIFS(Table_Assembly[Total Produce],Table_Assembly[Product type],$D$8,Table_Assembly[MFG Date],$K$4),
IF(AND($BF$5=FALSE,$BI$5=TRUE),SUMIFS(Table_Assembly[Total Produce],Table_Assembly[Customer],$B$5,Table_Assembly[Product type],$D$8,Table_Assembly[MFG Date],$K$4),
IF(AND($BI$5=FALSE,$BH$5=FALSE),SUMIFS(Table_Assembly[Total Produce],Table_Assembly[Customer],$B$5,Table_Assembly[Product type],$D$8,Table_Assembly[MFG Date],$K$4),"")))))</f>
        <v>53413</v>
      </c>
      <c r="CA8" s="51">
        <f>IF($L$4="","",
IF($BH$4=TRUE,SUMIFS(Table_Assembly[Total Produce],Table_Assembly[Product type],$D$8,Table_Assembly[MFG Date],$L$4),
IF(AND($BF$5=TRUE,$BI$5=FALSE),SUMIFS(Table_Assembly[Total Produce],Table_Assembly[Product type],$D$8,Table_Assembly[MFG Date],$L$4),
IF(AND($BF$5=FALSE,$BI$5=TRUE),SUMIFS(Table_Assembly[Total Produce],Table_Assembly[Customer],$B$5,Table_Assembly[Product type],$D$8,Table_Assembly[MFG Date],$L$4),
IF(AND($BI$5=FALSE,$BH$5=FALSE),SUMIFS(Table_Assembly[Total Produce],Table_Assembly[Customer],$B$5,Table_Assembly[Product type],$D$8,Table_Assembly[MFG Date],$L$4),"")))))</f>
        <v>0</v>
      </c>
      <c r="CB8" s="52">
        <f>SUM(BU8:CA8)</f>
        <v>315792</v>
      </c>
      <c r="CC8" s="23"/>
      <c r="CD8" s="85"/>
    </row>
    <row r="9" spans="1:104" ht="15.5" thickBot="1">
      <c r="A9" s="26" t="s">
        <v>1</v>
      </c>
      <c r="B9" s="29" t="s">
        <v>10</v>
      </c>
      <c r="C9" s="140"/>
      <c r="D9" s="204"/>
      <c r="E9" s="19" t="s">
        <v>65</v>
      </c>
      <c r="F9" s="40">
        <f>IF($F$4="","",
IF($BH$4=TRUE,SUMIFS(Table_Assembly[Total NG],Table_Assembly[Product type],$D$8,Table_Assembly[MFG Date],$F$4),
IF(AND($BF$5=TRUE,$BI$5=FALSE),SUMIFS(Table_Assembly[Total NG],Table_Assembly[Product type],$D$8,Table_Assembly[MFG Date],$F$4),
IF(AND($BF$5=FALSE,$BI$5=TRUE),SUMIFS(Table_Assembly[Total NG],Table_Assembly[Customer],$B$5,Table_Assembly[Product type],$D$8,Table_Assembly[MFG Date],$F$4),
IF(AND($BI$5=FALSE,$BH$5=FALSE),SUMIFS(Table_Assembly[Total NG],Table_Assembly[Customer],$B$5,Table_Assembly[Product type],$D$8,Table_Assembly[MFG Date],$F$4),"")))))</f>
        <v>3</v>
      </c>
      <c r="G9" s="40">
        <f>IF($G$4="","",
IF($BH$4=TRUE,SUMIFS(Table_Assembly[Total NG],Table_Assembly[Product type],$D$8,Table_Assembly[MFG Date],$G$4),
IF(AND($BF$5=TRUE,$BI$5=FALSE),SUMIFS(Table_Assembly[Total NG],#REF!,$B$3,Table_Assembly[Product type],$D$8,Table_Assembly[MFG Date],$G$4),
IF(AND($BF$5=FALSE,$BI$5=TRUE),SUMIFS(Table_Assembly[Total NG],Table_Assembly[Customer],$B$5,Table_Assembly[Product type],$D$8,Table_Assembly[MFG Date],$G$4),
IF(AND($BI$5=FALSE,$BH$5=FALSE),SUMIFS(Table_Assembly[Total NG],#REF!,$B$3,Table_Assembly[Customer],$B$5,Table_Assembly[Product type],$D$8,Table_Assembly[MFG Date],$G$4),"")))))</f>
        <v>106</v>
      </c>
      <c r="H9" s="40">
        <f>IF($H$4="","",
IF($BH$4=TRUE,SUMIFS(Table_Assembly[Total NG],Table_Assembly[Product type],$D$8,Table_Assembly[MFG Date],$H$4),
IF(AND($BF$5=TRUE,$BI$5=FALSE),SUMIFS(Table_Assembly[Total NG],Table_Assembly[Product type],$D$8,Table_Assembly[MFG Date],$H$4),
IF(AND($BF$5=FALSE,$BI$5=TRUE),SUMIFS(Table_Assembly[Total NG],Table_Assembly[Customer],$B$5,Table_Assembly[Product type],$D$8,Table_Assembly[MFG Date],$H$4),
IF(AND($BI$5=FALSE,$BH$5=FALSE),SUMIFS(Table_Assembly[Total NG],Table_Assembly[Customer],$B$5,Table_Assembly[Product type],$D$8,Table_Assembly[MFG Date],$H$4),"")))))</f>
        <v>11</v>
      </c>
      <c r="I9" s="40">
        <f>IF($I$4="","",
IF($BH$4=TRUE,SUMIFS(Table_Assembly[Total NG],Table_Assembly[Product type],$D$8,Table_Assembly[MFG Date],$I$4),
IF(AND($BF$5=TRUE,$BI$5=FALSE),SUMIFS(Table_Assembly[Total NG],Table_Assembly[Product type],$D$8,Table_Assembly[MFG Date],$I$4),
IF(AND($BF$5=FALSE,$BI$5=TRUE),SUMIFS(Table_Assembly[Total NG],Table_Assembly[Customer],$B$5,Table_Assembly[Product type],$D$8,Table_Assembly[MFG Date],$I$4),
IF(AND($BI$5=FALSE,$BH$5=FALSE),SUMIFS(Table_Assembly[Total NG],Table_Assembly[Customer],$B$5,Table_Assembly[Product type],$D$8,Table_Assembly[MFG Date],$I$4),"")))))</f>
        <v>2</v>
      </c>
      <c r="J9" s="40">
        <f>IF($J$4="","",
IF($BH$4=TRUE,SUMIFS(Table_Assembly[Total NG],Table_Assembly[Product type],$D$8,Table_Assembly[MFG Date],$J$4),
IF(AND($BF$5=TRUE,$BI$5=FALSE),SUMIFS(Table_Assembly[Total NG],Table_Assembly[Product type],$D$8,Table_Assembly[MFG Date],$J$4),
IF(AND($BF$5=FALSE,$BI$5=TRUE),SUMIFS(Table_Assembly[Total NG],Table_Assembly[Customer],$B$5,Table_Assembly[Product type],$D$8,Table_Assembly[MFG Date],$J$4),
IF(AND($BI$5=FALSE,$BH$5=FALSE),SUMIFS(Table_Assembly[Total NG],Table_Assembly[Customer],$B$5,Table_Assembly[Product type],$D$8,Table_Assembly[MFG Date],$J$4),"")))))</f>
        <v>4</v>
      </c>
      <c r="K9" s="40">
        <f>IF($K$4="","",
IF($BH$4=TRUE,SUMIFS(Table_Assembly[Total NG],Table_Assembly[Product type],$D$8,Table_Assembly[MFG Date],$K$4),
IF(AND($BF$5=TRUE,$BI$5=FALSE),SUMIFS(Table_Assembly[Total NG],Table_Assembly[Product type],$D$8,Table_Assembly[MFG Date],$K$4),
IF(AND($BF$5=FALSE,$BI$5=TRUE),SUMIFS(Table_Assembly[Total NG],Table_Assembly[Customer],$B$5,Table_Assembly[Product type],$D$8,Table_Assembly[MFG Date],$K$4),
IF(AND($BI$5=FALSE,$BH$5=FALSE),SUMIFS(Table_Assembly[Total NG],Table_Assembly[Customer],$B$5,Table_Assembly[Product type],$D$8,Table_Assembly[MFG Date],$K$4),"")))))</f>
        <v>13</v>
      </c>
      <c r="L9" s="41">
        <f>IF($L$4="","",
IF($BH$4=TRUE,SUMIFS(Table_Assembly[Total NG],Table_Assembly[Product type],$D$8,Table_Assembly[MFG Date],$L$4),
IF(AND($BF$5=TRUE,$BI$5=FALSE),SUMIFS(Table_Assembly[Total NG],Table_Assembly[Product type],$D$8,Table_Assembly[MFG Date],$L$4),
IF(AND($BF$5=FALSE,$BI$5=TRUE),SUMIFS(Table_Assembly[Total NG],Table_Assembly[Customer],$B$5,Table_Assembly[Product type],$D$8,Table_Assembly[MFG Date],$L$4),
IF(AND($BI$5=FALSE,$BH$5=FALSE),SUMIFS(Table_Assembly[Total NG],Table_Assembly[Customer],$B$5,Table_Assembly[Product type],$D$8,Table_Assembly[MFG Date],$L$4),"")))))</f>
        <v>0</v>
      </c>
      <c r="M9" s="42">
        <f>SUM(F9:L9)</f>
        <v>139</v>
      </c>
      <c r="N9" s="23"/>
      <c r="O9" s="85"/>
      <c r="P9" s="12" t="e">
        <f>SUMIFS(#REF!,#REF!,'Weekly Report'!D5:D7,#REF!,'Weekly Report'!B5,#REF!,'Weekly Report'!K4)</f>
        <v>#REF!</v>
      </c>
      <c r="U9" s="12" t="b">
        <f t="shared" si="9"/>
        <v>0</v>
      </c>
      <c r="V9" s="12" t="s">
        <v>8</v>
      </c>
      <c r="W9" s="12">
        <v>3</v>
      </c>
      <c r="BP9" s="105"/>
      <c r="BQ9" s="23"/>
      <c r="BR9" s="23"/>
      <c r="BS9" s="188"/>
      <c r="BT9" s="19" t="s">
        <v>65</v>
      </c>
      <c r="BU9" s="40">
        <f>IF($F$4="","",
IF($BH$4=TRUE,SUMIFS(Table_Assembly[Total NG from machine],Table_Assembly[Product type],$D$8,Table_Assembly[MFG Date],$F$4),
IF(AND($BF$5=TRUE,$BI$5=FALSE),SUMIFS(Table_Assembly[Total NG from machine],#REF!,$B$3,Table_Assembly[Product type],$D$8,Table_Assembly[MFG Date],$F$4),
IF(AND($BF$5=FALSE,$BI$5=TRUE),SUMIFS(Table_Assembly[Total NG from machine],Table_Assembly[Customer],$B$5,Table_Assembly[Product type],$D$8,Table_Assembly[MFG Date],$F$4),
IF(AND($BI$5=FALSE,$BH$5=FALSE),SUMIFS(Table_Assembly[Total NG from machine],#REF!,$B$3,Table_Assembly[Customer],$B$5,Table_Assembly[Product type],$D$8,Table_Assembly[MFG Date],$F$4),"")))))</f>
        <v>3</v>
      </c>
      <c r="BV9" s="40">
        <f>IF($G$4="","",
IF($BH$4=TRUE,SUMIFS(Table_Assembly[Total NG from machine],Table_Assembly[Product type],$D$8,Table_Assembly[MFG Date],$G$4),
IF(AND($BF$5=TRUE,$BI$5=FALSE),SUMIFS(Table_Assembly[Total NG from machine],#REF!,$B$3,Table_Assembly[Product type],$D$8,Table_Assembly[MFG Date],$G$4),
IF(AND($BF$5=FALSE,$BI$5=TRUE),SUMIFS(Table_Assembly[Total NG from machine],Table_Assembly[Customer],$B$5,Table_Assembly[Product type],$D$8,Table_Assembly[MFG Date],$G$4),
IF(AND($BI$5=FALSE,$BH$5=FALSE),SUMIFS(Table_Assembly[Total NG from machine],#REF!,$B$3,Table_Assembly[Customer],$B$5,Table_Assembly[Product type],$D$8,Table_Assembly[MFG Date],$G$4),"")))))</f>
        <v>4</v>
      </c>
      <c r="BW9" s="40">
        <f>IF($H$4="","",
IF($BH$4=TRUE,SUMIFS(Table_Assembly[Total NG from machine],Table_Assembly[Product type],$D$8,Table_Assembly[MFG Date],$H$4),
IF(AND($BF$5=TRUE,$BI$5=FALSE),SUMIFS(Table_Assembly[Total NG from machine],#REF!,$B$3,Table_Assembly[Product type],$D$8,Table_Assembly[MFG Date],$H$4),
IF(AND($BF$5=FALSE,$BI$5=TRUE),SUMIFS(Table_Assembly[Total NG from machine],Table_Assembly[Customer],$B$5,Table_Assembly[Product type],$D$8,Table_Assembly[MFG Date],$H$4),
IF(AND($BI$5=FALSE,$BH$5=FALSE),SUMIFS(Table_Assembly[Total NG from machine],#REF!,$B$3,Table_Assembly[Customer],$B$5,Table_Assembly[Product type],$D$8,Table_Assembly[MFG Date],$H$4),"")))))</f>
        <v>4</v>
      </c>
      <c r="BX9" s="40">
        <f>IF($I$4="","",
IF($BH$4=TRUE,SUMIFS(Table_Assembly[Total NG from machine],Table_Assembly[Product type],$D$8,Table_Assembly[MFG Date],$I$4),
IF(AND($BF$5=TRUE,$BI$5=FALSE),SUMIFS(Table_Assembly[Total NG from machine],#REF!,$B$3,Table_Assembly[Product type],$D$8,Table_Assembly[MFG Date],$I$4),
IF(AND($BF$5=FALSE,$BI$5=TRUE),SUMIFS(Table_Assembly[Total NG from machine],Table_Assembly[Customer],$B$5,Table_Assembly[Product type],$D$8,Table_Assembly[MFG Date],$I$4),
IF(AND($BI$5=FALSE,$BH$5=FALSE),SUMIFS(Table_Assembly[Total NG from machine],#REF!,$B$3,Table_Assembly[Customer],$B$5,Table_Assembly[Product type],$D$8,Table_Assembly[MFG Date],$I$4),"")))))</f>
        <v>1</v>
      </c>
      <c r="BY9" s="40">
        <f>IF($J$4="","",
IF($BH$4=TRUE,SUMIFS(Table_Assembly[Total NG from machine],Table_Assembly[Product type],$D$8,Table_Assembly[MFG Date],$J$4),
IF(AND($BF$5=TRUE,$BI$5=FALSE),SUMIFS(Table_Assembly[Total NG from machine],#REF!,$B$3,Table_Assembly[Product type],$D$8,Table_Assembly[MFG Date],$J$4),
IF(AND($BF$5=FALSE,$BI$5=TRUE),SUMIFS(Table_Assembly[Total NG from machine],Table_Assembly[Customer],$B$5,Table_Assembly[Product type],$D$8,Table_Assembly[MFG Date],$J$4),
IF(AND($BI$5=FALSE,$BH$5=FALSE),SUMIFS(Table_Assembly[Total NG from machine],#REF!,$B$3,Table_Assembly[Customer],$B$5,Table_Assembly[Product type],$D$8,Table_Assembly[MFG Date],$J$4),"")))))</f>
        <v>3</v>
      </c>
      <c r="BZ9" s="40">
        <f>IF($K$4="","",
IF($BH$4=TRUE,SUMIFS(Table_Assembly[Total NG from machine],Table_Assembly[Product type],$D$8,Table_Assembly[MFG Date],$K$4),
IF(AND($BF$5=TRUE,$BI$5=FALSE),SUMIFS(Table_Assembly[Total NG from machine],#REF!,$B$3,Table_Assembly[Product type],$D$8,Table_Assembly[MFG Date],$K$4),
IF(AND($BF$5=FALSE,$BI$5=TRUE),SUMIFS(Table_Assembly[Total NG from machine],Table_Assembly[Customer],$B$5,Table_Assembly[Product type],$D$8,Table_Assembly[MFG Date],$K$4),
IF(AND($BI$5=FALSE,$BH$5=FALSE),SUMIFS(Table_Assembly[Total NG from machine],#REF!,$B$3,Table_Assembly[Customer],$B$5,Table_Assembly[Product type],$D$8,Table_Assembly[MFG Date],$K$4),"")))))</f>
        <v>12</v>
      </c>
      <c r="CA9" s="41">
        <f>IF($L$4="","",
IF($BH$4=TRUE,SUMIFS(Table_Assembly[Total NG from machine],Table_Assembly[Product type],$D$8,Table_Assembly[MFG Date],$L$4),
IF(AND($BF$5=TRUE,$BI$5=FALSE),SUMIFS(Table_Assembly[Total NG from machine],#REF!,$B$3,Table_Assembly[Product type],$D$8,Table_Assembly[MFG Date],$L$4),
IF(AND($BF$5=FALSE,$BI$5=TRUE),SUMIFS(Table_Assembly[Total NG from machine],Table_Assembly[Customer],$B$5,Table_Assembly[Product type],$D$8,Table_Assembly[MFG Date],$L$4),
IF(AND($BI$5=FALSE,$BH$5=FALSE),SUMIFS(Table_Assembly[Total NG from machine],#REF!,$B$3,Table_Assembly[Customer],$B$5,Table_Assembly[Product type],$D$8,Table_Assembly[MFG Date],$L$4),"")))))</f>
        <v>0</v>
      </c>
      <c r="CB9" s="42">
        <f>SUM(BU9:CA9)</f>
        <v>27</v>
      </c>
      <c r="CC9" s="23"/>
      <c r="CD9" s="85"/>
    </row>
    <row r="10" spans="1:104" ht="15.5" thickBot="1">
      <c r="A10" s="27"/>
      <c r="B10" s="28"/>
      <c r="C10" s="140"/>
      <c r="D10" s="210"/>
      <c r="E10" s="53" t="s">
        <v>66</v>
      </c>
      <c r="F10" s="54">
        <f>IFERROR(F9/F8*1000000,"")</f>
        <v>54.611981868822021</v>
      </c>
      <c r="G10" s="54">
        <f t="shared" ref="G10:L10" si="10">IFERROR(G9/G8*1000000,"")</f>
        <v>1498.5721152486781</v>
      </c>
      <c r="H10" s="54">
        <f t="shared" si="10"/>
        <v>247.15213337227848</v>
      </c>
      <c r="I10" s="54">
        <f t="shared" si="10"/>
        <v>50.248731219536708</v>
      </c>
      <c r="J10" s="54">
        <f t="shared" si="10"/>
        <v>76.331507738106609</v>
      </c>
      <c r="K10" s="54">
        <f t="shared" si="10"/>
        <v>243.3864415030049</v>
      </c>
      <c r="L10" s="55" t="str">
        <f t="shared" si="10"/>
        <v/>
      </c>
      <c r="M10" s="57">
        <f t="shared" ref="M10" si="11">IFERROR(M9/M8*1000000,"")</f>
        <v>440.16314536150378</v>
      </c>
      <c r="N10" s="23"/>
      <c r="O10" s="85"/>
      <c r="U10" s="12" t="b">
        <f t="shared" si="9"/>
        <v>0</v>
      </c>
      <c r="V10" s="12" t="s">
        <v>9</v>
      </c>
      <c r="W10" s="12">
        <v>4</v>
      </c>
      <c r="AD10" s="12" t="e">
        <f>IF($F$4="","",
IF($BH$4=TRUE,SUMIFS(#REF!,#REF!,'Weekly Report'!$D$8,#REF!,'Weekly Report'!$F$4),
IF(AND($BF$5=TRUE,$BI$5=FALSE),SUMIFS(#REF!,#REF!,'Weekly Report'!$B$3,#REF!,'Weekly Report'!$D$8,#REF!,'Weekly Report'!$F$4),
IF(AND($BF$5=FALSE,$BI$5=TRUE),SUMIFS(#REF!,#REF!,'Weekly Report'!$B$5,#REF!,'Weekly Report'!$D$8,#REF!,'Weekly Report'!$F$4),
IF(AND($BI$5=FALSE,$BH$5=FALSE),SUMIFS(#REF!,#REF!,'Weekly Report'!$B$3,#REF!,'Weekly Report'!$B$5,#REF!,'Weekly Report'!$D$8,#REF!,'Weekly Report'!$F$4),"")))))</f>
        <v>#REF!</v>
      </c>
      <c r="AE10" s="12" t="e">
        <f>IF($G$4="","",
IF($BH$4=TRUE,SUMIFS(#REF!,#REF!,'Weekly Report'!$D$8,#REF!,'Weekly Report'!$G$4),
IF(AND($BF$5=TRUE,$BI$5=FALSE),SUMIFS(#REF!,#REF!,'Weekly Report'!$B$3,#REF!,'Weekly Report'!$D$8,#REF!,'Weekly Report'!$G$4),
IF(AND($BF$5=FALSE,$BI$5=TRUE),SUMIFS(#REF!,#REF!,'Weekly Report'!$B$5,#REF!,'Weekly Report'!$D$8,#REF!,'Weekly Report'!$G$4),
IF(AND($BI$5=FALSE,$BH$5=FALSE),SUMIFS(#REF!,#REF!,'Weekly Report'!$B$3,#REF!,'Weekly Report'!$B$5,#REF!,'Weekly Report'!$D$8,#REF!,'Weekly Report'!$G$4),"")))))</f>
        <v>#REF!</v>
      </c>
      <c r="AF10" s="12" t="e">
        <f>IF($H$4="","",
IF($BH$4=TRUE,SUMIFS(#REF!,#REF!,'Weekly Report'!$D$8,#REF!,'Weekly Report'!$H$4),
IF(AND($BF$5=TRUE,$BI$5=FALSE),SUMIFS(#REF!,#REF!,'Weekly Report'!$B$3,#REF!,'Weekly Report'!$D$8,#REF!,'Weekly Report'!$H$4),
IF(AND($BF$5=FALSE,$BI$5=TRUE),SUMIFS(#REF!,#REF!,'Weekly Report'!$B$5,#REF!,'Weekly Report'!$D$8,#REF!,'Weekly Report'!$H$4),
IF(AND($BI$5=FALSE,$BH$5=FALSE),SUMIFS(#REF!,#REF!,'Weekly Report'!$B$3,#REF!,'Weekly Report'!$B$5,#REF!,'Weekly Report'!$D$8,#REF!,'Weekly Report'!$H$4),"")))))</f>
        <v>#REF!</v>
      </c>
      <c r="AG10" s="12" t="e">
        <f>IF($I$4="","",
IF($BH$4=TRUE,SUMIFS(#REF!,#REF!,'Weekly Report'!$D$8,#REF!,'Weekly Report'!$I$4),
IF(AND($BF$5=TRUE,$BI$5=FALSE),SUMIFS(#REF!,#REF!,'Weekly Report'!$B$3,#REF!,'Weekly Report'!$D$8,#REF!,'Weekly Report'!$I$4),
IF(AND($BF$5=FALSE,$BI$5=TRUE),SUMIFS(#REF!,#REF!,'Weekly Report'!$B$5,#REF!,'Weekly Report'!$D$8,#REF!,'Weekly Report'!$I$4),
IF(AND($BI$5=FALSE,$BH$5=FALSE),SUMIFS(#REF!,#REF!,'Weekly Report'!$B$3,#REF!,'Weekly Report'!$B$5,#REF!,'Weekly Report'!$D$8,#REF!,'Weekly Report'!$I$4),"")))))</f>
        <v>#REF!</v>
      </c>
      <c r="AH10" s="12" t="e">
        <f>IF($J$4="","",
IF($BH$4=TRUE,SUMIFS(#REF!,#REF!,'Weekly Report'!$D$8,#REF!,'Weekly Report'!$J$4),
IF(AND($BF$5=TRUE,$BI$5=FALSE),SUMIFS(#REF!,#REF!,'Weekly Report'!$B$3,#REF!,'Weekly Report'!$D$8,#REF!,'Weekly Report'!$J$4),
IF(AND($BF$5=FALSE,$BI$5=TRUE),SUMIFS(#REF!,#REF!,'Weekly Report'!$B$5,#REF!,'Weekly Report'!$D$8,#REF!,'Weekly Report'!$J$4),
IF(AND($BI$5=FALSE,$BH$5=FALSE),SUMIFS(#REF!,#REF!,'Weekly Report'!$B$3,#REF!,'Weekly Report'!$B$5,#REF!,'Weekly Report'!$D$8,#REF!,'Weekly Report'!$J$4),"")))))</f>
        <v>#REF!</v>
      </c>
      <c r="AI10" s="12" t="e">
        <f>IF($K$4="","",
IF($BH$4=TRUE,SUMIFS(#REF!,#REF!,'Weekly Report'!$D$8,#REF!,'Weekly Report'!$K$4),
IF(AND($BF$5=TRUE,$BI$5=FALSE),SUMIFS(#REF!,#REF!,'Weekly Report'!$B$3,#REF!,'Weekly Report'!$D$8,#REF!,'Weekly Report'!$K$4),
IF(AND($BF$5=FALSE,$BI$5=TRUE),SUMIFS(#REF!,#REF!,'Weekly Report'!$B$5,#REF!,'Weekly Report'!$D$8,#REF!,'Weekly Report'!$K$4),
IF(AND($BI$5=FALSE,$BH$5=FALSE),SUMIFS(#REF!,#REF!,'Weekly Report'!$B$3,#REF!,'Weekly Report'!$B$5,#REF!,'Weekly Report'!$D$8,#REF!,'Weekly Report'!$K$4),"")))))</f>
        <v>#REF!</v>
      </c>
      <c r="AJ10" s="12" t="e">
        <f>IF($L$4="","",
IF($BH$4=TRUE,SUMIFS(#REF!,#REF!,'Weekly Report'!$D$8,#REF!,'Weekly Report'!$L$4),
IF(AND($BF$5=TRUE,$BI$5=FALSE),SUMIFS(#REF!,#REF!,'Weekly Report'!$B$3,#REF!,'Weekly Report'!$D$8,#REF!,'Weekly Report'!$L$4),
IF(AND($BF$5=FALSE,$BI$5=TRUE),SUMIFS(#REF!,#REF!,'Weekly Report'!$B$5,#REF!,'Weekly Report'!$D$8,#REF!,'Weekly Report'!$L$4),
IF(AND($BI$5=FALSE,$BH$5=FALSE),SUMIFS(#REF!,#REF!,'Weekly Report'!$B$3,#REF!,'Weekly Report'!$B$5,#REF!,'Weekly Report'!$D$8,#REF!,'Weekly Report'!$L$4),"")))))</f>
        <v>#REF!</v>
      </c>
      <c r="BP10" s="105"/>
      <c r="BQ10" s="23"/>
      <c r="BR10" s="23"/>
      <c r="BS10" s="190"/>
      <c r="BT10" s="53" t="s">
        <v>66</v>
      </c>
      <c r="BU10" s="54">
        <f t="shared" ref="BU10:CB10" si="12">IFERROR(BU9/BU8*1000000,"")</f>
        <v>54.611981868822021</v>
      </c>
      <c r="BV10" s="54">
        <f t="shared" si="12"/>
        <v>56.549891141459554</v>
      </c>
      <c r="BW10" s="54">
        <f t="shared" si="12"/>
        <v>89.873503044464911</v>
      </c>
      <c r="BX10" s="54">
        <f t="shared" si="12"/>
        <v>25.124365609768354</v>
      </c>
      <c r="BY10" s="54">
        <f t="shared" si="12"/>
        <v>57.24863080357995</v>
      </c>
      <c r="BZ10" s="54">
        <f t="shared" si="12"/>
        <v>224.66440754123528</v>
      </c>
      <c r="CA10" s="55" t="str">
        <f t="shared" si="12"/>
        <v/>
      </c>
      <c r="CB10" s="57">
        <f t="shared" si="12"/>
        <v>85.499316005471954</v>
      </c>
      <c r="CC10" s="23"/>
      <c r="CD10" s="85"/>
    </row>
    <row r="11" spans="1:104" ht="16.25" thickTop="1" thickBot="1">
      <c r="A11" s="26" t="s">
        <v>3</v>
      </c>
      <c r="B11" s="29" t="s">
        <v>82</v>
      </c>
      <c r="C11" s="140"/>
      <c r="D11" s="209" t="s">
        <v>62</v>
      </c>
      <c r="E11" s="18" t="s">
        <v>64</v>
      </c>
      <c r="F11" s="50">
        <f>IF(F8&lt;&gt;"",F5+F8,"")</f>
        <v>90057</v>
      </c>
      <c r="G11" s="58">
        <f t="shared" ref="G11:K12" si="13">IF(G8&lt;&gt;"",G5+G8,"")</f>
        <v>108461</v>
      </c>
      <c r="H11" s="58">
        <f t="shared" si="13"/>
        <v>77248</v>
      </c>
      <c r="I11" s="58">
        <f t="shared" si="13"/>
        <v>69975</v>
      </c>
      <c r="J11" s="58">
        <f t="shared" si="13"/>
        <v>79806</v>
      </c>
      <c r="K11" s="58">
        <f t="shared" si="13"/>
        <v>77368</v>
      </c>
      <c r="L11" s="51">
        <f t="shared" ref="L11" si="14">IF(L8&lt;&gt;"",L5+L8,"")</f>
        <v>0</v>
      </c>
      <c r="M11" s="52">
        <f>SUM(F11:L11)</f>
        <v>502915</v>
      </c>
      <c r="N11" s="23"/>
      <c r="O11" s="85"/>
      <c r="P11" s="12" t="e">
        <f>K4=#REF!</f>
        <v>#REF!</v>
      </c>
      <c r="U11" s="12" t="b">
        <f t="shared" si="9"/>
        <v>1</v>
      </c>
      <c r="V11" s="12" t="s">
        <v>10</v>
      </c>
      <c r="W11" s="12">
        <v>5</v>
      </c>
      <c r="BP11" s="105"/>
      <c r="BQ11" s="23"/>
      <c r="BR11" s="23"/>
      <c r="BS11" s="187" t="s">
        <v>62</v>
      </c>
      <c r="BT11" s="18" t="s">
        <v>64</v>
      </c>
      <c r="BU11" s="50">
        <f>IF(BU8&lt;&gt;"",BU5+BU8,"")</f>
        <v>90057</v>
      </c>
      <c r="BV11" s="58">
        <f t="shared" ref="BV11:BZ11" si="15">IF(BV8&lt;&gt;"",BV5+BV8,"")</f>
        <v>108461</v>
      </c>
      <c r="BW11" s="58">
        <f t="shared" si="15"/>
        <v>77248</v>
      </c>
      <c r="BX11" s="58">
        <f t="shared" si="15"/>
        <v>69975</v>
      </c>
      <c r="BY11" s="58">
        <f t="shared" si="15"/>
        <v>79806</v>
      </c>
      <c r="BZ11" s="58">
        <f t="shared" si="15"/>
        <v>77368</v>
      </c>
      <c r="CA11" s="51">
        <f t="shared" ref="CA11" si="16">IF(CA8&lt;&gt;"",CA5+CA8,"")</f>
        <v>0</v>
      </c>
      <c r="CB11" s="52">
        <f>SUM(BU11:CA11)</f>
        <v>502915</v>
      </c>
      <c r="CC11" s="23"/>
      <c r="CD11" s="85"/>
    </row>
    <row r="12" spans="1:104" ht="15.5" thickBot="1">
      <c r="A12" s="27"/>
      <c r="B12" s="28"/>
      <c r="C12" s="140"/>
      <c r="D12" s="204"/>
      <c r="E12" s="19" t="s">
        <v>65</v>
      </c>
      <c r="F12" s="40">
        <f>IF(F9&lt;&gt;"",F6+F9,"")</f>
        <v>13</v>
      </c>
      <c r="G12" s="59">
        <f t="shared" si="13"/>
        <v>140</v>
      </c>
      <c r="H12" s="59">
        <f t="shared" si="13"/>
        <v>25</v>
      </c>
      <c r="I12" s="59">
        <f t="shared" si="13"/>
        <v>24</v>
      </c>
      <c r="J12" s="59">
        <f t="shared" si="13"/>
        <v>19</v>
      </c>
      <c r="K12" s="59">
        <f t="shared" si="13"/>
        <v>30</v>
      </c>
      <c r="L12" s="41">
        <f t="shared" ref="L12" si="17">IF(L9&lt;&gt;"",L6+L9,"")</f>
        <v>0</v>
      </c>
      <c r="M12" s="42">
        <f>SUM(F12:L12)</f>
        <v>251</v>
      </c>
      <c r="N12" s="23"/>
      <c r="O12" s="85"/>
      <c r="P12" s="12" t="e">
        <f>D5=#REF!</f>
        <v>#REF!</v>
      </c>
      <c r="U12" s="12" t="b">
        <f t="shared" si="9"/>
        <v>0</v>
      </c>
      <c r="V12" s="12" t="s">
        <v>11</v>
      </c>
      <c r="W12" s="12">
        <v>6</v>
      </c>
      <c r="AD12" s="12" t="e">
        <f>IF($F$4="","",
IF($BH$4=TRUE,SUMIFS(#REF!,#REF!,'Weekly Report'!$D$5,#REF!,'Weekly Report'!$F$4),
IF(AND($BF$5=TRUE,$BI$5=FALSE),SUMIFS(#REF!,#REF!,'Weekly Report'!$B$3,#REF!,'Weekly Report'!$D$5,#REF!,'Weekly Report'!$F$4),
IF(AND($BF$5=FALSE,$BI$5=TRUE),SUMIFS(#REF!,#REF!,'Weekly Report'!$B$5,#REF!,'Weekly Report'!$D$5,#REF!,'Weekly Report'!$F$4),
IF(AND($BI$5=FALSE,$BH$5=FALSE),SUMIFS(#REF!,#REF!,'Weekly Report'!$B$3,#REF!,'Weekly Report'!$B$5,#REF!,'Weekly Report'!$D$5,#REF!,'Weekly Report'!$F$4),"")))))</f>
        <v>#REF!</v>
      </c>
      <c r="AE12" s="12" t="e">
        <f>IF($G$4="","",
IF($BH$4=TRUE,SUMIFS(#REF!,#REF!,'Weekly Report'!$D$5,#REF!,'Weekly Report'!$G$4),
IF(AND($BF$5=TRUE,$BI$5=FALSE),SUMIFS(#REF!,#REF!,'Weekly Report'!$B$3,#REF!,'Weekly Report'!$D$5,#REF!,'Weekly Report'!$G$4),
IF(AND($BF$5=FALSE,$BI$5=TRUE),SUMIFS(#REF!,#REF!,'Weekly Report'!$B$5,#REF!,'Weekly Report'!$D$5,#REF!,'Weekly Report'!$G$4),
IF(AND($BI$5=FALSE,$BH$5=FALSE),SUMIFS(#REF!,#REF!,'Weekly Report'!$B$3,#REF!,'Weekly Report'!$B$5,#REF!,'Weekly Report'!$D$5,#REF!,'Weekly Report'!$G$4),"")))))</f>
        <v>#REF!</v>
      </c>
      <c r="AF12" s="12" t="e">
        <f>IF($H$4="","",
IF($BH$4=TRUE,SUMIFS(#REF!,#REF!,'Weekly Report'!$D$5,#REF!,'Weekly Report'!$H$4),
IF(AND($BF$5=TRUE,$BI$5=FALSE),SUMIFS(#REF!,#REF!,'Weekly Report'!$B$3,#REF!,'Weekly Report'!$D$5,#REF!,'Weekly Report'!$H$4),
IF(AND($BF$5=FALSE,$BI$5=TRUE),SUMIFS(#REF!,#REF!,'Weekly Report'!$B$5,#REF!,'Weekly Report'!$D$5,#REF!,'Weekly Report'!$H$4),
IF(AND($BI$5=FALSE,$BH$5=FALSE),SUMIFS(#REF!,#REF!,'Weekly Report'!$B$3,#REF!,'Weekly Report'!$B$5,#REF!,'Weekly Report'!$D$5,#REF!,'Weekly Report'!$H$4),"")))))</f>
        <v>#REF!</v>
      </c>
      <c r="AG12" s="12" t="e">
        <f>IF($I$4="","",
IF($BH$4=TRUE,SUMIFS(#REF!,#REF!,'Weekly Report'!$D$5,#REF!,'Weekly Report'!$I$4),
IF(AND($BF$5=TRUE,$BI$5=FALSE),SUMIFS(#REF!,#REF!,'Weekly Report'!$B$3,#REF!,'Weekly Report'!$D$5,#REF!,'Weekly Report'!$I$4),
IF(AND($BF$5=FALSE,$BI$5=TRUE),SUMIFS(#REF!,#REF!,'Weekly Report'!$B$5,#REF!,'Weekly Report'!$D$5,#REF!,'Weekly Report'!$I$4),
IF(AND($BI$5=FALSE,$BH$5=FALSE),SUMIFS(#REF!,#REF!,'Weekly Report'!$B$3,#REF!,'Weekly Report'!$B$5,#REF!,'Weekly Report'!$D$5,#REF!,'Weekly Report'!$I$4),"")))))</f>
        <v>#REF!</v>
      </c>
      <c r="AH12" s="12" t="e">
        <f>IF($J$4="","",
IF($BH$4=TRUE,SUMIFS(#REF!,#REF!,'Weekly Report'!$D$5,#REF!,'Weekly Report'!$J$4),
IF(AND($BF$5=TRUE,$BI$5=FALSE),SUMIFS(#REF!,#REF!,'Weekly Report'!$B$3,#REF!,'Weekly Report'!$D$5,#REF!,'Weekly Report'!$J$4),
IF(AND($BF$5=FALSE,$BI$5=TRUE),SUMIFS(#REF!,#REF!,'Weekly Report'!$B$5,#REF!,'Weekly Report'!$D$5,#REF!,'Weekly Report'!$J$4),
IF(AND($BI$5=FALSE,$BH$5=FALSE),SUMIFS(#REF!,#REF!,'Weekly Report'!$B$3,#REF!,'Weekly Report'!$B$5,#REF!,'Weekly Report'!$D$5,#REF!,'Weekly Report'!$J$4),"")))))</f>
        <v>#REF!</v>
      </c>
      <c r="AI12" s="12" t="e">
        <f>IF($K$4="","",
IF($BH$4=TRUE,SUMIFS(#REF!,#REF!,'Weekly Report'!$D$5,#REF!,'Weekly Report'!$K$4),
IF(AND($BF$5=TRUE,$BI$5=FALSE),SUMIFS(#REF!,#REF!,'Weekly Report'!$B$3,#REF!,'Weekly Report'!$D$5,#REF!,'Weekly Report'!$K$4),
IF(AND($BF$5=FALSE,$BI$5=TRUE),SUMIFS(#REF!,#REF!,'Weekly Report'!$B$5,#REF!,'Weekly Report'!$D$5,#REF!,'Weekly Report'!$K$4),
IF(AND($BI$5=FALSE,$BH$5=FALSE),SUMIFS(#REF!,#REF!,'Weekly Report'!$B$3,#REF!,'Weekly Report'!$B$5,#REF!,'Weekly Report'!$D$5,#REF!,'Weekly Report'!$K$4),"")))))</f>
        <v>#REF!</v>
      </c>
      <c r="AJ12" s="12" t="e">
        <f>IF($L$4="","",
IF($BH$4=TRUE,SUMIFS(#REF!,#REF!,'Weekly Report'!$D$5,#REF!,'Weekly Report'!$L$4),
IF(AND($BF$5=TRUE,$BI$5=FALSE),SUMIFS(#REF!,#REF!,'Weekly Report'!$B$3,#REF!,'Weekly Report'!$D$5,#REF!,'Weekly Report'!$L$4),
IF(AND($BF$5=FALSE,$BI$5=TRUE),SUMIFS(#REF!,#REF!,'Weekly Report'!$B$5,#REF!,'Weekly Report'!$D$5,#REF!,'Weekly Report'!$L$4),
IF(AND($BI$5=FALSE,$BH$5=FALSE),SUMIFS(#REF!,#REF!,'Weekly Report'!$B$3,#REF!,'Weekly Report'!$B$5,#REF!,'Weekly Report'!$D$5,#REF!,'Weekly Report'!$L$4),"")))))</f>
        <v>#REF!</v>
      </c>
      <c r="BP12" s="105"/>
      <c r="BQ12" s="23"/>
      <c r="BR12" s="23"/>
      <c r="BS12" s="188"/>
      <c r="BT12" s="19" t="s">
        <v>65</v>
      </c>
      <c r="BU12" s="40">
        <f>IF(BU9&lt;&gt;"",BU6+BU9,"")</f>
        <v>7</v>
      </c>
      <c r="BV12" s="59">
        <f t="shared" ref="BV12:BZ12" si="18">IF(BV9&lt;&gt;"",BV6+BV9,"")</f>
        <v>21</v>
      </c>
      <c r="BW12" s="59">
        <f t="shared" si="18"/>
        <v>17</v>
      </c>
      <c r="BX12" s="59">
        <f t="shared" si="18"/>
        <v>22</v>
      </c>
      <c r="BY12" s="59">
        <f t="shared" si="18"/>
        <v>11</v>
      </c>
      <c r="BZ12" s="59">
        <f t="shared" si="18"/>
        <v>28</v>
      </c>
      <c r="CA12" s="41">
        <f t="shared" ref="CA12" si="19">IF(CA9&lt;&gt;"",CA6+CA9,"")</f>
        <v>0</v>
      </c>
      <c r="CB12" s="42">
        <f>SUM(BU12:CA12)</f>
        <v>106</v>
      </c>
      <c r="CC12" s="23"/>
      <c r="CD12" s="85"/>
    </row>
    <row r="13" spans="1:104" ht="15.5" thickBot="1">
      <c r="A13" s="26" t="s">
        <v>4</v>
      </c>
      <c r="B13" s="232">
        <f>INDEX($AG$28:$AG$58,MATCH(B11,AB28:AB58,0))</f>
        <v>45061</v>
      </c>
      <c r="C13" s="140"/>
      <c r="D13" s="210"/>
      <c r="E13" s="53" t="s">
        <v>66</v>
      </c>
      <c r="F13" s="54">
        <f t="shared" ref="F13:M13" si="20">IFERROR(F12/F11*1000000,"")</f>
        <v>144.35302086456355</v>
      </c>
      <c r="G13" s="54">
        <f t="shared" si="20"/>
        <v>1290.7865500041489</v>
      </c>
      <c r="H13" s="54">
        <f t="shared" si="20"/>
        <v>323.63297431648715</v>
      </c>
      <c r="I13" s="54">
        <f t="shared" si="20"/>
        <v>342.97963558413716</v>
      </c>
      <c r="J13" s="54">
        <f t="shared" si="20"/>
        <v>238.07733754354308</v>
      </c>
      <c r="K13" s="54">
        <f t="shared" si="20"/>
        <v>387.75721228414852</v>
      </c>
      <c r="L13" s="55" t="str">
        <f t="shared" ref="L13" si="21">IFERROR(L12/L11*1000000,"")</f>
        <v/>
      </c>
      <c r="M13" s="56">
        <f t="shared" si="20"/>
        <v>499.09030353041771</v>
      </c>
      <c r="N13" s="23"/>
      <c r="O13" s="85"/>
      <c r="U13" s="12" t="b">
        <f t="shared" si="9"/>
        <v>0</v>
      </c>
      <c r="V13" s="12" t="s">
        <v>12</v>
      </c>
      <c r="W13" s="12">
        <v>7</v>
      </c>
      <c r="BP13" s="105"/>
      <c r="BQ13" s="23"/>
      <c r="BR13" s="23"/>
      <c r="BS13" s="190"/>
      <c r="BT13" s="53" t="s">
        <v>66</v>
      </c>
      <c r="BU13" s="54">
        <f t="shared" ref="BU13:CB13" si="22">IFERROR(BU12/BU11*1000000,"")</f>
        <v>77.728549696303446</v>
      </c>
      <c r="BV13" s="54">
        <f t="shared" si="22"/>
        <v>193.61798250062236</v>
      </c>
      <c r="BW13" s="54">
        <f t="shared" si="22"/>
        <v>220.07042253521126</v>
      </c>
      <c r="BX13" s="54">
        <f t="shared" si="22"/>
        <v>314.39799928545909</v>
      </c>
      <c r="BY13" s="54">
        <f t="shared" si="22"/>
        <v>137.83424805152495</v>
      </c>
      <c r="BZ13" s="54">
        <f t="shared" si="22"/>
        <v>361.90673146520527</v>
      </c>
      <c r="CA13" s="55" t="str">
        <f t="shared" ref="CA13" si="23">IFERROR(CA12/CA11*1000000,"")</f>
        <v/>
      </c>
      <c r="CB13" s="56">
        <f t="shared" si="22"/>
        <v>210.7712038813716</v>
      </c>
      <c r="CC13" s="23"/>
      <c r="CD13" s="85"/>
      <c r="CS13" s="6" t="s">
        <v>160</v>
      </c>
    </row>
    <row r="14" spans="1:104" ht="16.25" thickTop="1" thickBot="1">
      <c r="A14" s="27"/>
      <c r="B14" s="28"/>
      <c r="C14" s="140"/>
      <c r="D14" s="211" t="s">
        <v>68</v>
      </c>
      <c r="E14" s="212"/>
      <c r="F14" s="31" t="s">
        <v>69</v>
      </c>
      <c r="G14" s="47" t="str">
        <f t="shared" ref="G14:M14" si="24">F14</f>
        <v>-</v>
      </c>
      <c r="H14" s="47" t="str">
        <f t="shared" si="24"/>
        <v>-</v>
      </c>
      <c r="I14" s="47" t="str">
        <f t="shared" si="24"/>
        <v>-</v>
      </c>
      <c r="J14" s="47" t="str">
        <f t="shared" si="24"/>
        <v>-</v>
      </c>
      <c r="K14" s="47" t="str">
        <f t="shared" si="24"/>
        <v>-</v>
      </c>
      <c r="L14" s="48" t="str">
        <f t="shared" si="24"/>
        <v>-</v>
      </c>
      <c r="M14" s="49" t="str">
        <f t="shared" si="24"/>
        <v>-</v>
      </c>
      <c r="N14" s="23"/>
      <c r="O14" s="85"/>
      <c r="U14" s="12" t="b">
        <f t="shared" si="9"/>
        <v>0</v>
      </c>
      <c r="V14" s="12" t="s">
        <v>13</v>
      </c>
      <c r="W14" s="12">
        <v>8</v>
      </c>
      <c r="BP14" s="105"/>
      <c r="BQ14" s="23"/>
      <c r="BR14" s="23"/>
      <c r="BS14" s="194" t="s">
        <v>68</v>
      </c>
      <c r="BT14" s="195"/>
      <c r="BU14" s="31" t="s">
        <v>69</v>
      </c>
      <c r="BV14" s="47" t="str">
        <f t="shared" ref="BV14:CB14" si="25">BU14</f>
        <v>-</v>
      </c>
      <c r="BW14" s="47" t="str">
        <f t="shared" si="25"/>
        <v>-</v>
      </c>
      <c r="BX14" s="47" t="str">
        <f t="shared" si="25"/>
        <v>-</v>
      </c>
      <c r="BY14" s="47" t="str">
        <f t="shared" si="25"/>
        <v>-</v>
      </c>
      <c r="BZ14" s="47" t="str">
        <f t="shared" si="25"/>
        <v>-</v>
      </c>
      <c r="CA14" s="48" t="str">
        <f t="shared" si="25"/>
        <v>-</v>
      </c>
      <c r="CB14" s="49" t="str">
        <f t="shared" si="25"/>
        <v>-</v>
      </c>
      <c r="CC14" s="23"/>
      <c r="CD14" s="85"/>
    </row>
    <row r="15" spans="1:104" ht="15.5" thickBot="1">
      <c r="A15" s="26" t="s">
        <v>5</v>
      </c>
      <c r="B15" s="232">
        <f>IFERROR(INDEX($AG$28:$AG$58-1,MATCH(RIGHT(B11,2)*1+1,$AE$28:$AE$58,0)),AB7)</f>
        <v>45067</v>
      </c>
      <c r="C15" s="140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85"/>
      <c r="U15" s="12" t="b">
        <f t="shared" si="9"/>
        <v>0</v>
      </c>
      <c r="V15" s="12" t="s">
        <v>14</v>
      </c>
      <c r="W15" s="12">
        <v>9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P15" s="105"/>
      <c r="BQ15" s="23"/>
      <c r="BR15" s="23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3"/>
      <c r="CD15" s="85"/>
      <c r="CS15" s="6" t="s">
        <v>172</v>
      </c>
      <c r="CT15" s="6">
        <f>SUMIFS(Table_Assembly[Specific Amount],Table_Assembly[NG Type],$CS$13,Table_Assembly[Product type],$BS$43,Table_Assembly[NG content],CS15,Table_Assembly[MFG Date],$BU$42)</f>
        <v>0</v>
      </c>
      <c r="CU15" s="6">
        <f>SUMIFS(Table_Assembly[Specific Amount],Table_Assembly[NG Type],$CS$13,Table_Assembly[Product type],$BS$43,Table_Assembly[NG content],CS15,Table_Assembly[MFG Date],$BV$42)</f>
        <v>10</v>
      </c>
      <c r="CV15" s="6">
        <f>SUMIFS(Table_Assembly[Specific Amount],Table_Assembly[NG Type],$CS$13,Table_Assembly[Product type],$BS$43,Table_Assembly[NG content],CS15,Table_Assembly[MFG Date],$BW$42)</f>
        <v>12</v>
      </c>
      <c r="CW15" s="6">
        <f>SUMIFS(Table_Assembly[Specific Amount],Table_Assembly[NG Type],$CS$13,Table_Assembly[Product type],$BS$43,Table_Assembly[NG content],CS15,Table_Assembly[MFG Date],$BX$42)</f>
        <v>8</v>
      </c>
      <c r="CX15" s="6">
        <f>SUMIFS(Table_Assembly[Specific Amount],Table_Assembly[NG Type],$CS$13,Table_Assembly[Product type],$BS$43,Table_Assembly[NG content],CS15,Table_Assembly[MFG Date],$BY$42)</f>
        <v>0</v>
      </c>
      <c r="CY15" s="6">
        <f>SUMIFS(Table_Assembly[Specific Amount],Table_Assembly[NG Type],$CS$13,Table_Assembly[Product type],$BS$43,Table_Assembly[NG content],CS15,Table_Assembly[MFG Date],$BZ$42)</f>
        <v>3</v>
      </c>
      <c r="CZ15" s="6">
        <f>SUMIFS(Table_Assembly[Specific Amount],Table_Assembly[NG Type],$CS$13,Table_Assembly[Product type],$BS$43,Table_Assembly[NG content],CS15,Table_Assembly[MFG Date],$CA$42)</f>
        <v>0</v>
      </c>
    </row>
    <row r="16" spans="1:104">
      <c r="A16" s="23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3"/>
      <c r="O16" s="85"/>
      <c r="U16" s="12" t="b">
        <f t="shared" si="9"/>
        <v>0</v>
      </c>
      <c r="V16" s="12" t="s">
        <v>15</v>
      </c>
      <c r="W16" s="12">
        <v>10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P16" s="105"/>
      <c r="BQ16" s="23"/>
      <c r="BR16" s="23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3"/>
      <c r="CD16" s="85"/>
      <c r="CS16" s="6" t="s">
        <v>173</v>
      </c>
      <c r="CT16" s="6">
        <f>SUMIFS(Table_Assembly[Specific Amount],Table_Assembly[NG Type],$CS$13,Table_Assembly[Product type],$BS$43,Table_Assembly[NG content],CS16,Table_Assembly[MFG Date],$BU$42)</f>
        <v>0</v>
      </c>
      <c r="CU16" s="6">
        <f>SUMIFS(Table_Assembly[Specific Amount],Table_Assembly[NG Type],$CS$13,Table_Assembly[Product type],$BS$43,Table_Assembly[NG content],CS16,Table_Assembly[MFG Date],$BV$42)</f>
        <v>0</v>
      </c>
      <c r="CV16" s="6">
        <f>SUMIFS(Table_Assembly[Specific Amount],Table_Assembly[NG Type],$CS$13,Table_Assembly[Product type],$BS$43,Table_Assembly[NG content],CS16,Table_Assembly[MFG Date],$BW$42)</f>
        <v>0</v>
      </c>
      <c r="CW16" s="6">
        <f>SUMIFS(Table_Assembly[Specific Amount],Table_Assembly[NG Type],$CS$13,Table_Assembly[Product type],$BS$43,Table_Assembly[NG content],CS16,Table_Assembly[MFG Date],$BX$42)</f>
        <v>0</v>
      </c>
      <c r="CX16" s="6">
        <f>SUMIFS(Table_Assembly[Specific Amount],Table_Assembly[NG Type],$CS$13,Table_Assembly[Product type],$BS$43,Table_Assembly[NG content],CS16,Table_Assembly[MFG Date],$BY$42)</f>
        <v>0</v>
      </c>
      <c r="CY16" s="6">
        <f>SUMIFS(Table_Assembly[Specific Amount],Table_Assembly[NG Type],$CS$13,Table_Assembly[Product type],$BS$43,Table_Assembly[NG content],CS16,Table_Assembly[MFG Date],$BZ$42)</f>
        <v>0</v>
      </c>
      <c r="CZ16" s="6">
        <f>SUMIFS(Table_Assembly[Specific Amount],Table_Assembly[NG Type],$CS$13,Table_Assembly[Product type],$BS$43,Table_Assembly[NG content],CS16,Table_Assembly[MFG Date],$CA$42)</f>
        <v>0</v>
      </c>
    </row>
    <row r="17" spans="1:104">
      <c r="A17" s="169">
        <f>WEEKNUM(B13,2)</f>
        <v>21</v>
      </c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/>
      <c r="O17" s="85"/>
      <c r="U17" s="12" t="b">
        <f t="shared" si="9"/>
        <v>0</v>
      </c>
      <c r="V17" s="12" t="s">
        <v>16</v>
      </c>
      <c r="W17" s="12">
        <v>11</v>
      </c>
      <c r="Z17" s="15" t="str">
        <f>Z18</f>
        <v>Week 1</v>
      </c>
      <c r="AA17" s="15" t="str">
        <f>IFERROR(IF(AA18=Z18,"",AA18),"")</f>
        <v/>
      </c>
      <c r="AB17" s="15" t="str">
        <f t="shared" ref="AB17:BD17" si="26">IFERROR(IF(AB18=AA18,"",AB18),"")</f>
        <v/>
      </c>
      <c r="AC17" s="15" t="str">
        <f t="shared" si="26"/>
        <v/>
      </c>
      <c r="AD17" s="15" t="str">
        <f t="shared" si="26"/>
        <v/>
      </c>
      <c r="AE17" s="15" t="str">
        <f t="shared" si="26"/>
        <v/>
      </c>
      <c r="AF17" s="15" t="str">
        <f t="shared" si="26"/>
        <v>Week 2</v>
      </c>
      <c r="AG17" s="15" t="str">
        <f t="shared" si="26"/>
        <v/>
      </c>
      <c r="AH17" s="15" t="str">
        <f t="shared" si="26"/>
        <v/>
      </c>
      <c r="AI17" s="15" t="str">
        <f t="shared" si="26"/>
        <v/>
      </c>
      <c r="AJ17" s="15" t="str">
        <f t="shared" si="26"/>
        <v/>
      </c>
      <c r="AK17" s="15" t="str">
        <f t="shared" si="26"/>
        <v/>
      </c>
      <c r="AL17" s="15" t="str">
        <f t="shared" si="26"/>
        <v/>
      </c>
      <c r="AM17" s="15" t="str">
        <f t="shared" si="26"/>
        <v>Week 3</v>
      </c>
      <c r="AN17" s="15" t="str">
        <f t="shared" si="26"/>
        <v/>
      </c>
      <c r="AO17" s="15" t="str">
        <f t="shared" si="26"/>
        <v/>
      </c>
      <c r="AP17" s="15" t="str">
        <f t="shared" si="26"/>
        <v/>
      </c>
      <c r="AQ17" s="15" t="str">
        <f t="shared" si="26"/>
        <v/>
      </c>
      <c r="AR17" s="15" t="str">
        <f t="shared" si="26"/>
        <v/>
      </c>
      <c r="AS17" s="15" t="str">
        <f t="shared" si="26"/>
        <v/>
      </c>
      <c r="AT17" s="15" t="str">
        <f t="shared" si="26"/>
        <v>Week 4</v>
      </c>
      <c r="AU17" s="15" t="str">
        <f t="shared" si="26"/>
        <v/>
      </c>
      <c r="AV17" s="15" t="str">
        <f t="shared" si="26"/>
        <v/>
      </c>
      <c r="AW17" s="15" t="str">
        <f t="shared" si="26"/>
        <v/>
      </c>
      <c r="AX17" s="15" t="str">
        <f t="shared" si="26"/>
        <v/>
      </c>
      <c r="AY17" s="15" t="str">
        <f t="shared" si="26"/>
        <v/>
      </c>
      <c r="AZ17" s="15" t="str">
        <f t="shared" si="26"/>
        <v/>
      </c>
      <c r="BA17" s="15" t="str">
        <f t="shared" si="26"/>
        <v>Week 5</v>
      </c>
      <c r="BB17" s="15" t="str">
        <f t="shared" si="26"/>
        <v/>
      </c>
      <c r="BC17" s="15" t="str">
        <f t="shared" si="26"/>
        <v/>
      </c>
      <c r="BD17" s="15" t="str">
        <f t="shared" si="26"/>
        <v/>
      </c>
      <c r="BP17" s="105"/>
      <c r="BQ17" s="23"/>
      <c r="BR17" s="23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3"/>
      <c r="CD17" s="85"/>
      <c r="CS17" s="6" t="s">
        <v>230</v>
      </c>
      <c r="CT17" s="6">
        <f>SUMIFS(Table_Assembly[Specific Amount],Table_Assembly[NG Type],$CS$13,Table_Assembly[Product type],$BS$43,Table_Assembly[NG content],CS17,Table_Assembly[MFG Date],$BU$42)</f>
        <v>0</v>
      </c>
      <c r="CU17" s="6">
        <f>SUMIFS(Table_Assembly[Specific Amount],Table_Assembly[NG Type],$CS$13,Table_Assembly[Product type],$BS$43,Table_Assembly[NG content],CS17,Table_Assembly[MFG Date],$BV$42)</f>
        <v>0</v>
      </c>
      <c r="CV17" s="6">
        <f>SUMIFS(Table_Assembly[Specific Amount],Table_Assembly[NG Type],$CS$13,Table_Assembly[Product type],$BS$43,Table_Assembly[NG content],CS17,Table_Assembly[MFG Date],$BW$42)</f>
        <v>0</v>
      </c>
      <c r="CW17" s="6">
        <f>SUMIFS(Table_Assembly[Specific Amount],Table_Assembly[NG Type],$CS$13,Table_Assembly[Product type],$BS$43,Table_Assembly[NG content],CS17,Table_Assembly[MFG Date],$BX$42)</f>
        <v>0</v>
      </c>
      <c r="CX17" s="6">
        <f>SUMIFS(Table_Assembly[Specific Amount],Table_Assembly[NG Type],$CS$13,Table_Assembly[Product type],$BS$43,Table_Assembly[NG content],CS17,Table_Assembly[MFG Date],$BY$42)</f>
        <v>0</v>
      </c>
      <c r="CY17" s="6">
        <f>SUMIFS(Table_Assembly[Specific Amount],Table_Assembly[NG Type],$CS$13,Table_Assembly[Product type],$BS$43,Table_Assembly[NG content],CS17,Table_Assembly[MFG Date],$BZ$42)</f>
        <v>0</v>
      </c>
      <c r="CZ17" s="6">
        <f>SUMIFS(Table_Assembly[Specific Amount],Table_Assembly[NG Type],$CS$13,Table_Assembly[Product type],$BS$43,Table_Assembly[NG content],CS17,Table_Assembly[MFG Date],$CA$42)</f>
        <v>0</v>
      </c>
    </row>
    <row r="18" spans="1:104">
      <c r="A18" s="169" t="str">
        <f>A17&amp;D5</f>
        <v>21O-I</v>
      </c>
      <c r="B18" s="2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/>
      <c r="O18" s="85"/>
      <c r="U18" s="12" t="b">
        <f>$B$9=V18</f>
        <v>0</v>
      </c>
      <c r="V18" s="12" t="s">
        <v>17</v>
      </c>
      <c r="W18" s="12">
        <v>12</v>
      </c>
      <c r="Z18" s="15" t="str">
        <f>IF(Z21="","",$Z$19&amp;" "&amp;Z20)</f>
        <v>Week 1</v>
      </c>
      <c r="AA18" s="15" t="str">
        <f t="shared" ref="AA18:BD18" si="27">IF(AA21="","",$Z$19&amp;" "&amp;AA20)</f>
        <v>Week 1</v>
      </c>
      <c r="AB18" s="15" t="str">
        <f t="shared" si="27"/>
        <v>Week 1</v>
      </c>
      <c r="AC18" s="15" t="str">
        <f t="shared" si="27"/>
        <v>Week 1</v>
      </c>
      <c r="AD18" s="15" t="str">
        <f t="shared" si="27"/>
        <v>Week 1</v>
      </c>
      <c r="AE18" s="15" t="str">
        <f t="shared" si="27"/>
        <v>Week 1</v>
      </c>
      <c r="AF18" s="15" t="str">
        <f t="shared" si="27"/>
        <v>Week 2</v>
      </c>
      <c r="AG18" s="15" t="str">
        <f t="shared" si="27"/>
        <v>Week 2</v>
      </c>
      <c r="AH18" s="15" t="str">
        <f t="shared" si="27"/>
        <v>Week 2</v>
      </c>
      <c r="AI18" s="15" t="str">
        <f t="shared" si="27"/>
        <v>Week 2</v>
      </c>
      <c r="AJ18" s="15" t="str">
        <f t="shared" si="27"/>
        <v>Week 2</v>
      </c>
      <c r="AK18" s="15" t="str">
        <f t="shared" si="27"/>
        <v>Week 2</v>
      </c>
      <c r="AL18" s="15" t="str">
        <f t="shared" si="27"/>
        <v>Week 2</v>
      </c>
      <c r="AM18" s="15" t="str">
        <f t="shared" si="27"/>
        <v>Week 3</v>
      </c>
      <c r="AN18" s="15" t="str">
        <f t="shared" si="27"/>
        <v>Week 3</v>
      </c>
      <c r="AO18" s="15" t="str">
        <f t="shared" si="27"/>
        <v>Week 3</v>
      </c>
      <c r="AP18" s="15" t="str">
        <f t="shared" si="27"/>
        <v>Week 3</v>
      </c>
      <c r="AQ18" s="15" t="str">
        <f t="shared" si="27"/>
        <v>Week 3</v>
      </c>
      <c r="AR18" s="15" t="str">
        <f t="shared" si="27"/>
        <v>Week 3</v>
      </c>
      <c r="AS18" s="15" t="str">
        <f t="shared" si="27"/>
        <v>Week 3</v>
      </c>
      <c r="AT18" s="15" t="str">
        <f t="shared" si="27"/>
        <v>Week 4</v>
      </c>
      <c r="AU18" s="15" t="str">
        <f t="shared" si="27"/>
        <v>Week 4</v>
      </c>
      <c r="AV18" s="15" t="str">
        <f t="shared" si="27"/>
        <v>Week 4</v>
      </c>
      <c r="AW18" s="15" t="str">
        <f t="shared" si="27"/>
        <v>Week 4</v>
      </c>
      <c r="AX18" s="15" t="str">
        <f t="shared" si="27"/>
        <v>Week 4</v>
      </c>
      <c r="AY18" s="15" t="str">
        <f t="shared" si="27"/>
        <v>Week 4</v>
      </c>
      <c r="AZ18" s="15" t="str">
        <f t="shared" si="27"/>
        <v>Week 4</v>
      </c>
      <c r="BA18" s="15" t="str">
        <f t="shared" si="27"/>
        <v>Week 5</v>
      </c>
      <c r="BB18" s="15" t="str">
        <f t="shared" si="27"/>
        <v>Week 5</v>
      </c>
      <c r="BC18" s="15" t="str">
        <f t="shared" si="27"/>
        <v>Week 5</v>
      </c>
      <c r="BD18" s="15" t="str">
        <f t="shared" si="27"/>
        <v>Week 5</v>
      </c>
      <c r="BE18" s="12" t="str">
        <f>IFERROR(IF(AA18=Z18,"",AA18),"")</f>
        <v/>
      </c>
      <c r="BP18" s="105"/>
      <c r="BQ18" s="23"/>
      <c r="BR18" s="23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3"/>
      <c r="CD18" s="85"/>
      <c r="CS18" s="6" t="s">
        <v>174</v>
      </c>
      <c r="CT18" s="6">
        <f>SUMIFS(Table_Assembly[Specific Amount],Table_Assembly[NG Type],$CS$13,Table_Assembly[Product type],$BS$43,Table_Assembly[NG content],CS18,Table_Assembly[MFG Date],$BU$42)</f>
        <v>0</v>
      </c>
      <c r="CU18" s="6">
        <f>SUMIFS(Table_Assembly[Specific Amount],Table_Assembly[NG Type],$CS$13,Table_Assembly[Product type],$BS$43,Table_Assembly[NG content],CS18,Table_Assembly[MFG Date],$BV$42)</f>
        <v>0</v>
      </c>
      <c r="CV18" s="6">
        <f>SUMIFS(Table_Assembly[Specific Amount],Table_Assembly[NG Type],$CS$13,Table_Assembly[Product type],$BS$43,Table_Assembly[NG content],CS18,Table_Assembly[MFG Date],$BW$42)</f>
        <v>0</v>
      </c>
      <c r="CW18" s="6">
        <f>SUMIFS(Table_Assembly[Specific Amount],Table_Assembly[NG Type],$CS$13,Table_Assembly[Product type],$BS$43,Table_Assembly[NG content],CS18,Table_Assembly[MFG Date],$BX$42)</f>
        <v>0</v>
      </c>
      <c r="CX18" s="6">
        <f>SUMIFS(Table_Assembly[Specific Amount],Table_Assembly[NG Type],$CS$13,Table_Assembly[Product type],$BS$43,Table_Assembly[NG content],CS18,Table_Assembly[MFG Date],$BY$42)</f>
        <v>0</v>
      </c>
      <c r="CY18" s="6">
        <f>SUMIFS(Table_Assembly[Specific Amount],Table_Assembly[NG Type],$CS$13,Table_Assembly[Product type],$BS$43,Table_Assembly[NG content],CS18,Table_Assembly[MFG Date],$BZ$42)</f>
        <v>0</v>
      </c>
      <c r="CZ18" s="6">
        <f>SUMIFS(Table_Assembly[Specific Amount],Table_Assembly[NG Type],$CS$13,Table_Assembly[Product type],$BS$43,Table_Assembly[NG content],CS18,Table_Assembly[MFG Date],$CA$42)</f>
        <v>0</v>
      </c>
    </row>
    <row r="19" spans="1:104">
      <c r="A19" s="169" t="str">
        <f>A17&amp;D8</f>
        <v>21O-O</v>
      </c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3"/>
      <c r="O19" s="85"/>
      <c r="Z19" s="15" t="s">
        <v>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P19" s="105"/>
      <c r="BQ19" s="23"/>
      <c r="BR19" s="23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3"/>
      <c r="CD19" s="85"/>
      <c r="CS19" s="6" t="s">
        <v>231</v>
      </c>
      <c r="CT19" s="6">
        <f>SUMIFS(Table_Assembly[Specific Amount],Table_Assembly[NG Type],$CS$13,Table_Assembly[Product type],$BS$43,Table_Assembly[NG content],CS19,Table_Assembly[MFG Date],$BU$42)</f>
        <v>0</v>
      </c>
      <c r="CU19" s="6">
        <f>SUMIFS(Table_Assembly[Specific Amount],Table_Assembly[NG Type],$CS$13,Table_Assembly[Product type],$BS$43,Table_Assembly[NG content],CS19,Table_Assembly[MFG Date],$BV$42)</f>
        <v>0</v>
      </c>
      <c r="CV19" s="6">
        <f>SUMIFS(Table_Assembly[Specific Amount],Table_Assembly[NG Type],$CS$13,Table_Assembly[Product type],$BS$43,Table_Assembly[NG content],CS19,Table_Assembly[MFG Date],$BW$42)</f>
        <v>0</v>
      </c>
      <c r="CW19" s="6">
        <f>SUMIFS(Table_Assembly[Specific Amount],Table_Assembly[NG Type],$CS$13,Table_Assembly[Product type],$BS$43,Table_Assembly[NG content],CS19,Table_Assembly[MFG Date],$BX$42)</f>
        <v>0</v>
      </c>
      <c r="CX19" s="6">
        <f>SUMIFS(Table_Assembly[Specific Amount],Table_Assembly[NG Type],$CS$13,Table_Assembly[Product type],$BS$43,Table_Assembly[NG content],CS19,Table_Assembly[MFG Date],$BY$42)</f>
        <v>0</v>
      </c>
      <c r="CY19" s="6">
        <f>SUMIFS(Table_Assembly[Specific Amount],Table_Assembly[NG Type],$CS$13,Table_Assembly[Product type],$BS$43,Table_Assembly[NG content],CS19,Table_Assembly[MFG Date],$BZ$42)</f>
        <v>0</v>
      </c>
      <c r="CZ19" s="6">
        <f>SUMIFS(Table_Assembly[Specific Amount],Table_Assembly[NG Type],$CS$13,Table_Assembly[Product type],$BS$43,Table_Assembly[NG content],CS19,Table_Assembly[MFG Date],$CA$42)</f>
        <v>0</v>
      </c>
    </row>
    <row r="20" spans="1:104">
      <c r="A20" s="129"/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3"/>
      <c r="O20" s="85"/>
      <c r="Z20" s="15">
        <v>1</v>
      </c>
      <c r="AA20" s="15">
        <f>IF(AA21="","",IF(AA21="Monday",Z20+1,Z20))</f>
        <v>1</v>
      </c>
      <c r="AB20" s="15">
        <f t="shared" ref="AB20:BD20" si="28">IF(AB21="","",IF(AB21="Monday",AA20+1,AA20))</f>
        <v>1</v>
      </c>
      <c r="AC20" s="15">
        <f t="shared" si="28"/>
        <v>1</v>
      </c>
      <c r="AD20" s="15">
        <f t="shared" si="28"/>
        <v>1</v>
      </c>
      <c r="AE20" s="15">
        <f t="shared" si="28"/>
        <v>1</v>
      </c>
      <c r="AF20" s="15">
        <f t="shared" si="28"/>
        <v>2</v>
      </c>
      <c r="AG20" s="15">
        <f t="shared" si="28"/>
        <v>2</v>
      </c>
      <c r="AH20" s="15">
        <f t="shared" si="28"/>
        <v>2</v>
      </c>
      <c r="AI20" s="15">
        <f t="shared" si="28"/>
        <v>2</v>
      </c>
      <c r="AJ20" s="15">
        <f t="shared" si="28"/>
        <v>2</v>
      </c>
      <c r="AK20" s="15">
        <f t="shared" si="28"/>
        <v>2</v>
      </c>
      <c r="AL20" s="15">
        <f t="shared" si="28"/>
        <v>2</v>
      </c>
      <c r="AM20" s="15">
        <f t="shared" si="28"/>
        <v>3</v>
      </c>
      <c r="AN20" s="15">
        <f t="shared" si="28"/>
        <v>3</v>
      </c>
      <c r="AO20" s="15">
        <f t="shared" si="28"/>
        <v>3</v>
      </c>
      <c r="AP20" s="15">
        <f t="shared" si="28"/>
        <v>3</v>
      </c>
      <c r="AQ20" s="15">
        <f t="shared" si="28"/>
        <v>3</v>
      </c>
      <c r="AR20" s="15">
        <f t="shared" si="28"/>
        <v>3</v>
      </c>
      <c r="AS20" s="15">
        <f t="shared" si="28"/>
        <v>3</v>
      </c>
      <c r="AT20" s="15">
        <f t="shared" si="28"/>
        <v>4</v>
      </c>
      <c r="AU20" s="15">
        <f t="shared" si="28"/>
        <v>4</v>
      </c>
      <c r="AV20" s="15">
        <f t="shared" si="28"/>
        <v>4</v>
      </c>
      <c r="AW20" s="15">
        <f t="shared" si="28"/>
        <v>4</v>
      </c>
      <c r="AX20" s="15">
        <f t="shared" si="28"/>
        <v>4</v>
      </c>
      <c r="AY20" s="15">
        <f t="shared" si="28"/>
        <v>4</v>
      </c>
      <c r="AZ20" s="15">
        <f t="shared" si="28"/>
        <v>4</v>
      </c>
      <c r="BA20" s="15">
        <f t="shared" si="28"/>
        <v>5</v>
      </c>
      <c r="BB20" s="15">
        <f t="shared" si="28"/>
        <v>5</v>
      </c>
      <c r="BC20" s="15">
        <f t="shared" si="28"/>
        <v>5</v>
      </c>
      <c r="BD20" s="15">
        <f t="shared" si="28"/>
        <v>5</v>
      </c>
      <c r="BP20" s="105"/>
      <c r="BQ20" s="23"/>
      <c r="BR20" s="23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3"/>
      <c r="CD20" s="85"/>
      <c r="CS20" s="6" t="s">
        <v>175</v>
      </c>
      <c r="CT20" s="6">
        <f>SUMIFS(Table_Assembly[Specific Amount],Table_Assembly[NG Type],$CS$13,Table_Assembly[Product type],$BS$43,Table_Assembly[NG content],CS20,Table_Assembly[MFG Date],$BU$42)</f>
        <v>0</v>
      </c>
      <c r="CU20" s="6">
        <f>SUMIFS(Table_Assembly[Specific Amount],Table_Assembly[NG Type],$CS$13,Table_Assembly[Product type],$BS$43,Table_Assembly[NG content],CS20,Table_Assembly[MFG Date],$BV$42)</f>
        <v>0</v>
      </c>
      <c r="CV20" s="6">
        <f>SUMIFS(Table_Assembly[Specific Amount],Table_Assembly[NG Type],$CS$13,Table_Assembly[Product type],$BS$43,Table_Assembly[NG content],CS20,Table_Assembly[MFG Date],$BW$42)</f>
        <v>0</v>
      </c>
      <c r="CW20" s="6">
        <f>SUMIFS(Table_Assembly[Specific Amount],Table_Assembly[NG Type],$CS$13,Table_Assembly[Product type],$BS$43,Table_Assembly[NG content],CS20,Table_Assembly[MFG Date],$BX$42)</f>
        <v>0</v>
      </c>
      <c r="CX20" s="6">
        <f>SUMIFS(Table_Assembly[Specific Amount],Table_Assembly[NG Type],$CS$13,Table_Assembly[Product type],$BS$43,Table_Assembly[NG content],CS20,Table_Assembly[MFG Date],$BY$42)</f>
        <v>0</v>
      </c>
      <c r="CY20" s="6">
        <f>SUMIFS(Table_Assembly[Specific Amount],Table_Assembly[NG Type],$CS$13,Table_Assembly[Product type],$BS$43,Table_Assembly[NG content],CS20,Table_Assembly[MFG Date],$BZ$42)</f>
        <v>1</v>
      </c>
      <c r="CZ20" s="6">
        <f>SUMIFS(Table_Assembly[Specific Amount],Table_Assembly[NG Type],$CS$13,Table_Assembly[Product type],$BS$43,Table_Assembly[NG content],CS20,Table_Assembly[MFG Date],$CA$42)</f>
        <v>0</v>
      </c>
    </row>
    <row r="21" spans="1:104">
      <c r="A21" s="129"/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  <c r="O21" s="85"/>
      <c r="Z21" s="15" t="str">
        <f>IFERROR(IF(WEEKDAY(Z22)=7, "Sunday",IF(WEEKDAY(Z22)=1,"Monday",IF(WEEKDAY(Z22)=2,"Tuesday",IF(WEEKDAY(Z22)=3,"Wednesday",IF(WEEKDAY(Z22)=4,"Thursday",IF(WEEKDAY(Z22)=5,"Friday",IF(WEEKDAY(Z22)=6,"Saturday",""))))))),"")</f>
        <v>Tuesday</v>
      </c>
      <c r="AA21" s="15" t="str">
        <f t="shared" ref="AA21:BD21" si="29">IFERROR(IF(WEEKDAY(AA22)=7, "Sunday",IF(WEEKDAY(AA22)=1,"Monday",IF(WEEKDAY(AA22)=2,"Tuesday",IF(WEEKDAY(AA22)=3,"Wednesday",IF(WEEKDAY(AA22)=4,"Thursday",IF(WEEKDAY(AA22)=5,"Friday",IF(WEEKDAY(AA22)=6,"Saturday",""))))))),"")</f>
        <v>Wednesday</v>
      </c>
      <c r="AB21" s="15" t="str">
        <f t="shared" si="29"/>
        <v>Thursday</v>
      </c>
      <c r="AC21" s="15" t="str">
        <f t="shared" si="29"/>
        <v>Friday</v>
      </c>
      <c r="AD21" s="15" t="str">
        <f t="shared" si="29"/>
        <v>Saturday</v>
      </c>
      <c r="AE21" s="15" t="str">
        <f t="shared" si="29"/>
        <v>Sunday</v>
      </c>
      <c r="AF21" s="15" t="str">
        <f t="shared" si="29"/>
        <v>Monday</v>
      </c>
      <c r="AG21" s="15" t="str">
        <f t="shared" si="29"/>
        <v>Tuesday</v>
      </c>
      <c r="AH21" s="15" t="str">
        <f t="shared" si="29"/>
        <v>Wednesday</v>
      </c>
      <c r="AI21" s="15" t="str">
        <f t="shared" si="29"/>
        <v>Thursday</v>
      </c>
      <c r="AJ21" s="15" t="str">
        <f t="shared" si="29"/>
        <v>Friday</v>
      </c>
      <c r="AK21" s="15" t="str">
        <f t="shared" si="29"/>
        <v>Saturday</v>
      </c>
      <c r="AL21" s="15" t="str">
        <f t="shared" si="29"/>
        <v>Sunday</v>
      </c>
      <c r="AM21" s="15" t="str">
        <f t="shared" si="29"/>
        <v>Monday</v>
      </c>
      <c r="AN21" s="15" t="str">
        <f t="shared" si="29"/>
        <v>Tuesday</v>
      </c>
      <c r="AO21" s="15" t="str">
        <f t="shared" si="29"/>
        <v>Wednesday</v>
      </c>
      <c r="AP21" s="15" t="str">
        <f t="shared" si="29"/>
        <v>Thursday</v>
      </c>
      <c r="AQ21" s="15" t="str">
        <f t="shared" si="29"/>
        <v>Friday</v>
      </c>
      <c r="AR21" s="15" t="str">
        <f t="shared" si="29"/>
        <v>Saturday</v>
      </c>
      <c r="AS21" s="15" t="str">
        <f t="shared" si="29"/>
        <v>Sunday</v>
      </c>
      <c r="AT21" s="15" t="str">
        <f t="shared" si="29"/>
        <v>Monday</v>
      </c>
      <c r="AU21" s="15" t="str">
        <f t="shared" si="29"/>
        <v>Tuesday</v>
      </c>
      <c r="AV21" s="15" t="str">
        <f t="shared" si="29"/>
        <v>Wednesday</v>
      </c>
      <c r="AW21" s="15" t="str">
        <f t="shared" si="29"/>
        <v>Thursday</v>
      </c>
      <c r="AX21" s="15" t="str">
        <f t="shared" si="29"/>
        <v>Friday</v>
      </c>
      <c r="AY21" s="15" t="str">
        <f t="shared" si="29"/>
        <v>Saturday</v>
      </c>
      <c r="AZ21" s="15" t="str">
        <f t="shared" si="29"/>
        <v>Sunday</v>
      </c>
      <c r="BA21" s="15" t="str">
        <f t="shared" si="29"/>
        <v>Monday</v>
      </c>
      <c r="BB21" s="15" t="str">
        <f t="shared" si="29"/>
        <v>Tuesday</v>
      </c>
      <c r="BC21" s="15" t="str">
        <f t="shared" si="29"/>
        <v>Wednesday</v>
      </c>
      <c r="BD21" s="15" t="str">
        <f t="shared" si="29"/>
        <v>Thursday</v>
      </c>
      <c r="BP21" s="105"/>
      <c r="BQ21" s="23"/>
      <c r="BR21" s="23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3"/>
      <c r="CD21" s="85"/>
      <c r="CS21" s="6" t="s">
        <v>232</v>
      </c>
      <c r="CT21" s="6">
        <f>SUMIFS(Table_Assembly[Specific Amount],Table_Assembly[NG Type],$CS$13,Table_Assembly[Product type],$BS$43,Table_Assembly[NG content],CS21,Table_Assembly[MFG Date],$BU$42)</f>
        <v>0</v>
      </c>
      <c r="CU21" s="6">
        <f>SUMIFS(Table_Assembly[Specific Amount],Table_Assembly[NG Type],$CS$13,Table_Assembly[Product type],$BS$43,Table_Assembly[NG content],CS21,Table_Assembly[MFG Date],$BV$42)</f>
        <v>0</v>
      </c>
      <c r="CV21" s="6">
        <f>SUMIFS(Table_Assembly[Specific Amount],Table_Assembly[NG Type],$CS$13,Table_Assembly[Product type],$BS$43,Table_Assembly[NG content],CS21,Table_Assembly[MFG Date],$BW$42)</f>
        <v>0</v>
      </c>
      <c r="CW21" s="6">
        <f>SUMIFS(Table_Assembly[Specific Amount],Table_Assembly[NG Type],$CS$13,Table_Assembly[Product type],$BS$43,Table_Assembly[NG content],CS21,Table_Assembly[MFG Date],$BX$42)</f>
        <v>1</v>
      </c>
      <c r="CX21" s="6">
        <f>SUMIFS(Table_Assembly[Specific Amount],Table_Assembly[NG Type],$CS$13,Table_Assembly[Product type],$BS$43,Table_Assembly[NG content],CS21,Table_Assembly[MFG Date],$BY$42)</f>
        <v>0</v>
      </c>
      <c r="CY21" s="6">
        <f>SUMIFS(Table_Assembly[Specific Amount],Table_Assembly[NG Type],$CS$13,Table_Assembly[Product type],$BS$43,Table_Assembly[NG content],CS21,Table_Assembly[MFG Date],$BZ$42)</f>
        <v>0</v>
      </c>
      <c r="CZ21" s="6">
        <f>SUMIFS(Table_Assembly[Specific Amount],Table_Assembly[NG Type],$CS$13,Table_Assembly[Product type],$BS$43,Table_Assembly[NG content],CS21,Table_Assembly[MFG Date],$CA$42)</f>
        <v>0</v>
      </c>
    </row>
    <row r="22" spans="1:104">
      <c r="A22" s="129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3"/>
      <c r="O22" s="85"/>
      <c r="V22" s="12" t="e">
        <f ca="1">OFFSET($V$23,0,0,COUNTA(V23:V30))</f>
        <v>#VALUE!</v>
      </c>
      <c r="Z22" s="16">
        <f>$Z$7</f>
        <v>45047</v>
      </c>
      <c r="AA22" s="16">
        <f>IFERROR(IF(Z22=$AB$7,"",Z22+1),"")</f>
        <v>45048</v>
      </c>
      <c r="AB22" s="16">
        <f t="shared" ref="AB22:BD22" si="30">IFERROR(IF(AA22=$AB$7,"",AA22+1),"")</f>
        <v>45049</v>
      </c>
      <c r="AC22" s="16">
        <f t="shared" si="30"/>
        <v>45050</v>
      </c>
      <c r="AD22" s="16">
        <f t="shared" si="30"/>
        <v>45051</v>
      </c>
      <c r="AE22" s="16">
        <f t="shared" si="30"/>
        <v>45052</v>
      </c>
      <c r="AF22" s="16">
        <f t="shared" si="30"/>
        <v>45053</v>
      </c>
      <c r="AG22" s="16">
        <f t="shared" si="30"/>
        <v>45054</v>
      </c>
      <c r="AH22" s="16">
        <f t="shared" si="30"/>
        <v>45055</v>
      </c>
      <c r="AI22" s="16">
        <f t="shared" si="30"/>
        <v>45056</v>
      </c>
      <c r="AJ22" s="16">
        <f t="shared" si="30"/>
        <v>45057</v>
      </c>
      <c r="AK22" s="16">
        <f t="shared" si="30"/>
        <v>45058</v>
      </c>
      <c r="AL22" s="16">
        <f t="shared" si="30"/>
        <v>45059</v>
      </c>
      <c r="AM22" s="16">
        <f t="shared" si="30"/>
        <v>45060</v>
      </c>
      <c r="AN22" s="16">
        <f t="shared" si="30"/>
        <v>45061</v>
      </c>
      <c r="AO22" s="16">
        <f t="shared" si="30"/>
        <v>45062</v>
      </c>
      <c r="AP22" s="16">
        <f t="shared" si="30"/>
        <v>45063</v>
      </c>
      <c r="AQ22" s="16">
        <f t="shared" si="30"/>
        <v>45064</v>
      </c>
      <c r="AR22" s="16">
        <f t="shared" si="30"/>
        <v>45065</v>
      </c>
      <c r="AS22" s="16">
        <f t="shared" si="30"/>
        <v>45066</v>
      </c>
      <c r="AT22" s="16">
        <f t="shared" si="30"/>
        <v>45067</v>
      </c>
      <c r="AU22" s="16">
        <f t="shared" si="30"/>
        <v>45068</v>
      </c>
      <c r="AV22" s="16">
        <f t="shared" si="30"/>
        <v>45069</v>
      </c>
      <c r="AW22" s="16">
        <f t="shared" si="30"/>
        <v>45070</v>
      </c>
      <c r="AX22" s="16">
        <f t="shared" si="30"/>
        <v>45071</v>
      </c>
      <c r="AY22" s="16">
        <f t="shared" si="30"/>
        <v>45072</v>
      </c>
      <c r="AZ22" s="16">
        <f t="shared" si="30"/>
        <v>45073</v>
      </c>
      <c r="BA22" s="16">
        <f t="shared" si="30"/>
        <v>45074</v>
      </c>
      <c r="BB22" s="16">
        <f t="shared" si="30"/>
        <v>45075</v>
      </c>
      <c r="BC22" s="16">
        <f t="shared" si="30"/>
        <v>45076</v>
      </c>
      <c r="BD22" s="16">
        <f t="shared" si="30"/>
        <v>45077</v>
      </c>
      <c r="BE22" s="14"/>
      <c r="BF22" s="14"/>
      <c r="BP22" s="105"/>
      <c r="BQ22" s="23"/>
      <c r="BR22" s="23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3"/>
      <c r="CD22" s="85"/>
      <c r="CS22" s="6" t="s">
        <v>176</v>
      </c>
      <c r="CT22" s="6">
        <f>SUMIFS(Table_Assembly[Specific Amount],Table_Assembly[NG Type],$CS$13,Table_Assembly[Product type],$BS$43,Table_Assembly[NG content],CS22,Table_Assembly[MFG Date],$BU$42)</f>
        <v>0</v>
      </c>
      <c r="CU22" s="6">
        <f>SUMIFS(Table_Assembly[Specific Amount],Table_Assembly[NG Type],$CS$13,Table_Assembly[Product type],$BS$43,Table_Assembly[NG content],CS22,Table_Assembly[MFG Date],$BV$42)</f>
        <v>0</v>
      </c>
      <c r="CV22" s="6">
        <f>SUMIFS(Table_Assembly[Specific Amount],Table_Assembly[NG Type],$CS$13,Table_Assembly[Product type],$BS$43,Table_Assembly[NG content],CS22,Table_Assembly[MFG Date],$BW$42)</f>
        <v>0</v>
      </c>
      <c r="CW22" s="6">
        <f>SUMIFS(Table_Assembly[Specific Amount],Table_Assembly[NG Type],$CS$13,Table_Assembly[Product type],$BS$43,Table_Assembly[NG content],CS22,Table_Assembly[MFG Date],$BX$42)</f>
        <v>0</v>
      </c>
      <c r="CX22" s="6">
        <f>SUMIFS(Table_Assembly[Specific Amount],Table_Assembly[NG Type],$CS$13,Table_Assembly[Product type],$BS$43,Table_Assembly[NG content],CS22,Table_Assembly[MFG Date],$BY$42)</f>
        <v>0</v>
      </c>
      <c r="CY22" s="6">
        <f>SUMIFS(Table_Assembly[Specific Amount],Table_Assembly[NG Type],$CS$13,Table_Assembly[Product type],$BS$43,Table_Assembly[NG content],CS22,Table_Assembly[MFG Date],$BZ$42)</f>
        <v>0</v>
      </c>
      <c r="CZ22" s="6">
        <f>SUMIFS(Table_Assembly[Specific Amount],Table_Assembly[NG Type],$CS$13,Table_Assembly[Product type],$BS$43,Table_Assembly[NG content],CS22,Table_Assembly[MFG Date],$CA$42)</f>
        <v>0</v>
      </c>
    </row>
    <row r="23" spans="1:104">
      <c r="A23" s="129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3"/>
      <c r="O23" s="85"/>
      <c r="V23" s="12" t="s">
        <v>71</v>
      </c>
      <c r="AV23" s="12" t="s">
        <v>124</v>
      </c>
      <c r="BC23" s="12" t="s">
        <v>125</v>
      </c>
      <c r="BP23" s="105"/>
      <c r="BQ23" s="23"/>
      <c r="BR23" s="23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3"/>
      <c r="CD23" s="85"/>
      <c r="CS23" s="6" t="s">
        <v>177</v>
      </c>
      <c r="CT23" s="6">
        <f>SUMIFS(Table_Assembly[Specific Amount],Table_Assembly[NG Type],$CS$13,Table_Assembly[Product type],$BS$43,Table_Assembly[NG content],CS23,Table_Assembly[MFG Date],$BU$42)</f>
        <v>0</v>
      </c>
      <c r="CU23" s="6">
        <f>SUMIFS(Table_Assembly[Specific Amount],Table_Assembly[NG Type],$CS$13,Table_Assembly[Product type],$BS$43,Table_Assembly[NG content],CS23,Table_Assembly[MFG Date],$BV$42)</f>
        <v>0</v>
      </c>
      <c r="CV23" s="6">
        <f>SUMIFS(Table_Assembly[Specific Amount],Table_Assembly[NG Type],$CS$13,Table_Assembly[Product type],$BS$43,Table_Assembly[NG content],CS23,Table_Assembly[MFG Date],$BW$42)</f>
        <v>0</v>
      </c>
      <c r="CW23" s="6">
        <f>SUMIFS(Table_Assembly[Specific Amount],Table_Assembly[NG Type],$CS$13,Table_Assembly[Product type],$BS$43,Table_Assembly[NG content],CS23,Table_Assembly[MFG Date],$BX$42)</f>
        <v>0</v>
      </c>
      <c r="CX23" s="6">
        <f>SUMIFS(Table_Assembly[Specific Amount],Table_Assembly[NG Type],$CS$13,Table_Assembly[Product type],$BS$43,Table_Assembly[NG content],CS23,Table_Assembly[MFG Date],$BY$42)</f>
        <v>0</v>
      </c>
      <c r="CY23" s="6">
        <f>SUMIFS(Table_Assembly[Specific Amount],Table_Assembly[NG Type],$CS$13,Table_Assembly[Product type],$BS$43,Table_Assembly[NG content],CS23,Table_Assembly[MFG Date],$BZ$42)</f>
        <v>0</v>
      </c>
      <c r="CZ23" s="6">
        <f>SUMIFS(Table_Assembly[Specific Amount],Table_Assembly[NG Type],$CS$13,Table_Assembly[Product type],$BS$43,Table_Assembly[NG content],CS23,Table_Assembly[MFG Date],$CA$42)</f>
        <v>0</v>
      </c>
    </row>
    <row r="24" spans="1:104">
      <c r="A24" s="129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3"/>
      <c r="O24" s="85"/>
      <c r="V24" s="12" t="s">
        <v>53</v>
      </c>
      <c r="AJ24" s="12" t="str">
        <f ca="1">IFERROR(IF($AJ$26=#REF!,_xlfn.SINGLE(ROW(#REF!)),""),"")</f>
        <v/>
      </c>
      <c r="AT24" s="90">
        <f>$M$5</f>
        <v>187123</v>
      </c>
      <c r="BA24" s="90">
        <f>$M$8</f>
        <v>315792</v>
      </c>
      <c r="BP24" s="105"/>
      <c r="BQ24" s="23"/>
      <c r="BR24" s="23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3"/>
      <c r="CD24" s="85"/>
      <c r="CS24" s="6" t="s">
        <v>178</v>
      </c>
      <c r="CT24" s="6">
        <f>SUMIFS(Table_Assembly[Specific Amount],Table_Assembly[NG Type],$CS$13,Table_Assembly[Product type],$BS$43,Table_Assembly[NG content],CS24,Table_Assembly[MFG Date],$BU$42)</f>
        <v>0</v>
      </c>
      <c r="CU24" s="6">
        <f>SUMIFS(Table_Assembly[Specific Amount],Table_Assembly[NG Type],$CS$13,Table_Assembly[Product type],$BS$43,Table_Assembly[NG content],CS24,Table_Assembly[MFG Date],$BV$42)</f>
        <v>0</v>
      </c>
      <c r="CV24" s="6">
        <f>SUMIFS(Table_Assembly[Specific Amount],Table_Assembly[NG Type],$CS$13,Table_Assembly[Product type],$BS$43,Table_Assembly[NG content],CS24,Table_Assembly[MFG Date],$BW$42)</f>
        <v>0</v>
      </c>
      <c r="CW24" s="6">
        <f>SUMIFS(Table_Assembly[Specific Amount],Table_Assembly[NG Type],$CS$13,Table_Assembly[Product type],$BS$43,Table_Assembly[NG content],CS24,Table_Assembly[MFG Date],$BX$42)</f>
        <v>0</v>
      </c>
      <c r="CX24" s="6">
        <f>SUMIFS(Table_Assembly[Specific Amount],Table_Assembly[NG Type],$CS$13,Table_Assembly[Product type],$BS$43,Table_Assembly[NG content],CS24,Table_Assembly[MFG Date],$BY$42)</f>
        <v>0</v>
      </c>
      <c r="CY24" s="6">
        <f>SUMIFS(Table_Assembly[Specific Amount],Table_Assembly[NG Type],$CS$13,Table_Assembly[Product type],$BS$43,Table_Assembly[NG content],CS24,Table_Assembly[MFG Date],$BZ$42)</f>
        <v>4</v>
      </c>
      <c r="CZ24" s="6">
        <f>SUMIFS(Table_Assembly[Specific Amount],Table_Assembly[NG Type],$CS$13,Table_Assembly[Product type],$BS$43,Table_Assembly[NG content],CS24,Table_Assembly[MFG Date],$CA$42)</f>
        <v>0</v>
      </c>
    </row>
    <row r="25" spans="1:104">
      <c r="A25" s="129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3"/>
      <c r="O25" s="85"/>
      <c r="V25" s="12" t="s">
        <v>84</v>
      </c>
      <c r="AB25" s="12" t="e">
        <f ca="1">OFFSET($AB$28,0,0,COUNTA($AB$28:$AB$58))</f>
        <v>#VALUE!</v>
      </c>
      <c r="AR25" s="12" t="s">
        <v>32</v>
      </c>
      <c r="AS25" s="12" t="e">
        <f>SUMIFS(#REF!,#REF!,$B$114)</f>
        <v>#REF!</v>
      </c>
      <c r="AT25" s="17" t="str">
        <f>IFERROR(AS25/$AT$24*1000000,"")</f>
        <v/>
      </c>
      <c r="AV25" s="17" t="str">
        <f>IFERROR(LARGE($AT$25:$AT$45,ROWS($AV$25:AV25)),"")</f>
        <v/>
      </c>
      <c r="AW25" s="12" t="str">
        <f>IF(AV25="","",IF(AV25=0,"",INDEX($AR$25:$AR$45,MATCH(AV25,$AT$25:$AT$45,0))))</f>
        <v/>
      </c>
      <c r="AY25" s="12" t="s">
        <v>32</v>
      </c>
      <c r="AZ25" s="12" t="e">
        <f>SUMIFS(#REF!,#REF!,$G$115)</f>
        <v>#REF!</v>
      </c>
      <c r="BA25" s="17" t="str">
        <f>IFERROR(AZ25/$BA$24*1000000,"")</f>
        <v/>
      </c>
      <c r="BC25" s="17" t="str">
        <f>IFERROR(LARGE($BA$25:$BA$45,ROWS($BC$25:BC25)),"")</f>
        <v/>
      </c>
      <c r="BD25" s="12" t="str">
        <f>IF(BC25="","",IF(BC25=0,"",INDEX($AY$25:$AY$45,MATCH(BC25,$BA$25:$BA$45,0))))</f>
        <v/>
      </c>
      <c r="BP25" s="105"/>
      <c r="BQ25" s="23"/>
      <c r="BR25" s="23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3"/>
      <c r="CD25" s="85"/>
      <c r="CS25" s="6" t="s">
        <v>233</v>
      </c>
      <c r="CT25" s="6">
        <f>SUMIFS(Table_Assembly[Specific Amount],Table_Assembly[NG Type],$CS$13,Table_Assembly[Product type],$BS$43,Table_Assembly[NG content],CS25,Table_Assembly[MFG Date],$BU$42)</f>
        <v>2</v>
      </c>
      <c r="CU25" s="6">
        <f>SUMIFS(Table_Assembly[Specific Amount],Table_Assembly[NG Type],$CS$13,Table_Assembly[Product type],$BS$43,Table_Assembly[NG content],CS25,Table_Assembly[MFG Date],$BV$42)</f>
        <v>1</v>
      </c>
      <c r="CV25" s="6">
        <f>SUMIFS(Table_Assembly[Specific Amount],Table_Assembly[NG Type],$CS$13,Table_Assembly[Product type],$BS$43,Table_Assembly[NG content],CS25,Table_Assembly[MFG Date],$BW$42)</f>
        <v>1</v>
      </c>
      <c r="CW25" s="6">
        <f>SUMIFS(Table_Assembly[Specific Amount],Table_Assembly[NG Type],$CS$13,Table_Assembly[Product type],$BS$43,Table_Assembly[NG content],CS25,Table_Assembly[MFG Date],$BX$42)</f>
        <v>11</v>
      </c>
      <c r="CX25" s="6">
        <f>SUMIFS(Table_Assembly[Specific Amount],Table_Assembly[NG Type],$CS$13,Table_Assembly[Product type],$BS$43,Table_Assembly[NG content],CS25,Table_Assembly[MFG Date],$BY$42)</f>
        <v>0</v>
      </c>
      <c r="CY25" s="6">
        <f>SUMIFS(Table_Assembly[Specific Amount],Table_Assembly[NG Type],$CS$13,Table_Assembly[Product type],$BS$43,Table_Assembly[NG content],CS25,Table_Assembly[MFG Date],$BZ$42)</f>
        <v>0</v>
      </c>
      <c r="CZ25" s="6">
        <f>SUMIFS(Table_Assembly[Specific Amount],Table_Assembly[NG Type],$CS$13,Table_Assembly[Product type],$BS$43,Table_Assembly[NG content],CS25,Table_Assembly[MFG Date],$CA$42)</f>
        <v>0</v>
      </c>
    </row>
    <row r="26" spans="1:104">
      <c r="A26" s="129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3"/>
      <c r="O26" s="85"/>
      <c r="X26" s="12" t="e">
        <f ca="1">OFFSET($X$28,0,0,COUNTA(X28:X35))</f>
        <v>#VALUE!</v>
      </c>
      <c r="AJ26" s="12" t="str">
        <f ca="1">IFERROR(MATCH($B$114,OFFSET(#REF!,AJ25,0,1000000),0)+AJ25,"")</f>
        <v/>
      </c>
      <c r="AK26" s="17" t="str">
        <f ca="1">IFERROR(_xlfn.SINGLE(INDEX(#REF!,'Weekly Report'!AJ26)),"")</f>
        <v/>
      </c>
      <c r="AL26" s="12" t="str">
        <f ca="1">IFERROR(_xlfn.SINGLE(INDEX(#REF!,'Weekly Report'!AJ26)),"")</f>
        <v/>
      </c>
      <c r="AN26" s="12" t="str">
        <f ca="1">IFERROR(MATCH($G$115,OFFSET(#REF!,AN25,0,1000000),0)+AN25,"")</f>
        <v/>
      </c>
      <c r="AO26" s="17" t="str">
        <f ca="1">IFERROR(_xlfn.SINGLE(INDEX(#REF!,'Weekly Report'!AN26)),"")</f>
        <v/>
      </c>
      <c r="AP26" s="12" t="str">
        <f ca="1">IFERROR(_xlfn.SINGLE(INDEX(#REF!,'Weekly Report'!AN26)),"")</f>
        <v/>
      </c>
      <c r="AR26" s="12" t="s">
        <v>33</v>
      </c>
      <c r="AS26" s="12" t="e">
        <f>SUMIFS(#REF!,#REF!,$B$114)</f>
        <v>#REF!</v>
      </c>
      <c r="AT26" s="17" t="str">
        <f t="shared" ref="AT26:AT45" si="31">IFERROR(AS26/$AT$24*1000000,"")</f>
        <v/>
      </c>
      <c r="AV26" s="17" t="str">
        <f>IFERROR(LARGE($AT$25:$AT$45,ROWS($AV$25:AV26)),"")</f>
        <v/>
      </c>
      <c r="AW26" s="12" t="str">
        <f t="shared" ref="AW26:AW45" si="32">IF(AV26="","",IF(AV26=0,"",INDEX($AR$25:$AR$45,MATCH(AV26,$AT$25:$AT$45,0))))</f>
        <v/>
      </c>
      <c r="AY26" s="12" t="s">
        <v>33</v>
      </c>
      <c r="AZ26" s="12" t="e">
        <f>SUMIFS(#REF!,#REF!,$G$115)</f>
        <v>#REF!</v>
      </c>
      <c r="BA26" s="17" t="str">
        <f t="shared" ref="BA26:BA45" si="33">IFERROR(AZ26/$BA$24*1000000,"")</f>
        <v/>
      </c>
      <c r="BC26" s="17" t="str">
        <f>IFERROR(LARGE($BA$25:$BA$45,ROWS($BC$25:BC26)),"")</f>
        <v/>
      </c>
      <c r="BD26" s="12" t="str">
        <f t="shared" ref="BD26:BD45" si="34">IF(BC26="","",IF(BC26=0,"",INDEX($AY$25:$AY$45,MATCH(BC26,$BA$25:$BA$45,0))))</f>
        <v/>
      </c>
      <c r="BP26" s="105"/>
      <c r="BQ26" s="23"/>
      <c r="BR26" s="23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3"/>
      <c r="CD26" s="85"/>
      <c r="CS26" s="6" t="s">
        <v>179</v>
      </c>
      <c r="CT26" s="6">
        <f>SUMIFS(Table_Assembly[Specific Amount],Table_Assembly[NG Type],$CS$13,Table_Assembly[Product type],$BS$43,Table_Assembly[NG content],CS26,Table_Assembly[MFG Date],$BU$42)</f>
        <v>0</v>
      </c>
      <c r="CU26" s="6">
        <f>SUMIFS(Table_Assembly[Specific Amount],Table_Assembly[NG Type],$CS$13,Table_Assembly[Product type],$BS$43,Table_Assembly[NG content],CS26,Table_Assembly[MFG Date],$BV$42)</f>
        <v>0</v>
      </c>
      <c r="CV26" s="6">
        <f>SUMIFS(Table_Assembly[Specific Amount],Table_Assembly[NG Type],$CS$13,Table_Assembly[Product type],$BS$43,Table_Assembly[NG content],CS26,Table_Assembly[MFG Date],$BW$42)</f>
        <v>0</v>
      </c>
      <c r="CW26" s="6">
        <f>SUMIFS(Table_Assembly[Specific Amount],Table_Assembly[NG Type],$CS$13,Table_Assembly[Product type],$BS$43,Table_Assembly[NG content],CS26,Table_Assembly[MFG Date],$BX$42)</f>
        <v>0</v>
      </c>
      <c r="CX26" s="6">
        <f>SUMIFS(Table_Assembly[Specific Amount],Table_Assembly[NG Type],$CS$13,Table_Assembly[Product type],$BS$43,Table_Assembly[NG content],CS26,Table_Assembly[MFG Date],$BY$42)</f>
        <v>0</v>
      </c>
      <c r="CY26" s="6">
        <f>SUMIFS(Table_Assembly[Specific Amount],Table_Assembly[NG Type],$CS$13,Table_Assembly[Product type],$BS$43,Table_Assembly[NG content],CS26,Table_Assembly[MFG Date],$BZ$42)</f>
        <v>0</v>
      </c>
      <c r="CZ26" s="6">
        <f>SUMIFS(Table_Assembly[Specific Amount],Table_Assembly[NG Type],$CS$13,Table_Assembly[Product type],$BS$43,Table_Assembly[NG content],CS26,Table_Assembly[MFG Date],$CA$42)</f>
        <v>0</v>
      </c>
    </row>
    <row r="27" spans="1:104">
      <c r="A27" s="23"/>
      <c r="B27" s="23"/>
      <c r="C27" s="23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3"/>
      <c r="O27" s="85"/>
      <c r="Z27" s="12" t="s">
        <v>3</v>
      </c>
      <c r="AJ27" s="12" t="str">
        <f ca="1">IFERROR(MATCH($B$114,OFFSET(#REF!,AJ26,0,1000000),0)+AJ26,"")</f>
        <v/>
      </c>
      <c r="AK27" s="17" t="str">
        <f ca="1">IFERROR(_xlfn.SINGLE(INDEX(#REF!,'Weekly Report'!AJ27)),"")</f>
        <v/>
      </c>
      <c r="AL27" s="12" t="str">
        <f ca="1">IFERROR(_xlfn.SINGLE(INDEX(#REF!,'Weekly Report'!AJ27)),"")</f>
        <v/>
      </c>
      <c r="AN27" s="12" t="str">
        <f ca="1">IFERROR(MATCH($G$115,OFFSET(#REF!,AN26,0,1000000),0)+AN26,"")</f>
        <v/>
      </c>
      <c r="AO27" s="17" t="str">
        <f ca="1">IFERROR(_xlfn.SINGLE(INDEX(#REF!,'Weekly Report'!AN27)),"")</f>
        <v/>
      </c>
      <c r="AP27" s="12" t="str">
        <f ca="1">IFERROR(_xlfn.SINGLE(INDEX(#REF!,'Weekly Report'!AN27)),"")</f>
        <v/>
      </c>
      <c r="AR27" s="12" t="s">
        <v>34</v>
      </c>
      <c r="AS27" s="12" t="e">
        <f>SUMIFS(#REF!,#REF!,$B$114)</f>
        <v>#REF!</v>
      </c>
      <c r="AT27" s="17" t="str">
        <f t="shared" si="31"/>
        <v/>
      </c>
      <c r="AV27" s="17" t="str">
        <f>IFERROR(LARGE($AT$25:$AT$45,ROWS($AV$25:AV27)),"")</f>
        <v/>
      </c>
      <c r="AW27" s="12" t="str">
        <f t="shared" si="32"/>
        <v/>
      </c>
      <c r="AY27" s="12" t="s">
        <v>34</v>
      </c>
      <c r="AZ27" s="12" t="e">
        <f>SUMIFS(#REF!,#REF!,$G$115)</f>
        <v>#REF!</v>
      </c>
      <c r="BA27" s="17" t="str">
        <f t="shared" si="33"/>
        <v/>
      </c>
      <c r="BC27" s="17" t="str">
        <f>IFERROR(LARGE($BA$25:$BA$45,ROWS($BC$25:BC27)),"")</f>
        <v/>
      </c>
      <c r="BD27" s="12" t="str">
        <f t="shared" si="34"/>
        <v/>
      </c>
      <c r="BP27" s="105"/>
      <c r="BQ27" s="23"/>
      <c r="BR27" s="23"/>
      <c r="BS27" s="25"/>
      <c r="BT27" s="24"/>
      <c r="BU27" s="24"/>
      <c r="BV27" s="24"/>
      <c r="BW27" s="24"/>
      <c r="BX27" s="24"/>
      <c r="BY27" s="24"/>
      <c r="BZ27" s="24"/>
      <c r="CA27" s="24"/>
      <c r="CB27" s="24"/>
      <c r="CC27" s="23"/>
      <c r="CD27" s="85"/>
      <c r="CS27" s="6" t="s">
        <v>180</v>
      </c>
      <c r="CT27" s="6">
        <f>SUMIFS(Table_Assembly[Specific Amount],Table_Assembly[NG Type],$CS$13,Table_Assembly[Product type],$BS$43,Table_Assembly[NG content],CS27,Table_Assembly[MFG Date],$BU$42)</f>
        <v>0</v>
      </c>
      <c r="CU27" s="6">
        <f>SUMIFS(Table_Assembly[Specific Amount],Table_Assembly[NG Type],$CS$13,Table_Assembly[Product type],$BS$43,Table_Assembly[NG content],CS27,Table_Assembly[MFG Date],$BV$42)</f>
        <v>0</v>
      </c>
      <c r="CV27" s="6">
        <f>SUMIFS(Table_Assembly[Specific Amount],Table_Assembly[NG Type],$CS$13,Table_Assembly[Product type],$BS$43,Table_Assembly[NG content],CS27,Table_Assembly[MFG Date],$BW$42)</f>
        <v>0</v>
      </c>
      <c r="CW27" s="6">
        <f>SUMIFS(Table_Assembly[Specific Amount],Table_Assembly[NG Type],$CS$13,Table_Assembly[Product type],$BS$43,Table_Assembly[NG content],CS27,Table_Assembly[MFG Date],$BX$42)</f>
        <v>0</v>
      </c>
      <c r="CX27" s="6">
        <f>SUMIFS(Table_Assembly[Specific Amount],Table_Assembly[NG Type],$CS$13,Table_Assembly[Product type],$BS$43,Table_Assembly[NG content],CS27,Table_Assembly[MFG Date],$BY$42)</f>
        <v>0</v>
      </c>
      <c r="CY27" s="6">
        <f>SUMIFS(Table_Assembly[Specific Amount],Table_Assembly[NG Type],$CS$13,Table_Assembly[Product type],$BS$43,Table_Assembly[NG content],CS27,Table_Assembly[MFG Date],$BZ$42)</f>
        <v>0</v>
      </c>
      <c r="CZ27" s="6">
        <f>SUMIFS(Table_Assembly[Specific Amount],Table_Assembly[NG Type],$CS$13,Table_Assembly[Product type],$BS$43,Table_Assembly[NG content],CS27,Table_Assembly[MFG Date],$CA$42)</f>
        <v>0</v>
      </c>
    </row>
    <row r="28" spans="1:104">
      <c r="A28" s="23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3"/>
      <c r="O28" s="85"/>
      <c r="V28" s="12">
        <f>COUNTA($AB$28:$AB$58)</f>
        <v>31</v>
      </c>
      <c r="W28" s="12">
        <f>COUNTBLANK($AB$28:$AB$58)</f>
        <v>26</v>
      </c>
      <c r="X28" s="12" t="s">
        <v>105</v>
      </c>
      <c r="Y28" s="14">
        <f>AG28</f>
        <v>45047</v>
      </c>
      <c r="Z28" s="12" t="str">
        <f ca="1">OFFSET($AB$28:$AB$58,0,0)</f>
        <v>Week 1</v>
      </c>
      <c r="AA28" s="12">
        <f>IFERROR(RIGHT(AB28,1)*1,"")</f>
        <v>1</v>
      </c>
      <c r="AB28" s="15" t="str">
        <f>AC28</f>
        <v>Week 1</v>
      </c>
      <c r="AC28" s="15" t="str">
        <f t="shared" ref="AC28:AC58" si="35">IF(AF28="","",$AD$28&amp;" "&amp;AE28)</f>
        <v>Week 1</v>
      </c>
      <c r="AD28" s="15" t="s">
        <v>3</v>
      </c>
      <c r="AE28" s="15">
        <v>1</v>
      </c>
      <c r="AF28" s="15" t="str">
        <f>IFERROR(IF(WEEKDAY(AG28)=1, "Sunday",IF(WEEKDAY(AG28)=2,"Monday",IF(WEEKDAY(AG28)=3,"Tuesday",IF(WEEKDAY(AG28)=4,"Wednesday",IF(WEEKDAY(AG28)=5,"Thursday",IF(WEEKDAY(AG28)=6,"Friday",IF(WEEKDAY(AG28)=7,"Saturday",""))))))),"")</f>
        <v>Monday</v>
      </c>
      <c r="AG28" s="16">
        <f>$Z$7</f>
        <v>45047</v>
      </c>
      <c r="AH28" s="12" t="b">
        <f t="shared" ref="AH28:AH58" si="36">$B$11=AC28</f>
        <v>0</v>
      </c>
      <c r="AJ28" s="12" t="str">
        <f ca="1">IFERROR(MATCH($B$114,OFFSET(#REF!,AJ27,0,1000000),0)+AJ27,"")</f>
        <v/>
      </c>
      <c r="AK28" s="17" t="str">
        <f ca="1">IFERROR(_xlfn.SINGLE(INDEX(#REF!,'Weekly Report'!AJ28)),"")</f>
        <v/>
      </c>
      <c r="AL28" s="12" t="str">
        <f ca="1">IFERROR(_xlfn.SINGLE(INDEX(#REF!,'Weekly Report'!AJ28)),"")</f>
        <v/>
      </c>
      <c r="AN28" s="12" t="str">
        <f ca="1">IFERROR(MATCH($G$115,OFFSET(#REF!,AN27,0,1000000),0)+AN27,"")</f>
        <v/>
      </c>
      <c r="AO28" s="17" t="str">
        <f ca="1">IFERROR(_xlfn.SINGLE(INDEX(#REF!,'Weekly Report'!AN28)),"")</f>
        <v/>
      </c>
      <c r="AP28" s="12" t="str">
        <f ca="1">IFERROR(_xlfn.SINGLE(INDEX(#REF!,'Weekly Report'!AN28)),"")</f>
        <v/>
      </c>
      <c r="AR28" s="12" t="s">
        <v>122</v>
      </c>
      <c r="AS28" s="12" t="e">
        <f>SUMIFS(#REF!,#REF!,$B$114)</f>
        <v>#REF!</v>
      </c>
      <c r="AT28" s="17" t="str">
        <f t="shared" si="31"/>
        <v/>
      </c>
      <c r="AV28" s="17" t="str">
        <f>IFERROR(LARGE($AT$25:$AT$45,ROWS($AV$25:AV28)),"")</f>
        <v/>
      </c>
      <c r="AW28" s="12" t="str">
        <f t="shared" si="32"/>
        <v/>
      </c>
      <c r="AY28" s="12" t="s">
        <v>122</v>
      </c>
      <c r="AZ28" s="12" t="e">
        <f>SUMIFS(#REF!,#REF!,$G$115)</f>
        <v>#REF!</v>
      </c>
      <c r="BA28" s="17" t="str">
        <f t="shared" si="33"/>
        <v/>
      </c>
      <c r="BC28" s="17" t="str">
        <f>IFERROR(LARGE($BA$25:$BA$45,ROWS($BC$25:BC28)),"")</f>
        <v/>
      </c>
      <c r="BD28" s="12" t="str">
        <f t="shared" si="34"/>
        <v/>
      </c>
      <c r="BP28" s="105"/>
      <c r="BQ28" s="23"/>
      <c r="BR28" s="23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3"/>
      <c r="CD28" s="85"/>
      <c r="CS28" s="6" t="s">
        <v>181</v>
      </c>
      <c r="CT28" s="6">
        <f>SUMIFS(Table_Assembly[Specific Amount],Table_Assembly[NG Type],$CS$13,Table_Assembly[Product type],$BS$43,Table_Assembly[NG content],CS28,Table_Assembly[MFG Date],$BU$42)</f>
        <v>0</v>
      </c>
      <c r="CU28" s="6">
        <f>SUMIFS(Table_Assembly[Specific Amount],Table_Assembly[NG Type],$CS$13,Table_Assembly[Product type],$BS$43,Table_Assembly[NG content],CS28,Table_Assembly[MFG Date],$BV$42)</f>
        <v>0</v>
      </c>
      <c r="CV28" s="6">
        <f>SUMIFS(Table_Assembly[Specific Amount],Table_Assembly[NG Type],$CS$13,Table_Assembly[Product type],$BS$43,Table_Assembly[NG content],CS28,Table_Assembly[MFG Date],$BW$42)</f>
        <v>0</v>
      </c>
      <c r="CW28" s="6">
        <f>SUMIFS(Table_Assembly[Specific Amount],Table_Assembly[NG Type],$CS$13,Table_Assembly[Product type],$BS$43,Table_Assembly[NG content],CS28,Table_Assembly[MFG Date],$BX$42)</f>
        <v>0</v>
      </c>
      <c r="CX28" s="6">
        <f>SUMIFS(Table_Assembly[Specific Amount],Table_Assembly[NG Type],$CS$13,Table_Assembly[Product type],$BS$43,Table_Assembly[NG content],CS28,Table_Assembly[MFG Date],$BY$42)</f>
        <v>0</v>
      </c>
      <c r="CY28" s="6">
        <f>SUMIFS(Table_Assembly[Specific Amount],Table_Assembly[NG Type],$CS$13,Table_Assembly[Product type],$BS$43,Table_Assembly[NG content],CS28,Table_Assembly[MFG Date],$BZ$42)</f>
        <v>0</v>
      </c>
      <c r="CZ28" s="6">
        <f>SUMIFS(Table_Assembly[Specific Amount],Table_Assembly[NG Type],$CS$13,Table_Assembly[Product type],$BS$43,Table_Assembly[NG content],CS28,Table_Assembly[MFG Date],$CA$42)</f>
        <v>0</v>
      </c>
    </row>
    <row r="29" spans="1:104">
      <c r="A29" s="23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3"/>
      <c r="O29" s="85"/>
      <c r="W29" s="12">
        <f>$V$28-$W$28</f>
        <v>5</v>
      </c>
      <c r="X29" s="12" t="s">
        <v>104</v>
      </c>
      <c r="Y29" s="14">
        <f t="shared" ref="Y29:Y58" si="37">AG29</f>
        <v>45048</v>
      </c>
      <c r="Z29" s="12" t="str">
        <f t="shared" ref="Z29:Z58" ca="1" si="38">OFFSET($AB$28:$AB$58,0,0)</f>
        <v/>
      </c>
      <c r="AA29" s="12" t="str">
        <f t="shared" ref="AA29:AA58" si="39">IFERROR(RIGHT(AB29,1)*1,"")</f>
        <v/>
      </c>
      <c r="AB29" s="15" t="str">
        <f t="shared" ref="AB29:AB58" si="40">IFERROR(IF(AC29=AC28,"",AC29),"")</f>
        <v/>
      </c>
      <c r="AC29" s="15" t="str">
        <f t="shared" si="35"/>
        <v>Week 1</v>
      </c>
      <c r="AD29" s="15"/>
      <c r="AE29" s="15">
        <f t="shared" ref="AE29:AE58" si="41">IF(AF29="","",IF(AF29="Monday",AE28+1,AE28))</f>
        <v>1</v>
      </c>
      <c r="AF29" s="15" t="str">
        <f t="shared" ref="AF29:AF58" si="42">IFERROR(IF(WEEKDAY(AG29)=1, "Sunday",IF(WEEKDAY(AG29)=2,"Monday",IF(WEEKDAY(AG29)=3,"Tuesday",IF(WEEKDAY(AG29)=4,"Wednesday",IF(WEEKDAY(AG29)=5,"Thursday",IF(WEEKDAY(AG29)=6,"Friday",IF(WEEKDAY(AG29)=7,"Saturday",""))))))),"")</f>
        <v>Tuesday</v>
      </c>
      <c r="AG29" s="16">
        <f t="shared" ref="AG29:AG58" si="43">IFERROR(IF(AG28=$AB$7,"",AG28+1),"")</f>
        <v>45048</v>
      </c>
      <c r="AH29" s="12" t="b">
        <f t="shared" si="36"/>
        <v>0</v>
      </c>
      <c r="AJ29" s="12" t="str">
        <f ca="1">IFERROR(MATCH($B$114,OFFSET(#REF!,AJ28,0,1000000),0)+AJ28,"")</f>
        <v/>
      </c>
      <c r="AK29" s="17" t="str">
        <f ca="1">IFERROR(_xlfn.SINGLE(INDEX(#REF!,'Weekly Report'!AJ29)),"")</f>
        <v/>
      </c>
      <c r="AL29" s="12" t="str">
        <f ca="1">IFERROR(_xlfn.SINGLE(INDEX(#REF!,'Weekly Report'!AJ29)),"")</f>
        <v/>
      </c>
      <c r="AN29" s="12" t="str">
        <f ca="1">IFERROR(MATCH($G$115,OFFSET(#REF!,AN28,0,1000000),0)+AN28,"")</f>
        <v/>
      </c>
      <c r="AO29" s="17" t="str">
        <f ca="1">IFERROR(_xlfn.SINGLE(INDEX(#REF!,'Weekly Report'!AN29)),"")</f>
        <v/>
      </c>
      <c r="AP29" s="12" t="str">
        <f ca="1">IFERROR(_xlfn.SINGLE(INDEX(#REF!,'Weekly Report'!AN29)),"")</f>
        <v/>
      </c>
      <c r="AR29" s="12" t="s">
        <v>35</v>
      </c>
      <c r="AS29" s="12" t="e">
        <f>SUMIFS(#REF!,#REF!,$B$114)</f>
        <v>#REF!</v>
      </c>
      <c r="AT29" s="17" t="str">
        <f t="shared" si="31"/>
        <v/>
      </c>
      <c r="AV29" s="17" t="str">
        <f>IFERROR(LARGE($AT$25:$AT$45,ROWS($AV$25:AV29)),"")</f>
        <v/>
      </c>
      <c r="AW29" s="12" t="str">
        <f t="shared" si="32"/>
        <v/>
      </c>
      <c r="AY29" s="12" t="s">
        <v>35</v>
      </c>
      <c r="AZ29" s="12" t="e">
        <f>SUMIFS(#REF!,#REF!,$G$115)</f>
        <v>#REF!</v>
      </c>
      <c r="BA29" s="17" t="str">
        <f t="shared" si="33"/>
        <v/>
      </c>
      <c r="BC29" s="17" t="str">
        <f>IFERROR(LARGE($BA$25:$BA$45,ROWS($BC$25:BC29)),"")</f>
        <v/>
      </c>
      <c r="BD29" s="12" t="str">
        <f t="shared" si="34"/>
        <v/>
      </c>
      <c r="BP29" s="105"/>
      <c r="BQ29" s="23"/>
      <c r="BR29" s="23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3"/>
      <c r="CD29" s="85"/>
      <c r="CS29" s="6" t="s">
        <v>182</v>
      </c>
      <c r="CT29" s="6">
        <f>SUMIFS(Table_Assembly[Specific Amount],Table_Assembly[NG Type],$CS$13,Table_Assembly[Product type],$BS$43,Table_Assembly[NG content],CS29,Table_Assembly[MFG Date],$BU$42)</f>
        <v>0</v>
      </c>
      <c r="CU29" s="6">
        <f>SUMIFS(Table_Assembly[Specific Amount],Table_Assembly[NG Type],$CS$13,Table_Assembly[Product type],$BS$43,Table_Assembly[NG content],CS29,Table_Assembly[MFG Date],$BV$42)</f>
        <v>0</v>
      </c>
      <c r="CV29" s="6">
        <f>SUMIFS(Table_Assembly[Specific Amount],Table_Assembly[NG Type],$CS$13,Table_Assembly[Product type],$BS$43,Table_Assembly[NG content],CS29,Table_Assembly[MFG Date],$BW$42)</f>
        <v>0</v>
      </c>
      <c r="CW29" s="6">
        <f>SUMIFS(Table_Assembly[Specific Amount],Table_Assembly[NG Type],$CS$13,Table_Assembly[Product type],$BS$43,Table_Assembly[NG content],CS29,Table_Assembly[MFG Date],$BX$42)</f>
        <v>0</v>
      </c>
      <c r="CX29" s="6">
        <f>SUMIFS(Table_Assembly[Specific Amount],Table_Assembly[NG Type],$CS$13,Table_Assembly[Product type],$BS$43,Table_Assembly[NG content],CS29,Table_Assembly[MFG Date],$BY$42)</f>
        <v>0</v>
      </c>
      <c r="CY29" s="6">
        <f>SUMIFS(Table_Assembly[Specific Amount],Table_Assembly[NG Type],$CS$13,Table_Assembly[Product type],$BS$43,Table_Assembly[NG content],CS29,Table_Assembly[MFG Date],$BZ$42)</f>
        <v>0</v>
      </c>
      <c r="CZ29" s="6">
        <f>SUMIFS(Table_Assembly[Specific Amount],Table_Assembly[NG Type],$CS$13,Table_Assembly[Product type],$BS$43,Table_Assembly[NG content],CS29,Table_Assembly[MFG Date],$CA$42)</f>
        <v>0</v>
      </c>
    </row>
    <row r="30" spans="1:104">
      <c r="A30" s="23"/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3"/>
      <c r="O30" s="85"/>
      <c r="X30" s="12" t="s">
        <v>82</v>
      </c>
      <c r="Y30" s="14">
        <f t="shared" si="37"/>
        <v>45049</v>
      </c>
      <c r="Z30" s="12" t="str">
        <f t="shared" ca="1" si="38"/>
        <v/>
      </c>
      <c r="AA30" s="12" t="str">
        <f t="shared" si="39"/>
        <v/>
      </c>
      <c r="AB30" s="15" t="str">
        <f t="shared" si="40"/>
        <v/>
      </c>
      <c r="AC30" s="15" t="str">
        <f t="shared" si="35"/>
        <v>Week 1</v>
      </c>
      <c r="AD30" s="15"/>
      <c r="AE30" s="15">
        <f t="shared" si="41"/>
        <v>1</v>
      </c>
      <c r="AF30" s="15" t="str">
        <f t="shared" si="42"/>
        <v>Wednesday</v>
      </c>
      <c r="AG30" s="16">
        <f t="shared" si="43"/>
        <v>45049</v>
      </c>
      <c r="AH30" s="12" t="b">
        <f t="shared" si="36"/>
        <v>0</v>
      </c>
      <c r="AJ30" s="12" t="str">
        <f ca="1">IFERROR(MATCH($B$114,OFFSET(#REF!,AJ29,0,1000000),0)+AJ29,"")</f>
        <v/>
      </c>
      <c r="AK30" s="17" t="str">
        <f ca="1">IFERROR(_xlfn.SINGLE(INDEX(#REF!,'Weekly Report'!AJ30)),"")</f>
        <v/>
      </c>
      <c r="AL30" s="12" t="str">
        <f ca="1">IFERROR(_xlfn.SINGLE(INDEX(#REF!,'Weekly Report'!AJ30)),"")</f>
        <v/>
      </c>
      <c r="AN30" s="12" t="str">
        <f ca="1">IFERROR(MATCH($G$115,OFFSET(#REF!,AN29,0,1000000),0)+AN29,"")</f>
        <v/>
      </c>
      <c r="AO30" s="17" t="str">
        <f ca="1">IFERROR(_xlfn.SINGLE(INDEX(#REF!,'Weekly Report'!AN30)),"")</f>
        <v/>
      </c>
      <c r="AP30" s="12" t="str">
        <f ca="1">IFERROR(_xlfn.SINGLE(INDEX(#REF!,'Weekly Report'!AN30)),"")</f>
        <v/>
      </c>
      <c r="AR30" s="12" t="s">
        <v>36</v>
      </c>
      <c r="AS30" s="12" t="e">
        <f>SUMIFS(#REF!,#REF!,$B$114)</f>
        <v>#REF!</v>
      </c>
      <c r="AT30" s="17" t="str">
        <f t="shared" si="31"/>
        <v/>
      </c>
      <c r="AV30" s="17" t="str">
        <f>IFERROR(LARGE($AT$25:$AT$45,ROWS($AV$25:AV30)),"")</f>
        <v/>
      </c>
      <c r="AW30" s="12" t="str">
        <f t="shared" si="32"/>
        <v/>
      </c>
      <c r="AY30" s="12" t="s">
        <v>36</v>
      </c>
      <c r="AZ30" s="12" t="e">
        <f>SUMIFS(#REF!,#REF!,$G$115)</f>
        <v>#REF!</v>
      </c>
      <c r="BA30" s="17" t="str">
        <f t="shared" si="33"/>
        <v/>
      </c>
      <c r="BC30" s="17" t="str">
        <f>IFERROR(LARGE($BA$25:$BA$45,ROWS($BC$25:BC30)),"")</f>
        <v/>
      </c>
      <c r="BD30" s="12" t="str">
        <f t="shared" si="34"/>
        <v/>
      </c>
      <c r="BP30" s="105"/>
      <c r="BQ30" s="23"/>
      <c r="BR30" s="23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3"/>
      <c r="CD30" s="85"/>
      <c r="CS30" s="6" t="s">
        <v>183</v>
      </c>
      <c r="CT30" s="6">
        <f>SUMIFS(Table_Assembly[Specific Amount],Table_Assembly[NG Type],$CS$13,Table_Assembly[Product type],$BS$43,Table_Assembly[NG content],CS30,Table_Assembly[MFG Date],$BU$42)</f>
        <v>0</v>
      </c>
      <c r="CU30" s="6">
        <f>SUMIFS(Table_Assembly[Specific Amount],Table_Assembly[NG Type],$CS$13,Table_Assembly[Product type],$BS$43,Table_Assembly[NG content],CS30,Table_Assembly[MFG Date],$BV$42)</f>
        <v>0</v>
      </c>
      <c r="CV30" s="6">
        <f>SUMIFS(Table_Assembly[Specific Amount],Table_Assembly[NG Type],$CS$13,Table_Assembly[Product type],$BS$43,Table_Assembly[NG content],CS30,Table_Assembly[MFG Date],$BW$42)</f>
        <v>0</v>
      </c>
      <c r="CW30" s="6">
        <f>SUMIFS(Table_Assembly[Specific Amount],Table_Assembly[NG Type],$CS$13,Table_Assembly[Product type],$BS$43,Table_Assembly[NG content],CS30,Table_Assembly[MFG Date],$BX$42)</f>
        <v>0</v>
      </c>
      <c r="CX30" s="6">
        <f>SUMIFS(Table_Assembly[Specific Amount],Table_Assembly[NG Type],$CS$13,Table_Assembly[Product type],$BS$43,Table_Assembly[NG content],CS30,Table_Assembly[MFG Date],$BY$42)</f>
        <v>0</v>
      </c>
      <c r="CY30" s="6">
        <f>SUMIFS(Table_Assembly[Specific Amount],Table_Assembly[NG Type],$CS$13,Table_Assembly[Product type],$BS$43,Table_Assembly[NG content],CS30,Table_Assembly[MFG Date],$BZ$42)</f>
        <v>0</v>
      </c>
      <c r="CZ30" s="6">
        <f>SUMIFS(Table_Assembly[Specific Amount],Table_Assembly[NG Type],$CS$13,Table_Assembly[Product type],$BS$43,Table_Assembly[NG content],CS30,Table_Assembly[MFG Date],$CA$42)</f>
        <v>0</v>
      </c>
    </row>
    <row r="31" spans="1:104">
      <c r="A31" s="23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3"/>
      <c r="O31" s="85"/>
      <c r="X31" s="12" t="s">
        <v>106</v>
      </c>
      <c r="Y31" s="14">
        <f t="shared" si="37"/>
        <v>45050</v>
      </c>
      <c r="Z31" s="12" t="str">
        <f t="shared" ca="1" si="38"/>
        <v/>
      </c>
      <c r="AA31" s="12" t="str">
        <f t="shared" si="39"/>
        <v/>
      </c>
      <c r="AB31" s="15" t="str">
        <f t="shared" si="40"/>
        <v/>
      </c>
      <c r="AC31" s="15" t="str">
        <f t="shared" si="35"/>
        <v>Week 1</v>
      </c>
      <c r="AD31" s="15"/>
      <c r="AE31" s="15">
        <f t="shared" si="41"/>
        <v>1</v>
      </c>
      <c r="AF31" s="15" t="str">
        <f t="shared" si="42"/>
        <v>Thursday</v>
      </c>
      <c r="AG31" s="16">
        <f t="shared" si="43"/>
        <v>45050</v>
      </c>
      <c r="AH31" s="12" t="b">
        <f t="shared" si="36"/>
        <v>0</v>
      </c>
      <c r="AJ31" s="12" t="str">
        <f ca="1">IFERROR(MATCH($B$114,OFFSET(#REF!,AJ30,0,1000000),0)+AJ30,"")</f>
        <v/>
      </c>
      <c r="AK31" s="17" t="str">
        <f ca="1">IFERROR(_xlfn.SINGLE(INDEX(#REF!,'Weekly Report'!AJ31)),"")</f>
        <v/>
      </c>
      <c r="AL31" s="12" t="str">
        <f ca="1">IFERROR(_xlfn.SINGLE(INDEX(#REF!,'Weekly Report'!AJ31)),"")</f>
        <v/>
      </c>
      <c r="AN31" s="12" t="str">
        <f ca="1">IFERROR(MATCH($G$115,OFFSET(#REF!,AN30,0,1000000),0)+AN30,"")</f>
        <v/>
      </c>
      <c r="AO31" s="17" t="str">
        <f ca="1">IFERROR(_xlfn.SINGLE(INDEX(#REF!,'Weekly Report'!AN31)),"")</f>
        <v/>
      </c>
      <c r="AP31" s="12" t="str">
        <f ca="1">IFERROR(_xlfn.SINGLE(INDEX(#REF!,'Weekly Report'!AN31)),"")</f>
        <v/>
      </c>
      <c r="AR31" s="12" t="s">
        <v>37</v>
      </c>
      <c r="AS31" s="12" t="e">
        <f>SUMIFS(#REF!,#REF!,$B$114)</f>
        <v>#REF!</v>
      </c>
      <c r="AT31" s="17" t="str">
        <f t="shared" si="31"/>
        <v/>
      </c>
      <c r="AV31" s="17" t="str">
        <f>IFERROR(LARGE($AT$25:$AT$45,ROWS($AV$25:AV31)),"")</f>
        <v/>
      </c>
      <c r="AW31" s="12" t="str">
        <f t="shared" si="32"/>
        <v/>
      </c>
      <c r="AY31" s="12" t="s">
        <v>37</v>
      </c>
      <c r="AZ31" s="12" t="e">
        <f>SUMIFS(#REF!,#REF!,$G$115)</f>
        <v>#REF!</v>
      </c>
      <c r="BA31" s="17" t="str">
        <f t="shared" si="33"/>
        <v/>
      </c>
      <c r="BC31" s="17" t="str">
        <f>IFERROR(LARGE($BA$25:$BA$45,ROWS($BC$25:BC31)),"")</f>
        <v/>
      </c>
      <c r="BD31" s="12" t="str">
        <f t="shared" si="34"/>
        <v/>
      </c>
      <c r="BP31" s="105"/>
      <c r="BQ31" s="23"/>
      <c r="BR31" s="23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3"/>
      <c r="CD31" s="85"/>
      <c r="CS31" s="6" t="s">
        <v>234</v>
      </c>
      <c r="CT31" s="6">
        <f>SUMIFS(Table_Assembly[Specific Amount],Table_Assembly[NG Type],$CS$13,Table_Assembly[Product type],$BS$43,Table_Assembly[NG content],CS31,Table_Assembly[MFG Date],$BU$42)</f>
        <v>0</v>
      </c>
      <c r="CU31" s="6">
        <f>SUMIFS(Table_Assembly[Specific Amount],Table_Assembly[NG Type],$CS$13,Table_Assembly[Product type],$BS$43,Table_Assembly[NG content],CS31,Table_Assembly[MFG Date],$BV$42)</f>
        <v>0</v>
      </c>
      <c r="CV31" s="6">
        <f>SUMIFS(Table_Assembly[Specific Amount],Table_Assembly[NG Type],$CS$13,Table_Assembly[Product type],$BS$43,Table_Assembly[NG content],CS31,Table_Assembly[MFG Date],$BW$42)</f>
        <v>0</v>
      </c>
      <c r="CW31" s="6">
        <f>SUMIFS(Table_Assembly[Specific Amount],Table_Assembly[NG Type],$CS$13,Table_Assembly[Product type],$BS$43,Table_Assembly[NG content],CS31,Table_Assembly[MFG Date],$BX$42)</f>
        <v>0</v>
      </c>
      <c r="CX31" s="6">
        <f>SUMIFS(Table_Assembly[Specific Amount],Table_Assembly[NG Type],$CS$13,Table_Assembly[Product type],$BS$43,Table_Assembly[NG content],CS31,Table_Assembly[MFG Date],$BY$42)</f>
        <v>0</v>
      </c>
      <c r="CY31" s="6">
        <f>SUMIFS(Table_Assembly[Specific Amount],Table_Assembly[NG Type],$CS$13,Table_Assembly[Product type],$BS$43,Table_Assembly[NG content],CS31,Table_Assembly[MFG Date],$BZ$42)</f>
        <v>0</v>
      </c>
      <c r="CZ31" s="6">
        <f>SUMIFS(Table_Assembly[Specific Amount],Table_Assembly[NG Type],$CS$13,Table_Assembly[Product type],$BS$43,Table_Assembly[NG content],CS31,Table_Assembly[MFG Date],$CA$42)</f>
        <v>0</v>
      </c>
    </row>
    <row r="32" spans="1:104">
      <c r="A32" s="23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3"/>
      <c r="O32" s="85"/>
      <c r="X32" s="12" t="str">
        <f>IF($W$29&gt;=5,"Week 5","")</f>
        <v>Week 5</v>
      </c>
      <c r="Y32" s="14">
        <f t="shared" si="37"/>
        <v>45051</v>
      </c>
      <c r="Z32" s="12" t="str">
        <f t="shared" ca="1" si="38"/>
        <v/>
      </c>
      <c r="AA32" s="12" t="str">
        <f t="shared" si="39"/>
        <v/>
      </c>
      <c r="AB32" s="15" t="str">
        <f t="shared" si="40"/>
        <v/>
      </c>
      <c r="AC32" s="15" t="str">
        <f t="shared" si="35"/>
        <v>Week 1</v>
      </c>
      <c r="AD32" s="15"/>
      <c r="AE32" s="15">
        <f t="shared" si="41"/>
        <v>1</v>
      </c>
      <c r="AF32" s="15" t="str">
        <f t="shared" si="42"/>
        <v>Friday</v>
      </c>
      <c r="AG32" s="16">
        <f t="shared" si="43"/>
        <v>45051</v>
      </c>
      <c r="AH32" s="12" t="b">
        <f t="shared" si="36"/>
        <v>0</v>
      </c>
      <c r="AJ32" s="12" t="str">
        <f ca="1">IFERROR(MATCH($B$114,OFFSET(#REF!,AJ31,0,1000000),0)+AJ31,"")</f>
        <v/>
      </c>
      <c r="AK32" s="17" t="str">
        <f ca="1">IFERROR(_xlfn.SINGLE(INDEX(#REF!,'Weekly Report'!AJ32)),"")</f>
        <v/>
      </c>
      <c r="AL32" s="12" t="str">
        <f ca="1">IFERROR(_xlfn.SINGLE(INDEX(#REF!,'Weekly Report'!AJ32)),"")</f>
        <v/>
      </c>
      <c r="AN32" s="12" t="str">
        <f ca="1">IFERROR(MATCH($G$115,OFFSET(#REF!,AN31,0,1000000),0)+AN31,"")</f>
        <v/>
      </c>
      <c r="AO32" s="17" t="str">
        <f ca="1">IFERROR(_xlfn.SINGLE(INDEX(#REF!,'Weekly Report'!AN32)),"")</f>
        <v/>
      </c>
      <c r="AP32" s="12" t="str">
        <f ca="1">IFERROR(_xlfn.SINGLE(INDEX(#REF!,'Weekly Report'!AN32)),"")</f>
        <v/>
      </c>
      <c r="AR32" s="12" t="s">
        <v>38</v>
      </c>
      <c r="AS32" s="12" t="e">
        <f>SUMIFS(#REF!,#REF!,$B$114)</f>
        <v>#REF!</v>
      </c>
      <c r="AT32" s="17" t="str">
        <f t="shared" si="31"/>
        <v/>
      </c>
      <c r="AV32" s="17" t="str">
        <f>IFERROR(LARGE($AT$25:$AT$45,ROWS($AV$25:AV32)),"")</f>
        <v/>
      </c>
      <c r="AW32" s="12" t="str">
        <f t="shared" si="32"/>
        <v/>
      </c>
      <c r="AY32" s="12" t="s">
        <v>38</v>
      </c>
      <c r="AZ32" s="12" t="e">
        <f>SUMIFS(#REF!,#REF!,$G$115)</f>
        <v>#REF!</v>
      </c>
      <c r="BA32" s="17" t="str">
        <f t="shared" si="33"/>
        <v/>
      </c>
      <c r="BB32" s="12" t="s">
        <v>128</v>
      </c>
      <c r="BC32" s="17" t="str">
        <f>IFERROR(LARGE($BA$25:$BA$45,ROWS($BC$25:BC32)),"")</f>
        <v/>
      </c>
      <c r="BD32" s="12" t="str">
        <f t="shared" si="34"/>
        <v/>
      </c>
      <c r="BP32" s="105"/>
      <c r="BQ32" s="23"/>
      <c r="BR32" s="23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3"/>
      <c r="CD32" s="85"/>
      <c r="CS32" s="6" t="s">
        <v>184</v>
      </c>
      <c r="CT32" s="6">
        <f>SUMIFS(Table_Assembly[Specific Amount],Table_Assembly[NG Type],$CS$13,Table_Assembly[Product type],$BS$43,Table_Assembly[NG content],CS32,Table_Assembly[MFG Date],$BU$42)</f>
        <v>0</v>
      </c>
      <c r="CU32" s="6">
        <f>SUMIFS(Table_Assembly[Specific Amount],Table_Assembly[NG Type],$CS$13,Table_Assembly[Product type],$BS$43,Table_Assembly[NG content],CS32,Table_Assembly[MFG Date],$BV$42)</f>
        <v>0</v>
      </c>
      <c r="CV32" s="6">
        <f>SUMIFS(Table_Assembly[Specific Amount],Table_Assembly[NG Type],$CS$13,Table_Assembly[Product type],$BS$43,Table_Assembly[NG content],CS32,Table_Assembly[MFG Date],$BW$42)</f>
        <v>0</v>
      </c>
      <c r="CW32" s="6">
        <f>SUMIFS(Table_Assembly[Specific Amount],Table_Assembly[NG Type],$CS$13,Table_Assembly[Product type],$BS$43,Table_Assembly[NG content],CS32,Table_Assembly[MFG Date],$BX$42)</f>
        <v>0</v>
      </c>
      <c r="CX32" s="6">
        <f>SUMIFS(Table_Assembly[Specific Amount],Table_Assembly[NG Type],$CS$13,Table_Assembly[Product type],$BS$43,Table_Assembly[NG content],CS32,Table_Assembly[MFG Date],$BY$42)</f>
        <v>2</v>
      </c>
      <c r="CY32" s="6">
        <f>SUMIFS(Table_Assembly[Specific Amount],Table_Assembly[NG Type],$CS$13,Table_Assembly[Product type],$BS$43,Table_Assembly[NG content],CS32,Table_Assembly[MFG Date],$BZ$42)</f>
        <v>1</v>
      </c>
      <c r="CZ32" s="6">
        <f>SUMIFS(Table_Assembly[Specific Amount],Table_Assembly[NG Type],$CS$13,Table_Assembly[Product type],$BS$43,Table_Assembly[NG content],CS32,Table_Assembly[MFG Date],$CA$42)</f>
        <v>0</v>
      </c>
    </row>
    <row r="33" spans="1:104">
      <c r="A33" s="23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3"/>
      <c r="O33" s="85"/>
      <c r="X33" s="12" t="str">
        <f>IF($W$29&gt;=6,"Week 6","")</f>
        <v/>
      </c>
      <c r="Y33" s="14">
        <f t="shared" si="37"/>
        <v>45052</v>
      </c>
      <c r="Z33" s="12" t="str">
        <f t="shared" ca="1" si="38"/>
        <v/>
      </c>
      <c r="AA33" s="12" t="str">
        <f t="shared" si="39"/>
        <v/>
      </c>
      <c r="AB33" s="15" t="str">
        <f t="shared" si="40"/>
        <v/>
      </c>
      <c r="AC33" s="15" t="str">
        <f t="shared" si="35"/>
        <v>Week 1</v>
      </c>
      <c r="AD33" s="15"/>
      <c r="AE33" s="15">
        <f t="shared" si="41"/>
        <v>1</v>
      </c>
      <c r="AF33" s="15" t="str">
        <f t="shared" si="42"/>
        <v>Saturday</v>
      </c>
      <c r="AG33" s="16">
        <f t="shared" si="43"/>
        <v>45052</v>
      </c>
      <c r="AH33" s="12" t="b">
        <f t="shared" si="36"/>
        <v>0</v>
      </c>
      <c r="AJ33" s="12" t="str">
        <f ca="1">IFERROR(MATCH($B$114,OFFSET(#REF!,AJ32,0,1000000),0)+AJ32,"")</f>
        <v/>
      </c>
      <c r="AK33" s="17" t="str">
        <f ca="1">IFERROR(_xlfn.SINGLE(INDEX(#REF!,'Weekly Report'!AJ33)),"")</f>
        <v/>
      </c>
      <c r="AL33" s="12" t="str">
        <f ca="1">IFERROR(_xlfn.SINGLE(INDEX(#REF!,'Weekly Report'!AJ33)),"")</f>
        <v/>
      </c>
      <c r="AN33" s="12" t="str">
        <f ca="1">IFERROR(MATCH($G$115,OFFSET(#REF!,AN32,0,1000000),0)+AN32,"")</f>
        <v/>
      </c>
      <c r="AO33" s="17" t="str">
        <f ca="1">IFERROR(_xlfn.SINGLE(INDEX(#REF!,'Weekly Report'!AN33)),"")</f>
        <v/>
      </c>
      <c r="AP33" s="12" t="str">
        <f ca="1">IFERROR(_xlfn.SINGLE(INDEX(#REF!,'Weekly Report'!AN33)),"")</f>
        <v/>
      </c>
      <c r="AR33" s="12" t="s">
        <v>39</v>
      </c>
      <c r="AS33" s="12" t="e">
        <f>SUMIFS(#REF!,#REF!,$B$114)</f>
        <v>#REF!</v>
      </c>
      <c r="AT33" s="17" t="str">
        <f t="shared" si="31"/>
        <v/>
      </c>
      <c r="AV33" s="17" t="str">
        <f>IFERROR(LARGE($AT$25:$AT$45,ROWS($AV$25:AV33)),"")</f>
        <v/>
      </c>
      <c r="AW33" s="12" t="str">
        <f t="shared" si="32"/>
        <v/>
      </c>
      <c r="AY33" s="12" t="s">
        <v>39</v>
      </c>
      <c r="AZ33" s="12" t="e">
        <f>SUMIFS(#REF!,#REF!,$G$115)</f>
        <v>#REF!</v>
      </c>
      <c r="BA33" s="17" t="str">
        <f t="shared" si="33"/>
        <v/>
      </c>
      <c r="BC33" s="17" t="str">
        <f>IFERROR(LARGE($BA$25:$BA$45,ROWS($BC$25:BC33)),"")</f>
        <v/>
      </c>
      <c r="BD33" s="12" t="str">
        <f t="shared" si="34"/>
        <v/>
      </c>
      <c r="BP33" s="105"/>
      <c r="BQ33" s="23"/>
      <c r="BR33" s="23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3"/>
      <c r="CD33" s="85"/>
      <c r="CS33" s="6" t="s">
        <v>322</v>
      </c>
      <c r="CT33" s="6">
        <f>SUMIFS(Table_Assembly[Specific Amount],Table_Assembly[NG Type],$CS$13,Table_Assembly[Product type],$BS$43,Table_Assembly[NG content],CS33,Table_Assembly[MFG Date],$BU$42)</f>
        <v>1</v>
      </c>
      <c r="CU33" s="6">
        <f>SUMIFS(Table_Assembly[Specific Amount],Table_Assembly[NG Type],$CS$13,Table_Assembly[Product type],$BS$43,Table_Assembly[NG content],CS33,Table_Assembly[MFG Date],$BV$42)</f>
        <v>2</v>
      </c>
      <c r="CV33" s="6">
        <f>SUMIFS(Table_Assembly[Specific Amount],Table_Assembly[NG Type],$CS$13,Table_Assembly[Product type],$BS$43,Table_Assembly[NG content],CS33,Table_Assembly[MFG Date],$BW$42)</f>
        <v>0</v>
      </c>
      <c r="CW33" s="6">
        <f>SUMIFS(Table_Assembly[Specific Amount],Table_Assembly[NG Type],$CS$13,Table_Assembly[Product type],$BS$43,Table_Assembly[NG content],CS33,Table_Assembly[MFG Date],$BX$42)</f>
        <v>0</v>
      </c>
      <c r="CX33" s="6">
        <f>SUMIFS(Table_Assembly[Specific Amount],Table_Assembly[NG Type],$CS$13,Table_Assembly[Product type],$BS$43,Table_Assembly[NG content],CS33,Table_Assembly[MFG Date],$BY$42)</f>
        <v>3</v>
      </c>
      <c r="CY33" s="6">
        <f>SUMIFS(Table_Assembly[Specific Amount],Table_Assembly[NG Type],$CS$13,Table_Assembly[Product type],$BS$43,Table_Assembly[NG content],CS33,Table_Assembly[MFG Date],$BZ$42)</f>
        <v>5</v>
      </c>
      <c r="CZ33" s="6">
        <f>SUMIFS(Table_Assembly[Specific Amount],Table_Assembly[NG Type],$CS$13,Table_Assembly[Product type],$BS$43,Table_Assembly[NG content],CS33,Table_Assembly[MFG Date],$CA$42)</f>
        <v>0</v>
      </c>
    </row>
    <row r="34" spans="1:104">
      <c r="A34" s="23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3"/>
      <c r="O34" s="85"/>
      <c r="Y34" s="14">
        <f t="shared" si="37"/>
        <v>45053</v>
      </c>
      <c r="Z34" s="12" t="str">
        <f t="shared" ca="1" si="38"/>
        <v/>
      </c>
      <c r="AA34" s="12" t="str">
        <f t="shared" si="39"/>
        <v/>
      </c>
      <c r="AB34" s="15" t="str">
        <f t="shared" si="40"/>
        <v/>
      </c>
      <c r="AC34" s="15" t="str">
        <f t="shared" si="35"/>
        <v>Week 1</v>
      </c>
      <c r="AD34" s="15"/>
      <c r="AE34" s="15">
        <f t="shared" si="41"/>
        <v>1</v>
      </c>
      <c r="AF34" s="15" t="str">
        <f t="shared" si="42"/>
        <v>Sunday</v>
      </c>
      <c r="AG34" s="16">
        <f t="shared" si="43"/>
        <v>45053</v>
      </c>
      <c r="AH34" s="12" t="b">
        <f t="shared" si="36"/>
        <v>0</v>
      </c>
      <c r="AJ34" s="12" t="str">
        <f ca="1">IFERROR(MATCH($B$114,OFFSET(#REF!,AJ33,0,1000000),0)+AJ33,"")</f>
        <v/>
      </c>
      <c r="AK34" s="17" t="str">
        <f ca="1">IFERROR(_xlfn.SINGLE(INDEX(#REF!,'Weekly Report'!AJ34)),"")</f>
        <v/>
      </c>
      <c r="AL34" s="12" t="str">
        <f ca="1">IFERROR(_xlfn.SINGLE(INDEX(#REF!,'Weekly Report'!AJ34)),"")</f>
        <v/>
      </c>
      <c r="AN34" s="12" t="str">
        <f ca="1">IFERROR(MATCH($G$115,OFFSET(#REF!,AN33,0,1000000),0)+AN33,"")</f>
        <v/>
      </c>
      <c r="AO34" s="17" t="str">
        <f ca="1">IFERROR(_xlfn.SINGLE(INDEX(#REF!,'Weekly Report'!AN34)),"")</f>
        <v/>
      </c>
      <c r="AP34" s="12" t="str">
        <f ca="1">IFERROR(_xlfn.SINGLE(INDEX(#REF!,'Weekly Report'!AN34)),"")</f>
        <v/>
      </c>
      <c r="AR34" s="12" t="s">
        <v>40</v>
      </c>
      <c r="AS34" s="12" t="e">
        <f>SUMIFS(#REF!,#REF!,$B$114)</f>
        <v>#REF!</v>
      </c>
      <c r="AT34" s="17" t="str">
        <f t="shared" si="31"/>
        <v/>
      </c>
      <c r="AV34" s="17" t="str">
        <f>IFERROR(LARGE($AT$25:$AT$45,ROWS($AV$25:AV34)),"")</f>
        <v/>
      </c>
      <c r="AW34" s="12" t="str">
        <f t="shared" si="32"/>
        <v/>
      </c>
      <c r="AY34" s="12" t="s">
        <v>40</v>
      </c>
      <c r="AZ34" s="12" t="e">
        <f>SUMIFS(#REF!,#REF!,$G$115)</f>
        <v>#REF!</v>
      </c>
      <c r="BA34" s="17" t="str">
        <f t="shared" si="33"/>
        <v/>
      </c>
      <c r="BC34" s="17" t="str">
        <f>IFERROR(LARGE($BA$25:$BA$45,ROWS($BC$25:BC34)),"")</f>
        <v/>
      </c>
      <c r="BD34" s="12" t="str">
        <f t="shared" si="34"/>
        <v/>
      </c>
      <c r="BP34" s="105"/>
      <c r="BQ34" s="23"/>
      <c r="BR34" s="23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3"/>
      <c r="CD34" s="85"/>
      <c r="CS34" s="6" t="s">
        <v>185</v>
      </c>
      <c r="CT34" s="6">
        <f>SUMIFS(Table_Assembly[Specific Amount],Table_Assembly[NG Type],$CS$13,Table_Assembly[Product type],$BS$43,Table_Assembly[NG content],CS34,Table_Assembly[MFG Date],$BU$42)</f>
        <v>0</v>
      </c>
      <c r="CU34" s="6">
        <f>SUMIFS(Table_Assembly[Specific Amount],Table_Assembly[NG Type],$CS$13,Table_Assembly[Product type],$BS$43,Table_Assembly[NG content],CS34,Table_Assembly[MFG Date],$BV$42)</f>
        <v>0</v>
      </c>
      <c r="CV34" s="6">
        <f>SUMIFS(Table_Assembly[Specific Amount],Table_Assembly[NG Type],$CS$13,Table_Assembly[Product type],$BS$43,Table_Assembly[NG content],CS34,Table_Assembly[MFG Date],$BW$42)</f>
        <v>0</v>
      </c>
      <c r="CW34" s="6">
        <f>SUMIFS(Table_Assembly[Specific Amount],Table_Assembly[NG Type],$CS$13,Table_Assembly[Product type],$BS$43,Table_Assembly[NG content],CS34,Table_Assembly[MFG Date],$BX$42)</f>
        <v>0</v>
      </c>
      <c r="CX34" s="6">
        <f>SUMIFS(Table_Assembly[Specific Amount],Table_Assembly[NG Type],$CS$13,Table_Assembly[Product type],$BS$43,Table_Assembly[NG content],CS34,Table_Assembly[MFG Date],$BY$42)</f>
        <v>0</v>
      </c>
      <c r="CY34" s="6">
        <f>SUMIFS(Table_Assembly[Specific Amount],Table_Assembly[NG Type],$CS$13,Table_Assembly[Product type],$BS$43,Table_Assembly[NG content],CS34,Table_Assembly[MFG Date],$BZ$42)</f>
        <v>0</v>
      </c>
      <c r="CZ34" s="6">
        <f>SUMIFS(Table_Assembly[Specific Amount],Table_Assembly[NG Type],$CS$13,Table_Assembly[Product type],$BS$43,Table_Assembly[NG content],CS34,Table_Assembly[MFG Date],$CA$42)</f>
        <v>0</v>
      </c>
    </row>
    <row r="35" spans="1:104">
      <c r="A35" s="23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3"/>
      <c r="O35" s="85"/>
      <c r="Y35" s="14">
        <f t="shared" si="37"/>
        <v>45054</v>
      </c>
      <c r="Z35" s="12" t="str">
        <f t="shared" ca="1" si="38"/>
        <v>Week 2</v>
      </c>
      <c r="AA35" s="12">
        <f t="shared" si="39"/>
        <v>2</v>
      </c>
      <c r="AB35" s="15" t="str">
        <f t="shared" si="40"/>
        <v>Week 2</v>
      </c>
      <c r="AC35" s="15" t="str">
        <f t="shared" si="35"/>
        <v>Week 2</v>
      </c>
      <c r="AD35" s="15"/>
      <c r="AE35" s="15">
        <f t="shared" si="41"/>
        <v>2</v>
      </c>
      <c r="AF35" s="15" t="str">
        <f t="shared" si="42"/>
        <v>Monday</v>
      </c>
      <c r="AG35" s="16">
        <f t="shared" si="43"/>
        <v>45054</v>
      </c>
      <c r="AH35" s="12" t="b">
        <f t="shared" si="36"/>
        <v>0</v>
      </c>
      <c r="AJ35" s="12" t="str">
        <f ca="1">IFERROR(MATCH($B$114,OFFSET(#REF!,AJ34,0,1000000),0)+AJ34,"")</f>
        <v/>
      </c>
      <c r="AK35" s="17" t="str">
        <f ca="1">IFERROR(_xlfn.SINGLE(INDEX(#REF!,'Weekly Report'!AJ35)),"")</f>
        <v/>
      </c>
      <c r="AL35" s="12" t="str">
        <f ca="1">IFERROR(_xlfn.SINGLE(INDEX(#REF!,'Weekly Report'!AJ35)),"")</f>
        <v/>
      </c>
      <c r="AN35" s="12" t="str">
        <f ca="1">IFERROR(MATCH($G$115,OFFSET(#REF!,AN34,0,1000000),0)+AN34,"")</f>
        <v/>
      </c>
      <c r="AO35" s="17" t="str">
        <f ca="1">IFERROR(_xlfn.SINGLE(INDEX(#REF!,'Weekly Report'!AN35)),"")</f>
        <v/>
      </c>
      <c r="AP35" s="12" t="str">
        <f ca="1">IFERROR(_xlfn.SINGLE(INDEX(#REF!,'Weekly Report'!AN35)),"")</f>
        <v/>
      </c>
      <c r="AR35" s="12" t="s">
        <v>41</v>
      </c>
      <c r="AS35" s="12" t="e">
        <f>SUMIFS(#REF!,#REF!,$B$114)</f>
        <v>#REF!</v>
      </c>
      <c r="AT35" s="17" t="str">
        <f t="shared" si="31"/>
        <v/>
      </c>
      <c r="AV35" s="17" t="str">
        <f>IFERROR(LARGE($AT$25:$AT$45,ROWS($AV$25:AV35)),"")</f>
        <v/>
      </c>
      <c r="AW35" s="12" t="str">
        <f t="shared" si="32"/>
        <v/>
      </c>
      <c r="AY35" s="12" t="s">
        <v>41</v>
      </c>
      <c r="AZ35" s="12" t="e">
        <f>SUMIFS(#REF!,#REF!,$G$115)</f>
        <v>#REF!</v>
      </c>
      <c r="BA35" s="17" t="str">
        <f t="shared" si="33"/>
        <v/>
      </c>
      <c r="BC35" s="17" t="str">
        <f>IFERROR(LARGE($BA$25:$BA$45,ROWS($BC$25:BC35)),"")</f>
        <v/>
      </c>
      <c r="BD35" s="12" t="str">
        <f t="shared" si="34"/>
        <v/>
      </c>
      <c r="BP35" s="105"/>
      <c r="BQ35" s="23"/>
      <c r="BR35" s="23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3"/>
      <c r="CD35" s="85"/>
      <c r="CS35" s="6" t="s">
        <v>236</v>
      </c>
      <c r="CT35" s="6">
        <f>SUMIFS(Table_Assembly[Specific Amount],Table_Assembly[NG Type],$CS$13,Table_Assembly[Product type],$BS$43,Table_Assembly[NG content],CS35,Table_Assembly[MFG Date],$BU$42)</f>
        <v>0</v>
      </c>
      <c r="CU35" s="6">
        <f>SUMIFS(Table_Assembly[Specific Amount],Table_Assembly[NG Type],$CS$13,Table_Assembly[Product type],$BS$43,Table_Assembly[NG content],CS35,Table_Assembly[MFG Date],$BV$42)</f>
        <v>0</v>
      </c>
      <c r="CV35" s="6">
        <f>SUMIFS(Table_Assembly[Specific Amount],Table_Assembly[NG Type],$CS$13,Table_Assembly[Product type],$BS$43,Table_Assembly[NG content],CS35,Table_Assembly[MFG Date],$BW$42)</f>
        <v>0</v>
      </c>
      <c r="CW35" s="6">
        <f>SUMIFS(Table_Assembly[Specific Amount],Table_Assembly[NG Type],$CS$13,Table_Assembly[Product type],$BS$43,Table_Assembly[NG content],CS35,Table_Assembly[MFG Date],$BX$42)</f>
        <v>1</v>
      </c>
      <c r="CX35" s="6">
        <f>SUMIFS(Table_Assembly[Specific Amount],Table_Assembly[NG Type],$CS$13,Table_Assembly[Product type],$BS$43,Table_Assembly[NG content],CS35,Table_Assembly[MFG Date],$BY$42)</f>
        <v>0</v>
      </c>
      <c r="CY35" s="6">
        <f>SUMIFS(Table_Assembly[Specific Amount],Table_Assembly[NG Type],$CS$13,Table_Assembly[Product type],$BS$43,Table_Assembly[NG content],CS35,Table_Assembly[MFG Date],$BZ$42)</f>
        <v>1</v>
      </c>
      <c r="CZ35" s="6">
        <f>SUMIFS(Table_Assembly[Specific Amount],Table_Assembly[NG Type],$CS$13,Table_Assembly[Product type],$BS$43,Table_Assembly[NG content],CS35,Table_Assembly[MFG Date],$CA$42)</f>
        <v>0</v>
      </c>
    </row>
    <row r="36" spans="1:104">
      <c r="A36" s="23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3"/>
      <c r="O36" s="85"/>
      <c r="Y36" s="14">
        <f t="shared" si="37"/>
        <v>45055</v>
      </c>
      <c r="Z36" s="12" t="str">
        <f t="shared" ca="1" si="38"/>
        <v/>
      </c>
      <c r="AA36" s="12" t="str">
        <f t="shared" si="39"/>
        <v/>
      </c>
      <c r="AB36" s="15" t="str">
        <f t="shared" si="40"/>
        <v/>
      </c>
      <c r="AC36" s="15" t="str">
        <f t="shared" si="35"/>
        <v>Week 2</v>
      </c>
      <c r="AD36" s="15"/>
      <c r="AE36" s="15">
        <f t="shared" si="41"/>
        <v>2</v>
      </c>
      <c r="AF36" s="15" t="str">
        <f t="shared" si="42"/>
        <v>Tuesday</v>
      </c>
      <c r="AG36" s="16">
        <f t="shared" si="43"/>
        <v>45055</v>
      </c>
      <c r="AH36" s="12" t="b">
        <f t="shared" si="36"/>
        <v>0</v>
      </c>
      <c r="AJ36" s="12" t="str">
        <f ca="1">IFERROR(MATCH($B$114,OFFSET(#REF!,AJ35,0,1000000),0)+AJ35,"")</f>
        <v/>
      </c>
      <c r="AK36" s="17" t="str">
        <f ca="1">IFERROR(_xlfn.SINGLE(INDEX(#REF!,'Weekly Report'!AJ36)),"")</f>
        <v/>
      </c>
      <c r="AL36" s="12" t="str">
        <f ca="1">IFERROR(_xlfn.SINGLE(INDEX(#REF!,'Weekly Report'!AJ36)),"")</f>
        <v/>
      </c>
      <c r="AN36" s="12" t="str">
        <f ca="1">IFERROR(MATCH($G$115,OFFSET(#REF!,AN35,0,1000000),0)+AN35,"")</f>
        <v/>
      </c>
      <c r="AO36" s="17" t="str">
        <f ca="1">IFERROR(_xlfn.SINGLE(INDEX(#REF!,'Weekly Report'!AN36)),"")</f>
        <v/>
      </c>
      <c r="AP36" s="12" t="str">
        <f ca="1">IFERROR(_xlfn.SINGLE(INDEX(#REF!,'Weekly Report'!AN36)),"")</f>
        <v/>
      </c>
      <c r="AR36" s="12" t="s">
        <v>42</v>
      </c>
      <c r="AS36" s="12" t="e">
        <f>SUMIFS(#REF!,#REF!,$B$114)</f>
        <v>#REF!</v>
      </c>
      <c r="AT36" s="17" t="str">
        <f t="shared" si="31"/>
        <v/>
      </c>
      <c r="AV36" s="17" t="str">
        <f>IFERROR(LARGE($AT$25:$AT$45,ROWS($AV$25:AV36)),"")</f>
        <v/>
      </c>
      <c r="AW36" s="12" t="str">
        <f t="shared" si="32"/>
        <v/>
      </c>
      <c r="AY36" s="12" t="s">
        <v>42</v>
      </c>
      <c r="AZ36" s="12" t="e">
        <f>SUMIFS(#REF!,#REF!,$G$115)</f>
        <v>#REF!</v>
      </c>
      <c r="BA36" s="17" t="str">
        <f t="shared" si="33"/>
        <v/>
      </c>
      <c r="BC36" s="17" t="str">
        <f>IFERROR(LARGE($BA$25:$BA$45,ROWS($BC$25:BC36)),"")</f>
        <v/>
      </c>
      <c r="BD36" s="12" t="str">
        <f t="shared" si="34"/>
        <v/>
      </c>
      <c r="BP36" s="105"/>
      <c r="BQ36" s="23"/>
      <c r="BR36" s="23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3"/>
      <c r="CD36" s="85"/>
      <c r="CS36" s="6" t="s">
        <v>168</v>
      </c>
      <c r="CT36" s="6">
        <f>SUMIFS(Table_Assembly[Specific Amount],Table_Assembly[NG Type],$CS$13,Table_Assembly[Product type],$BS$43,Table_Assembly[NG content],CS36,Table_Assembly[MFG Date],$BU$42)</f>
        <v>0</v>
      </c>
      <c r="CU36" s="6">
        <f>SUMIFS(Table_Assembly[Specific Amount],Table_Assembly[NG Type],$CS$13,Table_Assembly[Product type],$BS$43,Table_Assembly[NG content],CS36,Table_Assembly[MFG Date],$BV$42)</f>
        <v>0</v>
      </c>
      <c r="CV36" s="6">
        <f>SUMIFS(Table_Assembly[Specific Amount],Table_Assembly[NG Type],$CS$13,Table_Assembly[Product type],$BS$43,Table_Assembly[NG content],CS36,Table_Assembly[MFG Date],$BW$42)</f>
        <v>0</v>
      </c>
      <c r="CW36" s="6">
        <f>SUMIFS(Table_Assembly[Specific Amount],Table_Assembly[NG Type],$CS$13,Table_Assembly[Product type],$BS$43,Table_Assembly[NG content],CS36,Table_Assembly[MFG Date],$BX$42)</f>
        <v>0</v>
      </c>
      <c r="CX36" s="6">
        <f>SUMIFS(Table_Assembly[Specific Amount],Table_Assembly[NG Type],$CS$13,Table_Assembly[Product type],$BS$43,Table_Assembly[NG content],CS36,Table_Assembly[MFG Date],$BY$42)</f>
        <v>0</v>
      </c>
      <c r="CY36" s="6">
        <f>SUMIFS(Table_Assembly[Specific Amount],Table_Assembly[NG Type],$CS$13,Table_Assembly[Product type],$BS$43,Table_Assembly[NG content],CS36,Table_Assembly[MFG Date],$BZ$42)</f>
        <v>0</v>
      </c>
      <c r="CZ36" s="6">
        <f>SUMIFS(Table_Assembly[Specific Amount],Table_Assembly[NG Type],$CS$13,Table_Assembly[Product type],$BS$43,Table_Assembly[NG content],CS36,Table_Assembly[MFG Date],$CA$42)</f>
        <v>0</v>
      </c>
    </row>
    <row r="37" spans="1:104">
      <c r="A37" s="23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3"/>
      <c r="O37" s="85"/>
      <c r="Y37" s="14">
        <f t="shared" si="37"/>
        <v>45056</v>
      </c>
      <c r="Z37" s="12" t="str">
        <f t="shared" ca="1" si="38"/>
        <v/>
      </c>
      <c r="AA37" s="12" t="str">
        <f t="shared" si="39"/>
        <v/>
      </c>
      <c r="AB37" s="15" t="str">
        <f t="shared" si="40"/>
        <v/>
      </c>
      <c r="AC37" s="15" t="str">
        <f t="shared" si="35"/>
        <v>Week 2</v>
      </c>
      <c r="AD37" s="15"/>
      <c r="AE37" s="15">
        <f t="shared" si="41"/>
        <v>2</v>
      </c>
      <c r="AF37" s="15" t="str">
        <f t="shared" si="42"/>
        <v>Wednesday</v>
      </c>
      <c r="AG37" s="16">
        <f t="shared" si="43"/>
        <v>45056</v>
      </c>
      <c r="AH37" s="12" t="b">
        <f t="shared" si="36"/>
        <v>0</v>
      </c>
      <c r="AJ37" s="12" t="str">
        <f ca="1">IFERROR(MATCH($B$114,OFFSET(#REF!,AJ36,0,1000000),0)+AJ36,"")</f>
        <v/>
      </c>
      <c r="AK37" s="17" t="str">
        <f ca="1">IFERROR(_xlfn.SINGLE(INDEX(#REF!,'Weekly Report'!AJ37)),"")</f>
        <v/>
      </c>
      <c r="AL37" s="12" t="str">
        <f ca="1">IFERROR(_xlfn.SINGLE(INDEX(#REF!,'Weekly Report'!AJ37)),"")</f>
        <v/>
      </c>
      <c r="AN37" s="12" t="str">
        <f ca="1">IFERROR(MATCH($G$115,OFFSET(#REF!,AN36,0,1000000),0)+AN36,"")</f>
        <v/>
      </c>
      <c r="AO37" s="17" t="str">
        <f ca="1">IFERROR(_xlfn.SINGLE(INDEX(#REF!,'Weekly Report'!AN37)),"")</f>
        <v/>
      </c>
      <c r="AP37" s="12" t="str">
        <f ca="1">IFERROR(_xlfn.SINGLE(INDEX(#REF!,'Weekly Report'!AN37)),"")</f>
        <v/>
      </c>
      <c r="AR37" s="12" t="s">
        <v>43</v>
      </c>
      <c r="AS37" s="12" t="e">
        <f>SUMIFS(#REF!,#REF!,$B$114)</f>
        <v>#REF!</v>
      </c>
      <c r="AT37" s="17" t="str">
        <f t="shared" si="31"/>
        <v/>
      </c>
      <c r="AV37" s="17" t="str">
        <f>IFERROR(LARGE($AT$25:$AT$45,ROWS($AV$25:AV37)),"")</f>
        <v/>
      </c>
      <c r="AW37" s="12" t="str">
        <f t="shared" si="32"/>
        <v/>
      </c>
      <c r="AY37" s="12" t="s">
        <v>43</v>
      </c>
      <c r="AZ37" s="12" t="e">
        <f>SUMIFS(#REF!,#REF!,$G$115)</f>
        <v>#REF!</v>
      </c>
      <c r="BA37" s="17" t="str">
        <f t="shared" si="33"/>
        <v/>
      </c>
      <c r="BC37" s="17" t="str">
        <f>IFERROR(LARGE($BA$25:$BA$45,ROWS($BC$25:BC37)),"")</f>
        <v/>
      </c>
      <c r="BD37" s="12" t="str">
        <f t="shared" si="34"/>
        <v/>
      </c>
      <c r="BP37" s="105"/>
      <c r="BQ37" s="23"/>
      <c r="BR37" s="23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3"/>
      <c r="CD37" s="85"/>
      <c r="CS37" s="6" t="s">
        <v>237</v>
      </c>
      <c r="CT37" s="6">
        <f>SUMIFS(Table_Assembly[Specific Amount],Table_Assembly[NG Type],$CS$13,Table_Assembly[Product type],$BS$43,Table_Assembly[NG content],CS37,Table_Assembly[MFG Date],$BU$42)</f>
        <v>0</v>
      </c>
      <c r="CU37" s="6">
        <f>SUMIFS(Table_Assembly[Specific Amount],Table_Assembly[NG Type],$CS$13,Table_Assembly[Product type],$BS$43,Table_Assembly[NG content],CS37,Table_Assembly[MFG Date],$BV$42)</f>
        <v>0</v>
      </c>
      <c r="CV37" s="6">
        <f>SUMIFS(Table_Assembly[Specific Amount],Table_Assembly[NG Type],$CS$13,Table_Assembly[Product type],$BS$43,Table_Assembly[NG content],CS37,Table_Assembly[MFG Date],$BW$42)</f>
        <v>0</v>
      </c>
      <c r="CW37" s="6">
        <f>SUMIFS(Table_Assembly[Specific Amount],Table_Assembly[NG Type],$CS$13,Table_Assembly[Product type],$BS$43,Table_Assembly[NG content],CS37,Table_Assembly[MFG Date],$BX$42)</f>
        <v>0</v>
      </c>
      <c r="CX37" s="6">
        <f>SUMIFS(Table_Assembly[Specific Amount],Table_Assembly[NG Type],$CS$13,Table_Assembly[Product type],$BS$43,Table_Assembly[NG content],CS37,Table_Assembly[MFG Date],$BY$42)</f>
        <v>0</v>
      </c>
      <c r="CY37" s="6">
        <f>SUMIFS(Table_Assembly[Specific Amount],Table_Assembly[NG Type],$CS$13,Table_Assembly[Product type],$BS$43,Table_Assembly[NG content],CS37,Table_Assembly[MFG Date],$BZ$42)</f>
        <v>0</v>
      </c>
      <c r="CZ37" s="6">
        <f>SUMIFS(Table_Assembly[Specific Amount],Table_Assembly[NG Type],$CS$13,Table_Assembly[Product type],$BS$43,Table_Assembly[NG content],CS37,Table_Assembly[MFG Date],$CA$42)</f>
        <v>0</v>
      </c>
    </row>
    <row r="38" spans="1:104">
      <c r="A38" s="23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3"/>
      <c r="O38" s="85"/>
      <c r="Y38" s="14">
        <f t="shared" si="37"/>
        <v>45057</v>
      </c>
      <c r="Z38" s="12" t="str">
        <f t="shared" ca="1" si="38"/>
        <v/>
      </c>
      <c r="AA38" s="12" t="str">
        <f t="shared" si="39"/>
        <v/>
      </c>
      <c r="AB38" s="15" t="str">
        <f t="shared" si="40"/>
        <v/>
      </c>
      <c r="AC38" s="15" t="str">
        <f t="shared" si="35"/>
        <v>Week 2</v>
      </c>
      <c r="AD38" s="15"/>
      <c r="AE38" s="15">
        <f t="shared" si="41"/>
        <v>2</v>
      </c>
      <c r="AF38" s="15" t="str">
        <f t="shared" si="42"/>
        <v>Thursday</v>
      </c>
      <c r="AG38" s="16">
        <f t="shared" si="43"/>
        <v>45057</v>
      </c>
      <c r="AH38" s="12" t="b">
        <f t="shared" si="36"/>
        <v>0</v>
      </c>
      <c r="AJ38" s="12" t="str">
        <f ca="1">IFERROR(MATCH($B$114,OFFSET(#REF!,AJ37,0,1000000),0)+AJ37,"")</f>
        <v/>
      </c>
      <c r="AK38" s="17" t="str">
        <f ca="1">IFERROR(_xlfn.SINGLE(INDEX(#REF!,'Weekly Report'!AJ38)),"")</f>
        <v/>
      </c>
      <c r="AL38" s="12" t="str">
        <f ca="1">IFERROR(_xlfn.SINGLE(INDEX(#REF!,'Weekly Report'!AJ38)),"")</f>
        <v/>
      </c>
      <c r="AN38" s="12" t="str">
        <f ca="1">IFERROR(MATCH($G$115,OFFSET(#REF!,AN37,0,1000000),0)+AN37,"")</f>
        <v/>
      </c>
      <c r="AO38" s="17" t="str">
        <f ca="1">IFERROR(_xlfn.SINGLE(INDEX(#REF!,'Weekly Report'!AN38)),"")</f>
        <v/>
      </c>
      <c r="AP38" s="12" t="str">
        <f ca="1">IFERROR(_xlfn.SINGLE(INDEX(#REF!,'Weekly Report'!AN38)),"")</f>
        <v/>
      </c>
      <c r="AR38" s="12" t="s">
        <v>44</v>
      </c>
      <c r="AS38" s="12" t="e">
        <f>SUMIFS(#REF!,#REF!,$B$114)</f>
        <v>#REF!</v>
      </c>
      <c r="AT38" s="17" t="str">
        <f t="shared" si="31"/>
        <v/>
      </c>
      <c r="AV38" s="17" t="str">
        <f>IFERROR(LARGE($AT$25:$AT$45,ROWS($AV$25:AV38)),"")</f>
        <v/>
      </c>
      <c r="AW38" s="12" t="str">
        <f t="shared" si="32"/>
        <v/>
      </c>
      <c r="AY38" s="12" t="s">
        <v>44</v>
      </c>
      <c r="AZ38" s="12" t="e">
        <f>SUMIFS(#REF!,#REF!,$G$115)</f>
        <v>#REF!</v>
      </c>
      <c r="BA38" s="17" t="str">
        <f t="shared" si="33"/>
        <v/>
      </c>
      <c r="BC38" s="17" t="str">
        <f>IFERROR(LARGE($BA$25:$BA$45,ROWS($BC$25:BC38)),"")</f>
        <v/>
      </c>
      <c r="BD38" s="12" t="str">
        <f t="shared" si="34"/>
        <v/>
      </c>
      <c r="BP38" s="105"/>
      <c r="BQ38" s="23"/>
      <c r="BR38" s="23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3"/>
      <c r="CD38" s="85"/>
      <c r="CS38" s="6" t="s">
        <v>238</v>
      </c>
      <c r="CT38" s="6">
        <f>SUMIFS(Table_Assembly[Specific Amount],Table_Assembly[NG Type],$CS$13,Table_Assembly[Product type],$BS$43,Table_Assembly[NG content],CS38,Table_Assembly[MFG Date],$BU$42)</f>
        <v>0</v>
      </c>
      <c r="CU38" s="6">
        <f>SUMIFS(Table_Assembly[Specific Amount],Table_Assembly[NG Type],$CS$13,Table_Assembly[Product type],$BS$43,Table_Assembly[NG content],CS38,Table_Assembly[MFG Date],$BV$42)</f>
        <v>0</v>
      </c>
      <c r="CV38" s="6">
        <f>SUMIFS(Table_Assembly[Specific Amount],Table_Assembly[NG Type],$CS$13,Table_Assembly[Product type],$BS$43,Table_Assembly[NG content],CS38,Table_Assembly[MFG Date],$BW$42)</f>
        <v>0</v>
      </c>
      <c r="CW38" s="6">
        <f>SUMIFS(Table_Assembly[Specific Amount],Table_Assembly[NG Type],$CS$13,Table_Assembly[Product type],$BS$43,Table_Assembly[NG content],CS38,Table_Assembly[MFG Date],$BX$42)</f>
        <v>0</v>
      </c>
      <c r="CX38" s="6">
        <f>SUMIFS(Table_Assembly[Specific Amount],Table_Assembly[NG Type],$CS$13,Table_Assembly[Product type],$BS$43,Table_Assembly[NG content],CS38,Table_Assembly[MFG Date],$BY$42)</f>
        <v>0</v>
      </c>
      <c r="CY38" s="6">
        <f>SUMIFS(Table_Assembly[Specific Amount],Table_Assembly[NG Type],$CS$13,Table_Assembly[Product type],$BS$43,Table_Assembly[NG content],CS38,Table_Assembly[MFG Date],$BZ$42)</f>
        <v>0</v>
      </c>
      <c r="CZ38" s="6">
        <f>SUMIFS(Table_Assembly[Specific Amount],Table_Assembly[NG Type],$CS$13,Table_Assembly[Product type],$BS$43,Table_Assembly[NG content],CS38,Table_Assembly[MFG Date],$CA$42)</f>
        <v>0</v>
      </c>
    </row>
    <row r="39" spans="1:10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85"/>
      <c r="Y39" s="14">
        <f t="shared" si="37"/>
        <v>45058</v>
      </c>
      <c r="Z39" s="12" t="str">
        <f t="shared" ca="1" si="38"/>
        <v/>
      </c>
      <c r="AA39" s="12" t="str">
        <f t="shared" si="39"/>
        <v/>
      </c>
      <c r="AB39" s="15" t="str">
        <f t="shared" si="40"/>
        <v/>
      </c>
      <c r="AC39" s="15" t="str">
        <f t="shared" si="35"/>
        <v>Week 2</v>
      </c>
      <c r="AD39" s="15"/>
      <c r="AE39" s="15">
        <f t="shared" si="41"/>
        <v>2</v>
      </c>
      <c r="AF39" s="15" t="str">
        <f t="shared" si="42"/>
        <v>Friday</v>
      </c>
      <c r="AG39" s="16">
        <f t="shared" si="43"/>
        <v>45058</v>
      </c>
      <c r="AH39" s="12" t="b">
        <f t="shared" si="36"/>
        <v>0</v>
      </c>
      <c r="AJ39" s="12" t="str">
        <f ca="1">IFERROR(MATCH($B$114,OFFSET(#REF!,AJ38,0,1000000),0)+AJ38,"")</f>
        <v/>
      </c>
      <c r="AK39" s="17" t="str">
        <f ca="1">IFERROR(_xlfn.SINGLE(INDEX(#REF!,'Weekly Report'!AJ39)),"")</f>
        <v/>
      </c>
      <c r="AL39" s="12" t="str">
        <f ca="1">IFERROR(_xlfn.SINGLE(INDEX(#REF!,'Weekly Report'!AJ39)),"")</f>
        <v/>
      </c>
      <c r="AN39" s="12" t="str">
        <f ca="1">IFERROR(MATCH($G$115,OFFSET(#REF!,AN38,0,1000000),0)+AN38,"")</f>
        <v/>
      </c>
      <c r="AO39" s="17" t="str">
        <f ca="1">IFERROR(_xlfn.SINGLE(INDEX(#REF!,'Weekly Report'!AN39)),"")</f>
        <v/>
      </c>
      <c r="AP39" s="12" t="str">
        <f ca="1">IFERROR(_xlfn.SINGLE(INDEX(#REF!,'Weekly Report'!AN39)),"")</f>
        <v/>
      </c>
      <c r="AR39" s="12" t="s">
        <v>45</v>
      </c>
      <c r="AS39" s="12" t="e">
        <f>SUMIFS(#REF!,#REF!,$B$114)</f>
        <v>#REF!</v>
      </c>
      <c r="AT39" s="17" t="str">
        <f t="shared" si="31"/>
        <v/>
      </c>
      <c r="AV39" s="17" t="str">
        <f>IFERROR(LARGE($AT$25:$AT$45,ROWS($AV$25:AV39)),"")</f>
        <v/>
      </c>
      <c r="AW39" s="12" t="str">
        <f t="shared" si="32"/>
        <v/>
      </c>
      <c r="AY39" s="12" t="s">
        <v>45</v>
      </c>
      <c r="AZ39" s="12" t="e">
        <f>SUMIFS(#REF!,#REF!,$G$115)</f>
        <v>#REF!</v>
      </c>
      <c r="BA39" s="17" t="str">
        <f t="shared" si="33"/>
        <v/>
      </c>
      <c r="BC39" s="17" t="str">
        <f>IFERROR(LARGE($BA$25:$BA$45,ROWS($BC$25:BC39)),"")</f>
        <v/>
      </c>
      <c r="BD39" s="12" t="str">
        <f t="shared" si="34"/>
        <v/>
      </c>
      <c r="BP39" s="105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85"/>
      <c r="CS39" s="6" t="s">
        <v>186</v>
      </c>
      <c r="CT39" s="6">
        <f>SUMIFS(Table_Assembly[Specific Amount],Table_Assembly[NG Type],$CS$13,Table_Assembly[Product type],$BS$43,Table_Assembly[NG content],CS39,Table_Assembly[MFG Date],$BU$42)</f>
        <v>0</v>
      </c>
      <c r="CU39" s="6">
        <f>SUMIFS(Table_Assembly[Specific Amount],Table_Assembly[NG Type],$CS$13,Table_Assembly[Product type],$BS$43,Table_Assembly[NG content],CS39,Table_Assembly[MFG Date],$BV$42)</f>
        <v>0</v>
      </c>
      <c r="CV39" s="6">
        <f>SUMIFS(Table_Assembly[Specific Amount],Table_Assembly[NG Type],$CS$13,Table_Assembly[Product type],$BS$43,Table_Assembly[NG content],CS39,Table_Assembly[MFG Date],$BW$42)</f>
        <v>0</v>
      </c>
      <c r="CW39" s="6">
        <f>SUMIFS(Table_Assembly[Specific Amount],Table_Assembly[NG Type],$CS$13,Table_Assembly[Product type],$BS$43,Table_Assembly[NG content],CS39,Table_Assembly[MFG Date],$BX$42)</f>
        <v>0</v>
      </c>
      <c r="CX39" s="6">
        <f>SUMIFS(Table_Assembly[Specific Amount],Table_Assembly[NG Type],$CS$13,Table_Assembly[Product type],$BS$43,Table_Assembly[NG content],CS39,Table_Assembly[MFG Date],$BY$42)</f>
        <v>0</v>
      </c>
      <c r="CY39" s="6">
        <f>SUMIFS(Table_Assembly[Specific Amount],Table_Assembly[NG Type],$CS$13,Table_Assembly[Product type],$BS$43,Table_Assembly[NG content],CS39,Table_Assembly[MFG Date],$BZ$42)</f>
        <v>0</v>
      </c>
      <c r="CZ39" s="6">
        <f>SUMIFS(Table_Assembly[Specific Amount],Table_Assembly[NG Type],$CS$13,Table_Assembly[Product type],$BS$43,Table_Assembly[NG content],CS39,Table_Assembly[MFG Date],$CA$42)</f>
        <v>0</v>
      </c>
    </row>
    <row r="40" spans="1:104" ht="15.5" thickBo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85"/>
      <c r="Y40" s="14">
        <f t="shared" si="37"/>
        <v>45059</v>
      </c>
      <c r="Z40" s="12" t="str">
        <f t="shared" ca="1" si="38"/>
        <v/>
      </c>
      <c r="AA40" s="12" t="str">
        <f t="shared" si="39"/>
        <v/>
      </c>
      <c r="AB40" s="15" t="str">
        <f t="shared" si="40"/>
        <v/>
      </c>
      <c r="AC40" s="15" t="str">
        <f t="shared" si="35"/>
        <v>Week 2</v>
      </c>
      <c r="AD40" s="15"/>
      <c r="AE40" s="15">
        <f t="shared" si="41"/>
        <v>2</v>
      </c>
      <c r="AF40" s="15" t="str">
        <f t="shared" si="42"/>
        <v>Saturday</v>
      </c>
      <c r="AG40" s="16">
        <f t="shared" si="43"/>
        <v>45059</v>
      </c>
      <c r="AH40" s="12" t="b">
        <f t="shared" si="36"/>
        <v>0</v>
      </c>
      <c r="AJ40" s="12" t="str">
        <f ca="1">IFERROR(MATCH($B$114,OFFSET(#REF!,AJ39,0,1000000),0)+AJ39,"")</f>
        <v/>
      </c>
      <c r="AK40" s="17" t="str">
        <f ca="1">IFERROR(_xlfn.SINGLE(INDEX(#REF!,'Weekly Report'!AJ40)),"")</f>
        <v/>
      </c>
      <c r="AL40" s="12" t="str">
        <f ca="1">IFERROR(_xlfn.SINGLE(INDEX(#REF!,'Weekly Report'!AJ40)),"")</f>
        <v/>
      </c>
      <c r="AN40" s="12" t="str">
        <f ca="1">IFERROR(MATCH($G$115,OFFSET(#REF!,AN39,0,1000000),0)+AN39,"")</f>
        <v/>
      </c>
      <c r="AO40" s="17" t="str">
        <f ca="1">IFERROR(_xlfn.SINGLE(INDEX(#REF!,'Weekly Report'!AN40)),"")</f>
        <v/>
      </c>
      <c r="AP40" s="12" t="str">
        <f ca="1">IFERROR(_xlfn.SINGLE(INDEX(#REF!,'Weekly Report'!AN40)),"")</f>
        <v/>
      </c>
      <c r="AR40" s="12" t="s">
        <v>126</v>
      </c>
      <c r="AS40" s="12" t="e">
        <f>SUMIFS(#REF!,#REF!,$B$114)</f>
        <v>#REF!</v>
      </c>
      <c r="AT40" s="17" t="str">
        <f t="shared" si="31"/>
        <v/>
      </c>
      <c r="AV40" s="17" t="str">
        <f>IFERROR(LARGE($AT$25:$AT$45,ROWS($AV$25:AV40)),"")</f>
        <v/>
      </c>
      <c r="AW40" s="12" t="str">
        <f t="shared" si="32"/>
        <v/>
      </c>
      <c r="AY40" s="12" t="s">
        <v>46</v>
      </c>
      <c r="AZ40" s="12" t="e">
        <f>SUMIFS(#REF!,#REF!,$G$115)</f>
        <v>#REF!</v>
      </c>
      <c r="BA40" s="17" t="str">
        <f t="shared" si="33"/>
        <v/>
      </c>
      <c r="BC40" s="17" t="str">
        <f>IFERROR(LARGE($BA$25:$BA$45,ROWS($BC$25:BC40)),"")</f>
        <v/>
      </c>
      <c r="BD40" s="12" t="str">
        <f t="shared" si="34"/>
        <v/>
      </c>
      <c r="BP40" s="105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85"/>
      <c r="CS40" s="6" t="s">
        <v>187</v>
      </c>
      <c r="CT40" s="6">
        <f>SUMIFS(Table_Assembly[Specific Amount],Table_Assembly[NG Type],$CS$13,Table_Assembly[Product type],$BS$43,Table_Assembly[NG content],CS40,Table_Assembly[MFG Date],$BU$42)</f>
        <v>0</v>
      </c>
      <c r="CU40" s="6">
        <f>SUMIFS(Table_Assembly[Specific Amount],Table_Assembly[NG Type],$CS$13,Table_Assembly[Product type],$BS$43,Table_Assembly[NG content],CS40,Table_Assembly[MFG Date],$BV$42)</f>
        <v>0</v>
      </c>
      <c r="CV40" s="6">
        <f>SUMIFS(Table_Assembly[Specific Amount],Table_Assembly[NG Type],$CS$13,Table_Assembly[Product type],$BS$43,Table_Assembly[NG content],CS40,Table_Assembly[MFG Date],$BW$42)</f>
        <v>0</v>
      </c>
      <c r="CW40" s="6">
        <f>SUMIFS(Table_Assembly[Specific Amount],Table_Assembly[NG Type],$CS$13,Table_Assembly[Product type],$BS$43,Table_Assembly[NG content],CS40,Table_Assembly[MFG Date],$BX$42)</f>
        <v>0</v>
      </c>
      <c r="CX40" s="6">
        <f>SUMIFS(Table_Assembly[Specific Amount],Table_Assembly[NG Type],$CS$13,Table_Assembly[Product type],$BS$43,Table_Assembly[NG content],CS40,Table_Assembly[MFG Date],$BY$42)</f>
        <v>0</v>
      </c>
      <c r="CY40" s="6">
        <f>SUMIFS(Table_Assembly[Specific Amount],Table_Assembly[NG Type],$CS$13,Table_Assembly[Product type],$BS$43,Table_Assembly[NG content],CS40,Table_Assembly[MFG Date],$BZ$42)</f>
        <v>0</v>
      </c>
      <c r="CZ40" s="6">
        <f>SUMIFS(Table_Assembly[Specific Amount],Table_Assembly[NG Type],$CS$13,Table_Assembly[Product type],$BS$43,Table_Assembly[NG content],CS40,Table_Assembly[MFG Date],$CA$42)</f>
        <v>0</v>
      </c>
    </row>
    <row r="41" spans="1:104" ht="15.5">
      <c r="A41" s="23"/>
      <c r="B41" s="23"/>
      <c r="C41" s="23"/>
      <c r="D41" s="206"/>
      <c r="E41" s="198"/>
      <c r="F41" s="200" t="s">
        <v>111</v>
      </c>
      <c r="G41" s="201"/>
      <c r="H41" s="201"/>
      <c r="I41" s="201"/>
      <c r="J41" s="201"/>
      <c r="K41" s="201"/>
      <c r="L41" s="201"/>
      <c r="M41" s="202"/>
      <c r="N41" s="23"/>
      <c r="O41" s="85"/>
      <c r="Y41" s="14">
        <f t="shared" si="37"/>
        <v>45060</v>
      </c>
      <c r="Z41" s="12" t="str">
        <f t="shared" ca="1" si="38"/>
        <v/>
      </c>
      <c r="AA41" s="12" t="str">
        <f t="shared" si="39"/>
        <v/>
      </c>
      <c r="AB41" s="15" t="str">
        <f t="shared" si="40"/>
        <v/>
      </c>
      <c r="AC41" s="15" t="str">
        <f t="shared" si="35"/>
        <v>Week 2</v>
      </c>
      <c r="AD41" s="15"/>
      <c r="AE41" s="15">
        <f t="shared" si="41"/>
        <v>2</v>
      </c>
      <c r="AF41" s="15" t="str">
        <f t="shared" si="42"/>
        <v>Sunday</v>
      </c>
      <c r="AG41" s="16">
        <f t="shared" si="43"/>
        <v>45060</v>
      </c>
      <c r="AH41" s="12" t="b">
        <f t="shared" si="36"/>
        <v>0</v>
      </c>
      <c r="AJ41" s="12" t="str">
        <f ca="1">IFERROR(MATCH($B$114,OFFSET(#REF!,AJ40,0,1000000),0)+AJ40,"")</f>
        <v/>
      </c>
      <c r="AK41" s="17" t="str">
        <f ca="1">IFERROR(_xlfn.SINGLE(INDEX(#REF!,'Weekly Report'!AJ41)),"")</f>
        <v/>
      </c>
      <c r="AL41" s="12" t="str">
        <f ca="1">IFERROR(_xlfn.SINGLE(INDEX(#REF!,'Weekly Report'!AJ41)),"")</f>
        <v/>
      </c>
      <c r="AN41" s="12" t="str">
        <f ca="1">IFERROR(MATCH($G$115,OFFSET(#REF!,AN40,0,1000000),0)+AN40,"")</f>
        <v/>
      </c>
      <c r="AO41" s="17" t="str">
        <f ca="1">IFERROR(_xlfn.SINGLE(INDEX(#REF!,'Weekly Report'!AN41)),"")</f>
        <v/>
      </c>
      <c r="AP41" s="12" t="str">
        <f ca="1">IFERROR(_xlfn.SINGLE(INDEX(#REF!,'Weekly Report'!AN41)),"")</f>
        <v/>
      </c>
      <c r="AR41" s="12" t="s">
        <v>47</v>
      </c>
      <c r="AS41" s="12" t="e">
        <f>SUMIFS(#REF!,#REF!,$B$114)</f>
        <v>#REF!</v>
      </c>
      <c r="AT41" s="17" t="str">
        <f t="shared" si="31"/>
        <v/>
      </c>
      <c r="AV41" s="17" t="str">
        <f>IFERROR(LARGE($AT$25:$AT$45,ROWS($AV$25:AV41)),"")</f>
        <v/>
      </c>
      <c r="AW41" s="12" t="str">
        <f t="shared" si="32"/>
        <v/>
      </c>
      <c r="AY41" s="12" t="s">
        <v>47</v>
      </c>
      <c r="AZ41" s="12" t="e">
        <f>SUMIFS(#REF!,#REF!,$G$115)</f>
        <v>#REF!</v>
      </c>
      <c r="BA41" s="17" t="str">
        <f t="shared" si="33"/>
        <v/>
      </c>
      <c r="BC41" s="17" t="str">
        <f>IFERROR(LARGE($BA$25:$BA$45,ROWS($BC$25:BC41)),"")</f>
        <v/>
      </c>
      <c r="BD41" s="12" t="str">
        <f t="shared" si="34"/>
        <v/>
      </c>
      <c r="BP41" s="105"/>
      <c r="BQ41" s="23"/>
      <c r="BR41" s="23"/>
      <c r="BS41" s="196"/>
      <c r="BT41" s="198"/>
      <c r="BU41" s="200" t="s">
        <v>111</v>
      </c>
      <c r="BV41" s="201"/>
      <c r="BW41" s="201"/>
      <c r="BX41" s="201"/>
      <c r="BY41" s="201"/>
      <c r="BZ41" s="201"/>
      <c r="CA41" s="201"/>
      <c r="CB41" s="202"/>
      <c r="CC41" s="23"/>
      <c r="CD41" s="85"/>
      <c r="CS41" s="6" t="s">
        <v>188</v>
      </c>
      <c r="CT41" s="6">
        <f>SUMIFS(Table_Assembly[Specific Amount],Table_Assembly[NG Type],$CS$13,Table_Assembly[Product type],$BS$43,Table_Assembly[NG content],CS41,Table_Assembly[MFG Date],$BU$42)</f>
        <v>0</v>
      </c>
      <c r="CU41" s="6">
        <f>SUMIFS(Table_Assembly[Specific Amount],Table_Assembly[NG Type],$CS$13,Table_Assembly[Product type],$BS$43,Table_Assembly[NG content],CS41,Table_Assembly[MFG Date],$BV$42)</f>
        <v>0</v>
      </c>
      <c r="CV41" s="6">
        <f>SUMIFS(Table_Assembly[Specific Amount],Table_Assembly[NG Type],$CS$13,Table_Assembly[Product type],$BS$43,Table_Assembly[NG content],CS41,Table_Assembly[MFG Date],$BW$42)</f>
        <v>0</v>
      </c>
      <c r="CW41" s="6">
        <f>SUMIFS(Table_Assembly[Specific Amount],Table_Assembly[NG Type],$CS$13,Table_Assembly[Product type],$BS$43,Table_Assembly[NG content],CS41,Table_Assembly[MFG Date],$BX$42)</f>
        <v>0</v>
      </c>
      <c r="CX41" s="6">
        <f>SUMIFS(Table_Assembly[Specific Amount],Table_Assembly[NG Type],$CS$13,Table_Assembly[Product type],$BS$43,Table_Assembly[NG content],CS41,Table_Assembly[MFG Date],$BY$42)</f>
        <v>0</v>
      </c>
      <c r="CY41" s="6">
        <f>SUMIFS(Table_Assembly[Specific Amount],Table_Assembly[NG Type],$CS$13,Table_Assembly[Product type],$BS$43,Table_Assembly[NG content],CS41,Table_Assembly[MFG Date],$BZ$42)</f>
        <v>0</v>
      </c>
      <c r="CZ41" s="6">
        <f>SUMIFS(Table_Assembly[Specific Amount],Table_Assembly[NG Type],$CS$13,Table_Assembly[Product type],$BS$43,Table_Assembly[NG content],CS41,Table_Assembly[MFG Date],$CA$42)</f>
        <v>0</v>
      </c>
    </row>
    <row r="42" spans="1:104" ht="15.5" thickBot="1">
      <c r="A42" s="23"/>
      <c r="B42" s="23"/>
      <c r="C42" s="23"/>
      <c r="D42" s="207"/>
      <c r="E42" s="208"/>
      <c r="F42" s="60">
        <f>IF(F4="","",F4)</f>
        <v>45061</v>
      </c>
      <c r="G42" s="61">
        <f t="shared" ref="G42:L42" si="44">IF(G4="","",G4)</f>
        <v>45062</v>
      </c>
      <c r="H42" s="61">
        <f t="shared" si="44"/>
        <v>45063</v>
      </c>
      <c r="I42" s="61">
        <f t="shared" si="44"/>
        <v>45064</v>
      </c>
      <c r="J42" s="61">
        <f t="shared" si="44"/>
        <v>45065</v>
      </c>
      <c r="K42" s="61">
        <f t="shared" si="44"/>
        <v>45066</v>
      </c>
      <c r="L42" s="62">
        <f t="shared" si="44"/>
        <v>45067</v>
      </c>
      <c r="M42" s="63" t="s">
        <v>62</v>
      </c>
      <c r="N42" s="23"/>
      <c r="O42" s="85"/>
      <c r="Y42" s="14">
        <f t="shared" si="37"/>
        <v>45061</v>
      </c>
      <c r="Z42" s="12" t="str">
        <f t="shared" ca="1" si="38"/>
        <v>Week 3</v>
      </c>
      <c r="AA42" s="12">
        <f t="shared" si="39"/>
        <v>3</v>
      </c>
      <c r="AB42" s="15" t="str">
        <f t="shared" si="40"/>
        <v>Week 3</v>
      </c>
      <c r="AC42" s="15" t="str">
        <f t="shared" si="35"/>
        <v>Week 3</v>
      </c>
      <c r="AD42" s="15"/>
      <c r="AE42" s="15">
        <f t="shared" si="41"/>
        <v>3</v>
      </c>
      <c r="AF42" s="15" t="str">
        <f t="shared" si="42"/>
        <v>Monday</v>
      </c>
      <c r="AG42" s="16">
        <f t="shared" si="43"/>
        <v>45061</v>
      </c>
      <c r="AH42" s="12" t="b">
        <f t="shared" si="36"/>
        <v>1</v>
      </c>
      <c r="AJ42" s="12" t="str">
        <f ca="1">IFERROR(MATCH($B$114,OFFSET(#REF!,AJ41,0,1000000),0)+AJ41,"")</f>
        <v/>
      </c>
      <c r="AK42" s="17" t="str">
        <f ca="1">IFERROR(_xlfn.SINGLE(INDEX(#REF!,'Weekly Report'!AJ42)),"")</f>
        <v/>
      </c>
      <c r="AL42" s="12" t="str">
        <f ca="1">IFERROR(_xlfn.SINGLE(INDEX(#REF!,'Weekly Report'!AJ42)),"")</f>
        <v/>
      </c>
      <c r="AN42" s="12" t="str">
        <f ca="1">IFERROR(MATCH($G$115,OFFSET(#REF!,AN41,0,1000000),0)+AN41,"")</f>
        <v/>
      </c>
      <c r="AO42" s="17" t="str">
        <f ca="1">IFERROR(_xlfn.SINGLE(INDEX(#REF!,'Weekly Report'!AN42)),"")</f>
        <v/>
      </c>
      <c r="AP42" s="12" t="str">
        <f ca="1">IFERROR(_xlfn.SINGLE(INDEX(#REF!,'Weekly Report'!AN42)),"")</f>
        <v/>
      </c>
      <c r="AR42" s="12" t="s">
        <v>48</v>
      </c>
      <c r="AS42" s="12" t="e">
        <f>SUMIFS(#REF!,#REF!,$B$114)</f>
        <v>#REF!</v>
      </c>
      <c r="AT42" s="17" t="str">
        <f t="shared" si="31"/>
        <v/>
      </c>
      <c r="AV42" s="17" t="str">
        <f>IFERROR(LARGE($AT$25:$AT$45,ROWS($AV$25:AV42)),"")</f>
        <v/>
      </c>
      <c r="AW42" s="12" t="str">
        <f t="shared" si="32"/>
        <v/>
      </c>
      <c r="AY42" s="12" t="s">
        <v>48</v>
      </c>
      <c r="AZ42" s="12" t="e">
        <f>SUMIFS(#REF!,#REF!,$G$115)</f>
        <v>#REF!</v>
      </c>
      <c r="BA42" s="17" t="str">
        <f t="shared" si="33"/>
        <v/>
      </c>
      <c r="BC42" s="17" t="str">
        <f>IFERROR(LARGE($BA$25:$BA$45,ROWS($BC$25:BC42)),"")</f>
        <v/>
      </c>
      <c r="BD42" s="12" t="str">
        <f t="shared" si="34"/>
        <v/>
      </c>
      <c r="BP42" s="105"/>
      <c r="BQ42" s="23"/>
      <c r="BR42" s="23"/>
      <c r="BS42" s="197"/>
      <c r="BT42" s="199"/>
      <c r="BU42" s="60">
        <f>IF(BU4="","",BU4)</f>
        <v>45061</v>
      </c>
      <c r="BV42" s="61">
        <f t="shared" ref="BV42:CA42" si="45">IF(BV4="","",BV4)</f>
        <v>45062</v>
      </c>
      <c r="BW42" s="61">
        <f t="shared" si="45"/>
        <v>45063</v>
      </c>
      <c r="BX42" s="61">
        <f t="shared" si="45"/>
        <v>45064</v>
      </c>
      <c r="BY42" s="61">
        <f t="shared" si="45"/>
        <v>45065</v>
      </c>
      <c r="BZ42" s="61">
        <f t="shared" si="45"/>
        <v>45066</v>
      </c>
      <c r="CA42" s="62">
        <f t="shared" si="45"/>
        <v>45067</v>
      </c>
      <c r="CB42" s="63" t="s">
        <v>62</v>
      </c>
      <c r="CC42" s="23"/>
      <c r="CD42" s="85"/>
      <c r="CS42" s="6" t="s">
        <v>189</v>
      </c>
      <c r="CT42" s="6">
        <f>SUMIFS(Table_Assembly[Specific Amount],Table_Assembly[NG Type],$CS$13,Table_Assembly[Product type],$BS$43,Table_Assembly[NG content],CS42,Table_Assembly[MFG Date],$BU$42)</f>
        <v>0</v>
      </c>
      <c r="CU42" s="6">
        <f>SUMIFS(Table_Assembly[Specific Amount],Table_Assembly[NG Type],$CS$13,Table_Assembly[Product type],$BS$43,Table_Assembly[NG content],CS42,Table_Assembly[MFG Date],$BV$42)</f>
        <v>0</v>
      </c>
      <c r="CV42" s="6">
        <f>SUMIFS(Table_Assembly[Specific Amount],Table_Assembly[NG Type],$CS$13,Table_Assembly[Product type],$BS$43,Table_Assembly[NG content],CS42,Table_Assembly[MFG Date],$BW$42)</f>
        <v>0</v>
      </c>
      <c r="CW42" s="6">
        <f>SUMIFS(Table_Assembly[Specific Amount],Table_Assembly[NG Type],$CS$13,Table_Assembly[Product type],$BS$43,Table_Assembly[NG content],CS42,Table_Assembly[MFG Date],$BX$42)</f>
        <v>0</v>
      </c>
      <c r="CX42" s="6">
        <f>SUMIFS(Table_Assembly[Specific Amount],Table_Assembly[NG Type],$CS$13,Table_Assembly[Product type],$BS$43,Table_Assembly[NG content],CS42,Table_Assembly[MFG Date],$BY$42)</f>
        <v>0</v>
      </c>
      <c r="CY42" s="6">
        <f>SUMIFS(Table_Assembly[Specific Amount],Table_Assembly[NG Type],$CS$13,Table_Assembly[Product type],$BS$43,Table_Assembly[NG content],CS42,Table_Assembly[MFG Date],$BZ$42)</f>
        <v>0</v>
      </c>
      <c r="CZ42" s="6">
        <f>SUMIFS(Table_Assembly[Specific Amount],Table_Assembly[NG Type],$CS$13,Table_Assembly[Product type],$BS$43,Table_Assembly[NG content],CS42,Table_Assembly[MFG Date],$CA$42)</f>
        <v>0</v>
      </c>
    </row>
    <row r="43" spans="1:104" ht="15.5" thickTop="1">
      <c r="A43" s="23"/>
      <c r="B43" s="23"/>
      <c r="C43" s="23"/>
      <c r="D43" s="209" t="s">
        <v>63</v>
      </c>
      <c r="E43" s="178" t="s">
        <v>31</v>
      </c>
      <c r="F43" s="179">
        <f>IF(F6="","",F6)</f>
        <v>10</v>
      </c>
      <c r="G43" s="179">
        <f t="shared" ref="G43:L43" si="46">IF(G6="","",G6)</f>
        <v>34</v>
      </c>
      <c r="H43" s="179">
        <f t="shared" si="46"/>
        <v>14</v>
      </c>
      <c r="I43" s="179">
        <f t="shared" si="46"/>
        <v>22</v>
      </c>
      <c r="J43" s="179">
        <f t="shared" si="46"/>
        <v>15</v>
      </c>
      <c r="K43" s="179">
        <f t="shared" si="46"/>
        <v>17</v>
      </c>
      <c r="L43" s="180">
        <f t="shared" si="46"/>
        <v>0</v>
      </c>
      <c r="M43" s="181">
        <f t="shared" ref="M43:M48" si="47">SUM(F43:L43)</f>
        <v>112</v>
      </c>
      <c r="N43" s="23"/>
      <c r="O43" s="85"/>
      <c r="Y43" s="14">
        <f t="shared" si="37"/>
        <v>45062</v>
      </c>
      <c r="Z43" s="12" t="str">
        <f t="shared" ca="1" si="38"/>
        <v/>
      </c>
      <c r="AA43" s="12" t="str">
        <f t="shared" si="39"/>
        <v/>
      </c>
      <c r="AB43" s="15" t="str">
        <f t="shared" si="40"/>
        <v/>
      </c>
      <c r="AC43" s="15" t="str">
        <f t="shared" si="35"/>
        <v>Week 3</v>
      </c>
      <c r="AD43" s="15"/>
      <c r="AE43" s="15">
        <f t="shared" si="41"/>
        <v>3</v>
      </c>
      <c r="AF43" s="15" t="str">
        <f t="shared" si="42"/>
        <v>Tuesday</v>
      </c>
      <c r="AG43" s="16">
        <f t="shared" si="43"/>
        <v>45062</v>
      </c>
      <c r="AH43" s="12" t="b">
        <f t="shared" si="36"/>
        <v>1</v>
      </c>
      <c r="AJ43" s="12" t="str">
        <f ca="1">IFERROR(MATCH($B$114,OFFSET(#REF!,AJ42,0,1000000),0)+AJ42,"")</f>
        <v/>
      </c>
      <c r="AK43" s="17" t="str">
        <f ca="1">IFERROR(_xlfn.SINGLE(INDEX(#REF!,'Weekly Report'!AJ43)),"")</f>
        <v/>
      </c>
      <c r="AL43" s="12" t="str">
        <f ca="1">IFERROR(_xlfn.SINGLE(INDEX(#REF!,'Weekly Report'!AJ43)),"")</f>
        <v/>
      </c>
      <c r="AN43" s="12" t="str">
        <f ca="1">IFERROR(MATCH($G$115,OFFSET(#REF!,AN42,0,1000000),0)+AN42,"")</f>
        <v/>
      </c>
      <c r="AO43" s="17" t="str">
        <f ca="1">IFERROR(_xlfn.SINGLE(INDEX(#REF!,'Weekly Report'!AN43)),"")</f>
        <v/>
      </c>
      <c r="AP43" s="12" t="str">
        <f ca="1">IFERROR(_xlfn.SINGLE(INDEX(#REF!,'Weekly Report'!AN43)),"")</f>
        <v/>
      </c>
      <c r="AR43" s="12" t="s">
        <v>49</v>
      </c>
      <c r="AS43" s="12" t="e">
        <f>SUMIFS(#REF!,#REF!,$B$114)</f>
        <v>#REF!</v>
      </c>
      <c r="AT43" s="17" t="str">
        <f t="shared" si="31"/>
        <v/>
      </c>
      <c r="AV43" s="17" t="str">
        <f>IFERROR(LARGE($AT$25:$AT$45,ROWS($AV$25:AV43)),"")</f>
        <v/>
      </c>
      <c r="AW43" s="12" t="str">
        <f t="shared" si="32"/>
        <v/>
      </c>
      <c r="AY43" s="12" t="s">
        <v>49</v>
      </c>
      <c r="AZ43" s="12" t="e">
        <f>SUMIFS(#REF!,#REF!,$G$115)</f>
        <v>#REF!</v>
      </c>
      <c r="BA43" s="17" t="str">
        <f t="shared" si="33"/>
        <v/>
      </c>
      <c r="BC43" s="17" t="str">
        <f>IFERROR(LARGE($BA$25:$BA$45,ROWS($BC$25:BC43)),"")</f>
        <v/>
      </c>
      <c r="BD43" s="12" t="str">
        <f t="shared" si="34"/>
        <v/>
      </c>
      <c r="BP43" s="105"/>
      <c r="BQ43" s="23"/>
      <c r="BR43" s="23"/>
      <c r="BS43" s="187" t="s">
        <v>63</v>
      </c>
      <c r="BT43" s="178" t="s">
        <v>31</v>
      </c>
      <c r="BU43" s="179">
        <f>IF(BU6="","",BU6)</f>
        <v>4</v>
      </c>
      <c r="BV43" s="179">
        <f t="shared" ref="BV43:CA43" si="48">IF(BV6="","",BV6)</f>
        <v>17</v>
      </c>
      <c r="BW43" s="179">
        <f t="shared" si="48"/>
        <v>13</v>
      </c>
      <c r="BX43" s="179">
        <f t="shared" si="48"/>
        <v>21</v>
      </c>
      <c r="BY43" s="179">
        <f t="shared" si="48"/>
        <v>8</v>
      </c>
      <c r="BZ43" s="179">
        <f t="shared" si="48"/>
        <v>16</v>
      </c>
      <c r="CA43" s="180">
        <f t="shared" si="48"/>
        <v>0</v>
      </c>
      <c r="CB43" s="181">
        <f>SUM(BU43:CA43)</f>
        <v>79</v>
      </c>
      <c r="CC43" s="23"/>
      <c r="CD43" s="85"/>
      <c r="CS43" s="6" t="s">
        <v>190</v>
      </c>
      <c r="CT43" s="6">
        <f>SUMIFS(Table_Assembly[Specific Amount],Table_Assembly[NG Type],$CS$13,Table_Assembly[Product type],$BS$43,Table_Assembly[NG content],CS43,Table_Assembly[MFG Date],$BU$42)</f>
        <v>0</v>
      </c>
      <c r="CU43" s="6">
        <f>SUMIFS(Table_Assembly[Specific Amount],Table_Assembly[NG Type],$CS$13,Table_Assembly[Product type],$BS$43,Table_Assembly[NG content],CS43,Table_Assembly[MFG Date],$BV$42)</f>
        <v>0</v>
      </c>
      <c r="CV43" s="6">
        <f>SUMIFS(Table_Assembly[Specific Amount],Table_Assembly[NG Type],$CS$13,Table_Assembly[Product type],$BS$43,Table_Assembly[NG content],CS43,Table_Assembly[MFG Date],$BW$42)</f>
        <v>0</v>
      </c>
      <c r="CW43" s="6">
        <f>SUMIFS(Table_Assembly[Specific Amount],Table_Assembly[NG Type],$CS$13,Table_Assembly[Product type],$BS$43,Table_Assembly[NG content],CS43,Table_Assembly[MFG Date],$BX$42)</f>
        <v>0</v>
      </c>
      <c r="CX43" s="6">
        <f>SUMIFS(Table_Assembly[Specific Amount],Table_Assembly[NG Type],$CS$13,Table_Assembly[Product type],$BS$43,Table_Assembly[NG content],CS43,Table_Assembly[MFG Date],$BY$42)</f>
        <v>1</v>
      </c>
      <c r="CY43" s="6">
        <f>SUMIFS(Table_Assembly[Specific Amount],Table_Assembly[NG Type],$CS$13,Table_Assembly[Product type],$BS$43,Table_Assembly[NG content],CS43,Table_Assembly[MFG Date],$BZ$42)</f>
        <v>0</v>
      </c>
      <c r="CZ43" s="6">
        <f>SUMIFS(Table_Assembly[Specific Amount],Table_Assembly[NG Type],$CS$13,Table_Assembly[Product type],$BS$43,Table_Assembly[NG content],CS43,Table_Assembly[MFG Date],$CA$42)</f>
        <v>0</v>
      </c>
    </row>
    <row r="44" spans="1:104">
      <c r="A44" s="23"/>
      <c r="B44" s="23"/>
      <c r="C44" s="23"/>
      <c r="D44" s="204"/>
      <c r="E44" s="19" t="s">
        <v>102</v>
      </c>
      <c r="F44" s="40">
        <f>IF($F$4="","",
IF($BH$4=TRUE,SUMIFS(Table_Assembly[Total NG from material],Table_Assembly[Product type],$D$5,Table_Assembly[MFG Date],$F$4),
IF(AND($BF$5=TRUE,$BI$5=FALSE),SUMIFS(Table_Assembly[Total NG from material],Table_Assembly[Product type],$D$5,Table_Assembly[MFG Date],$F$4),
IF(AND($BF$5=FALSE,$BI$5=TRUE),SUMIFS(Table_Assembly[Total NG from material],Table_Assembly[Customer],$B$5,Table_Assembly[Product type],$D$5,Table_Assembly[MFG Date],$F$4),
IF(AND($BI$5=FALSE,$BH$5=FALSE),SUMIFS(Table_Assembly[Total NG from material],Table_Assembly[Customer],$B$5,Table_Assembly[Product type],$D$5,Table_Assembly[MFG Date],$F$4),"")))))</f>
        <v>6</v>
      </c>
      <c r="G44" s="40">
        <f>IF($G$4="","",
IF($BH$4=TRUE,SUMIFS(Table_Assembly[Total NG from material],Table_Assembly[Product type],$D$5,Table_Assembly[MFG Date],$G$4),
IF(AND($BF$5=TRUE,$BI$5=FALSE),SUMIFS(Table_Assembly[Total NG from material],Table_Assembly[Product type],$D$5,Table_Assembly[MFG Date],$G$4),
IF(AND($BF$5=FALSE,$BI$5=TRUE),SUMIFS(Table_Assembly[Total NG from material],Table_Assembly[Customer],$B$5,Table_Assembly[Product type],$D$5,Table_Assembly[MFG Date],$G$4),
IF(AND($BI$5=FALSE,$BH$5=FALSE),SUMIFS(Table_Assembly[Total NG from material],Table_Assembly[Customer],$B$5,Table_Assembly[Product type],$D$5,Table_Assembly[MFG Date],$G$4),"")))))</f>
        <v>17</v>
      </c>
      <c r="H44" s="40">
        <f>IF($H$4="","",
IF($BH$4=TRUE,SUMIFS(Table_Assembly[Total NG from material],Table_Assembly[Product type],$D$5,Table_Assembly[MFG Date],$H$4),
IF(AND($BF$5=TRUE,$BI$5=FALSE),SUMIFS(Table_Assembly[Total NG from material],Table_Assembly[Product type],$D$5,Table_Assembly[MFG Date],$H$4),
IF(AND($BF$5=FALSE,$BI$5=TRUE),SUMIFS(Table_Assembly[Total NG from material],Table_Assembly[Customer],$B$5,Table_Assembly[Product type],$D$5,Table_Assembly[MFG Date],$H$4),
IF(AND($BI$5=FALSE,$BH$5=FALSE),SUMIFS(Table_Assembly[Total NG from material],Table_Assembly[Customer],$B$5,Table_Assembly[Product type],$D$5,Table_Assembly[MFG Date],$H$4),"")))))</f>
        <v>1</v>
      </c>
      <c r="I44" s="40">
        <f>IF($I$4="","",
IF($BH$4=TRUE,SUMIFS(Table_Assembly[Total NG from material],Table_Assembly[Product type],$D$5,Table_Assembly[MFG Date],$I$4),
IF(AND($BF$5=TRUE,$BI$5=FALSE),SUMIFS(Table_Assembly[Total NG from material],Table_Assembly[Product type],$D$5,Table_Assembly[MFG Date],$I$4),
IF(AND($BF$5=FALSE,$BI$5=TRUE),SUMIFS(Table_Assembly[Total NG from material],Table_Assembly[Customer],$B$5,Table_Assembly[Product type],$D$5,Table_Assembly[MFG Date],$I$4),
IF(AND($BI$5=FALSE,$BH$5=FALSE),SUMIFS(Table_Assembly[Total NG from material],Table_Assembly[Customer],$B$5,Table_Assembly[Product type],$D$5,Table_Assembly[MFG Date],$I$4),"")))))</f>
        <v>1</v>
      </c>
      <c r="J44" s="40">
        <f>IF($J$4="","",
IF($BH$4=TRUE,SUMIFS(Table_Assembly[Total NG from material],Table_Assembly[Product type],$D$5,Table_Assembly[MFG Date],$J$4),
IF(AND($BF$5=TRUE,$BI$5=FALSE),SUMIFS(Table_Assembly[Total NG from material],Table_Assembly[Product type],$D$5,Table_Assembly[MFG Date],$J$4),
IF(AND($BF$5=FALSE,$BI$5=TRUE),SUMIFS(Table_Assembly[Total NG from material],Table_Assembly[Customer],$B$5,Table_Assembly[Product type],$D$5,Table_Assembly[MFG Date],$J$4),
IF(AND($BI$5=FALSE,$BH$5=FALSE),SUMIFS(Table_Assembly[Total NG from material],Table_Assembly[Customer],$B$5,Table_Assembly[Product type],$D$5,Table_Assembly[MFG Date],$J$4),"")))))</f>
        <v>7</v>
      </c>
      <c r="K44" s="40">
        <f>IF($K$4="","",
IF($BH$4=TRUE,SUMIFS(Table_Assembly[Total NG from material],Table_Assembly[Product type],$D$5,Table_Assembly[MFG Date],$K$4),
IF(AND($BF$5=TRUE,$BI$5=FALSE),SUMIFS(Table_Assembly[Total NG from material],Table_Assembly[Product type],$D$5,Table_Assembly[MFG Date],$K$4),
IF(AND($BF$5=FALSE,$BI$5=TRUE),SUMIFS(Table_Assembly[Total NG from material],Table_Assembly[Customer],$B$5,Table_Assembly[Product type],$D$5,Table_Assembly[MFG Date],$K$4),
IF(AND($BI$5=FALSE,$BH$5=FALSE),SUMIFS(Table_Assembly[Total NG from material],Table_Assembly[Customer],$B$5,Table_Assembly[Product type],$D$5,Table_Assembly[MFG Date],$K$4),"")))))</f>
        <v>1</v>
      </c>
      <c r="L44" s="41">
        <f>IF($L$4="","",
IF($BH$4=TRUE,SUMIFS(Table_Assembly[Total NG from material],Table_Assembly[Product type],$D$5,Table_Assembly[MFG Date],$L$4),
IF(AND($BF$5=TRUE,$BI$5=FALSE),SUMIFS(Table_Assembly[Total NG from material],Table_Assembly[Product type],$D$5,Table_Assembly[MFG Date],$L$4),
IF(AND($BF$5=FALSE,$BI$5=TRUE),SUMIFS(Table_Assembly[Total NG from material],Table_Assembly[Customer],$B$5,Table_Assembly[Product type],$D$5,Table_Assembly[MFG Date],$L$4),
IF(AND($BI$5=FALSE,$BH$5=FALSE),SUMIFS(Table_Assembly[Total NG from material],Table_Assembly[Customer],$B$5,Table_Assembly[Product type],$D$5,Table_Assembly[MFG Date],$L$4),"")))))</f>
        <v>0</v>
      </c>
      <c r="M44" s="42">
        <f t="shared" si="47"/>
        <v>33</v>
      </c>
      <c r="N44" s="23"/>
      <c r="O44" s="85"/>
      <c r="Y44" s="14">
        <f t="shared" si="37"/>
        <v>45063</v>
      </c>
      <c r="Z44" s="12" t="str">
        <f t="shared" ca="1" si="38"/>
        <v/>
      </c>
      <c r="AA44" s="12" t="str">
        <f t="shared" si="39"/>
        <v/>
      </c>
      <c r="AB44" s="15" t="str">
        <f t="shared" si="40"/>
        <v/>
      </c>
      <c r="AC44" s="15" t="str">
        <f t="shared" si="35"/>
        <v>Week 3</v>
      </c>
      <c r="AD44" s="15"/>
      <c r="AE44" s="15">
        <f t="shared" si="41"/>
        <v>3</v>
      </c>
      <c r="AF44" s="15" t="str">
        <f t="shared" si="42"/>
        <v>Wednesday</v>
      </c>
      <c r="AG44" s="16">
        <f t="shared" si="43"/>
        <v>45063</v>
      </c>
      <c r="AH44" s="12" t="b">
        <f t="shared" si="36"/>
        <v>1</v>
      </c>
      <c r="AJ44" s="12" t="str">
        <f ca="1">IFERROR(MATCH($B$114,OFFSET(#REF!,AJ43,0,1000000),0)+AJ43,"")</f>
        <v/>
      </c>
      <c r="AK44" s="17" t="str">
        <f ca="1">IFERROR(_xlfn.SINGLE(INDEX(#REF!,'Weekly Report'!AJ44)),"")</f>
        <v/>
      </c>
      <c r="AL44" s="12" t="str">
        <f ca="1">IFERROR(_xlfn.SINGLE(INDEX(#REF!,'Weekly Report'!AJ44)),"")</f>
        <v/>
      </c>
      <c r="AN44" s="12" t="str">
        <f ca="1">IFERROR(MATCH($G$115,OFFSET(#REF!,AN43,0,1000000),0)+AN43,"")</f>
        <v/>
      </c>
      <c r="AO44" s="17" t="str">
        <f ca="1">IFERROR(_xlfn.SINGLE(INDEX(#REF!,'Weekly Report'!AN44)),"")</f>
        <v/>
      </c>
      <c r="AP44" s="12" t="str">
        <f ca="1">IFERROR(_xlfn.SINGLE(INDEX(#REF!,'Weekly Report'!AN44)),"")</f>
        <v/>
      </c>
      <c r="AR44" s="12" t="s">
        <v>127</v>
      </c>
      <c r="AS44" s="12" t="e">
        <f>SUMIFS(#REF!,#REF!,$B$114)</f>
        <v>#REF!</v>
      </c>
      <c r="AT44" s="17" t="str">
        <f t="shared" si="31"/>
        <v/>
      </c>
      <c r="AV44" s="17" t="str">
        <f>IFERROR(LARGE($AT$25:$AT$45,ROWS($AV$25:AV44)),"")</f>
        <v/>
      </c>
      <c r="AW44" s="12" t="str">
        <f t="shared" si="32"/>
        <v/>
      </c>
      <c r="AY44" s="12" t="s">
        <v>50</v>
      </c>
      <c r="AZ44" s="12" t="e">
        <f>SUMIFS(#REF!,#REF!,$G$115)</f>
        <v>#REF!</v>
      </c>
      <c r="BA44" s="17" t="str">
        <f t="shared" si="33"/>
        <v/>
      </c>
      <c r="BC44" s="17" t="str">
        <f>IFERROR(LARGE($BA$25:$BA$45,ROWS($BC$25:BC44)),"")</f>
        <v/>
      </c>
      <c r="BD44" s="12" t="str">
        <f t="shared" si="34"/>
        <v/>
      </c>
      <c r="BP44" s="105"/>
      <c r="BQ44" s="23"/>
      <c r="BR44" s="23"/>
      <c r="BS44" s="188"/>
      <c r="BT44" s="108" t="s">
        <v>134</v>
      </c>
      <c r="BU44" s="40">
        <f>IF(BU42="","",SUM(CT15:CT16))</f>
        <v>0</v>
      </c>
      <c r="BV44" s="40">
        <f t="shared" ref="BV44:CA44" si="49">IF(BV42="","",SUM(CU15:CU16))</f>
        <v>10</v>
      </c>
      <c r="BW44" s="40">
        <f t="shared" si="49"/>
        <v>12</v>
      </c>
      <c r="BX44" s="40">
        <f t="shared" si="49"/>
        <v>8</v>
      </c>
      <c r="BY44" s="40">
        <f t="shared" si="49"/>
        <v>0</v>
      </c>
      <c r="BZ44" s="40">
        <f t="shared" si="49"/>
        <v>3</v>
      </c>
      <c r="CA44" s="41">
        <f t="shared" si="49"/>
        <v>0</v>
      </c>
      <c r="CB44" s="42">
        <f>SUM(BU44:CA44)</f>
        <v>33</v>
      </c>
      <c r="CC44" s="23"/>
      <c r="CD44" s="85"/>
      <c r="CS44" s="6" t="s">
        <v>191</v>
      </c>
      <c r="CT44" s="6">
        <f>SUMIFS(Table_Assembly[Specific Amount],Table_Assembly[NG Type],$CS$13,Table_Assembly[Product type],$BS$43,Table_Assembly[NG content],CS44,Table_Assembly[MFG Date],$BU$42)</f>
        <v>0</v>
      </c>
      <c r="CU44" s="6">
        <f>SUMIFS(Table_Assembly[Specific Amount],Table_Assembly[NG Type],$CS$13,Table_Assembly[Product type],$BS$43,Table_Assembly[NG content],CS44,Table_Assembly[MFG Date],$BV$42)</f>
        <v>0</v>
      </c>
      <c r="CV44" s="6">
        <f>SUMIFS(Table_Assembly[Specific Amount],Table_Assembly[NG Type],$CS$13,Table_Assembly[Product type],$BS$43,Table_Assembly[NG content],CS44,Table_Assembly[MFG Date],$BW$42)</f>
        <v>0</v>
      </c>
      <c r="CW44" s="6">
        <f>SUMIFS(Table_Assembly[Specific Amount],Table_Assembly[NG Type],$CS$13,Table_Assembly[Product type],$BS$43,Table_Assembly[NG content],CS44,Table_Assembly[MFG Date],$BX$42)</f>
        <v>0</v>
      </c>
      <c r="CX44" s="6">
        <f>SUMIFS(Table_Assembly[Specific Amount],Table_Assembly[NG Type],$CS$13,Table_Assembly[Product type],$BS$43,Table_Assembly[NG content],CS44,Table_Assembly[MFG Date],$BY$42)</f>
        <v>0</v>
      </c>
      <c r="CY44" s="6">
        <f>SUMIFS(Table_Assembly[Specific Amount],Table_Assembly[NG Type],$CS$13,Table_Assembly[Product type],$BS$43,Table_Assembly[NG content],CS44,Table_Assembly[MFG Date],$BZ$42)</f>
        <v>0</v>
      </c>
      <c r="CZ44" s="6">
        <f>SUMIFS(Table_Assembly[Specific Amount],Table_Assembly[NG Type],$CS$13,Table_Assembly[Product type],$BS$43,Table_Assembly[NG content],CS44,Table_Assembly[MFG Date],$CA$42)</f>
        <v>0</v>
      </c>
    </row>
    <row r="45" spans="1:104" ht="15.5" thickBot="1">
      <c r="A45" s="23"/>
      <c r="B45" s="23"/>
      <c r="C45" s="23"/>
      <c r="D45" s="210"/>
      <c r="E45" s="53" t="s">
        <v>133</v>
      </c>
      <c r="F45" s="54">
        <f>IF($F$4="","",
IF($BH$4=TRUE,SUMIFS(Table_Assembly[Total NG from machine],Table_Assembly[Product type],$D$5,Table_Assembly[MFG Date],$F$4),
IF(AND($BF$5=TRUE,$BI$5=FALSE),SUMIFS(Table_Assembly[Total NG from machine],Table_Assembly[Product type],$D$5,Table_Assembly[MFG Date],$F$4),
IF(AND($BF$5=FALSE,$BI$5=TRUE),SUMIFS(Table_Assembly[Total NG from machine],Table_Assembly[Customer],$B$5,Table_Assembly[Product type],$D$5,Table_Assembly[MFG Date],$F$4),
IF(AND($BI$5=FALSE,$BH$5=FALSE),SUMIFS(Table_Assembly[Total NG from machine],Table_Assembly[Customer],$B$5,Table_Assembly[Product type],$D$5,Table_Assembly[MFG Date],$F$4),"")))))</f>
        <v>4</v>
      </c>
      <c r="G45" s="54">
        <f>IF($G$4="","",
IF($BH$4=TRUE,SUMIFS(Table_Assembly[Total NG from machine],Table_Assembly[Product type],$D$5,Table_Assembly[MFG Date],$G$4),
IF(AND($BF$5=TRUE,$BI$5=FALSE),SUMIFS(Table_Assembly[Total NG from machine],Table_Assembly[Product type],$D$5,Table_Assembly[MFG Date],$G$4),
IF(AND($BF$5=FALSE,$BI$5=TRUE),SUMIFS(Table_Assembly[Total NG from machine],Table_Assembly[Customer],$B$5,Table_Assembly[Product type],$D$5,Table_Assembly[MFG Date],$G$4),
IF(AND($BI$5=FALSE,$BH$5=FALSE),SUMIFS(Table_Assembly[Total NG from machine],Table_Assembly[Customer],$B$5,Table_Assembly[Product type],$D$5,Table_Assembly[MFG Date],$G$4),"")))))</f>
        <v>17</v>
      </c>
      <c r="H45" s="54">
        <f>IF($H$4="","",
IF($BH$4=TRUE,SUMIFS(Table_Assembly[Total NG from machine],Table_Assembly[Product type],$D$5,Table_Assembly[MFG Date],$H$4),
IF(AND($BF$5=TRUE,$BI$5=FALSE),SUMIFS(Table_Assembly[Total NG from machine],Table_Assembly[Product type],$D$5,Table_Assembly[MFG Date],$H$4),
IF(AND($BF$5=FALSE,$BI$5=TRUE),SUMIFS(Table_Assembly[Total NG from machine],Table_Assembly[Customer],$B$5,Table_Assembly[Product type],$D$5,Table_Assembly[MFG Date],$H$4),
IF(AND($BI$5=FALSE,$BH$5=FALSE),SUMIFS(Table_Assembly[Total NG from machine],Table_Assembly[Customer],$B$5,Table_Assembly[Product type],$D$5,Table_Assembly[MFG Date],$H$4),"")))))</f>
        <v>13</v>
      </c>
      <c r="I45" s="54">
        <f>IF($I$4="","",
IF($BH$4=TRUE,SUMIFS(Table_Assembly[Total NG from machine],Table_Assembly[Product type],$D$5,Table_Assembly[MFG Date],$I$4),
IF(AND($BF$5=TRUE,$BI$5=FALSE),SUMIFS(Table_Assembly[Total NG from machine],Table_Assembly[Product type],$D$5,Table_Assembly[MFG Date],$I$4),
IF(AND($BF$5=FALSE,$BI$5=TRUE),SUMIFS(Table_Assembly[Total NG from machine],Table_Assembly[Customer],$B$5,Table_Assembly[Product type],$D$5,Table_Assembly[MFG Date],$I$4),
IF(AND($BI$5=FALSE,$BH$5=FALSE),SUMIFS(Table_Assembly[Total NG from machine],Table_Assembly[Customer],$B$5,Table_Assembly[Product type],$D$5,Table_Assembly[MFG Date],$I$4),"")))))</f>
        <v>21</v>
      </c>
      <c r="J45" s="54">
        <f>IF($J$4="","",
IF($BH$4=TRUE,SUMIFS(Table_Assembly[Total NG from machine],Table_Assembly[Product type],$D$5,Table_Assembly[MFG Date],$J$4),
IF(AND($BF$5=TRUE,$BI$5=FALSE),SUMIFS(Table_Assembly[Total NG from machine],Table_Assembly[Product type],$D$5,Table_Assembly[MFG Date],$J$4),
IF(AND($BF$5=FALSE,$BI$5=TRUE),SUMIFS(Table_Assembly[Total NG from machine],Table_Assembly[Customer],$B$5,Table_Assembly[Product type],$D$5,Table_Assembly[MFG Date],$J$4),
IF(AND($BI$5=FALSE,$BH$5=FALSE),SUMIFS(Table_Assembly[Total NG from machine],Table_Assembly[Customer],$B$5,Table_Assembly[Product type],$D$5,Table_Assembly[MFG Date],$J$4),"")))))</f>
        <v>8</v>
      </c>
      <c r="K45" s="54">
        <f>IF($K$4="","",
IF($BH$4=TRUE,SUMIFS(Table_Assembly[Total NG from machine],Table_Assembly[Product type],$D$5,Table_Assembly[MFG Date],$K$4),
IF(AND($BF$5=TRUE,$BI$5=FALSE),SUMIFS(Table_Assembly[Total NG from machine],Table_Assembly[Product type],$D$5,Table_Assembly[MFG Date],$K$4),
IF(AND($BF$5=FALSE,$BI$5=TRUE),SUMIFS(Table_Assembly[Total NG from machine],Table_Assembly[Customer],$B$5,Table_Assembly[Product type],$D$5,Table_Assembly[MFG Date],$K$4),
IF(AND($BI$5=FALSE,$BH$5=FALSE),SUMIFS(Table_Assembly[Total NG from machine],Table_Assembly[Customer],$B$5,Table_Assembly[Product type],$D$5,Table_Assembly[MFG Date],$K$4),"")))))</f>
        <v>16</v>
      </c>
      <c r="L45" s="55">
        <f>IF($L$4="","",
IF($BH$4=TRUE,SUMIFS(Table_Assembly[Total NG from machine],Table_Assembly[Product type],$D$5,Table_Assembly[MFG Date],$L$4),
IF(AND($BF$5=TRUE,$BI$5=FALSE),SUMIFS(Table_Assembly[Total NG from machine],Table_Assembly[Product type],$D$5,Table_Assembly[MFG Date],$L$4),
IF(AND($BF$5=FALSE,$BI$5=TRUE),SUMIFS(Table_Assembly[Total NG from machine],Table_Assembly[Customer],$B$5,Table_Assembly[Product type],$D$5,Table_Assembly[MFG Date],$L$4),
IF(AND($BI$5=FALSE,$BH$5=FALSE),SUMIFS(Table_Assembly[Total NG from machine],Table_Assembly[Customer],$B$5,Table_Assembly[Product type],$D$5,Table_Assembly[MFG Date],$L$4),"")))))</f>
        <v>0</v>
      </c>
      <c r="M45" s="56">
        <f t="shared" si="47"/>
        <v>79</v>
      </c>
      <c r="N45" s="23"/>
      <c r="O45" s="85"/>
      <c r="Y45" s="14">
        <f t="shared" si="37"/>
        <v>45064</v>
      </c>
      <c r="Z45" s="12" t="str">
        <f t="shared" ca="1" si="38"/>
        <v/>
      </c>
      <c r="AA45" s="12" t="str">
        <f t="shared" si="39"/>
        <v/>
      </c>
      <c r="AB45" s="15" t="str">
        <f t="shared" si="40"/>
        <v/>
      </c>
      <c r="AC45" s="15" t="str">
        <f t="shared" si="35"/>
        <v>Week 3</v>
      </c>
      <c r="AD45" s="15"/>
      <c r="AE45" s="15">
        <f t="shared" si="41"/>
        <v>3</v>
      </c>
      <c r="AF45" s="15" t="str">
        <f t="shared" si="42"/>
        <v>Thursday</v>
      </c>
      <c r="AG45" s="16">
        <f t="shared" si="43"/>
        <v>45064</v>
      </c>
      <c r="AH45" s="12" t="b">
        <f t="shared" si="36"/>
        <v>1</v>
      </c>
      <c r="AJ45" s="12" t="str">
        <f ca="1">IFERROR(MATCH($B$114,OFFSET(#REF!,AJ44,0,1000000),0)+AJ44,"")</f>
        <v/>
      </c>
      <c r="AK45" s="17" t="str">
        <f ca="1">IFERROR(_xlfn.SINGLE(INDEX(#REF!,'Weekly Report'!AJ45)),"")</f>
        <v/>
      </c>
      <c r="AL45" s="12" t="str">
        <f ca="1">IFERROR(_xlfn.SINGLE(INDEX(#REF!,'Weekly Report'!AJ45)),"")</f>
        <v/>
      </c>
      <c r="AN45" s="12" t="str">
        <f ca="1">IFERROR(MATCH($G$115,OFFSET(#REF!,AN44,0,1000000),0)+AN44,"")</f>
        <v/>
      </c>
      <c r="AO45" s="17" t="str">
        <f ca="1">IFERROR(_xlfn.SINGLE(INDEX(#REF!,'Weekly Report'!AN45)),"")</f>
        <v/>
      </c>
      <c r="AP45" s="12" t="str">
        <f ca="1">IFERROR(_xlfn.SINGLE(INDEX(#REF!,'Weekly Report'!AN45)),"")</f>
        <v/>
      </c>
      <c r="AR45" s="12" t="s">
        <v>123</v>
      </c>
      <c r="AS45" s="12" t="e">
        <f>SUMIFS(#REF!,#REF!,$B$114)</f>
        <v>#REF!</v>
      </c>
      <c r="AT45" s="17" t="str">
        <f t="shared" si="31"/>
        <v/>
      </c>
      <c r="AV45" s="17" t="str">
        <f>IFERROR(LARGE($AT$25:$AT$45,ROWS($AV$25:AV45)),"")</f>
        <v/>
      </c>
      <c r="AW45" s="12" t="str">
        <f t="shared" si="32"/>
        <v/>
      </c>
      <c r="AY45" s="12" t="s">
        <v>123</v>
      </c>
      <c r="AZ45" s="12" t="e">
        <f>SUMIFS(#REF!,#REF!,$G$115)</f>
        <v>#REF!</v>
      </c>
      <c r="BA45" s="17" t="str">
        <f t="shared" si="33"/>
        <v/>
      </c>
      <c r="BC45" s="17" t="str">
        <f>IFERROR(LARGE($BA$25:$BA$45,ROWS($BC$25:BC45)),"")</f>
        <v/>
      </c>
      <c r="BD45" s="12" t="str">
        <f t="shared" si="34"/>
        <v/>
      </c>
      <c r="BP45" s="105"/>
      <c r="BQ45" s="23"/>
      <c r="BR45" s="23"/>
      <c r="BS45" s="188"/>
      <c r="BT45" s="108" t="s">
        <v>318</v>
      </c>
      <c r="BU45" s="40">
        <f>IF(BU42="","",SUM(CT17:CT20))</f>
        <v>0</v>
      </c>
      <c r="BV45" s="40">
        <f t="shared" ref="BV45:CA45" si="50">IF(BV42="","",SUM(CU17:CU20))</f>
        <v>0</v>
      </c>
      <c r="BW45" s="40">
        <f t="shared" si="50"/>
        <v>0</v>
      </c>
      <c r="BX45" s="40">
        <f t="shared" si="50"/>
        <v>0</v>
      </c>
      <c r="BY45" s="40">
        <f t="shared" si="50"/>
        <v>0</v>
      </c>
      <c r="BZ45" s="40">
        <f t="shared" si="50"/>
        <v>1</v>
      </c>
      <c r="CA45" s="41">
        <f t="shared" si="50"/>
        <v>0</v>
      </c>
      <c r="CB45" s="42">
        <f t="shared" ref="CB45:CB49" si="51">SUM(BU45:CA45)</f>
        <v>1</v>
      </c>
      <c r="CC45" s="23"/>
      <c r="CD45" s="85"/>
      <c r="CL45" s="111"/>
      <c r="CS45" s="6" t="s">
        <v>240</v>
      </c>
      <c r="CT45" s="6">
        <f>SUMIFS(Table_Assembly[Specific Amount],Table_Assembly[NG Type],$CS$13,Table_Assembly[Product type],$BS$43,Table_Assembly[NG content],CS45,Table_Assembly[MFG Date],$BU$42)</f>
        <v>0</v>
      </c>
      <c r="CU45" s="6">
        <f>SUMIFS(Table_Assembly[Specific Amount],Table_Assembly[NG Type],$CS$13,Table_Assembly[Product type],$BS$43,Table_Assembly[NG content],CS45,Table_Assembly[MFG Date],$BV$42)</f>
        <v>0</v>
      </c>
      <c r="CV45" s="6">
        <f>SUMIFS(Table_Assembly[Specific Amount],Table_Assembly[NG Type],$CS$13,Table_Assembly[Product type],$BS$43,Table_Assembly[NG content],CS45,Table_Assembly[MFG Date],$BW$42)</f>
        <v>0</v>
      </c>
      <c r="CW45" s="6">
        <f>SUMIFS(Table_Assembly[Specific Amount],Table_Assembly[NG Type],$CS$13,Table_Assembly[Product type],$BS$43,Table_Assembly[NG content],CS45,Table_Assembly[MFG Date],$BX$42)</f>
        <v>0</v>
      </c>
      <c r="CX45" s="6">
        <f>SUMIFS(Table_Assembly[Specific Amount],Table_Assembly[NG Type],$CS$13,Table_Assembly[Product type],$BS$43,Table_Assembly[NG content],CS45,Table_Assembly[MFG Date],$BY$42)</f>
        <v>0</v>
      </c>
      <c r="CY45" s="6">
        <f>SUMIFS(Table_Assembly[Specific Amount],Table_Assembly[NG Type],$CS$13,Table_Assembly[Product type],$BS$43,Table_Assembly[NG content],CS45,Table_Assembly[MFG Date],$BZ$42)</f>
        <v>0</v>
      </c>
      <c r="CZ45" s="6">
        <f>SUMIFS(Table_Assembly[Specific Amount],Table_Assembly[NG Type],$CS$13,Table_Assembly[Product type],$BS$43,Table_Assembly[NG content],CS45,Table_Assembly[MFG Date],$CA$42)</f>
        <v>0</v>
      </c>
    </row>
    <row r="46" spans="1:104" ht="15.5" thickTop="1">
      <c r="A46" s="23"/>
      <c r="B46" s="23"/>
      <c r="C46" s="23"/>
      <c r="D46" s="203" t="s">
        <v>67</v>
      </c>
      <c r="E46" s="182" t="s">
        <v>31</v>
      </c>
      <c r="F46" s="183">
        <f>IF(F9="","",F9)</f>
        <v>3</v>
      </c>
      <c r="G46" s="183">
        <f t="shared" ref="G46:L46" si="52">IF(G9="","",G9)</f>
        <v>106</v>
      </c>
      <c r="H46" s="183">
        <f t="shared" si="52"/>
        <v>11</v>
      </c>
      <c r="I46" s="183">
        <f t="shared" si="52"/>
        <v>2</v>
      </c>
      <c r="J46" s="183">
        <f t="shared" si="52"/>
        <v>4</v>
      </c>
      <c r="K46" s="183">
        <f t="shared" si="52"/>
        <v>13</v>
      </c>
      <c r="L46" s="184">
        <f t="shared" si="52"/>
        <v>0</v>
      </c>
      <c r="M46" s="185">
        <f t="shared" si="47"/>
        <v>139</v>
      </c>
      <c r="N46" s="23"/>
      <c r="O46" s="85"/>
      <c r="Y46" s="14">
        <f t="shared" si="37"/>
        <v>45065</v>
      </c>
      <c r="Z46" s="12" t="str">
        <f t="shared" ca="1" si="38"/>
        <v/>
      </c>
      <c r="AA46" s="12" t="str">
        <f t="shared" si="39"/>
        <v/>
      </c>
      <c r="AB46" s="15" t="str">
        <f t="shared" si="40"/>
        <v/>
      </c>
      <c r="AC46" s="15" t="str">
        <f t="shared" si="35"/>
        <v>Week 3</v>
      </c>
      <c r="AD46" s="15"/>
      <c r="AE46" s="15">
        <f t="shared" si="41"/>
        <v>3</v>
      </c>
      <c r="AF46" s="15" t="str">
        <f t="shared" si="42"/>
        <v>Friday</v>
      </c>
      <c r="AG46" s="16">
        <f t="shared" si="43"/>
        <v>45065</v>
      </c>
      <c r="AH46" s="12" t="b">
        <f t="shared" si="36"/>
        <v>1</v>
      </c>
      <c r="AJ46" s="12" t="str">
        <f ca="1">IFERROR(MATCH($B$114,OFFSET(#REF!,AJ45,0,1000000),0)+AJ45,"")</f>
        <v/>
      </c>
      <c r="AK46" s="17" t="str">
        <f ca="1">IFERROR(_xlfn.SINGLE(INDEX(#REF!,'Weekly Report'!AJ46)),"")</f>
        <v/>
      </c>
      <c r="AL46" s="12" t="str">
        <f ca="1">IFERROR(_xlfn.SINGLE(INDEX(#REF!,'Weekly Report'!AJ46)),"")</f>
        <v/>
      </c>
      <c r="AN46" s="12" t="str">
        <f ca="1">IFERROR(MATCH($G$115,OFFSET(#REF!,AN45,0,1000000),0)+AN45,"")</f>
        <v/>
      </c>
      <c r="AO46" s="17" t="str">
        <f ca="1">IFERROR(_xlfn.SINGLE(INDEX(#REF!,'Weekly Report'!AN46)),"")</f>
        <v/>
      </c>
      <c r="AP46" s="12" t="str">
        <f ca="1">IFERROR(_xlfn.SINGLE(INDEX(#REF!,'Weekly Report'!AN46)),"")</f>
        <v/>
      </c>
      <c r="BP46" s="105"/>
      <c r="BQ46" s="23"/>
      <c r="BR46" s="23"/>
      <c r="BS46" s="188"/>
      <c r="BT46" s="108" t="s">
        <v>135</v>
      </c>
      <c r="BU46" s="40">
        <f>IF(BU42="","",SUM(CT22:CT25))</f>
        <v>2</v>
      </c>
      <c r="BV46" s="40">
        <f t="shared" ref="BV46:CA46" si="53">IF(BV42="","",SUM(CU22:CU25))</f>
        <v>1</v>
      </c>
      <c r="BW46" s="40">
        <f t="shared" si="53"/>
        <v>1</v>
      </c>
      <c r="BX46" s="40">
        <f t="shared" si="53"/>
        <v>11</v>
      </c>
      <c r="BY46" s="40">
        <f t="shared" si="53"/>
        <v>0</v>
      </c>
      <c r="BZ46" s="40">
        <f t="shared" si="53"/>
        <v>4</v>
      </c>
      <c r="CA46" s="41">
        <f t="shared" si="53"/>
        <v>0</v>
      </c>
      <c r="CB46" s="42">
        <f t="shared" si="51"/>
        <v>19</v>
      </c>
      <c r="CC46" s="23"/>
      <c r="CD46" s="85"/>
      <c r="CS46" s="6" t="s">
        <v>192</v>
      </c>
      <c r="CT46" s="6">
        <f>SUMIFS(Table_Assembly[Specific Amount],Table_Assembly[NG Type],$CS$13,Table_Assembly[Product type],$BS$43,Table_Assembly[NG content],CS46,Table_Assembly[MFG Date],$BU$42)</f>
        <v>0</v>
      </c>
      <c r="CU46" s="6">
        <f>SUMIFS(Table_Assembly[Specific Amount],Table_Assembly[NG Type],$CS$13,Table_Assembly[Product type],$BS$43,Table_Assembly[NG content],CS46,Table_Assembly[MFG Date],$BV$42)</f>
        <v>0</v>
      </c>
      <c r="CV46" s="6">
        <f>SUMIFS(Table_Assembly[Specific Amount],Table_Assembly[NG Type],$CS$13,Table_Assembly[Product type],$BS$43,Table_Assembly[NG content],CS46,Table_Assembly[MFG Date],$BW$42)</f>
        <v>0</v>
      </c>
      <c r="CW46" s="6">
        <f>SUMIFS(Table_Assembly[Specific Amount],Table_Assembly[NG Type],$CS$13,Table_Assembly[Product type],$BS$43,Table_Assembly[NG content],CS46,Table_Assembly[MFG Date],$BX$42)</f>
        <v>0</v>
      </c>
      <c r="CX46" s="6">
        <f>SUMIFS(Table_Assembly[Specific Amount],Table_Assembly[NG Type],$CS$13,Table_Assembly[Product type],$BS$43,Table_Assembly[NG content],CS46,Table_Assembly[MFG Date],$BY$42)</f>
        <v>0</v>
      </c>
      <c r="CY46" s="6">
        <f>SUMIFS(Table_Assembly[Specific Amount],Table_Assembly[NG Type],$CS$13,Table_Assembly[Product type],$BS$43,Table_Assembly[NG content],CS46,Table_Assembly[MFG Date],$BZ$42)</f>
        <v>0</v>
      </c>
      <c r="CZ46" s="6">
        <f>SUMIFS(Table_Assembly[Specific Amount],Table_Assembly[NG Type],$CS$13,Table_Assembly[Product type],$BS$43,Table_Assembly[NG content],CS46,Table_Assembly[MFG Date],$CA$42)</f>
        <v>0</v>
      </c>
    </row>
    <row r="47" spans="1:104">
      <c r="A47" s="23"/>
      <c r="B47" s="23"/>
      <c r="C47" s="23"/>
      <c r="D47" s="204"/>
      <c r="E47" s="19" t="s">
        <v>102</v>
      </c>
      <c r="F47" s="40">
        <f>IF($F$4="","",
IF($BH$4=TRUE,SUMIFS(Table_Assembly[Total NG from material],Table_Assembly[Product type],$D$8,Table_Assembly[MFG Date],$F$4),
IF(AND($BF$5=TRUE,$BI$5=FALSE),SUMIFS(Table_Assembly[Total NG from material],Table_Assembly[Product type],$D$8,Table_Assembly[MFG Date],$F$4),
IF(AND($BF$5=FALSE,$BI$5=TRUE),SUMIFS(Table_Assembly[Total NG from material],Table_Assembly[Customer],$B$5,Table_Assembly[Product type],$D$8,Table_Assembly[MFG Date],$F$4),
IF(AND($BI$5=FALSE,$BH$5=FALSE),SUMIFS(Table_Assembly[Total NG from material],Table_Assembly[Customer],$B$5,Table_Assembly[Product type],$D$8,Table_Assembly[MFG Date],$F$4),"")))))</f>
        <v>0</v>
      </c>
      <c r="G47" s="40">
        <f>IF($G$4="","",
IF($BH$4=TRUE,SUMIFS(Table_Assembly[Total NG from material],Table_Assembly[Product type],$D$8,Table_Assembly[MFG Date],$G$4),
IF(AND($BF$5=TRUE,$BI$5=FALSE),SUMIFS(Table_Assembly[Total NG from material],Table_Assembly[Product type],$D$8,Table_Assembly[MFG Date],$G$4),
IF(AND($BF$5=FALSE,$BI$5=TRUE),SUMIFS(Table_Assembly[Total NG from material],Table_Assembly[Customer],$B$5,Table_Assembly[Product type],$D$8,Table_Assembly[MFG Date],$G$4),
IF(AND($BI$5=FALSE,$BH$5=FALSE),SUMIFS(Table_Assembly[Total NG from material],Table_Assembly[Customer],$B$5,Table_Assembly[Product type],$D$8,Table_Assembly[MFG Date],$G$4),"")))))</f>
        <v>102</v>
      </c>
      <c r="H47" s="40">
        <f>IF($H$4="","",
IF($BH$4=TRUE,SUMIFS(Table_Assembly[Total NG from material],Table_Assembly[Product type],$D$8,Table_Assembly[MFG Date],$H$4),
IF(AND($BF$5=TRUE,$BI$5=FALSE),SUMIFS(Table_Assembly[Total NG from material],Table_Assembly[Product type],$D$8,Table_Assembly[MFG Date],$H$4),
IF(AND($BF$5=FALSE,$BI$5=TRUE),SUMIFS(Table_Assembly[Total NG from material],Table_Assembly[Customer],$B$5,Table_Assembly[Product type],$D$8,Table_Assembly[MFG Date],$H$4),
IF(AND($BI$5=FALSE,$BH$5=FALSE),SUMIFS(Table_Assembly[Total NG from material],Table_Assembly[Customer],$B$5,Table_Assembly[Product type],$D$8,Table_Assembly[MFG Date],$H$4),"")))))</f>
        <v>7</v>
      </c>
      <c r="I47" s="40">
        <f>IF($I$4="","",
IF($BH$4=TRUE,SUMIFS(Table_Assembly[Total NG from material],Table_Assembly[Product type],$D$8,Table_Assembly[MFG Date],$I$4),
IF(AND($BF$5=TRUE,$BI$5=FALSE),SUMIFS(Table_Assembly[Total NG from material],Table_Assembly[Product type],$D$8,Table_Assembly[MFG Date],$I$4),
IF(AND($BF$5=FALSE,$BI$5=TRUE),SUMIFS(Table_Assembly[Total NG from material],Table_Assembly[Customer],$B$5,Table_Assembly[Product type],$D$8,Table_Assembly[MFG Date],$I$4),
IF(AND($BI$5=FALSE,$BH$5=FALSE),SUMIFS(Table_Assembly[Total NG from material],Table_Assembly[Customer],$B$5,Table_Assembly[Product type],$D$8,Table_Assembly[MFG Date],$I$4),"")))))</f>
        <v>1</v>
      </c>
      <c r="J47" s="40">
        <f>IF($J$4="","",
IF($BH$4=TRUE,SUMIFS(Table_Assembly[Total NG from material],Table_Assembly[Product type],$D$8,Table_Assembly[MFG Date],$J$4),
IF(AND($BF$5=TRUE,$BI$5=FALSE),SUMIFS(Table_Assembly[Total NG from material],Table_Assembly[Product type],$D$8,Table_Assembly[MFG Date],$J$4),
IF(AND($BF$5=FALSE,$BI$5=TRUE),SUMIFS(Table_Assembly[Total NG from material],Table_Assembly[Customer],$B$5,Table_Assembly[Product type],$D$8,Table_Assembly[MFG Date],$J$4),
IF(AND($BI$5=FALSE,$BH$5=FALSE),SUMIFS(Table_Assembly[Total NG from material],Table_Assembly[Customer],$B$5,Table_Assembly[Product type],$D$8,Table_Assembly[MFG Date],$J$4),"")))))</f>
        <v>1</v>
      </c>
      <c r="K47" s="40">
        <f>IF($K$4="","",
IF($BH$4=TRUE,SUMIFS(Table_Assembly[Total NG from material],Table_Assembly[Product type],$D$8,Table_Assembly[MFG Date],$K$4),
IF(AND($BF$5=TRUE,$BI$5=FALSE),SUMIFS(Table_Assembly[Total NG from material],Table_Assembly[Product type],$D$8,Table_Assembly[MFG Date],$K$4),
IF(AND($BF$5=FALSE,$BI$5=TRUE),SUMIFS(Table_Assembly[Total NG from material],Table_Assembly[Customer],$B$5,Table_Assembly[Product type],$D$8,Table_Assembly[MFG Date],$K$4),
IF(AND($BI$5=FALSE,$BH$5=FALSE),SUMIFS(Table_Assembly[Total NG from material],Table_Assembly[Customer],$B$5,Table_Assembly[Product type],$D$8,Table_Assembly[MFG Date],$K$4),"")))))</f>
        <v>1</v>
      </c>
      <c r="L47" s="41">
        <f>IF($L$4="","",
IF($BH$4=TRUE,SUMIFS(Table_Assembly[Total NG from material],Table_Assembly[Product type],$D$8,Table_Assembly[MFG Date],$L$4),
IF(AND($BF$5=TRUE,$BI$5=FALSE),SUMIFS(Table_Assembly[Total NG from material],Table_Assembly[Product type],$D$8,Table_Assembly[MFG Date],$L$4),
IF(AND($BF$5=FALSE,$BI$5=TRUE),SUMIFS(Table_Assembly[Total NG from material],Table_Assembly[Customer],$B$5,Table_Assembly[Product type],$D$8,Table_Assembly[MFG Date],$L$4),
IF(AND($BI$5=FALSE,$BH$5=FALSE),SUMIFS(Table_Assembly[Total NG from material],Table_Assembly[Customer],$B$5,Table_Assembly[Product type],$D$8,Table_Assembly[MFG Date],$L$4),"")))))</f>
        <v>0</v>
      </c>
      <c r="M47" s="42">
        <f t="shared" si="47"/>
        <v>112</v>
      </c>
      <c r="N47" s="23"/>
      <c r="O47" s="85"/>
      <c r="Y47" s="14">
        <f t="shared" si="37"/>
        <v>45066</v>
      </c>
      <c r="Z47" s="12" t="str">
        <f t="shared" ca="1" si="38"/>
        <v/>
      </c>
      <c r="AA47" s="12" t="str">
        <f t="shared" si="39"/>
        <v/>
      </c>
      <c r="AB47" s="15" t="str">
        <f t="shared" si="40"/>
        <v/>
      </c>
      <c r="AC47" s="15" t="str">
        <f t="shared" si="35"/>
        <v>Week 3</v>
      </c>
      <c r="AD47" s="15"/>
      <c r="AE47" s="15">
        <f t="shared" si="41"/>
        <v>3</v>
      </c>
      <c r="AF47" s="15" t="str">
        <f t="shared" si="42"/>
        <v>Saturday</v>
      </c>
      <c r="AG47" s="16">
        <f t="shared" si="43"/>
        <v>45066</v>
      </c>
      <c r="AH47" s="12" t="b">
        <f t="shared" si="36"/>
        <v>1</v>
      </c>
      <c r="AJ47" s="12" t="str">
        <f ca="1">IFERROR(MATCH($B$114,OFFSET(#REF!,AJ46,0,1000000),0)+AJ46,"")</f>
        <v/>
      </c>
      <c r="AK47" s="17" t="str">
        <f ca="1">IFERROR(_xlfn.SINGLE(INDEX(#REF!,'Weekly Report'!AJ47)),"")</f>
        <v/>
      </c>
      <c r="AL47" s="12" t="str">
        <f ca="1">IFERROR(_xlfn.SINGLE(INDEX(#REF!,'Weekly Report'!AJ47)),"")</f>
        <v/>
      </c>
      <c r="AN47" s="12" t="str">
        <f ca="1">IFERROR(MATCH($G$115,OFFSET(#REF!,AN46,0,1000000),0)+AN46,"")</f>
        <v/>
      </c>
      <c r="AO47" s="17" t="str">
        <f ca="1">IFERROR(_xlfn.SINGLE(INDEX(#REF!,'Weekly Report'!AN47)),"")</f>
        <v/>
      </c>
      <c r="AP47" s="12" t="str">
        <f ca="1">IFERROR(_xlfn.SINGLE(INDEX(#REF!,'Weekly Report'!AN47)),"")</f>
        <v/>
      </c>
      <c r="BP47" s="105"/>
      <c r="BQ47" s="23"/>
      <c r="BR47" s="23"/>
      <c r="BS47" s="188"/>
      <c r="BT47" s="108" t="s">
        <v>197</v>
      </c>
      <c r="BU47" s="40">
        <f>IF(BU42="","",SUM(CT21,CT31))</f>
        <v>0</v>
      </c>
      <c r="BV47" s="40">
        <f t="shared" ref="BV47:CA47" si="54">IF(BV42="","",SUM(CU21,CU31))</f>
        <v>0</v>
      </c>
      <c r="BW47" s="40">
        <f t="shared" si="54"/>
        <v>0</v>
      </c>
      <c r="BX47" s="40">
        <f t="shared" si="54"/>
        <v>1</v>
      </c>
      <c r="BY47" s="40">
        <f t="shared" si="54"/>
        <v>0</v>
      </c>
      <c r="BZ47" s="40">
        <f t="shared" si="54"/>
        <v>0</v>
      </c>
      <c r="CA47" s="41">
        <f t="shared" si="54"/>
        <v>0</v>
      </c>
      <c r="CB47" s="42">
        <f t="shared" si="51"/>
        <v>1</v>
      </c>
      <c r="CC47" s="23"/>
      <c r="CD47" s="85"/>
      <c r="CS47" s="6" t="s">
        <v>193</v>
      </c>
      <c r="CT47" s="6">
        <f>SUMIFS(Table_Assembly[Specific Amount],Table_Assembly[NG Type],$CS$13,Table_Assembly[Product type],$BS$43,Table_Assembly[NG content],CS47,Table_Assembly[MFG Date],$BU$42)</f>
        <v>0</v>
      </c>
      <c r="CU47" s="6">
        <f>SUMIFS(Table_Assembly[Specific Amount],Table_Assembly[NG Type],$CS$13,Table_Assembly[Product type],$BS$43,Table_Assembly[NG content],CS47,Table_Assembly[MFG Date],$BV$42)</f>
        <v>0</v>
      </c>
      <c r="CV47" s="6">
        <f>SUMIFS(Table_Assembly[Specific Amount],Table_Assembly[NG Type],$CS$13,Table_Assembly[Product type],$BS$43,Table_Assembly[NG content],CS47,Table_Assembly[MFG Date],$BW$42)</f>
        <v>0</v>
      </c>
      <c r="CW47" s="6">
        <f>SUMIFS(Table_Assembly[Specific Amount],Table_Assembly[NG Type],$CS$13,Table_Assembly[Product type],$BS$43,Table_Assembly[NG content],CS47,Table_Assembly[MFG Date],$BX$42)</f>
        <v>0</v>
      </c>
      <c r="CX47" s="6">
        <f>SUMIFS(Table_Assembly[Specific Amount],Table_Assembly[NG Type],$CS$13,Table_Assembly[Product type],$BS$43,Table_Assembly[NG content],CS47,Table_Assembly[MFG Date],$BY$42)</f>
        <v>0</v>
      </c>
      <c r="CY47" s="6">
        <f>SUMIFS(Table_Assembly[Specific Amount],Table_Assembly[NG Type],$CS$13,Table_Assembly[Product type],$BS$43,Table_Assembly[NG content],CS47,Table_Assembly[MFG Date],$BZ$42)</f>
        <v>0</v>
      </c>
      <c r="CZ47" s="6">
        <f>SUMIFS(Table_Assembly[Specific Amount],Table_Assembly[NG Type],$CS$13,Table_Assembly[Product type],$BS$43,Table_Assembly[NG content],CS47,Table_Assembly[MFG Date],$CA$42)</f>
        <v>0</v>
      </c>
    </row>
    <row r="48" spans="1:104" ht="15.5" thickBot="1">
      <c r="A48" s="23"/>
      <c r="B48" s="23"/>
      <c r="C48" s="23"/>
      <c r="D48" s="205"/>
      <c r="E48" s="43" t="s">
        <v>133</v>
      </c>
      <c r="F48" s="44">
        <f>IF($F$4="","",
IF($BH$4=TRUE,SUMIFS(Table_Assembly[Total NG from machine],Table_Assembly[Product type],$D$8,Table_Assembly[MFG Date],$F$4),
IF(AND($BF$5=TRUE,$BI$5=FALSE),SUMIFS(Table_Assembly[Total NG from machine],Table_Assembly[Product type],$D$8,Table_Assembly[MFG Date],$F$4),
IF(AND($BF$5=FALSE,$BI$5=TRUE),SUMIFS(Table_Assembly[Total NG from machine],Table_Assembly[Customer],$B$5,Table_Assembly[Product type],$D$8,Table_Assembly[MFG Date],$F$4),
IF(AND($BI$5=FALSE,$BH$5=FALSE),SUMIFS(Table_Assembly[Total NG from machine],Table_Assembly[Customer],$B$5,Table_Assembly[Product type],$D$8,Table_Assembly[MFG Date],$F$4),"")))))</f>
        <v>3</v>
      </c>
      <c r="G48" s="44">
        <f>IF($G$4="","",
IF($BH$4=TRUE,SUMIFS(Table_Assembly[Total NG from machine],Table_Assembly[Product type],$D$8,Table_Assembly[MFG Date],$G$4),
IF(AND($BF$5=TRUE,$BI$5=FALSE),SUMIFS(Table_Assembly[Total NG from machine],Table_Assembly[Product type],$D$8,Table_Assembly[MFG Date],$G$4),
IF(AND($BF$5=FALSE,$BI$5=TRUE),SUMIFS(Table_Assembly[Total NG from machine],Table_Assembly[Customer],$B$5,Table_Assembly[Product type],$D$8,Table_Assembly[MFG Date],$G$4),
IF(AND($BI$5=FALSE,$BH$5=FALSE),SUMIFS(Table_Assembly[Total NG from machine],Table_Assembly[Customer],$B$5,Table_Assembly[Product type],$D$8,Table_Assembly[MFG Date],$G$4),"")))))</f>
        <v>4</v>
      </c>
      <c r="H48" s="44">
        <f>IF($H$4="","",
IF($BH$4=TRUE,SUMIFS(Table_Assembly[Total NG from machine],Table_Assembly[Product type],$D$8,Table_Assembly[MFG Date],$H$4),
IF(AND($BF$5=TRUE,$BI$5=FALSE),SUMIFS(Table_Assembly[Total NG from machine],Table_Assembly[Product type],$D$8,Table_Assembly[MFG Date],$H$4),
IF(AND($BF$5=FALSE,$BI$5=TRUE),SUMIFS(Table_Assembly[Total NG from machine],Table_Assembly[Customer],$B$5,Table_Assembly[Product type],$D$8,Table_Assembly[MFG Date],$H$4),
IF(AND($BI$5=FALSE,$BH$5=FALSE),SUMIFS(Table_Assembly[Total NG from machine],Table_Assembly[Customer],$B$5,Table_Assembly[Product type],$D$8,Table_Assembly[MFG Date],$H$4),"")))))</f>
        <v>4</v>
      </c>
      <c r="I48" s="44">
        <f>IF($I$4="","",
IF($BH$4=TRUE,SUMIFS(Table_Assembly[Total NG from machine],Table_Assembly[Product type],$D$8,Table_Assembly[MFG Date],$I$4),
IF(AND($BF$5=TRUE,$BI$5=FALSE),SUMIFS(Table_Assembly[Total NG from machine],Table_Assembly[Product type],$D$8,Table_Assembly[MFG Date],$I$4),
IF(AND($BF$5=FALSE,$BI$5=TRUE),SUMIFS(Table_Assembly[Total NG from machine],Table_Assembly[Customer],$B$5,Table_Assembly[Product type],$D$8,Table_Assembly[MFG Date],$I$4),
IF(AND($BI$5=FALSE,$BH$5=FALSE),SUMIFS(Table_Assembly[Total NG from machine],Table_Assembly[Customer],$B$5,Table_Assembly[Product type],$D$8,Table_Assembly[MFG Date],$I$4),"")))))</f>
        <v>1</v>
      </c>
      <c r="J48" s="44">
        <f>IF($J$4="","",
IF($BH$4=TRUE,SUMIFS(Table_Assembly[Total NG from machine],Table_Assembly[Product type],$D$8,Table_Assembly[MFG Date],$J$4),
IF(AND($BF$5=TRUE,$BI$5=FALSE),SUMIFS(Table_Assembly[Total NG from machine],Table_Assembly[Product type],$D$8,Table_Assembly[MFG Date],$J$4),
IF(AND($BF$5=FALSE,$BI$5=TRUE),SUMIFS(Table_Assembly[Total NG from machine],Table_Assembly[Customer],$B$5,Table_Assembly[Product type],$D$8,Table_Assembly[MFG Date],$J$4),
IF(AND($BI$5=FALSE,$BH$5=FALSE),SUMIFS(Table_Assembly[Total NG from machine],Table_Assembly[Customer],$B$5,Table_Assembly[Product type],$D$8,Table_Assembly[MFG Date],$J$4),"")))))</f>
        <v>3</v>
      </c>
      <c r="K48" s="44">
        <f>IF($K$4="","",
IF($BH$4=TRUE,SUMIFS(Table_Assembly[Total NG from machine],Table_Assembly[Product type],$D$8,Table_Assembly[MFG Date],$K$4),
IF(AND($BF$5=TRUE,$BI$5=FALSE),SUMIFS(Table_Assembly[Total NG from machine],Table_Assembly[Product type],$D$8,Table_Assembly[MFG Date],$K$4),
IF(AND($BF$5=FALSE,$BI$5=TRUE),SUMIFS(Table_Assembly[Total NG from machine],Table_Assembly[Customer],$B$5,Table_Assembly[Product type],$D$8,Table_Assembly[MFG Date],$K$4),
IF(AND($BI$5=FALSE,$BH$5=FALSE),SUMIFS(Table_Assembly[Total NG from machine],Table_Assembly[Customer],$B$5,Table_Assembly[Product type],$D$8,Table_Assembly[MFG Date],$K$4),"")))))</f>
        <v>12</v>
      </c>
      <c r="L48" s="45">
        <f>IF($L$4="","",
IF($BH$4=TRUE,SUMIFS(Table_Assembly[Total NG from machine],Table_Assembly[Product type],$D$8,Table_Assembly[MFG Date],$L$4),
IF(AND($BF$5=TRUE,$BI$5=FALSE),SUMIFS(Table_Assembly[Total NG from machine],Table_Assembly[Product type],$D$8,Table_Assembly[MFG Date],$L$4),
IF(AND($BF$5=FALSE,$BI$5=TRUE),SUMIFS(Table_Assembly[Total NG from machine],Table_Assembly[Customer],$B$5,Table_Assembly[Product type],$D$8,Table_Assembly[MFG Date],$L$4),
IF(AND($BI$5=FALSE,$BH$5=FALSE),SUMIFS(Table_Assembly[Total NG from machine],Table_Assembly[Customer],$B$5,Table_Assembly[Product type],$D$8,Table_Assembly[MFG Date],$L$4),"")))))</f>
        <v>0</v>
      </c>
      <c r="M48" s="46">
        <f t="shared" si="47"/>
        <v>27</v>
      </c>
      <c r="N48" s="23"/>
      <c r="O48" s="85"/>
      <c r="Y48" s="14">
        <f t="shared" si="37"/>
        <v>45067</v>
      </c>
      <c r="Z48" s="12" t="str">
        <f t="shared" ca="1" si="38"/>
        <v/>
      </c>
      <c r="AA48" s="12" t="str">
        <f t="shared" si="39"/>
        <v/>
      </c>
      <c r="AB48" s="15" t="str">
        <f t="shared" si="40"/>
        <v/>
      </c>
      <c r="AC48" s="15" t="str">
        <f t="shared" si="35"/>
        <v>Week 3</v>
      </c>
      <c r="AD48" s="15"/>
      <c r="AE48" s="15">
        <f t="shared" si="41"/>
        <v>3</v>
      </c>
      <c r="AF48" s="15" t="str">
        <f t="shared" si="42"/>
        <v>Sunday</v>
      </c>
      <c r="AG48" s="16">
        <f t="shared" si="43"/>
        <v>45067</v>
      </c>
      <c r="AH48" s="12" t="b">
        <f t="shared" si="36"/>
        <v>1</v>
      </c>
      <c r="AJ48" s="12" t="str">
        <f ca="1">IFERROR(MATCH($B$114,OFFSET(#REF!,AJ47,0,1000000),0)+AJ47,"")</f>
        <v/>
      </c>
      <c r="AK48" s="17" t="str">
        <f ca="1">IFERROR(_xlfn.SINGLE(INDEX(#REF!,'Weekly Report'!AJ48)),"")</f>
        <v/>
      </c>
      <c r="AL48" s="12" t="str">
        <f ca="1">IFERROR(_xlfn.SINGLE(INDEX(#REF!,'Weekly Report'!AJ48)),"")</f>
        <v/>
      </c>
      <c r="AN48" s="12" t="str">
        <f ca="1">IFERROR(MATCH($G$115,OFFSET(#REF!,AN47,0,1000000),0)+AN47,"")</f>
        <v/>
      </c>
      <c r="AO48" s="17" t="str">
        <f ca="1">IFERROR(_xlfn.SINGLE(INDEX(#REF!,'Weekly Report'!AN48)),"")</f>
        <v/>
      </c>
      <c r="AP48" s="12" t="str">
        <f ca="1">IFERROR(_xlfn.SINGLE(INDEX(#REF!,'Weekly Report'!AN48)),"")</f>
        <v/>
      </c>
      <c r="BP48" s="105"/>
      <c r="BQ48" s="23"/>
      <c r="BR48" s="23"/>
      <c r="BS48" s="188"/>
      <c r="BT48" s="108" t="s">
        <v>319</v>
      </c>
      <c r="BU48" s="40">
        <f>IF(BU42="","",SUM(CT26:CT30,CT32:CT46))</f>
        <v>1</v>
      </c>
      <c r="BV48" s="40">
        <f t="shared" ref="BV48:CA48" si="55">IF(BV42="","",SUM(CU26:CU30,CU32:CU46))</f>
        <v>2</v>
      </c>
      <c r="BW48" s="40">
        <f t="shared" si="55"/>
        <v>0</v>
      </c>
      <c r="BX48" s="40">
        <f t="shared" si="55"/>
        <v>1</v>
      </c>
      <c r="BY48" s="40">
        <f t="shared" si="55"/>
        <v>6</v>
      </c>
      <c r="BZ48" s="40">
        <f t="shared" si="55"/>
        <v>7</v>
      </c>
      <c r="CA48" s="41">
        <f t="shared" si="55"/>
        <v>0</v>
      </c>
      <c r="CB48" s="42">
        <f t="shared" si="51"/>
        <v>17</v>
      </c>
      <c r="CC48" s="23"/>
      <c r="CD48" s="85"/>
      <c r="CS48" s="6" t="s">
        <v>241</v>
      </c>
      <c r="CT48" s="6">
        <f>SUMIFS(Table_Assembly[Specific Amount],Table_Assembly[NG Type],$CS$13,Table_Assembly[Product type],$BS$43,Table_Assembly[NG content],CS48,Table_Assembly[MFG Date],$BU$42)</f>
        <v>0</v>
      </c>
      <c r="CU48" s="6">
        <f>SUMIFS(Table_Assembly[Specific Amount],Table_Assembly[NG Type],$CS$13,Table_Assembly[Product type],$BS$43,Table_Assembly[NG content],CS48,Table_Assembly[MFG Date],$BV$42)</f>
        <v>0</v>
      </c>
      <c r="CV48" s="6">
        <f>SUMIFS(Table_Assembly[Specific Amount],Table_Assembly[NG Type],$CS$13,Table_Assembly[Product type],$BS$43,Table_Assembly[NG content],CS48,Table_Assembly[MFG Date],$BW$42)</f>
        <v>0</v>
      </c>
      <c r="CW48" s="6">
        <f>SUMIFS(Table_Assembly[Specific Amount],Table_Assembly[NG Type],$CS$13,Table_Assembly[Product type],$BS$43,Table_Assembly[NG content],CS48,Table_Assembly[MFG Date],$BX$42)</f>
        <v>0</v>
      </c>
      <c r="CX48" s="6">
        <f>SUMIFS(Table_Assembly[Specific Amount],Table_Assembly[NG Type],$CS$13,Table_Assembly[Product type],$BS$43,Table_Assembly[NG content],CS48,Table_Assembly[MFG Date],$BY$42)</f>
        <v>0</v>
      </c>
      <c r="CY48" s="6">
        <f>SUMIFS(Table_Assembly[Specific Amount],Table_Assembly[NG Type],$CS$13,Table_Assembly[Product type],$BS$43,Table_Assembly[NG content],CS48,Table_Assembly[MFG Date],$BZ$42)</f>
        <v>0</v>
      </c>
      <c r="CZ48" s="6">
        <f>SUMIFS(Table_Assembly[Specific Amount],Table_Assembly[NG Type],$CS$13,Table_Assembly[Product type],$BS$43,Table_Assembly[NG content],CS48,Table_Assembly[MFG Date],$CA$42)</f>
        <v>0</v>
      </c>
    </row>
    <row r="49" spans="1:104" ht="15.5" thickBo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85"/>
      <c r="Y49" s="14">
        <f t="shared" si="37"/>
        <v>45068</v>
      </c>
      <c r="Z49" s="12" t="str">
        <f t="shared" ca="1" si="38"/>
        <v>Week 4</v>
      </c>
      <c r="AA49" s="12">
        <f t="shared" si="39"/>
        <v>4</v>
      </c>
      <c r="AB49" s="15" t="str">
        <f t="shared" si="40"/>
        <v>Week 4</v>
      </c>
      <c r="AC49" s="15" t="str">
        <f t="shared" si="35"/>
        <v>Week 4</v>
      </c>
      <c r="AD49" s="15"/>
      <c r="AE49" s="15">
        <f t="shared" si="41"/>
        <v>4</v>
      </c>
      <c r="AF49" s="15" t="str">
        <f t="shared" si="42"/>
        <v>Monday</v>
      </c>
      <c r="AG49" s="16">
        <f t="shared" si="43"/>
        <v>45068</v>
      </c>
      <c r="AH49" s="12" t="b">
        <f t="shared" si="36"/>
        <v>0</v>
      </c>
      <c r="AJ49" s="12" t="str">
        <f ca="1">IFERROR(MATCH($B$114,OFFSET(#REF!,AJ48,0,1000000),0)+AJ48,"")</f>
        <v/>
      </c>
      <c r="AK49" s="17" t="str">
        <f ca="1">IFERROR(_xlfn.SINGLE(INDEX(#REF!,'Weekly Report'!AJ49)),"")</f>
        <v/>
      </c>
      <c r="AL49" s="12" t="str">
        <f ca="1">IFERROR(_xlfn.SINGLE(INDEX(#REF!,'Weekly Report'!AJ49)),"")</f>
        <v/>
      </c>
      <c r="AN49" s="12" t="str">
        <f ca="1">IFERROR(MATCH($G$115,OFFSET(#REF!,AN48,0,1000000),0)+AN48,"")</f>
        <v/>
      </c>
      <c r="AO49" s="17" t="str">
        <f ca="1">IFERROR(_xlfn.SINGLE(INDEX(#REF!,'Weekly Report'!AN49)),"")</f>
        <v/>
      </c>
      <c r="AP49" s="12" t="str">
        <f ca="1">IFERROR(_xlfn.SINGLE(INDEX(#REF!,'Weekly Report'!AN49)),"")</f>
        <v/>
      </c>
      <c r="BP49" s="105"/>
      <c r="BQ49" s="23"/>
      <c r="BR49" s="23"/>
      <c r="BS49" s="190"/>
      <c r="BT49" s="109" t="s">
        <v>136</v>
      </c>
      <c r="BU49" s="54">
        <f>IF(BU42="","",SUM(CT50:CT51))</f>
        <v>1</v>
      </c>
      <c r="BV49" s="54">
        <f t="shared" ref="BV49:CA49" si="56">IF(BV42="","",SUM(CU50:CU51))</f>
        <v>4</v>
      </c>
      <c r="BW49" s="54">
        <f t="shared" si="56"/>
        <v>0</v>
      </c>
      <c r="BX49" s="54">
        <f t="shared" si="56"/>
        <v>0</v>
      </c>
      <c r="BY49" s="54">
        <f t="shared" si="56"/>
        <v>2</v>
      </c>
      <c r="BZ49" s="54">
        <f t="shared" si="56"/>
        <v>1</v>
      </c>
      <c r="CA49" s="55">
        <f t="shared" si="56"/>
        <v>0</v>
      </c>
      <c r="CB49" s="56">
        <f t="shared" si="51"/>
        <v>8</v>
      </c>
      <c r="CC49" s="23"/>
      <c r="CD49" s="85"/>
      <c r="CS49" s="6" t="s">
        <v>194</v>
      </c>
      <c r="CT49" s="6">
        <f>SUMIFS(Table_Assembly[Specific Amount],Table_Assembly[NG Type],$CS$13,Table_Assembly[Product type],$BS$43,Table_Assembly[NG content],CS49,Table_Assembly[MFG Date],$BU$42)</f>
        <v>0</v>
      </c>
      <c r="CU49" s="6">
        <f>SUMIFS(Table_Assembly[Specific Amount],Table_Assembly[NG Type],$CS$13,Table_Assembly[Product type],$BS$43,Table_Assembly[NG content],CS49,Table_Assembly[MFG Date],$BV$42)</f>
        <v>0</v>
      </c>
      <c r="CV49" s="6">
        <f>SUMIFS(Table_Assembly[Specific Amount],Table_Assembly[NG Type],$CS$13,Table_Assembly[Product type],$BS$43,Table_Assembly[NG content],CS49,Table_Assembly[MFG Date],$BW$42)</f>
        <v>0</v>
      </c>
      <c r="CW49" s="6">
        <f>SUMIFS(Table_Assembly[Specific Amount],Table_Assembly[NG Type],$CS$13,Table_Assembly[Product type],$BS$43,Table_Assembly[NG content],CS49,Table_Assembly[MFG Date],$BX$42)</f>
        <v>0</v>
      </c>
      <c r="CX49" s="6">
        <f>SUMIFS(Table_Assembly[Specific Amount],Table_Assembly[NG Type],$CS$13,Table_Assembly[Product type],$BS$43,Table_Assembly[NG content],CS49,Table_Assembly[MFG Date],$BY$42)</f>
        <v>0</v>
      </c>
      <c r="CY49" s="6">
        <f>SUMIFS(Table_Assembly[Specific Amount],Table_Assembly[NG Type],$CS$13,Table_Assembly[Product type],$BS$43,Table_Assembly[NG content],CS49,Table_Assembly[MFG Date],$BZ$42)</f>
        <v>0</v>
      </c>
      <c r="CZ49" s="6">
        <f>SUMIFS(Table_Assembly[Specific Amount],Table_Assembly[NG Type],$CS$13,Table_Assembly[Product type],$BS$43,Table_Assembly[NG content],CS49,Table_Assembly[MFG Date],$CA$42)</f>
        <v>0</v>
      </c>
    </row>
    <row r="50" spans="1:104" ht="15.5" thickTop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85"/>
      <c r="Y50" s="14">
        <f t="shared" si="37"/>
        <v>45069</v>
      </c>
      <c r="Z50" s="12" t="str">
        <f t="shared" ca="1" si="38"/>
        <v/>
      </c>
      <c r="AA50" s="12" t="str">
        <f t="shared" si="39"/>
        <v/>
      </c>
      <c r="AB50" s="15" t="str">
        <f t="shared" si="40"/>
        <v/>
      </c>
      <c r="AC50" s="15" t="str">
        <f t="shared" si="35"/>
        <v>Week 4</v>
      </c>
      <c r="AD50" s="15"/>
      <c r="AE50" s="15">
        <f t="shared" si="41"/>
        <v>4</v>
      </c>
      <c r="AF50" s="15" t="str">
        <f t="shared" si="42"/>
        <v>Tuesday</v>
      </c>
      <c r="AG50" s="16">
        <f t="shared" si="43"/>
        <v>45069</v>
      </c>
      <c r="AH50" s="12" t="b">
        <f t="shared" si="36"/>
        <v>0</v>
      </c>
      <c r="AJ50" s="12" t="str">
        <f ca="1">IFERROR(MATCH($B$114,OFFSET(#REF!,AJ49,0,1000000),0)+AJ49,"")</f>
        <v/>
      </c>
      <c r="AK50" s="17" t="str">
        <f ca="1">IFERROR(_xlfn.SINGLE(INDEX(#REF!,'Weekly Report'!AJ50)),"")</f>
        <v/>
      </c>
      <c r="AL50" s="12" t="str">
        <f ca="1">IFERROR(_xlfn.SINGLE(INDEX(#REF!,'Weekly Report'!AJ50)),"")</f>
        <v/>
      </c>
      <c r="AN50" s="12" t="str">
        <f ca="1">IFERROR(MATCH($G$115,OFFSET(#REF!,AN49,0,1000000),0)+AN49,"")</f>
        <v/>
      </c>
      <c r="AO50" s="17" t="str">
        <f ca="1">IFERROR(_xlfn.SINGLE(INDEX(#REF!,'Weekly Report'!AN50)),"")</f>
        <v/>
      </c>
      <c r="AP50" s="12" t="str">
        <f ca="1">IFERROR(_xlfn.SINGLE(INDEX(#REF!,'Weekly Report'!AN50)),"")</f>
        <v/>
      </c>
      <c r="BP50" s="105"/>
      <c r="BQ50" s="23"/>
      <c r="BR50" s="23"/>
      <c r="BS50" s="187" t="s">
        <v>67</v>
      </c>
      <c r="BT50" s="182" t="s">
        <v>31</v>
      </c>
      <c r="BU50" s="183">
        <f t="shared" ref="BU50:CA50" si="57">IF(BU9="","",BU9)</f>
        <v>3</v>
      </c>
      <c r="BV50" s="183">
        <f t="shared" si="57"/>
        <v>4</v>
      </c>
      <c r="BW50" s="183">
        <f t="shared" si="57"/>
        <v>4</v>
      </c>
      <c r="BX50" s="183">
        <f t="shared" si="57"/>
        <v>1</v>
      </c>
      <c r="BY50" s="183">
        <f t="shared" si="57"/>
        <v>3</v>
      </c>
      <c r="BZ50" s="183">
        <f t="shared" si="57"/>
        <v>12</v>
      </c>
      <c r="CA50" s="184">
        <f t="shared" si="57"/>
        <v>0</v>
      </c>
      <c r="CB50" s="185">
        <f t="shared" ref="CB50" si="58">SUM(BU50:CA50)</f>
        <v>27</v>
      </c>
      <c r="CC50" s="23"/>
      <c r="CD50" s="85"/>
      <c r="CS50" s="6" t="s">
        <v>195</v>
      </c>
      <c r="CT50" s="6">
        <f>SUMIFS(Table_Assembly[Specific Amount],Table_Assembly[NG Type],$CS$13,Table_Assembly[Product type],$BS$43,Table_Assembly[NG content],CS50,Table_Assembly[MFG Date],$BU$42)</f>
        <v>0</v>
      </c>
      <c r="CU50" s="6">
        <f>SUMIFS(Table_Assembly[Specific Amount],Table_Assembly[NG Type],$CS$13,Table_Assembly[Product type],$BS$43,Table_Assembly[NG content],CS50,Table_Assembly[MFG Date],$BV$42)</f>
        <v>0</v>
      </c>
      <c r="CV50" s="6">
        <f>SUMIFS(Table_Assembly[Specific Amount],Table_Assembly[NG Type],$CS$13,Table_Assembly[Product type],$BS$43,Table_Assembly[NG content],CS50,Table_Assembly[MFG Date],$BW$42)</f>
        <v>0</v>
      </c>
      <c r="CW50" s="6">
        <f>SUMIFS(Table_Assembly[Specific Amount],Table_Assembly[NG Type],$CS$13,Table_Assembly[Product type],$BS$43,Table_Assembly[NG content],CS50,Table_Assembly[MFG Date],$BX$42)</f>
        <v>0</v>
      </c>
      <c r="CX50" s="6">
        <f>SUMIFS(Table_Assembly[Specific Amount],Table_Assembly[NG Type],$CS$13,Table_Assembly[Product type],$BS$43,Table_Assembly[NG content],CS50,Table_Assembly[MFG Date],$BY$42)</f>
        <v>0</v>
      </c>
      <c r="CY50" s="6">
        <f>SUMIFS(Table_Assembly[Specific Amount],Table_Assembly[NG Type],$CS$13,Table_Assembly[Product type],$BS$43,Table_Assembly[NG content],CS50,Table_Assembly[MFG Date],$BZ$42)</f>
        <v>0</v>
      </c>
      <c r="CZ50" s="6">
        <f>SUMIFS(Table_Assembly[Specific Amount],Table_Assembly[NG Type],$CS$13,Table_Assembly[Product type],$BS$43,Table_Assembly[NG content],CS50,Table_Assembly[MFG Date],$CA$42)</f>
        <v>0</v>
      </c>
    </row>
    <row r="51" spans="1:10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85"/>
      <c r="Y51" s="14">
        <f t="shared" si="37"/>
        <v>45070</v>
      </c>
      <c r="Z51" s="12" t="str">
        <f t="shared" ca="1" si="38"/>
        <v/>
      </c>
      <c r="AA51" s="12" t="str">
        <f t="shared" si="39"/>
        <v/>
      </c>
      <c r="AB51" s="15" t="str">
        <f t="shared" si="40"/>
        <v/>
      </c>
      <c r="AC51" s="15" t="str">
        <f t="shared" si="35"/>
        <v>Week 4</v>
      </c>
      <c r="AD51" s="15"/>
      <c r="AE51" s="15">
        <f t="shared" si="41"/>
        <v>4</v>
      </c>
      <c r="AF51" s="15" t="str">
        <f t="shared" si="42"/>
        <v>Wednesday</v>
      </c>
      <c r="AG51" s="16">
        <f t="shared" si="43"/>
        <v>45070</v>
      </c>
      <c r="AH51" s="12" t="b">
        <f t="shared" si="36"/>
        <v>0</v>
      </c>
      <c r="AJ51" s="12" t="str">
        <f ca="1">IFERROR(MATCH($B$114,OFFSET(#REF!,AJ50,0,1000000),0)+AJ50,"")</f>
        <v/>
      </c>
      <c r="AK51" s="17" t="str">
        <f ca="1">IFERROR(_xlfn.SINGLE(INDEX(#REF!,'Weekly Report'!AJ51)),"")</f>
        <v/>
      </c>
      <c r="AL51" s="12" t="str">
        <f ca="1">IFERROR(_xlfn.SINGLE(INDEX(#REF!,'Weekly Report'!AJ51)),"")</f>
        <v/>
      </c>
      <c r="AN51" s="12" t="str">
        <f ca="1">IFERROR(MATCH($G$115,OFFSET(#REF!,AN50,0,1000000),0)+AN50,"")</f>
        <v/>
      </c>
      <c r="AO51" s="17" t="str">
        <f ca="1">IFERROR(_xlfn.SINGLE(INDEX(#REF!,'Weekly Report'!AN51)),"")</f>
        <v/>
      </c>
      <c r="AP51" s="12" t="str">
        <f ca="1">IFERROR(_xlfn.SINGLE(INDEX(#REF!,'Weekly Report'!AN51)),"")</f>
        <v/>
      </c>
      <c r="BP51" s="105"/>
      <c r="BQ51" s="23"/>
      <c r="BR51" s="23"/>
      <c r="BS51" s="188"/>
      <c r="BT51" s="108" t="s">
        <v>134</v>
      </c>
      <c r="BU51" s="40">
        <f>IF(BU42="","",SUM(CT53:CT54))</f>
        <v>0</v>
      </c>
      <c r="BV51" s="40">
        <f t="shared" ref="BV51:CA51" si="59">IF(BV42="","",SUM(CU53:CU54))</f>
        <v>0</v>
      </c>
      <c r="BW51" s="40">
        <f t="shared" si="59"/>
        <v>0</v>
      </c>
      <c r="BX51" s="40">
        <f t="shared" si="59"/>
        <v>0</v>
      </c>
      <c r="BY51" s="40">
        <f t="shared" si="59"/>
        <v>0</v>
      </c>
      <c r="BZ51" s="40">
        <f t="shared" si="59"/>
        <v>0</v>
      </c>
      <c r="CA51" s="41">
        <f t="shared" si="59"/>
        <v>0</v>
      </c>
      <c r="CB51" s="42">
        <f>SUM(BU51:CA51)</f>
        <v>0</v>
      </c>
      <c r="CC51" s="23"/>
      <c r="CD51" s="85"/>
      <c r="CS51" s="6" t="s">
        <v>123</v>
      </c>
      <c r="CT51" s="6">
        <f>SUMIFS(Table_Assembly[Specific Amount],Table_Assembly[NG Type],$CS$13,Table_Assembly[Product type],$BS$43,Table_Assembly[NG content],"Others",Table_Assembly[MFG Date],$BU$42)</f>
        <v>1</v>
      </c>
      <c r="CU51" s="6">
        <f>SUMIFS(Table_Assembly[Specific Amount],Table_Assembly[NG Type],$CS$13,Table_Assembly[Product type],$BS$43,Table_Assembly[NG content],"Others",Table_Assembly[MFG Date],$BV$42)</f>
        <v>4</v>
      </c>
      <c r="CV51" s="6">
        <f>SUMIFS(Table_Assembly[Specific Amount],Table_Assembly[NG Type],$CS$13,Table_Assembly[Product type],$BS$43,Table_Assembly[NG content],"Others",Table_Assembly[MFG Date],$BW$42)</f>
        <v>0</v>
      </c>
      <c r="CW51" s="6">
        <f>SUMIFS(Table_Assembly[Specific Amount],Table_Assembly[NG Type],$CS$13,Table_Assembly[Product type],$BS$43,Table_Assembly[NG content],"Others",Table_Assembly[MFG Date],$BX$42)</f>
        <v>0</v>
      </c>
      <c r="CX51" s="6">
        <f>SUMIFS(Table_Assembly[Specific Amount],Table_Assembly[NG Type],$CS$13,Table_Assembly[Product type],$BS$43,Table_Assembly[NG content],"Others",Table_Assembly[MFG Date],$BY$42)</f>
        <v>2</v>
      </c>
      <c r="CY51" s="6">
        <f>SUMIFS(Table_Assembly[Specific Amount],Table_Assembly[NG Type],$CS$13,Table_Assembly[Product type],$BS$43,Table_Assembly[NG content],"Others",Table_Assembly[MFG Date],$BZ$42)</f>
        <v>1</v>
      </c>
      <c r="CZ51" s="6">
        <f>SUMIFS(Table_Assembly[Specific Amount],Table_Assembly[NG Type],$CS$13,Table_Assembly[Product type],$BS$43,Table_Assembly[NG content],"Others",Table_Assembly[MFG Date],$CA$42)</f>
        <v>0</v>
      </c>
    </row>
    <row r="52" spans="1:10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85"/>
      <c r="Y52" s="14">
        <f t="shared" si="37"/>
        <v>45071</v>
      </c>
      <c r="Z52" s="12" t="str">
        <f t="shared" ca="1" si="38"/>
        <v/>
      </c>
      <c r="AA52" s="12" t="str">
        <f t="shared" si="39"/>
        <v/>
      </c>
      <c r="AB52" s="15" t="str">
        <f t="shared" si="40"/>
        <v/>
      </c>
      <c r="AC52" s="15" t="str">
        <f t="shared" si="35"/>
        <v>Week 4</v>
      </c>
      <c r="AD52" s="15"/>
      <c r="AE52" s="15">
        <f t="shared" si="41"/>
        <v>4</v>
      </c>
      <c r="AF52" s="15" t="str">
        <f t="shared" si="42"/>
        <v>Thursday</v>
      </c>
      <c r="AG52" s="16">
        <f t="shared" si="43"/>
        <v>45071</v>
      </c>
      <c r="AH52" s="12" t="b">
        <f t="shared" si="36"/>
        <v>0</v>
      </c>
      <c r="AJ52" s="12" t="str">
        <f ca="1">IFERROR(MATCH($B$114,OFFSET(#REF!,AJ51,0,1000000),0)+AJ51,"")</f>
        <v/>
      </c>
      <c r="AK52" s="17" t="str">
        <f ca="1">IFERROR(_xlfn.SINGLE(INDEX(#REF!,'Weekly Report'!AJ52)),"")</f>
        <v/>
      </c>
      <c r="AL52" s="12" t="str">
        <f ca="1">IFERROR(_xlfn.SINGLE(INDEX(#REF!,'Weekly Report'!AJ52)),"")</f>
        <v/>
      </c>
      <c r="AN52" s="12" t="str">
        <f ca="1">IFERROR(MATCH($G$115,OFFSET(#REF!,AN51,0,1000000),0)+AN51,"")</f>
        <v/>
      </c>
      <c r="AO52" s="17" t="str">
        <f ca="1">IFERROR(_xlfn.SINGLE(INDEX(#REF!,'Weekly Report'!AN52)),"")</f>
        <v/>
      </c>
      <c r="AP52" s="12" t="str">
        <f ca="1">IFERROR(_xlfn.SINGLE(INDEX(#REF!,'Weekly Report'!AN52)),"")</f>
        <v/>
      </c>
      <c r="BP52" s="105"/>
      <c r="BQ52" s="23"/>
      <c r="BR52" s="23"/>
      <c r="BS52" s="188"/>
      <c r="BT52" s="108" t="s">
        <v>318</v>
      </c>
      <c r="BU52" s="40">
        <f>IF(BU42="","",SUM(CT55:CT58))</f>
        <v>0</v>
      </c>
      <c r="BV52" s="40">
        <f t="shared" ref="BV52:CA52" si="60">IF(BV42="","",SUM(CU55:CU58))</f>
        <v>0</v>
      </c>
      <c r="BW52" s="40">
        <f t="shared" si="60"/>
        <v>0</v>
      </c>
      <c r="BX52" s="40">
        <f t="shared" si="60"/>
        <v>0</v>
      </c>
      <c r="BY52" s="40">
        <f t="shared" si="60"/>
        <v>0</v>
      </c>
      <c r="BZ52" s="40">
        <f t="shared" si="60"/>
        <v>0</v>
      </c>
      <c r="CA52" s="41">
        <f t="shared" si="60"/>
        <v>0</v>
      </c>
      <c r="CB52" s="20">
        <f t="shared" ref="CB52:CB56" si="61">SUM(BU52:CA52)</f>
        <v>0</v>
      </c>
      <c r="CC52" s="23"/>
      <c r="CD52" s="85"/>
    </row>
    <row r="53" spans="1:10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85"/>
      <c r="Y53" s="14">
        <f t="shared" si="37"/>
        <v>45072</v>
      </c>
      <c r="Z53" s="12" t="str">
        <f t="shared" ca="1" si="38"/>
        <v/>
      </c>
      <c r="AA53" s="12" t="str">
        <f t="shared" si="39"/>
        <v/>
      </c>
      <c r="AB53" s="15" t="str">
        <f t="shared" si="40"/>
        <v/>
      </c>
      <c r="AC53" s="15" t="str">
        <f t="shared" si="35"/>
        <v>Week 4</v>
      </c>
      <c r="AD53" s="15"/>
      <c r="AE53" s="15">
        <f t="shared" si="41"/>
        <v>4</v>
      </c>
      <c r="AF53" s="15" t="str">
        <f t="shared" si="42"/>
        <v>Friday</v>
      </c>
      <c r="AG53" s="16">
        <f t="shared" si="43"/>
        <v>45072</v>
      </c>
      <c r="AH53" s="12" t="b">
        <f t="shared" si="36"/>
        <v>0</v>
      </c>
      <c r="AJ53" s="12" t="str">
        <f ca="1">IFERROR(MATCH($B$114,OFFSET(#REF!,AJ52,0,1000000),0)+AJ52,"")</f>
        <v/>
      </c>
      <c r="AK53" s="17" t="str">
        <f ca="1">IFERROR(_xlfn.SINGLE(INDEX(#REF!,'Weekly Report'!AJ53)),"")</f>
        <v/>
      </c>
      <c r="AL53" s="12" t="str">
        <f ca="1">IFERROR(_xlfn.SINGLE(INDEX(#REF!,'Weekly Report'!AJ53)),"")</f>
        <v/>
      </c>
      <c r="AN53" s="12" t="str">
        <f ca="1">IFERROR(MATCH($G$115,OFFSET(#REF!,AN52,0,1000000),0)+AN52,"")</f>
        <v/>
      </c>
      <c r="AO53" s="17" t="str">
        <f ca="1">IFERROR(_xlfn.SINGLE(INDEX(#REF!,'Weekly Report'!AN53)),"")</f>
        <v/>
      </c>
      <c r="AP53" s="12" t="str">
        <f ca="1">IFERROR(_xlfn.SINGLE(INDEX(#REF!,'Weekly Report'!AN53)),"")</f>
        <v/>
      </c>
      <c r="BP53" s="105"/>
      <c r="BQ53" s="23"/>
      <c r="BR53" s="23"/>
      <c r="BS53" s="188"/>
      <c r="BT53" s="108" t="s">
        <v>135</v>
      </c>
      <c r="BU53" s="40">
        <f>IF(BU42="","",SUM(CT60:CT63))</f>
        <v>3</v>
      </c>
      <c r="BV53" s="40">
        <f t="shared" ref="BV53:CA53" si="62">IF(BV42="","",SUM(CU60:CU63))</f>
        <v>0</v>
      </c>
      <c r="BW53" s="40">
        <f t="shared" si="62"/>
        <v>2</v>
      </c>
      <c r="BX53" s="40">
        <f t="shared" si="62"/>
        <v>1</v>
      </c>
      <c r="BY53" s="40">
        <f t="shared" si="62"/>
        <v>3</v>
      </c>
      <c r="BZ53" s="40">
        <f t="shared" si="62"/>
        <v>0</v>
      </c>
      <c r="CA53" s="41">
        <f t="shared" si="62"/>
        <v>0</v>
      </c>
      <c r="CB53" s="42">
        <f t="shared" si="61"/>
        <v>9</v>
      </c>
      <c r="CC53" s="23"/>
      <c r="CD53" s="85"/>
      <c r="CS53" s="6" t="s">
        <v>172</v>
      </c>
      <c r="CT53" s="6">
        <f>SUMIFS(Table_Assembly[Specific Amount],Table_Assembly[NG Type],$CS$13,Table_Assembly[Product type],$BS$50,Table_Assembly[NG content],CS53,Table_Assembly[MFG Date],$BU$42)</f>
        <v>0</v>
      </c>
      <c r="CU53" s="6">
        <f>SUMIFS(Table_Assembly[Specific Amount],Table_Assembly[NG Type],$CS$13,Table_Assembly[Product type],$BS$50,Table_Assembly[NG content],CS53,Table_Assembly[MFG Date],$BV$42)</f>
        <v>0</v>
      </c>
      <c r="CV53" s="6">
        <f>SUMIFS(Table_Assembly[Specific Amount],Table_Assembly[NG Type],$CS$13,Table_Assembly[Product type],$BS$50,Table_Assembly[NG content],CS53,Table_Assembly[MFG Date],$BW$42)</f>
        <v>0</v>
      </c>
      <c r="CW53" s="6">
        <f>SUMIFS(Table_Assembly[Specific Amount],Table_Assembly[NG Type],$CS$13,Table_Assembly[Product type],$BS$50,Table_Assembly[NG content],CS53,Table_Assembly[MFG Date],$BX$42)</f>
        <v>0</v>
      </c>
      <c r="CX53" s="6">
        <f>SUMIFS(Table_Assembly[Specific Amount],Table_Assembly[NG Type],$CS$13,Table_Assembly[Product type],$BS$50,Table_Assembly[NG content],CS53,Table_Assembly[MFG Date],$BY$42)</f>
        <v>0</v>
      </c>
      <c r="CY53" s="6">
        <f>SUMIFS(Table_Assembly[Specific Amount],Table_Assembly[NG Type],$CS$13,Table_Assembly[Product type],$BS$50,Table_Assembly[NG content],CS53,Table_Assembly[MFG Date],$BZ$42)</f>
        <v>0</v>
      </c>
      <c r="CZ53" s="6">
        <f>SUMIFS(Table_Assembly[Specific Amount],Table_Assembly[NG Type],$CS$13,Table_Assembly[Product type],$BS$50,Table_Assembly[NG content],CS53,Table_Assembly[MFG Date],$CA$42)</f>
        <v>0</v>
      </c>
    </row>
    <row r="54" spans="1:10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85"/>
      <c r="Y54" s="14">
        <f t="shared" si="37"/>
        <v>45073</v>
      </c>
      <c r="Z54" s="12" t="str">
        <f t="shared" ca="1" si="38"/>
        <v/>
      </c>
      <c r="AA54" s="12" t="str">
        <f t="shared" si="39"/>
        <v/>
      </c>
      <c r="AB54" s="15" t="str">
        <f t="shared" si="40"/>
        <v/>
      </c>
      <c r="AC54" s="15" t="str">
        <f t="shared" si="35"/>
        <v>Week 4</v>
      </c>
      <c r="AD54" s="15"/>
      <c r="AE54" s="15">
        <f t="shared" si="41"/>
        <v>4</v>
      </c>
      <c r="AF54" s="15" t="str">
        <f t="shared" si="42"/>
        <v>Saturday</v>
      </c>
      <c r="AG54" s="16">
        <f t="shared" si="43"/>
        <v>45073</v>
      </c>
      <c r="AH54" s="12" t="b">
        <f t="shared" si="36"/>
        <v>0</v>
      </c>
      <c r="AJ54" s="12" t="str">
        <f ca="1">IFERROR(MATCH($B$114,OFFSET(#REF!,AJ53,0,1000000),0)+AJ53,"")</f>
        <v/>
      </c>
      <c r="AK54" s="17" t="str">
        <f ca="1">IFERROR(_xlfn.SINGLE(INDEX(#REF!,'Weekly Report'!AJ54)),"")</f>
        <v/>
      </c>
      <c r="AL54" s="12" t="str">
        <f ca="1">IFERROR(_xlfn.SINGLE(INDEX(#REF!,'Weekly Report'!AJ54)),"")</f>
        <v/>
      </c>
      <c r="AN54" s="12" t="str">
        <f ca="1">IFERROR(MATCH($G$115,OFFSET(#REF!,AN53,0,1000000),0)+AN53,"")</f>
        <v/>
      </c>
      <c r="AO54" s="17" t="str">
        <f ca="1">IFERROR(_xlfn.SINGLE(INDEX(#REF!,'Weekly Report'!AN54)),"")</f>
        <v/>
      </c>
      <c r="AP54" s="12" t="str">
        <f ca="1">IFERROR(_xlfn.SINGLE(INDEX(#REF!,'Weekly Report'!AN54)),"")</f>
        <v/>
      </c>
      <c r="BP54" s="105"/>
      <c r="BQ54" s="23"/>
      <c r="BR54" s="23"/>
      <c r="BS54" s="188"/>
      <c r="BT54" s="108" t="s">
        <v>197</v>
      </c>
      <c r="BU54" s="40">
        <f>IF(BU42="","",SUM(CT59,CT69))</f>
        <v>0</v>
      </c>
      <c r="BV54" s="40">
        <f t="shared" ref="BV54:CA54" si="63">IF(BV42="","",SUM(CU59,CU69))</f>
        <v>0</v>
      </c>
      <c r="BW54" s="40">
        <f t="shared" si="63"/>
        <v>0</v>
      </c>
      <c r="BX54" s="40">
        <f t="shared" si="63"/>
        <v>0</v>
      </c>
      <c r="BY54" s="40">
        <f t="shared" si="63"/>
        <v>0</v>
      </c>
      <c r="BZ54" s="40">
        <f t="shared" si="63"/>
        <v>0</v>
      </c>
      <c r="CA54" s="41">
        <f t="shared" si="63"/>
        <v>0</v>
      </c>
      <c r="CB54" s="20">
        <f t="shared" si="61"/>
        <v>0</v>
      </c>
      <c r="CC54" s="23"/>
      <c r="CD54" s="85"/>
      <c r="CS54" s="6" t="s">
        <v>173</v>
      </c>
      <c r="CT54" s="6">
        <f>SUMIFS(Table_Assembly[Specific Amount],Table_Assembly[NG Type],$CS$13,Table_Assembly[Product type],$BS$50,Table_Assembly[NG content],CS54,Table_Assembly[MFG Date],$BU$42)</f>
        <v>0</v>
      </c>
      <c r="CU54" s="6">
        <f>SUMIFS(Table_Assembly[Specific Amount],Table_Assembly[NG Type],$CS$13,Table_Assembly[Product type],$BS$50,Table_Assembly[NG content],CS54,Table_Assembly[MFG Date],$BV$42)</f>
        <v>0</v>
      </c>
      <c r="CV54" s="6">
        <f>SUMIFS(Table_Assembly[Specific Amount],Table_Assembly[NG Type],$CS$13,Table_Assembly[Product type],$BS$50,Table_Assembly[NG content],CS54,Table_Assembly[MFG Date],$BW$42)</f>
        <v>0</v>
      </c>
      <c r="CW54" s="6">
        <f>SUMIFS(Table_Assembly[Specific Amount],Table_Assembly[NG Type],$CS$13,Table_Assembly[Product type],$BS$50,Table_Assembly[NG content],CS54,Table_Assembly[MFG Date],$BX$42)</f>
        <v>0</v>
      </c>
      <c r="CX54" s="6">
        <f>SUMIFS(Table_Assembly[Specific Amount],Table_Assembly[NG Type],$CS$13,Table_Assembly[Product type],$BS$50,Table_Assembly[NG content],CS54,Table_Assembly[MFG Date],$BY$42)</f>
        <v>0</v>
      </c>
      <c r="CY54" s="6">
        <f>SUMIFS(Table_Assembly[Specific Amount],Table_Assembly[NG Type],$CS$13,Table_Assembly[Product type],$BS$50,Table_Assembly[NG content],CS54,Table_Assembly[MFG Date],$BZ$42)</f>
        <v>0</v>
      </c>
      <c r="CZ54" s="6">
        <f>SUMIFS(Table_Assembly[Specific Amount],Table_Assembly[NG Type],$CS$13,Table_Assembly[Product type],$BS$50,Table_Assembly[NG content],CS54,Table_Assembly[MFG Date],$CA$42)</f>
        <v>0</v>
      </c>
    </row>
    <row r="55" spans="1:10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85"/>
      <c r="Y55" s="14">
        <f t="shared" si="37"/>
        <v>45074</v>
      </c>
      <c r="Z55" s="12" t="str">
        <f t="shared" ca="1" si="38"/>
        <v/>
      </c>
      <c r="AA55" s="12" t="str">
        <f t="shared" si="39"/>
        <v/>
      </c>
      <c r="AB55" s="15" t="str">
        <f t="shared" si="40"/>
        <v/>
      </c>
      <c r="AC55" s="15" t="str">
        <f t="shared" si="35"/>
        <v>Week 4</v>
      </c>
      <c r="AD55" s="15"/>
      <c r="AE55" s="15">
        <f t="shared" si="41"/>
        <v>4</v>
      </c>
      <c r="AF55" s="15" t="str">
        <f t="shared" si="42"/>
        <v>Sunday</v>
      </c>
      <c r="AG55" s="16">
        <f t="shared" si="43"/>
        <v>45074</v>
      </c>
      <c r="AH55" s="12" t="b">
        <f t="shared" si="36"/>
        <v>0</v>
      </c>
      <c r="AJ55" s="12" t="str">
        <f ca="1">IFERROR(MATCH($B$114,OFFSET(#REF!,AJ54,0,1000000),0)+AJ54,"")</f>
        <v/>
      </c>
      <c r="AK55" s="17" t="str">
        <f ca="1">IFERROR(_xlfn.SINGLE(INDEX(#REF!,'Weekly Report'!AJ55)),"")</f>
        <v/>
      </c>
      <c r="AL55" s="12" t="str">
        <f ca="1">IFERROR(_xlfn.SINGLE(INDEX(#REF!,'Weekly Report'!AJ55)),"")</f>
        <v/>
      </c>
      <c r="AN55" s="12" t="str">
        <f ca="1">IFERROR(MATCH($G$115,OFFSET(#REF!,AN54,0,1000000),0)+AN54,"")</f>
        <v/>
      </c>
      <c r="AO55" s="17" t="str">
        <f ca="1">IFERROR(_xlfn.SINGLE(INDEX(#REF!,'Weekly Report'!AN55)),"")</f>
        <v/>
      </c>
      <c r="AP55" s="12" t="str">
        <f ca="1">IFERROR(_xlfn.SINGLE(INDEX(#REF!,'Weekly Report'!AN55)),"")</f>
        <v/>
      </c>
      <c r="BP55" s="105"/>
      <c r="BQ55" s="23"/>
      <c r="BR55" s="23"/>
      <c r="BS55" s="188"/>
      <c r="BT55" s="108" t="s">
        <v>319</v>
      </c>
      <c r="BU55" s="40">
        <f>IF(BU42="","",SUM(CT64:CT68,CT70:CT84))</f>
        <v>0</v>
      </c>
      <c r="BV55" s="40">
        <f t="shared" ref="BV55:CA55" si="64">IF(BV42="","",SUM(CU64:CU68,CU70:CU84))</f>
        <v>4</v>
      </c>
      <c r="BW55" s="40">
        <f t="shared" si="64"/>
        <v>2</v>
      </c>
      <c r="BX55" s="40">
        <f t="shared" si="64"/>
        <v>0</v>
      </c>
      <c r="BY55" s="40">
        <f t="shared" si="64"/>
        <v>0</v>
      </c>
      <c r="BZ55" s="40">
        <f t="shared" si="64"/>
        <v>12</v>
      </c>
      <c r="CA55" s="41">
        <f t="shared" si="64"/>
        <v>0</v>
      </c>
      <c r="CB55" s="20">
        <f t="shared" si="61"/>
        <v>18</v>
      </c>
      <c r="CC55" s="23"/>
      <c r="CD55" s="85"/>
      <c r="CS55" s="6" t="s">
        <v>230</v>
      </c>
      <c r="CT55" s="6">
        <f>SUMIFS(Table_Assembly[Specific Amount],Table_Assembly[NG Type],$CS$13,Table_Assembly[Product type],$BS$50,Table_Assembly[NG content],CS55,Table_Assembly[MFG Date],$BU$42)</f>
        <v>0</v>
      </c>
      <c r="CU55" s="6">
        <f>SUMIFS(Table_Assembly[Specific Amount],Table_Assembly[NG Type],$CS$13,Table_Assembly[Product type],$BS$50,Table_Assembly[NG content],CS55,Table_Assembly[MFG Date],$BV$42)</f>
        <v>0</v>
      </c>
      <c r="CV55" s="6">
        <f>SUMIFS(Table_Assembly[Specific Amount],Table_Assembly[NG Type],$CS$13,Table_Assembly[Product type],$BS$50,Table_Assembly[NG content],CS55,Table_Assembly[MFG Date],$BW$42)</f>
        <v>0</v>
      </c>
      <c r="CW55" s="6">
        <f>SUMIFS(Table_Assembly[Specific Amount],Table_Assembly[NG Type],$CS$13,Table_Assembly[Product type],$BS$50,Table_Assembly[NG content],CS55,Table_Assembly[MFG Date],$BX$42)</f>
        <v>0</v>
      </c>
      <c r="CX55" s="6">
        <f>SUMIFS(Table_Assembly[Specific Amount],Table_Assembly[NG Type],$CS$13,Table_Assembly[Product type],$BS$50,Table_Assembly[NG content],CS55,Table_Assembly[MFG Date],$BY$42)</f>
        <v>0</v>
      </c>
      <c r="CY55" s="6">
        <f>SUMIFS(Table_Assembly[Specific Amount],Table_Assembly[NG Type],$CS$13,Table_Assembly[Product type],$BS$50,Table_Assembly[NG content],CS55,Table_Assembly[MFG Date],$BZ$42)</f>
        <v>0</v>
      </c>
      <c r="CZ55" s="6">
        <f>SUMIFS(Table_Assembly[Specific Amount],Table_Assembly[NG Type],$CS$13,Table_Assembly[Product type],$BS$50,Table_Assembly[NG content],CS55,Table_Assembly[MFG Date],$CA$42)</f>
        <v>0</v>
      </c>
    </row>
    <row r="56" spans="1:104" ht="15.5" thickBo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85"/>
      <c r="Y56" s="14">
        <f t="shared" si="37"/>
        <v>45075</v>
      </c>
      <c r="Z56" s="12" t="str">
        <f t="shared" ca="1" si="38"/>
        <v>Week 5</v>
      </c>
      <c r="AA56" s="12">
        <f t="shared" si="39"/>
        <v>5</v>
      </c>
      <c r="AB56" s="15" t="str">
        <f t="shared" si="40"/>
        <v>Week 5</v>
      </c>
      <c r="AC56" s="15" t="str">
        <f t="shared" si="35"/>
        <v>Week 5</v>
      </c>
      <c r="AD56" s="15"/>
      <c r="AE56" s="15">
        <f t="shared" si="41"/>
        <v>5</v>
      </c>
      <c r="AF56" s="15" t="str">
        <f t="shared" si="42"/>
        <v>Monday</v>
      </c>
      <c r="AG56" s="16">
        <f t="shared" si="43"/>
        <v>45075</v>
      </c>
      <c r="AH56" s="12" t="b">
        <f t="shared" si="36"/>
        <v>0</v>
      </c>
      <c r="AJ56" s="12" t="str">
        <f ca="1">IFERROR(MATCH($B$114,OFFSET(#REF!,AJ55,0,1000000),0)+AJ55,"")</f>
        <v/>
      </c>
      <c r="AK56" s="17" t="str">
        <f ca="1">IFERROR(_xlfn.SINGLE(INDEX(#REF!,'Weekly Report'!AJ56)),"")</f>
        <v/>
      </c>
      <c r="AL56" s="12" t="str">
        <f ca="1">IFERROR(_xlfn.SINGLE(INDEX(#REF!,'Weekly Report'!AJ56)),"")</f>
        <v/>
      </c>
      <c r="AN56" s="12" t="str">
        <f ca="1">IFERROR(MATCH($G$115,OFFSET(#REF!,AN55,0,1000000),0)+AN55,"")</f>
        <v/>
      </c>
      <c r="AO56" s="17" t="str">
        <f ca="1">IFERROR(_xlfn.SINGLE(INDEX(#REF!,'Weekly Report'!AN56)),"")</f>
        <v/>
      </c>
      <c r="AP56" s="12" t="str">
        <f ca="1">IFERROR(_xlfn.SINGLE(INDEX(#REF!,'Weekly Report'!AN56)),"")</f>
        <v/>
      </c>
      <c r="BP56" s="105"/>
      <c r="BQ56" s="23"/>
      <c r="BR56" s="23"/>
      <c r="BS56" s="189"/>
      <c r="BT56" s="110" t="s">
        <v>136</v>
      </c>
      <c r="BU56" s="44">
        <f>IF(BU42="","",SUM(CT88:CT89))</f>
        <v>0</v>
      </c>
      <c r="BV56" s="44">
        <f t="shared" ref="BV56:CA56" si="65">IF(BV42="","",SUM(CU88:CU89))</f>
        <v>0</v>
      </c>
      <c r="BW56" s="44">
        <f t="shared" si="65"/>
        <v>0</v>
      </c>
      <c r="BX56" s="44">
        <f t="shared" si="65"/>
        <v>0</v>
      </c>
      <c r="BY56" s="44">
        <f t="shared" si="65"/>
        <v>0</v>
      </c>
      <c r="BZ56" s="44">
        <f t="shared" si="65"/>
        <v>0</v>
      </c>
      <c r="CA56" s="45">
        <f t="shared" si="65"/>
        <v>0</v>
      </c>
      <c r="CB56" s="46">
        <f t="shared" si="61"/>
        <v>0</v>
      </c>
      <c r="CC56" s="23"/>
      <c r="CD56" s="85"/>
      <c r="CS56" s="6" t="s">
        <v>174</v>
      </c>
      <c r="CT56" s="6">
        <f>SUMIFS(Table_Assembly[Specific Amount],Table_Assembly[NG Type],$CS$13,Table_Assembly[Product type],$BS$50,Table_Assembly[NG content],CS56,Table_Assembly[MFG Date],$BU$42)</f>
        <v>0</v>
      </c>
      <c r="CU56" s="6">
        <f>SUMIFS(Table_Assembly[Specific Amount],Table_Assembly[NG Type],$CS$13,Table_Assembly[Product type],$BS$50,Table_Assembly[NG content],CS56,Table_Assembly[MFG Date],$BV$42)</f>
        <v>0</v>
      </c>
      <c r="CV56" s="6">
        <f>SUMIFS(Table_Assembly[Specific Amount],Table_Assembly[NG Type],$CS$13,Table_Assembly[Product type],$BS$50,Table_Assembly[NG content],CS56,Table_Assembly[MFG Date],$BW$42)</f>
        <v>0</v>
      </c>
      <c r="CW56" s="6">
        <f>SUMIFS(Table_Assembly[Specific Amount],Table_Assembly[NG Type],$CS$13,Table_Assembly[Product type],$BS$50,Table_Assembly[NG content],CS56,Table_Assembly[MFG Date],$BX$42)</f>
        <v>0</v>
      </c>
      <c r="CX56" s="6">
        <f>SUMIFS(Table_Assembly[Specific Amount],Table_Assembly[NG Type],$CS$13,Table_Assembly[Product type],$BS$50,Table_Assembly[NG content],CS56,Table_Assembly[MFG Date],$BY$42)</f>
        <v>0</v>
      </c>
      <c r="CY56" s="6">
        <f>SUMIFS(Table_Assembly[Specific Amount],Table_Assembly[NG Type],$CS$13,Table_Assembly[Product type],$BS$50,Table_Assembly[NG content],CS56,Table_Assembly[MFG Date],$BZ$42)</f>
        <v>0</v>
      </c>
      <c r="CZ56" s="6">
        <f>SUMIFS(Table_Assembly[Specific Amount],Table_Assembly[NG Type],$CS$13,Table_Assembly[Product type],$BS$50,Table_Assembly[NG content],CS56,Table_Assembly[MFG Date],$CA$42)</f>
        <v>0</v>
      </c>
    </row>
    <row r="57" spans="1:10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85"/>
      <c r="Y57" s="14">
        <f t="shared" si="37"/>
        <v>45076</v>
      </c>
      <c r="Z57" s="12" t="str">
        <f t="shared" ca="1" si="38"/>
        <v/>
      </c>
      <c r="AA57" s="12" t="str">
        <f t="shared" si="39"/>
        <v/>
      </c>
      <c r="AB57" s="15" t="str">
        <f t="shared" si="40"/>
        <v/>
      </c>
      <c r="AC57" s="15" t="str">
        <f t="shared" si="35"/>
        <v>Week 5</v>
      </c>
      <c r="AD57" s="15"/>
      <c r="AE57" s="15">
        <f t="shared" si="41"/>
        <v>5</v>
      </c>
      <c r="AF57" s="15" t="str">
        <f t="shared" si="42"/>
        <v>Tuesday</v>
      </c>
      <c r="AG57" s="16">
        <f t="shared" si="43"/>
        <v>45076</v>
      </c>
      <c r="AH57" s="12" t="b">
        <f t="shared" si="36"/>
        <v>0</v>
      </c>
      <c r="AJ57" s="12" t="str">
        <f ca="1">IFERROR(MATCH($B$114,OFFSET(#REF!,AJ56,0,1000000),0)+AJ56,"")</f>
        <v/>
      </c>
      <c r="AK57" s="17" t="str">
        <f ca="1">IFERROR(_xlfn.SINGLE(INDEX(#REF!,'Weekly Report'!AJ57)),"")</f>
        <v/>
      </c>
      <c r="AL57" s="12" t="str">
        <f ca="1">IFERROR(_xlfn.SINGLE(INDEX(#REF!,'Weekly Report'!AJ57)),"")</f>
        <v/>
      </c>
      <c r="AN57" s="12" t="str">
        <f ca="1">IFERROR(MATCH($G$115,OFFSET(#REF!,AN56,0,1000000),0)+AN56,"")</f>
        <v/>
      </c>
      <c r="AO57" s="17" t="str">
        <f ca="1">IFERROR(_xlfn.SINGLE(INDEX(#REF!,'Weekly Report'!AN57)),"")</f>
        <v/>
      </c>
      <c r="AP57" s="12" t="str">
        <f ca="1">IFERROR(_xlfn.SINGLE(INDEX(#REF!,'Weekly Report'!AN57)),"")</f>
        <v/>
      </c>
      <c r="BP57" s="105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85"/>
      <c r="CS57" s="6" t="s">
        <v>231</v>
      </c>
      <c r="CT57" s="6">
        <f>SUMIFS(Table_Assembly[Specific Amount],Table_Assembly[NG Type],$CS$13,Table_Assembly[Product type],$BS$50,Table_Assembly[NG content],CS57,Table_Assembly[MFG Date],$BU$42)</f>
        <v>0</v>
      </c>
      <c r="CU57" s="6">
        <f>SUMIFS(Table_Assembly[Specific Amount],Table_Assembly[NG Type],$CS$13,Table_Assembly[Product type],$BS$50,Table_Assembly[NG content],CS57,Table_Assembly[MFG Date],$BV$42)</f>
        <v>0</v>
      </c>
      <c r="CV57" s="6">
        <f>SUMIFS(Table_Assembly[Specific Amount],Table_Assembly[NG Type],$CS$13,Table_Assembly[Product type],$BS$50,Table_Assembly[NG content],CS57,Table_Assembly[MFG Date],$BW$42)</f>
        <v>0</v>
      </c>
      <c r="CW57" s="6">
        <f>SUMIFS(Table_Assembly[Specific Amount],Table_Assembly[NG Type],$CS$13,Table_Assembly[Product type],$BS$50,Table_Assembly[NG content],CS57,Table_Assembly[MFG Date],$BX$42)</f>
        <v>0</v>
      </c>
      <c r="CX57" s="6">
        <f>SUMIFS(Table_Assembly[Specific Amount],Table_Assembly[NG Type],$CS$13,Table_Assembly[Product type],$BS$50,Table_Assembly[NG content],CS57,Table_Assembly[MFG Date],$BY$42)</f>
        <v>0</v>
      </c>
      <c r="CY57" s="6">
        <f>SUMIFS(Table_Assembly[Specific Amount],Table_Assembly[NG Type],$CS$13,Table_Assembly[Product type],$BS$50,Table_Assembly[NG content],CS57,Table_Assembly[MFG Date],$BZ$42)</f>
        <v>0</v>
      </c>
      <c r="CZ57" s="6">
        <f>SUMIFS(Table_Assembly[Specific Amount],Table_Assembly[NG Type],$CS$13,Table_Assembly[Product type],$BS$50,Table_Assembly[NG content],CS57,Table_Assembly[MFG Date],$CA$42)</f>
        <v>0</v>
      </c>
    </row>
    <row r="58" spans="1:10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85"/>
      <c r="Y58" s="14">
        <f t="shared" si="37"/>
        <v>45077</v>
      </c>
      <c r="Z58" s="12" t="str">
        <f t="shared" ca="1" si="38"/>
        <v/>
      </c>
      <c r="AA58" s="12" t="str">
        <f t="shared" si="39"/>
        <v/>
      </c>
      <c r="AB58" s="15" t="str">
        <f t="shared" si="40"/>
        <v/>
      </c>
      <c r="AC58" s="15" t="str">
        <f t="shared" si="35"/>
        <v>Week 5</v>
      </c>
      <c r="AD58" s="15"/>
      <c r="AE58" s="15">
        <f t="shared" si="41"/>
        <v>5</v>
      </c>
      <c r="AF58" s="15" t="str">
        <f t="shared" si="42"/>
        <v>Wednesday</v>
      </c>
      <c r="AG58" s="16">
        <f t="shared" si="43"/>
        <v>45077</v>
      </c>
      <c r="AH58" s="12" t="b">
        <f t="shared" si="36"/>
        <v>0</v>
      </c>
      <c r="AJ58" s="12" t="str">
        <f ca="1">IFERROR(MATCH($B$114,OFFSET(#REF!,AJ57,0,1000000),0)+AJ57,"")</f>
        <v/>
      </c>
      <c r="AK58" s="17" t="str">
        <f ca="1">IFERROR(_xlfn.SINGLE(INDEX(#REF!,'Weekly Report'!AJ58)),"")</f>
        <v/>
      </c>
      <c r="AL58" s="12" t="str">
        <f ca="1">IFERROR(_xlfn.SINGLE(INDEX(#REF!,'Weekly Report'!AJ58)),"")</f>
        <v/>
      </c>
      <c r="AN58" s="12" t="str">
        <f ca="1">IFERROR(MATCH($G$115,OFFSET(#REF!,AN57,0,1000000),0)+AN57,"")</f>
        <v/>
      </c>
      <c r="AO58" s="17" t="str">
        <f ca="1">IFERROR(_xlfn.SINGLE(INDEX(#REF!,'Weekly Report'!AN58)),"")</f>
        <v/>
      </c>
      <c r="AP58" s="12" t="str">
        <f ca="1">IFERROR(_xlfn.SINGLE(INDEX(#REF!,'Weekly Report'!AN58)),"")</f>
        <v/>
      </c>
      <c r="BP58" s="105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85"/>
      <c r="CS58" s="6" t="s">
        <v>175</v>
      </c>
      <c r="CT58" s="6">
        <f>SUMIFS(Table_Assembly[Specific Amount],Table_Assembly[NG Type],$CS$13,Table_Assembly[Product type],$BS$50,Table_Assembly[NG content],CS58,Table_Assembly[MFG Date],$BU$42)</f>
        <v>0</v>
      </c>
      <c r="CU58" s="6">
        <f>SUMIFS(Table_Assembly[Specific Amount],Table_Assembly[NG Type],$CS$13,Table_Assembly[Product type],$BS$50,Table_Assembly[NG content],CS58,Table_Assembly[MFG Date],$BV$42)</f>
        <v>0</v>
      </c>
      <c r="CV58" s="6">
        <f>SUMIFS(Table_Assembly[Specific Amount],Table_Assembly[NG Type],$CS$13,Table_Assembly[Product type],$BS$50,Table_Assembly[NG content],CS58,Table_Assembly[MFG Date],$BW$42)</f>
        <v>0</v>
      </c>
      <c r="CW58" s="6">
        <f>SUMIFS(Table_Assembly[Specific Amount],Table_Assembly[NG Type],$CS$13,Table_Assembly[Product type],$BS$50,Table_Assembly[NG content],CS58,Table_Assembly[MFG Date],$BX$42)</f>
        <v>0</v>
      </c>
      <c r="CX58" s="6">
        <f>SUMIFS(Table_Assembly[Specific Amount],Table_Assembly[NG Type],$CS$13,Table_Assembly[Product type],$BS$50,Table_Assembly[NG content],CS58,Table_Assembly[MFG Date],$BY$42)</f>
        <v>0</v>
      </c>
      <c r="CY58" s="6">
        <f>SUMIFS(Table_Assembly[Specific Amount],Table_Assembly[NG Type],$CS$13,Table_Assembly[Product type],$BS$50,Table_Assembly[NG content],CS58,Table_Assembly[MFG Date],$BZ$42)</f>
        <v>0</v>
      </c>
      <c r="CZ58" s="6">
        <f>SUMIFS(Table_Assembly[Specific Amount],Table_Assembly[NG Type],$CS$13,Table_Assembly[Product type],$BS$50,Table_Assembly[NG content],CS58,Table_Assembly[MFG Date],$CA$42)</f>
        <v>0</v>
      </c>
    </row>
    <row r="59" spans="1:10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85"/>
      <c r="AJ59" s="12" t="str">
        <f ca="1">IFERROR(MATCH($B$114,OFFSET(#REF!,AJ58,0,1000000),0)+AJ58,"")</f>
        <v/>
      </c>
      <c r="AK59" s="17" t="str">
        <f ca="1">IFERROR(_xlfn.SINGLE(INDEX(#REF!,'Weekly Report'!AJ59)),"")</f>
        <v/>
      </c>
      <c r="AL59" s="12" t="str">
        <f ca="1">IFERROR(_xlfn.SINGLE(INDEX(#REF!,'Weekly Report'!AJ59)),"")</f>
        <v/>
      </c>
      <c r="AN59" s="12" t="str">
        <f ca="1">IFERROR(MATCH($G$115,OFFSET(#REF!,AN58,0,1000000),0)+AN58,"")</f>
        <v/>
      </c>
      <c r="AO59" s="17" t="str">
        <f ca="1">IFERROR(_xlfn.SINGLE(INDEX(#REF!,'Weekly Report'!AN59)),"")</f>
        <v/>
      </c>
      <c r="AP59" s="12" t="str">
        <f ca="1">IFERROR(_xlfn.SINGLE(INDEX(#REF!,'Weekly Report'!AN59)),"")</f>
        <v/>
      </c>
      <c r="BP59" s="105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85"/>
      <c r="CS59" s="6" t="s">
        <v>232</v>
      </c>
      <c r="CT59" s="6">
        <f>SUMIFS(Table_Assembly[Specific Amount],Table_Assembly[NG Type],$CS$13,Table_Assembly[Product type],$BS$50,Table_Assembly[NG content],CS59,Table_Assembly[MFG Date],$BU$42)</f>
        <v>0</v>
      </c>
      <c r="CU59" s="6">
        <f>SUMIFS(Table_Assembly[Specific Amount],Table_Assembly[NG Type],$CS$13,Table_Assembly[Product type],$BS$50,Table_Assembly[NG content],CS59,Table_Assembly[MFG Date],$BV$42)</f>
        <v>0</v>
      </c>
      <c r="CV59" s="6">
        <f>SUMIFS(Table_Assembly[Specific Amount],Table_Assembly[NG Type],$CS$13,Table_Assembly[Product type],$BS$50,Table_Assembly[NG content],CS59,Table_Assembly[MFG Date],$BW$42)</f>
        <v>0</v>
      </c>
      <c r="CW59" s="6">
        <f>SUMIFS(Table_Assembly[Specific Amount],Table_Assembly[NG Type],$CS$13,Table_Assembly[Product type],$BS$50,Table_Assembly[NG content],CS59,Table_Assembly[MFG Date],$BX$42)</f>
        <v>0</v>
      </c>
      <c r="CX59" s="6">
        <f>SUMIFS(Table_Assembly[Specific Amount],Table_Assembly[NG Type],$CS$13,Table_Assembly[Product type],$BS$50,Table_Assembly[NG content],CS59,Table_Assembly[MFG Date],$BY$42)</f>
        <v>0</v>
      </c>
      <c r="CY59" s="6">
        <f>SUMIFS(Table_Assembly[Specific Amount],Table_Assembly[NG Type],$CS$13,Table_Assembly[Product type],$BS$50,Table_Assembly[NG content],CS59,Table_Assembly[MFG Date],$BZ$42)</f>
        <v>0</v>
      </c>
      <c r="CZ59" s="6">
        <f>SUMIFS(Table_Assembly[Specific Amount],Table_Assembly[NG Type],$CS$13,Table_Assembly[Product type],$BS$50,Table_Assembly[NG content],CS59,Table_Assembly[MFG Date],$CA$42)</f>
        <v>0</v>
      </c>
    </row>
    <row r="60" spans="1:10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85"/>
      <c r="AJ60" s="12" t="str">
        <f ca="1">IFERROR(MATCH($B$114,OFFSET(#REF!,AJ59,0,1000000),0)+AJ59,"")</f>
        <v/>
      </c>
      <c r="AK60" s="17" t="str">
        <f ca="1">IFERROR(_xlfn.SINGLE(INDEX(#REF!,'Weekly Report'!AJ60)),"")</f>
        <v/>
      </c>
      <c r="AL60" s="12" t="str">
        <f ca="1">IFERROR(_xlfn.SINGLE(INDEX(#REF!,'Weekly Report'!AJ60)),"")</f>
        <v/>
      </c>
      <c r="AN60" s="12" t="str">
        <f ca="1">IFERROR(MATCH($G$115,OFFSET(#REF!,AN59,0,1000000),0)+AN59,"")</f>
        <v/>
      </c>
      <c r="AO60" s="17" t="str">
        <f ca="1">IFERROR(_xlfn.SINGLE(INDEX(#REF!,'Weekly Report'!AN60)),"")</f>
        <v/>
      </c>
      <c r="AP60" s="12" t="str">
        <f ca="1">IFERROR(_xlfn.SINGLE(INDEX(#REF!,'Weekly Report'!AN60)),"")</f>
        <v/>
      </c>
      <c r="BP60" s="105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85"/>
      <c r="CS60" s="6" t="s">
        <v>176</v>
      </c>
      <c r="CT60" s="6">
        <f>SUMIFS(Table_Assembly[Specific Amount],Table_Assembly[NG Type],$CS$13,Table_Assembly[Product type],$BS$50,Table_Assembly[NG content],CS60,Table_Assembly[MFG Date],$BU$42)</f>
        <v>0</v>
      </c>
      <c r="CU60" s="6">
        <f>SUMIFS(Table_Assembly[Specific Amount],Table_Assembly[NG Type],$CS$13,Table_Assembly[Product type],$BS$50,Table_Assembly[NG content],CS60,Table_Assembly[MFG Date],$BV$42)</f>
        <v>0</v>
      </c>
      <c r="CV60" s="6">
        <f>SUMIFS(Table_Assembly[Specific Amount],Table_Assembly[NG Type],$CS$13,Table_Assembly[Product type],$BS$50,Table_Assembly[NG content],CS60,Table_Assembly[MFG Date],$BW$42)</f>
        <v>0</v>
      </c>
      <c r="CW60" s="6">
        <f>SUMIFS(Table_Assembly[Specific Amount],Table_Assembly[NG Type],$CS$13,Table_Assembly[Product type],$BS$50,Table_Assembly[NG content],CS60,Table_Assembly[MFG Date],$BX$42)</f>
        <v>0</v>
      </c>
      <c r="CX60" s="6">
        <f>SUMIFS(Table_Assembly[Specific Amount],Table_Assembly[NG Type],$CS$13,Table_Assembly[Product type],$BS$50,Table_Assembly[NG content],CS60,Table_Assembly[MFG Date],$BY$42)</f>
        <v>0</v>
      </c>
      <c r="CY60" s="6">
        <f>SUMIFS(Table_Assembly[Specific Amount],Table_Assembly[NG Type],$CS$13,Table_Assembly[Product type],$BS$50,Table_Assembly[NG content],CS60,Table_Assembly[MFG Date],$BZ$42)</f>
        <v>0</v>
      </c>
      <c r="CZ60" s="6">
        <f>SUMIFS(Table_Assembly[Specific Amount],Table_Assembly[NG Type],$CS$13,Table_Assembly[Product type],$BS$50,Table_Assembly[NG content],CS60,Table_Assembly[MFG Date],$CA$42)</f>
        <v>0</v>
      </c>
    </row>
    <row r="61" spans="1:10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85"/>
      <c r="AJ61" s="12" t="str">
        <f ca="1">IFERROR(MATCH($B$114,OFFSET(#REF!,AJ60,0,1000000),0)+AJ60,"")</f>
        <v/>
      </c>
      <c r="AK61" s="17" t="str">
        <f ca="1">IFERROR(_xlfn.SINGLE(INDEX(#REF!,'Weekly Report'!AJ61)),"")</f>
        <v/>
      </c>
      <c r="AL61" s="12" t="str">
        <f ca="1">IFERROR(_xlfn.SINGLE(INDEX(#REF!,'Weekly Report'!AJ61)),"")</f>
        <v/>
      </c>
      <c r="AN61" s="12" t="str">
        <f ca="1">IFERROR(MATCH($G$115,OFFSET(#REF!,AN60,0,1000000),0)+AN60,"")</f>
        <v/>
      </c>
      <c r="AO61" s="17" t="str">
        <f ca="1">IFERROR(_xlfn.SINGLE(INDEX(#REF!,'Weekly Report'!AN61)),"")</f>
        <v/>
      </c>
      <c r="AP61" s="12" t="str">
        <f ca="1">IFERROR(_xlfn.SINGLE(INDEX(#REF!,'Weekly Report'!AN61)),"")</f>
        <v/>
      </c>
      <c r="BP61" s="105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85"/>
      <c r="CS61" s="6" t="s">
        <v>177</v>
      </c>
      <c r="CT61" s="6">
        <f>SUMIFS(Table_Assembly[Specific Amount],Table_Assembly[NG Type],$CS$13,Table_Assembly[Product type],$BS$50,Table_Assembly[NG content],CS61,Table_Assembly[MFG Date],$BU$42)</f>
        <v>0</v>
      </c>
      <c r="CU61" s="6">
        <f>SUMIFS(Table_Assembly[Specific Amount],Table_Assembly[NG Type],$CS$13,Table_Assembly[Product type],$BS$50,Table_Assembly[NG content],CS61,Table_Assembly[MFG Date],$BV$42)</f>
        <v>0</v>
      </c>
      <c r="CV61" s="6">
        <f>SUMIFS(Table_Assembly[Specific Amount],Table_Assembly[NG Type],$CS$13,Table_Assembly[Product type],$BS$50,Table_Assembly[NG content],CS61,Table_Assembly[MFG Date],$BW$42)</f>
        <v>0</v>
      </c>
      <c r="CW61" s="6">
        <f>SUMIFS(Table_Assembly[Specific Amount],Table_Assembly[NG Type],$CS$13,Table_Assembly[Product type],$BS$50,Table_Assembly[NG content],CS61,Table_Assembly[MFG Date],$BX$42)</f>
        <v>0</v>
      </c>
      <c r="CX61" s="6">
        <f>SUMIFS(Table_Assembly[Specific Amount],Table_Assembly[NG Type],$CS$13,Table_Assembly[Product type],$BS$50,Table_Assembly[NG content],CS61,Table_Assembly[MFG Date],$BY$42)</f>
        <v>0</v>
      </c>
      <c r="CY61" s="6">
        <f>SUMIFS(Table_Assembly[Specific Amount],Table_Assembly[NG Type],$CS$13,Table_Assembly[Product type],$BS$50,Table_Assembly[NG content],CS61,Table_Assembly[MFG Date],$BZ$42)</f>
        <v>0</v>
      </c>
      <c r="CZ61" s="6">
        <f>SUMIFS(Table_Assembly[Specific Amount],Table_Assembly[NG Type],$CS$13,Table_Assembly[Product type],$BS$50,Table_Assembly[NG content],CS61,Table_Assembly[MFG Date],$CA$42)</f>
        <v>0</v>
      </c>
    </row>
    <row r="62" spans="1:10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85"/>
      <c r="AJ62" s="12" t="str">
        <f ca="1">IFERROR(MATCH($B$114,OFFSET(#REF!,AJ61,0,1000000),0)+AJ61,"")</f>
        <v/>
      </c>
      <c r="AK62" s="17" t="str">
        <f ca="1">IFERROR(_xlfn.SINGLE(INDEX(#REF!,'Weekly Report'!AJ62)),"")</f>
        <v/>
      </c>
      <c r="AL62" s="12" t="str">
        <f ca="1">IFERROR(_xlfn.SINGLE(INDEX(#REF!,'Weekly Report'!AJ62)),"")</f>
        <v/>
      </c>
      <c r="AN62" s="12" t="str">
        <f ca="1">IFERROR(MATCH($G$115,OFFSET(#REF!,AN61,0,1000000),0)+AN61,"")</f>
        <v/>
      </c>
      <c r="AO62" s="17" t="str">
        <f ca="1">IFERROR(_xlfn.SINGLE(INDEX(#REF!,'Weekly Report'!AN62)),"")</f>
        <v/>
      </c>
      <c r="AP62" s="12" t="str">
        <f ca="1">IFERROR(_xlfn.SINGLE(INDEX(#REF!,'Weekly Report'!AN62)),"")</f>
        <v/>
      </c>
      <c r="BP62" s="105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85"/>
      <c r="CS62" s="6" t="s">
        <v>178</v>
      </c>
      <c r="CT62" s="6">
        <f>SUMIFS(Table_Assembly[Specific Amount],Table_Assembly[NG Type],$CS$13,Table_Assembly[Product type],$BS$50,Table_Assembly[NG content],CS62,Table_Assembly[MFG Date],$BU$42)</f>
        <v>0</v>
      </c>
      <c r="CU62" s="6">
        <f>SUMIFS(Table_Assembly[Specific Amount],Table_Assembly[NG Type],$CS$13,Table_Assembly[Product type],$BS$50,Table_Assembly[NG content],CS62,Table_Assembly[MFG Date],$BV$42)</f>
        <v>0</v>
      </c>
      <c r="CV62" s="6">
        <f>SUMIFS(Table_Assembly[Specific Amount],Table_Assembly[NG Type],$CS$13,Table_Assembly[Product type],$BS$50,Table_Assembly[NG content],CS62,Table_Assembly[MFG Date],$BW$42)</f>
        <v>0</v>
      </c>
      <c r="CW62" s="6">
        <f>SUMIFS(Table_Assembly[Specific Amount],Table_Assembly[NG Type],$CS$13,Table_Assembly[Product type],$BS$50,Table_Assembly[NG content],CS62,Table_Assembly[MFG Date],$BX$42)</f>
        <v>0</v>
      </c>
      <c r="CX62" s="6">
        <f>SUMIFS(Table_Assembly[Specific Amount],Table_Assembly[NG Type],$CS$13,Table_Assembly[Product type],$BS$50,Table_Assembly[NG content],CS62,Table_Assembly[MFG Date],$BY$42)</f>
        <v>0</v>
      </c>
      <c r="CY62" s="6">
        <f>SUMIFS(Table_Assembly[Specific Amount],Table_Assembly[NG Type],$CS$13,Table_Assembly[Product type],$BS$50,Table_Assembly[NG content],CS62,Table_Assembly[MFG Date],$BZ$42)</f>
        <v>0</v>
      </c>
      <c r="CZ62" s="6">
        <f>SUMIFS(Table_Assembly[Specific Amount],Table_Assembly[NG Type],$CS$13,Table_Assembly[Product type],$BS$50,Table_Assembly[NG content],CS62,Table_Assembly[MFG Date],$CA$42)</f>
        <v>0</v>
      </c>
    </row>
    <row r="63" spans="1:10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85"/>
      <c r="AJ63" s="12" t="str">
        <f ca="1">IFERROR(MATCH($B$114,OFFSET(#REF!,AJ62,0,1000000),0)+AJ62,"")</f>
        <v/>
      </c>
      <c r="AK63" s="17" t="str">
        <f ca="1">IFERROR(_xlfn.SINGLE(INDEX(#REF!,'Weekly Report'!AJ63)),"")</f>
        <v/>
      </c>
      <c r="AL63" s="12" t="str">
        <f ca="1">IFERROR(_xlfn.SINGLE(INDEX(#REF!,'Weekly Report'!AJ63)),"")</f>
        <v/>
      </c>
      <c r="AN63" s="12" t="str">
        <f ca="1">IFERROR(MATCH($G$115,OFFSET(#REF!,AN62,0,1000000),0)+AN62,"")</f>
        <v/>
      </c>
      <c r="AO63" s="17" t="str">
        <f ca="1">IFERROR(_xlfn.SINGLE(INDEX(#REF!,'Weekly Report'!AN63)),"")</f>
        <v/>
      </c>
      <c r="AP63" s="12" t="str">
        <f ca="1">IFERROR(_xlfn.SINGLE(INDEX(#REF!,'Weekly Report'!AN63)),"")</f>
        <v/>
      </c>
      <c r="BP63" s="105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85"/>
      <c r="CL63" s="111"/>
      <c r="CS63" s="6" t="s">
        <v>233</v>
      </c>
      <c r="CT63" s="6">
        <f>SUMIFS(Table_Assembly[Specific Amount],Table_Assembly[NG Type],$CS$13,Table_Assembly[Product type],$BS$50,Table_Assembly[NG content],CS63,Table_Assembly[MFG Date],$BU$42)</f>
        <v>3</v>
      </c>
      <c r="CU63" s="6">
        <f>SUMIFS(Table_Assembly[Specific Amount],Table_Assembly[NG Type],$CS$13,Table_Assembly[Product type],$BS$50,Table_Assembly[NG content],CS63,Table_Assembly[MFG Date],$BV$42)</f>
        <v>0</v>
      </c>
      <c r="CV63" s="6">
        <f>SUMIFS(Table_Assembly[Specific Amount],Table_Assembly[NG Type],$CS$13,Table_Assembly[Product type],$BS$50,Table_Assembly[NG content],CS63,Table_Assembly[MFG Date],$BW$42)</f>
        <v>2</v>
      </c>
      <c r="CW63" s="6">
        <f>SUMIFS(Table_Assembly[Specific Amount],Table_Assembly[NG Type],$CS$13,Table_Assembly[Product type],$BS$50,Table_Assembly[NG content],CS63,Table_Assembly[MFG Date],$BX$42)</f>
        <v>1</v>
      </c>
      <c r="CX63" s="6">
        <f>SUMIFS(Table_Assembly[Specific Amount],Table_Assembly[NG Type],$CS$13,Table_Assembly[Product type],$BS$50,Table_Assembly[NG content],CS63,Table_Assembly[MFG Date],$BY$42)</f>
        <v>3</v>
      </c>
      <c r="CY63" s="6">
        <f>SUMIFS(Table_Assembly[Specific Amount],Table_Assembly[NG Type],$CS$13,Table_Assembly[Product type],$BS$50,Table_Assembly[NG content],CS63,Table_Assembly[MFG Date],$BZ$42)</f>
        <v>0</v>
      </c>
      <c r="CZ63" s="6">
        <f>SUMIFS(Table_Assembly[Specific Amount],Table_Assembly[NG Type],$CS$13,Table_Assembly[Product type],$BS$50,Table_Assembly[NG content],CS63,Table_Assembly[MFG Date],$CA$42)</f>
        <v>0</v>
      </c>
    </row>
    <row r="64" spans="1:10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85"/>
      <c r="AJ64" s="12" t="str">
        <f ca="1">IFERROR(MATCH($B$114,OFFSET(#REF!,AJ63,0,1000000),0)+AJ63,"")</f>
        <v/>
      </c>
      <c r="AK64" s="17" t="str">
        <f ca="1">IFERROR(_xlfn.SINGLE(INDEX(#REF!,'Weekly Report'!AJ64)),"")</f>
        <v/>
      </c>
      <c r="AL64" s="12" t="str">
        <f ca="1">IFERROR(_xlfn.SINGLE(INDEX(#REF!,'Weekly Report'!AJ64)),"")</f>
        <v/>
      </c>
      <c r="AN64" s="12" t="str">
        <f ca="1">IFERROR(MATCH($G$115,OFFSET(#REF!,AN63,0,1000000),0)+AN63,"")</f>
        <v/>
      </c>
      <c r="AO64" s="17" t="str">
        <f ca="1">IFERROR(_xlfn.SINGLE(INDEX(#REF!,'Weekly Report'!AN64)),"")</f>
        <v/>
      </c>
      <c r="AP64" s="12" t="str">
        <f ca="1">IFERROR(_xlfn.SINGLE(INDEX(#REF!,'Weekly Report'!AN64)),"")</f>
        <v/>
      </c>
      <c r="BP64" s="105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85"/>
      <c r="CS64" s="6" t="s">
        <v>179</v>
      </c>
      <c r="CT64" s="6">
        <f>SUMIFS(Table_Assembly[Specific Amount],Table_Assembly[NG Type],$CS$13,Table_Assembly[Product type],$BS$50,Table_Assembly[NG content],CS64,Table_Assembly[MFG Date],$BU$42)</f>
        <v>0</v>
      </c>
      <c r="CU64" s="6">
        <f>SUMIFS(Table_Assembly[Specific Amount],Table_Assembly[NG Type],$CS$13,Table_Assembly[Product type],$BS$50,Table_Assembly[NG content],CS64,Table_Assembly[MFG Date],$BV$42)</f>
        <v>0</v>
      </c>
      <c r="CV64" s="6">
        <f>SUMIFS(Table_Assembly[Specific Amount],Table_Assembly[NG Type],$CS$13,Table_Assembly[Product type],$BS$50,Table_Assembly[NG content],CS64,Table_Assembly[MFG Date],$BW$42)</f>
        <v>0</v>
      </c>
      <c r="CW64" s="6">
        <f>SUMIFS(Table_Assembly[Specific Amount],Table_Assembly[NG Type],$CS$13,Table_Assembly[Product type],$BS$50,Table_Assembly[NG content],CS64,Table_Assembly[MFG Date],$BX$42)</f>
        <v>0</v>
      </c>
      <c r="CX64" s="6">
        <f>SUMIFS(Table_Assembly[Specific Amount],Table_Assembly[NG Type],$CS$13,Table_Assembly[Product type],$BS$50,Table_Assembly[NG content],CS64,Table_Assembly[MFG Date],$BY$42)</f>
        <v>0</v>
      </c>
      <c r="CY64" s="6">
        <f>SUMIFS(Table_Assembly[Specific Amount],Table_Assembly[NG Type],$CS$13,Table_Assembly[Product type],$BS$50,Table_Assembly[NG content],CS64,Table_Assembly[MFG Date],$BZ$42)</f>
        <v>0</v>
      </c>
      <c r="CZ64" s="6">
        <f>SUMIFS(Table_Assembly[Specific Amount],Table_Assembly[NG Type],$CS$13,Table_Assembly[Product type],$BS$50,Table_Assembly[NG content],CS64,Table_Assembly[MFG Date],$CA$42)</f>
        <v>0</v>
      </c>
    </row>
    <row r="65" spans="1:10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85"/>
      <c r="AJ65" s="12" t="str">
        <f ca="1">IFERROR(MATCH($B$114,OFFSET(#REF!,AJ64,0,1000000),0)+AJ64,"")</f>
        <v/>
      </c>
      <c r="AK65" s="17" t="str">
        <f ca="1">IFERROR(_xlfn.SINGLE(INDEX(#REF!,'Weekly Report'!AJ65)),"")</f>
        <v/>
      </c>
      <c r="AL65" s="12" t="str">
        <f ca="1">IFERROR(_xlfn.SINGLE(INDEX(#REF!,'Weekly Report'!AJ65)),"")</f>
        <v/>
      </c>
      <c r="AN65" s="12" t="str">
        <f ca="1">IFERROR(MATCH($G$115,OFFSET(#REF!,AN64,0,1000000),0)+AN64,"")</f>
        <v/>
      </c>
      <c r="AO65" s="17" t="str">
        <f ca="1">IFERROR(_xlfn.SINGLE(INDEX(#REF!,'Weekly Report'!AN65)),"")</f>
        <v/>
      </c>
      <c r="AP65" s="12" t="str">
        <f ca="1">IFERROR(_xlfn.SINGLE(INDEX(#REF!,'Weekly Report'!AN65)),"")</f>
        <v/>
      </c>
      <c r="BP65" s="105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85"/>
      <c r="CS65" s="6" t="s">
        <v>180</v>
      </c>
      <c r="CT65" s="6">
        <f>SUMIFS(Table_Assembly[Specific Amount],Table_Assembly[NG Type],$CS$13,Table_Assembly[Product type],$BS$50,Table_Assembly[NG content],CS65,Table_Assembly[MFG Date],$BU$42)</f>
        <v>0</v>
      </c>
      <c r="CU65" s="6">
        <f>SUMIFS(Table_Assembly[Specific Amount],Table_Assembly[NG Type],$CS$13,Table_Assembly[Product type],$BS$50,Table_Assembly[NG content],CS65,Table_Assembly[MFG Date],$BV$42)</f>
        <v>0</v>
      </c>
      <c r="CV65" s="6">
        <f>SUMIFS(Table_Assembly[Specific Amount],Table_Assembly[NG Type],$CS$13,Table_Assembly[Product type],$BS$50,Table_Assembly[NG content],CS65,Table_Assembly[MFG Date],$BW$42)</f>
        <v>0</v>
      </c>
      <c r="CW65" s="6">
        <f>SUMIFS(Table_Assembly[Specific Amount],Table_Assembly[NG Type],$CS$13,Table_Assembly[Product type],$BS$50,Table_Assembly[NG content],CS65,Table_Assembly[MFG Date],$BX$42)</f>
        <v>0</v>
      </c>
      <c r="CX65" s="6">
        <f>SUMIFS(Table_Assembly[Specific Amount],Table_Assembly[NG Type],$CS$13,Table_Assembly[Product type],$BS$50,Table_Assembly[NG content],CS65,Table_Assembly[MFG Date],$BY$42)</f>
        <v>0</v>
      </c>
      <c r="CY65" s="6">
        <f>SUMIFS(Table_Assembly[Specific Amount],Table_Assembly[NG Type],$CS$13,Table_Assembly[Product type],$BS$50,Table_Assembly[NG content],CS65,Table_Assembly[MFG Date],$BZ$42)</f>
        <v>0</v>
      </c>
      <c r="CZ65" s="6">
        <f>SUMIFS(Table_Assembly[Specific Amount],Table_Assembly[NG Type],$CS$13,Table_Assembly[Product type],$BS$50,Table_Assembly[NG content],CS65,Table_Assembly[MFG Date],$CA$42)</f>
        <v>0</v>
      </c>
    </row>
    <row r="66" spans="1:10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85"/>
      <c r="AJ66" s="12" t="str">
        <f ca="1">IFERROR(MATCH($B$114,OFFSET(#REF!,AJ65,0,1000000),0)+AJ65,"")</f>
        <v/>
      </c>
      <c r="AK66" s="17" t="str">
        <f ca="1">IFERROR(_xlfn.SINGLE(INDEX(#REF!,'Weekly Report'!AJ66)),"")</f>
        <v/>
      </c>
      <c r="AL66" s="12" t="str">
        <f ca="1">IFERROR(_xlfn.SINGLE(INDEX(#REF!,'Weekly Report'!AJ66)),"")</f>
        <v/>
      </c>
      <c r="AN66" s="12" t="str">
        <f ca="1">IFERROR(MATCH($G$115,OFFSET(#REF!,AN65,0,1000000),0)+AN65,"")</f>
        <v/>
      </c>
      <c r="AO66" s="17" t="str">
        <f ca="1">IFERROR(_xlfn.SINGLE(INDEX(#REF!,'Weekly Report'!AN66)),"")</f>
        <v/>
      </c>
      <c r="AP66" s="12" t="str">
        <f ca="1">IFERROR(_xlfn.SINGLE(INDEX(#REF!,'Weekly Report'!AN66)),"")</f>
        <v/>
      </c>
      <c r="BP66" s="105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85"/>
      <c r="CS66" s="6" t="s">
        <v>181</v>
      </c>
      <c r="CT66" s="6">
        <f>SUMIFS(Table_Assembly[Specific Amount],Table_Assembly[NG Type],$CS$13,Table_Assembly[Product type],$BS$50,Table_Assembly[NG content],CS66,Table_Assembly[MFG Date],$BU$42)</f>
        <v>0</v>
      </c>
      <c r="CU66" s="6">
        <f>SUMIFS(Table_Assembly[Specific Amount],Table_Assembly[NG Type],$CS$13,Table_Assembly[Product type],$BS$50,Table_Assembly[NG content],CS66,Table_Assembly[MFG Date],$BV$42)</f>
        <v>0</v>
      </c>
      <c r="CV66" s="6">
        <f>SUMIFS(Table_Assembly[Specific Amount],Table_Assembly[NG Type],$CS$13,Table_Assembly[Product type],$BS$50,Table_Assembly[NG content],CS66,Table_Assembly[MFG Date],$BW$42)</f>
        <v>0</v>
      </c>
      <c r="CW66" s="6">
        <f>SUMIFS(Table_Assembly[Specific Amount],Table_Assembly[NG Type],$CS$13,Table_Assembly[Product type],$BS$50,Table_Assembly[NG content],CS66,Table_Assembly[MFG Date],$BX$42)</f>
        <v>0</v>
      </c>
      <c r="CX66" s="6">
        <f>SUMIFS(Table_Assembly[Specific Amount],Table_Assembly[NG Type],$CS$13,Table_Assembly[Product type],$BS$50,Table_Assembly[NG content],CS66,Table_Assembly[MFG Date],$BY$42)</f>
        <v>0</v>
      </c>
      <c r="CY66" s="6">
        <f>SUMIFS(Table_Assembly[Specific Amount],Table_Assembly[NG Type],$CS$13,Table_Assembly[Product type],$BS$50,Table_Assembly[NG content],CS66,Table_Assembly[MFG Date],$BZ$42)</f>
        <v>0</v>
      </c>
      <c r="CZ66" s="6">
        <f>SUMIFS(Table_Assembly[Specific Amount],Table_Assembly[NG Type],$CS$13,Table_Assembly[Product type],$BS$50,Table_Assembly[NG content],CS66,Table_Assembly[MFG Date],$CA$42)</f>
        <v>0</v>
      </c>
    </row>
    <row r="67" spans="1:104">
      <c r="A67" s="23"/>
      <c r="B67" s="23"/>
      <c r="C67" s="23"/>
      <c r="D67" s="23"/>
      <c r="E67" s="32" t="s">
        <v>117</v>
      </c>
      <c r="F67" s="32"/>
      <c r="G67" s="32"/>
      <c r="H67" s="32"/>
      <c r="I67" s="23"/>
      <c r="J67" s="32" t="s">
        <v>118</v>
      </c>
      <c r="K67" s="32"/>
      <c r="L67" s="32"/>
      <c r="M67" s="32"/>
      <c r="N67" s="23"/>
      <c r="O67" s="85"/>
      <c r="AJ67" s="12" t="str">
        <f ca="1">IFERROR(MATCH($B$114,OFFSET(#REF!,AJ66,0,1000000),0)+AJ66,"")</f>
        <v/>
      </c>
      <c r="AK67" s="17" t="str">
        <f ca="1">IFERROR(_xlfn.SINGLE(INDEX(#REF!,'Weekly Report'!AJ67)),"")</f>
        <v/>
      </c>
      <c r="AL67" s="12" t="str">
        <f ca="1">IFERROR(_xlfn.SINGLE(INDEX(#REF!,'Weekly Report'!AJ67)),"")</f>
        <v/>
      </c>
      <c r="AN67" s="12" t="str">
        <f ca="1">IFERROR(MATCH($G$115,OFFSET(#REF!,AN66,0,1000000),0)+AN66,"")</f>
        <v/>
      </c>
      <c r="AO67" s="17" t="str">
        <f ca="1">IFERROR(_xlfn.SINGLE(INDEX(#REF!,'Weekly Report'!AN67)),"")</f>
        <v/>
      </c>
      <c r="AP67" s="12" t="str">
        <f ca="1">IFERROR(_xlfn.SINGLE(INDEX(#REF!,'Weekly Report'!AN67)),"")</f>
        <v/>
      </c>
      <c r="BP67" s="105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85"/>
      <c r="CS67" s="6" t="s">
        <v>182</v>
      </c>
      <c r="CT67" s="6">
        <f>SUMIFS(Table_Assembly[Specific Amount],Table_Assembly[NG Type],$CS$13,Table_Assembly[Product type],$BS$50,Table_Assembly[NG content],CS67,Table_Assembly[MFG Date],$BU$42)</f>
        <v>0</v>
      </c>
      <c r="CU67" s="6">
        <f>SUMIFS(Table_Assembly[Specific Amount],Table_Assembly[NG Type],$CS$13,Table_Assembly[Product type],$BS$50,Table_Assembly[NG content],CS67,Table_Assembly[MFG Date],$BV$42)</f>
        <v>0</v>
      </c>
      <c r="CV67" s="6">
        <f>SUMIFS(Table_Assembly[Specific Amount],Table_Assembly[NG Type],$CS$13,Table_Assembly[Product type],$BS$50,Table_Assembly[NG content],CS67,Table_Assembly[MFG Date],$BW$42)</f>
        <v>0</v>
      </c>
      <c r="CW67" s="6">
        <f>SUMIFS(Table_Assembly[Specific Amount],Table_Assembly[NG Type],$CS$13,Table_Assembly[Product type],$BS$50,Table_Assembly[NG content],CS67,Table_Assembly[MFG Date],$BX$42)</f>
        <v>0</v>
      </c>
      <c r="CX67" s="6">
        <f>SUMIFS(Table_Assembly[Specific Amount],Table_Assembly[NG Type],$CS$13,Table_Assembly[Product type],$BS$50,Table_Assembly[NG content],CS67,Table_Assembly[MFG Date],$BY$42)</f>
        <v>0</v>
      </c>
      <c r="CY67" s="6">
        <f>SUMIFS(Table_Assembly[Specific Amount],Table_Assembly[NG Type],$CS$13,Table_Assembly[Product type],$BS$50,Table_Assembly[NG content],CS67,Table_Assembly[MFG Date],$BZ$42)</f>
        <v>0</v>
      </c>
      <c r="CZ67" s="6">
        <f>SUMIFS(Table_Assembly[Specific Amount],Table_Assembly[NG Type],$CS$13,Table_Assembly[Product type],$BS$50,Table_Assembly[NG content],CS67,Table_Assembly[MFG Date],$CA$42)</f>
        <v>0</v>
      </c>
    </row>
    <row r="68" spans="1:104">
      <c r="A68" s="23"/>
      <c r="B68" s="23"/>
      <c r="C68" s="23"/>
      <c r="D68" s="23"/>
      <c r="E68" s="33" t="s">
        <v>107</v>
      </c>
      <c r="F68" s="33" t="s">
        <v>29</v>
      </c>
      <c r="G68" s="33" t="s">
        <v>108</v>
      </c>
      <c r="H68" s="33" t="s">
        <v>110</v>
      </c>
      <c r="I68" s="23"/>
      <c r="J68" s="33" t="s">
        <v>107</v>
      </c>
      <c r="K68" s="33" t="s">
        <v>29</v>
      </c>
      <c r="L68" s="33" t="s">
        <v>108</v>
      </c>
      <c r="M68" s="33" t="s">
        <v>110</v>
      </c>
      <c r="N68" s="23"/>
      <c r="O68" s="85"/>
      <c r="AJ68" s="12" t="str">
        <f ca="1">IFERROR(MATCH($B$114,OFFSET(#REF!,AJ67,0,1000000),0)+AJ67,"")</f>
        <v/>
      </c>
      <c r="AK68" s="17" t="str">
        <f ca="1">IFERROR(_xlfn.SINGLE(INDEX(#REF!,'Weekly Report'!AJ68)),"")</f>
        <v/>
      </c>
      <c r="AL68" s="12" t="str">
        <f ca="1">IFERROR(_xlfn.SINGLE(INDEX(#REF!,'Weekly Report'!AJ68)),"")</f>
        <v/>
      </c>
      <c r="AN68" s="12" t="str">
        <f ca="1">IFERROR(MATCH($G$115,OFFSET(#REF!,AN67,0,1000000),0)+AN67,"")</f>
        <v/>
      </c>
      <c r="AO68" s="17" t="str">
        <f ca="1">IFERROR(_xlfn.SINGLE(INDEX(#REF!,'Weekly Report'!AN68)),"")</f>
        <v/>
      </c>
      <c r="AP68" s="12" t="str">
        <f ca="1">IFERROR(_xlfn.SINGLE(INDEX(#REF!,'Weekly Report'!AN68)),"")</f>
        <v/>
      </c>
      <c r="BP68" s="105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85"/>
      <c r="CS68" s="6" t="s">
        <v>183</v>
      </c>
      <c r="CT68" s="6">
        <f>SUMIFS(Table_Assembly[Specific Amount],Table_Assembly[NG Type],$CS$13,Table_Assembly[Product type],$BS$50,Table_Assembly[NG content],CS68,Table_Assembly[MFG Date],$BU$42)</f>
        <v>0</v>
      </c>
      <c r="CU68" s="6">
        <f>SUMIFS(Table_Assembly[Specific Amount],Table_Assembly[NG Type],$CS$13,Table_Assembly[Product type],$BS$50,Table_Assembly[NG content],CS68,Table_Assembly[MFG Date],$BV$42)</f>
        <v>0</v>
      </c>
      <c r="CV68" s="6">
        <f>SUMIFS(Table_Assembly[Specific Amount],Table_Assembly[NG Type],$CS$13,Table_Assembly[Product type],$BS$50,Table_Assembly[NG content],CS68,Table_Assembly[MFG Date],$BW$42)</f>
        <v>0</v>
      </c>
      <c r="CW68" s="6">
        <f>SUMIFS(Table_Assembly[Specific Amount],Table_Assembly[NG Type],$CS$13,Table_Assembly[Product type],$BS$50,Table_Assembly[NG content],CS68,Table_Assembly[MFG Date],$BX$42)</f>
        <v>0</v>
      </c>
      <c r="CX68" s="6">
        <f>SUMIFS(Table_Assembly[Specific Amount],Table_Assembly[NG Type],$CS$13,Table_Assembly[Product type],$BS$50,Table_Assembly[NG content],CS68,Table_Assembly[MFG Date],$BY$42)</f>
        <v>0</v>
      </c>
      <c r="CY68" s="6">
        <f>SUMIFS(Table_Assembly[Specific Amount],Table_Assembly[NG Type],$CS$13,Table_Assembly[Product type],$BS$50,Table_Assembly[NG content],CS68,Table_Assembly[MFG Date],$BZ$42)</f>
        <v>0</v>
      </c>
      <c r="CZ68" s="6">
        <f>SUMIFS(Table_Assembly[Specific Amount],Table_Assembly[NG Type],$CS$13,Table_Assembly[Product type],$BS$50,Table_Assembly[NG content],CS68,Table_Assembly[MFG Date],$CA$42)</f>
        <v>0</v>
      </c>
    </row>
    <row r="69" spans="1:104">
      <c r="A69" s="23"/>
      <c r="B69" s="23"/>
      <c r="C69" s="23"/>
      <c r="D69" s="129">
        <v>1</v>
      </c>
      <c r="E69" s="67" t="str">
        <f>Pareto!E57</f>
        <v>Sai phối màu 誤配色</v>
      </c>
      <c r="F69" s="68">
        <f>Pareto!F57</f>
        <v>33</v>
      </c>
      <c r="G69" s="69">
        <f>Pareto!G57</f>
        <v>29.72972972972973</v>
      </c>
      <c r="H69" s="69">
        <f>G69</f>
        <v>29.72972972972973</v>
      </c>
      <c r="I69" s="23"/>
      <c r="J69" s="67" t="str">
        <f>Pareto!K57</f>
        <v>NG, dính dơ, dị vật do NL</v>
      </c>
      <c r="K69" s="68">
        <f>Pareto!L57</f>
        <v>103</v>
      </c>
      <c r="L69" s="69">
        <f>Pareto!M57</f>
        <v>74.100719424460422</v>
      </c>
      <c r="M69" s="69">
        <f>L69</f>
        <v>74.100719424460422</v>
      </c>
      <c r="N69" s="23"/>
      <c r="O69" s="85"/>
      <c r="AJ69" s="12" t="str">
        <f ca="1">IFERROR(MATCH($B$114,OFFSET(#REF!,AJ68,0,1000000),0)+AJ68,"")</f>
        <v/>
      </c>
      <c r="AK69" s="17" t="str">
        <f ca="1">IFERROR(_xlfn.SINGLE(INDEX(#REF!,'Weekly Report'!AJ69)),"")</f>
        <v/>
      </c>
      <c r="AL69" s="12" t="str">
        <f ca="1">IFERROR(_xlfn.SINGLE(INDEX(#REF!,'Weekly Report'!AJ69)),"")</f>
        <v/>
      </c>
      <c r="AN69" s="12" t="str">
        <f ca="1">IFERROR(MATCH($G$115,OFFSET(#REF!,AN68,0,1000000),0)+AN68,"")</f>
        <v/>
      </c>
      <c r="AO69" s="17" t="str">
        <f ca="1">IFERROR(_xlfn.SINGLE(INDEX(#REF!,'Weekly Report'!AN69)),"")</f>
        <v/>
      </c>
      <c r="AP69" s="12" t="str">
        <f ca="1">IFERROR(_xlfn.SINGLE(INDEX(#REF!,'Weekly Report'!AN69)),"")</f>
        <v/>
      </c>
      <c r="BP69" s="105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85"/>
      <c r="CS69" s="6" t="s">
        <v>234</v>
      </c>
      <c r="CT69" s="6">
        <f>SUMIFS(Table_Assembly[Specific Amount],Table_Assembly[NG Type],$CS$13,Table_Assembly[Product type],$BS$50,Table_Assembly[NG content],CS69,Table_Assembly[MFG Date],$BU$42)</f>
        <v>0</v>
      </c>
      <c r="CU69" s="6">
        <f>SUMIFS(Table_Assembly[Specific Amount],Table_Assembly[NG Type],$CS$13,Table_Assembly[Product type],$BS$50,Table_Assembly[NG content],CS69,Table_Assembly[MFG Date],$BV$42)</f>
        <v>0</v>
      </c>
      <c r="CV69" s="6">
        <f>SUMIFS(Table_Assembly[Specific Amount],Table_Assembly[NG Type],$CS$13,Table_Assembly[Product type],$BS$50,Table_Assembly[NG content],CS69,Table_Assembly[MFG Date],$BW$42)</f>
        <v>0</v>
      </c>
      <c r="CW69" s="6">
        <f>SUMIFS(Table_Assembly[Specific Amount],Table_Assembly[NG Type],$CS$13,Table_Assembly[Product type],$BS$50,Table_Assembly[NG content],CS69,Table_Assembly[MFG Date],$BX$42)</f>
        <v>0</v>
      </c>
      <c r="CX69" s="6">
        <f>SUMIFS(Table_Assembly[Specific Amount],Table_Assembly[NG Type],$CS$13,Table_Assembly[Product type],$BS$50,Table_Assembly[NG content],CS69,Table_Assembly[MFG Date],$BY$42)</f>
        <v>0</v>
      </c>
      <c r="CY69" s="6">
        <f>SUMIFS(Table_Assembly[Specific Amount],Table_Assembly[NG Type],$CS$13,Table_Assembly[Product type],$BS$50,Table_Assembly[NG content],CS69,Table_Assembly[MFG Date],$BZ$42)</f>
        <v>0</v>
      </c>
      <c r="CZ69" s="6">
        <f>SUMIFS(Table_Assembly[Specific Amount],Table_Assembly[NG Type],$CS$13,Table_Assembly[Product type],$BS$50,Table_Assembly[NG content],CS69,Table_Assembly[MFG Date],$CA$42)</f>
        <v>0</v>
      </c>
    </row>
    <row r="70" spans="1:104">
      <c r="A70" s="23"/>
      <c r="B70" s="23"/>
      <c r="C70" s="23"/>
      <c r="D70" s="129">
        <v>2</v>
      </c>
      <c r="E70" s="70" t="str">
        <f>Pareto!E58</f>
        <v>Oxi hóa</v>
      </c>
      <c r="F70" s="71">
        <f>Pareto!F58</f>
        <v>18</v>
      </c>
      <c r="G70" s="72">
        <f>Pareto!G58</f>
        <v>16.216216216216218</v>
      </c>
      <c r="H70" s="72">
        <f>IFERROR(H69+G70,"")</f>
        <v>45.945945945945951</v>
      </c>
      <c r="I70" s="23"/>
      <c r="J70" s="70" t="str">
        <f>Pareto!K58</f>
        <v>Cháy dây</v>
      </c>
      <c r="K70" s="71">
        <f>Pareto!L58</f>
        <v>16</v>
      </c>
      <c r="L70" s="72">
        <f>Pareto!M58</f>
        <v>11.510791366906476</v>
      </c>
      <c r="M70" s="72">
        <f>M69+L70</f>
        <v>85.611510791366896</v>
      </c>
      <c r="N70" s="23"/>
      <c r="O70" s="85"/>
      <c r="AJ70" s="12" t="str">
        <f ca="1">IFERROR(MATCH($B$114,OFFSET(#REF!,AJ69,0,1000000),0)+AJ69,"")</f>
        <v/>
      </c>
      <c r="AK70" s="17" t="str">
        <f ca="1">IFERROR(_xlfn.SINGLE(INDEX(#REF!,'Weekly Report'!AJ70)),"")</f>
        <v/>
      </c>
      <c r="AL70" s="12" t="str">
        <f ca="1">IFERROR(_xlfn.SINGLE(INDEX(#REF!,'Weekly Report'!AJ70)),"")</f>
        <v/>
      </c>
      <c r="AN70" s="12" t="str">
        <f ca="1">IFERROR(MATCH($G$115,OFFSET(#REF!,AN69,0,1000000),0)+AN69,"")</f>
        <v/>
      </c>
      <c r="AO70" s="17" t="str">
        <f ca="1">IFERROR(_xlfn.SINGLE(INDEX(#REF!,'Weekly Report'!AN70)),"")</f>
        <v/>
      </c>
      <c r="AP70" s="12" t="str">
        <f ca="1">IFERROR(_xlfn.SINGLE(INDEX(#REF!,'Weekly Report'!AN70)),"")</f>
        <v/>
      </c>
      <c r="BP70" s="105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85"/>
      <c r="CS70" s="6" t="s">
        <v>184</v>
      </c>
      <c r="CT70" s="6">
        <f>SUMIFS(Table_Assembly[Specific Amount],Table_Assembly[NG Type],$CS$13,Table_Assembly[Product type],$BS$50,Table_Assembly[NG content],CS70,Table_Assembly[MFG Date],$BU$42)</f>
        <v>0</v>
      </c>
      <c r="CU70" s="6">
        <f>SUMIFS(Table_Assembly[Specific Amount],Table_Assembly[NG Type],$CS$13,Table_Assembly[Product type],$BS$50,Table_Assembly[NG content],CS70,Table_Assembly[MFG Date],$BV$42)</f>
        <v>0</v>
      </c>
      <c r="CV70" s="6">
        <f>SUMIFS(Table_Assembly[Specific Amount],Table_Assembly[NG Type],$CS$13,Table_Assembly[Product type],$BS$50,Table_Assembly[NG content],CS70,Table_Assembly[MFG Date],$BW$42)</f>
        <v>0</v>
      </c>
      <c r="CW70" s="6">
        <f>SUMIFS(Table_Assembly[Specific Amount],Table_Assembly[NG Type],$CS$13,Table_Assembly[Product type],$BS$50,Table_Assembly[NG content],CS70,Table_Assembly[MFG Date],$BX$42)</f>
        <v>0</v>
      </c>
      <c r="CX70" s="6">
        <f>SUMIFS(Table_Assembly[Specific Amount],Table_Assembly[NG Type],$CS$13,Table_Assembly[Product type],$BS$50,Table_Assembly[NG content],CS70,Table_Assembly[MFG Date],$BY$42)</f>
        <v>0</v>
      </c>
      <c r="CY70" s="6">
        <f>SUMIFS(Table_Assembly[Specific Amount],Table_Assembly[NG Type],$CS$13,Table_Assembly[Product type],$BS$50,Table_Assembly[NG content],CS70,Table_Assembly[MFG Date],$BZ$42)</f>
        <v>0</v>
      </c>
      <c r="CZ70" s="6">
        <f>SUMIFS(Table_Assembly[Specific Amount],Table_Assembly[NG Type],$CS$13,Table_Assembly[Product type],$BS$50,Table_Assembly[NG content],CS70,Table_Assembly[MFG Date],$CA$42)</f>
        <v>0</v>
      </c>
    </row>
    <row r="71" spans="1:104">
      <c r="A71" s="23"/>
      <c r="B71" s="23"/>
      <c r="C71" s="23"/>
      <c r="D71" s="129">
        <v>3</v>
      </c>
      <c r="E71" s="70" t="str">
        <f>Pareto!E59</f>
        <v>Dây ngắn/dài</v>
      </c>
      <c r="F71" s="71">
        <f>Pareto!F59</f>
        <v>15</v>
      </c>
      <c r="G71" s="72">
        <f>Pareto!G59</f>
        <v>13.513513513513514</v>
      </c>
      <c r="H71" s="72">
        <f t="shared" ref="H71:H113" si="66">IFERROR(H70+G71,"")</f>
        <v>59.459459459459467</v>
      </c>
      <c r="I71" s="23"/>
      <c r="J71" s="70" t="str">
        <f>Pareto!K59</f>
        <v>Dây ngắn/dài</v>
      </c>
      <c r="K71" s="71">
        <f>Pareto!L59</f>
        <v>9</v>
      </c>
      <c r="L71" s="72">
        <f>Pareto!M59</f>
        <v>6.4748201438848918</v>
      </c>
      <c r="M71" s="72">
        <f t="shared" ref="M71:M113" si="67">M70+L71</f>
        <v>92.086330935251794</v>
      </c>
      <c r="N71" s="23"/>
      <c r="O71" s="85"/>
      <c r="AJ71" s="12" t="str">
        <f ca="1">IFERROR(MATCH($B$114,OFFSET(#REF!,AJ70,0,1000000),0)+AJ70,"")</f>
        <v/>
      </c>
      <c r="AK71" s="17" t="str">
        <f ca="1">IFERROR(_xlfn.SINGLE(INDEX(#REF!,'Weekly Report'!AJ71)),"")</f>
        <v/>
      </c>
      <c r="AL71" s="12" t="str">
        <f ca="1">IFERROR(_xlfn.SINGLE(INDEX(#REF!,'Weekly Report'!AJ71)),"")</f>
        <v/>
      </c>
      <c r="AN71" s="12" t="str">
        <f ca="1">IFERROR(MATCH($G$115,OFFSET(#REF!,AN70,0,1000000),0)+AN70,"")</f>
        <v/>
      </c>
      <c r="AO71" s="17" t="str">
        <f ca="1">IFERROR(_xlfn.SINGLE(INDEX(#REF!,'Weekly Report'!AN71)),"")</f>
        <v/>
      </c>
      <c r="AP71" s="12" t="str">
        <f ca="1">IFERROR(_xlfn.SINGLE(INDEX(#REF!,'Weekly Report'!AN71)),"")</f>
        <v/>
      </c>
      <c r="BP71" s="105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85"/>
      <c r="CS71" s="6" t="s">
        <v>322</v>
      </c>
      <c r="CT71" s="6">
        <f>SUMIFS(Table_Assembly[Specific Amount],Table_Assembly[NG Type],$CS$13,Table_Assembly[Product type],$BS$50,Table_Assembly[NG content],CS71,Table_Assembly[MFG Date],$BU$42)</f>
        <v>0</v>
      </c>
      <c r="CU71" s="6">
        <f>SUMIFS(Table_Assembly[Specific Amount],Table_Assembly[NG Type],$CS$13,Table_Assembly[Product type],$BS$50,Table_Assembly[NG content],CS71,Table_Assembly[MFG Date],$BV$42)</f>
        <v>0</v>
      </c>
      <c r="CV71" s="6">
        <f>SUMIFS(Table_Assembly[Specific Amount],Table_Assembly[NG Type],$CS$13,Table_Assembly[Product type],$BS$50,Table_Assembly[NG content],CS71,Table_Assembly[MFG Date],$BW$42)</f>
        <v>0</v>
      </c>
      <c r="CW71" s="6">
        <f>SUMIFS(Table_Assembly[Specific Amount],Table_Assembly[NG Type],$CS$13,Table_Assembly[Product type],$BS$50,Table_Assembly[NG content],CS71,Table_Assembly[MFG Date],$BX$42)</f>
        <v>0</v>
      </c>
      <c r="CX71" s="6">
        <f>SUMIFS(Table_Assembly[Specific Amount],Table_Assembly[NG Type],$CS$13,Table_Assembly[Product type],$BS$50,Table_Assembly[NG content],CS71,Table_Assembly[MFG Date],$BY$42)</f>
        <v>0</v>
      </c>
      <c r="CY71" s="6">
        <f>SUMIFS(Table_Assembly[Specific Amount],Table_Assembly[NG Type],$CS$13,Table_Assembly[Product type],$BS$50,Table_Assembly[NG content],CS71,Table_Assembly[MFG Date],$BZ$42)</f>
        <v>0</v>
      </c>
      <c r="CZ71" s="6">
        <f>SUMIFS(Table_Assembly[Specific Amount],Table_Assembly[NG Type],$CS$13,Table_Assembly[Product type],$BS$50,Table_Assembly[NG content],CS71,Table_Assembly[MFG Date],$CA$42)</f>
        <v>0</v>
      </c>
    </row>
    <row r="72" spans="1:104">
      <c r="A72" s="23"/>
      <c r="B72" s="23"/>
      <c r="C72" s="23"/>
      <c r="D72" s="129">
        <v>4</v>
      </c>
      <c r="E72" s="70" t="str">
        <f>Pareto!E60</f>
        <v>Tanshi biến dạng</v>
      </c>
      <c r="F72" s="71">
        <f>Pareto!F60</f>
        <v>11</v>
      </c>
      <c r="G72" s="72">
        <f>Pareto!G60</f>
        <v>9.9099099099099099</v>
      </c>
      <c r="H72" s="72">
        <f t="shared" si="66"/>
        <v>69.36936936936938</v>
      </c>
      <c r="I72" s="23"/>
      <c r="J72" s="70" t="str">
        <f>Pareto!K60</f>
        <v>Oxi hóa</v>
      </c>
      <c r="K72" s="71">
        <f>Pareto!L60</f>
        <v>7</v>
      </c>
      <c r="L72" s="72">
        <f>Pareto!M60</f>
        <v>5.0359712230215825</v>
      </c>
      <c r="M72" s="72">
        <f t="shared" si="67"/>
        <v>97.122302158273371</v>
      </c>
      <c r="N72" s="23"/>
      <c r="O72" s="85"/>
      <c r="AJ72" s="12" t="str">
        <f ca="1">IFERROR(MATCH($B$114,OFFSET(#REF!,AJ71,0,1000000),0)+AJ71,"")</f>
        <v/>
      </c>
      <c r="AK72" s="17" t="str">
        <f ca="1">IFERROR(_xlfn.SINGLE(INDEX(#REF!,'Weekly Report'!AJ72)),"")</f>
        <v/>
      </c>
      <c r="AL72" s="12" t="str">
        <f ca="1">IFERROR(_xlfn.SINGLE(INDEX(#REF!,'Weekly Report'!AJ72)),"")</f>
        <v/>
      </c>
      <c r="AN72" s="12" t="str">
        <f ca="1">IFERROR(MATCH($G$115,OFFSET(#REF!,AN71,0,1000000),0)+AN71,"")</f>
        <v/>
      </c>
      <c r="AO72" s="17" t="str">
        <f ca="1">IFERROR(_xlfn.SINGLE(INDEX(#REF!,'Weekly Report'!AN72)),"")</f>
        <v/>
      </c>
      <c r="AP72" s="12" t="str">
        <f ca="1">IFERROR(_xlfn.SINGLE(INDEX(#REF!,'Weekly Report'!AN72)),"")</f>
        <v/>
      </c>
      <c r="BP72" s="105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85"/>
      <c r="CS72" s="6" t="s">
        <v>185</v>
      </c>
      <c r="CT72" s="6">
        <f>SUMIFS(Table_Assembly[Specific Amount],Table_Assembly[NG Type],$CS$13,Table_Assembly[Product type],$BS$50,Table_Assembly[NG content],CS72,Table_Assembly[MFG Date],$BU$42)</f>
        <v>0</v>
      </c>
      <c r="CU72" s="6">
        <f>SUMIFS(Table_Assembly[Specific Amount],Table_Assembly[NG Type],$CS$13,Table_Assembly[Product type],$BS$50,Table_Assembly[NG content],CS72,Table_Assembly[MFG Date],$BV$42)</f>
        <v>0</v>
      </c>
      <c r="CV72" s="6">
        <f>SUMIFS(Table_Assembly[Specific Amount],Table_Assembly[NG Type],$CS$13,Table_Assembly[Product type],$BS$50,Table_Assembly[NG content],CS72,Table_Assembly[MFG Date],$BW$42)</f>
        <v>0</v>
      </c>
      <c r="CW72" s="6">
        <f>SUMIFS(Table_Assembly[Specific Amount],Table_Assembly[NG Type],$CS$13,Table_Assembly[Product type],$BS$50,Table_Assembly[NG content],CS72,Table_Assembly[MFG Date],$BX$42)</f>
        <v>0</v>
      </c>
      <c r="CX72" s="6">
        <f>SUMIFS(Table_Assembly[Specific Amount],Table_Assembly[NG Type],$CS$13,Table_Assembly[Product type],$BS$50,Table_Assembly[NG content],CS72,Table_Assembly[MFG Date],$BY$42)</f>
        <v>0</v>
      </c>
      <c r="CY72" s="6">
        <f>SUMIFS(Table_Assembly[Specific Amount],Table_Assembly[NG Type],$CS$13,Table_Assembly[Product type],$BS$50,Table_Assembly[NG content],CS72,Table_Assembly[MFG Date],$BZ$42)</f>
        <v>0</v>
      </c>
      <c r="CZ72" s="6">
        <f>SUMIFS(Table_Assembly[Specific Amount],Table_Assembly[NG Type],$CS$13,Table_Assembly[Product type],$BS$50,Table_Assembly[NG content],CS72,Table_Assembly[MFG Date],$CA$42)</f>
        <v>0</v>
      </c>
    </row>
    <row r="73" spans="1:104">
      <c r="A73" s="23"/>
      <c r="B73" s="23"/>
      <c r="C73" s="23"/>
      <c r="D73" s="129">
        <v>5</v>
      </c>
      <c r="E73" s="70" t="str">
        <f>Pareto!E61</f>
        <v>Đội gờ HS</v>
      </c>
      <c r="F73" s="71">
        <f>Pareto!F61</f>
        <v>10</v>
      </c>
      <c r="G73" s="72">
        <f>Pareto!G61</f>
        <v>9.0090090090090094</v>
      </c>
      <c r="H73" s="72">
        <f t="shared" si="66"/>
        <v>78.378378378378386</v>
      </c>
      <c r="I73" s="23"/>
      <c r="J73" s="70" t="str">
        <f>Pareto!K61</f>
        <v>Cấn, trầy</v>
      </c>
      <c r="K73" s="71">
        <f>Pareto!L61</f>
        <v>2</v>
      </c>
      <c r="L73" s="72">
        <f>Pareto!M61</f>
        <v>1.4388489208633095</v>
      </c>
      <c r="M73" s="72">
        <f t="shared" si="67"/>
        <v>98.561151079136678</v>
      </c>
      <c r="N73" s="23"/>
      <c r="O73" s="85"/>
      <c r="AJ73" s="12" t="str">
        <f ca="1">IFERROR(MATCH($B$114,OFFSET(#REF!,AJ72,0,1000000),0)+AJ72,"")</f>
        <v/>
      </c>
      <c r="AK73" s="17" t="str">
        <f ca="1">IFERROR(_xlfn.SINGLE(INDEX(#REF!,'Weekly Report'!AJ73)),"")</f>
        <v/>
      </c>
      <c r="AL73" s="12" t="str">
        <f ca="1">IFERROR(_xlfn.SINGLE(INDEX(#REF!,'Weekly Report'!AJ73)),"")</f>
        <v/>
      </c>
      <c r="AN73" s="12" t="str">
        <f ca="1">IFERROR(MATCH($G$115,OFFSET(#REF!,AN72,0,1000000),0)+AN72,"")</f>
        <v/>
      </c>
      <c r="AO73" s="17" t="str">
        <f ca="1">IFERROR(_xlfn.SINGLE(INDEX(#REF!,'Weekly Report'!AN73)),"")</f>
        <v/>
      </c>
      <c r="AP73" s="12" t="str">
        <f ca="1">IFERROR(_xlfn.SINGLE(INDEX(#REF!,'Weekly Report'!AN73)),"")</f>
        <v/>
      </c>
      <c r="BP73" s="105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85"/>
      <c r="CS73" s="6" t="s">
        <v>236</v>
      </c>
      <c r="CT73" s="6">
        <f>SUMIFS(Table_Assembly[Specific Amount],Table_Assembly[NG Type],$CS$13,Table_Assembly[Product type],$BS$50,Table_Assembly[NG content],CS73,Table_Assembly[MFG Date],$BU$42)</f>
        <v>0</v>
      </c>
      <c r="CU73" s="6">
        <f>SUMIFS(Table_Assembly[Specific Amount],Table_Assembly[NG Type],$CS$13,Table_Assembly[Product type],$BS$50,Table_Assembly[NG content],CS73,Table_Assembly[MFG Date],$BV$42)</f>
        <v>0</v>
      </c>
      <c r="CV73" s="6">
        <f>SUMIFS(Table_Assembly[Specific Amount],Table_Assembly[NG Type],$CS$13,Table_Assembly[Product type],$BS$50,Table_Assembly[NG content],CS73,Table_Assembly[MFG Date],$BW$42)</f>
        <v>2</v>
      </c>
      <c r="CW73" s="6">
        <f>SUMIFS(Table_Assembly[Specific Amount],Table_Assembly[NG Type],$CS$13,Table_Assembly[Product type],$BS$50,Table_Assembly[NG content],CS73,Table_Assembly[MFG Date],$BX$42)</f>
        <v>0</v>
      </c>
      <c r="CX73" s="6">
        <f>SUMIFS(Table_Assembly[Specific Amount],Table_Assembly[NG Type],$CS$13,Table_Assembly[Product type],$BS$50,Table_Assembly[NG content],CS73,Table_Assembly[MFG Date],$BY$42)</f>
        <v>0</v>
      </c>
      <c r="CY73" s="6">
        <f>SUMIFS(Table_Assembly[Specific Amount],Table_Assembly[NG Type],$CS$13,Table_Assembly[Product type],$BS$50,Table_Assembly[NG content],CS73,Table_Assembly[MFG Date],$BZ$42)</f>
        <v>0</v>
      </c>
      <c r="CZ73" s="6">
        <f>SUMIFS(Table_Assembly[Specific Amount],Table_Assembly[NG Type],$CS$13,Table_Assembly[Product type],$BS$50,Table_Assembly[NG content],CS73,Table_Assembly[MFG Date],$CA$42)</f>
        <v>0</v>
      </c>
    </row>
    <row r="74" spans="1:104">
      <c r="A74" s="23"/>
      <c r="B74" s="23"/>
      <c r="C74" s="23"/>
      <c r="D74" s="129">
        <v>6</v>
      </c>
      <c r="E74" s="70" t="str">
        <f>Pareto!E62</f>
        <v>Others for Processing</v>
      </c>
      <c r="F74" s="71">
        <f>Pareto!F62</f>
        <v>8</v>
      </c>
      <c r="G74" s="72">
        <f>Pareto!G62</f>
        <v>7.2072072072072073</v>
      </c>
      <c r="H74" s="72">
        <f t="shared" si="66"/>
        <v>85.585585585585591</v>
      </c>
      <c r="I74" s="23"/>
      <c r="J74" s="70" t="str">
        <f>Pareto!K62</f>
        <v>Trầy, dơ do NL</v>
      </c>
      <c r="K74" s="71">
        <f>Pareto!L62</f>
        <v>1</v>
      </c>
      <c r="L74" s="72">
        <f>Pareto!M62</f>
        <v>0.71942446043165476</v>
      </c>
      <c r="M74" s="72">
        <f t="shared" si="67"/>
        <v>99.280575539568332</v>
      </c>
      <c r="N74" s="23"/>
      <c r="O74" s="85"/>
      <c r="AJ74" s="12" t="str">
        <f ca="1">IFERROR(MATCH($B$114,OFFSET(#REF!,AJ73,0,1000000),0)+AJ73,"")</f>
        <v/>
      </c>
      <c r="AK74" s="17" t="str">
        <f ca="1">IFERROR(_xlfn.SINGLE(INDEX(#REF!,'Weekly Report'!AJ74)),"")</f>
        <v/>
      </c>
      <c r="AL74" s="12" t="str">
        <f ca="1">IFERROR(_xlfn.SINGLE(INDEX(#REF!,'Weekly Report'!AJ74)),"")</f>
        <v/>
      </c>
      <c r="AN74" s="12" t="str">
        <f ca="1">IFERROR(MATCH($G$115,OFFSET(#REF!,AN73,0,1000000),0)+AN73,"")</f>
        <v/>
      </c>
      <c r="AO74" s="17" t="str">
        <f ca="1">IFERROR(_xlfn.SINGLE(INDEX(#REF!,'Weekly Report'!AN74)),"")</f>
        <v/>
      </c>
      <c r="AP74" s="12" t="str">
        <f ca="1">IFERROR(_xlfn.SINGLE(INDEX(#REF!,'Weekly Report'!AN74)),"")</f>
        <v/>
      </c>
      <c r="BP74" s="105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85"/>
      <c r="CS74" s="6" t="s">
        <v>168</v>
      </c>
      <c r="CT74" s="6">
        <f>SUMIFS(Table_Assembly[Specific Amount],Table_Assembly[NG Type],$CS$13,Table_Assembly[Product type],$BS$50,Table_Assembly[NG content],CS74,Table_Assembly[MFG Date],$BU$42)</f>
        <v>0</v>
      </c>
      <c r="CU74" s="6">
        <f>SUMIFS(Table_Assembly[Specific Amount],Table_Assembly[NG Type],$CS$13,Table_Assembly[Product type],$BS$50,Table_Assembly[NG content],CS74,Table_Assembly[MFG Date],$BV$42)</f>
        <v>4</v>
      </c>
      <c r="CV74" s="6">
        <f>SUMIFS(Table_Assembly[Specific Amount],Table_Assembly[NG Type],$CS$13,Table_Assembly[Product type],$BS$50,Table_Assembly[NG content],CS74,Table_Assembly[MFG Date],$BW$42)</f>
        <v>0</v>
      </c>
      <c r="CW74" s="6">
        <f>SUMIFS(Table_Assembly[Specific Amount],Table_Assembly[NG Type],$CS$13,Table_Assembly[Product type],$BS$50,Table_Assembly[NG content],CS74,Table_Assembly[MFG Date],$BX$42)</f>
        <v>0</v>
      </c>
      <c r="CX74" s="6">
        <f>SUMIFS(Table_Assembly[Specific Amount],Table_Assembly[NG Type],$CS$13,Table_Assembly[Product type],$BS$50,Table_Assembly[NG content],CS74,Table_Assembly[MFG Date],$BY$42)</f>
        <v>0</v>
      </c>
      <c r="CY74" s="6">
        <f>SUMIFS(Table_Assembly[Specific Amount],Table_Assembly[NG Type],$CS$13,Table_Assembly[Product type],$BS$50,Table_Assembly[NG content],CS74,Table_Assembly[MFG Date],$BZ$42)</f>
        <v>12</v>
      </c>
      <c r="CZ74" s="6">
        <f>SUMIFS(Table_Assembly[Specific Amount],Table_Assembly[NG Type],$CS$13,Table_Assembly[Product type],$BS$50,Table_Assembly[NG content],CS74,Table_Assembly[MFG Date],$CA$42)</f>
        <v>0</v>
      </c>
    </row>
    <row r="75" spans="1:104">
      <c r="A75" s="23"/>
      <c r="B75" s="23"/>
      <c r="C75" s="23"/>
      <c r="D75" s="129">
        <v>7</v>
      </c>
      <c r="E75" s="70" t="str">
        <f>Pareto!E63</f>
        <v>Ngắn, dài</v>
      </c>
      <c r="F75" s="71">
        <f>Pareto!F63</f>
        <v>4</v>
      </c>
      <c r="G75" s="72">
        <f>Pareto!G63</f>
        <v>3.6036036036036037</v>
      </c>
      <c r="H75" s="72">
        <f t="shared" si="66"/>
        <v>89.189189189189193</v>
      </c>
      <c r="I75" s="23"/>
      <c r="J75" s="70" t="str">
        <f>Pareto!K63</f>
        <v>Others for IC</v>
      </c>
      <c r="K75" s="71">
        <f>Pareto!L63</f>
        <v>1</v>
      </c>
      <c r="L75" s="72">
        <f>Pareto!M63</f>
        <v>0.71942446043165476</v>
      </c>
      <c r="M75" s="72">
        <f t="shared" si="67"/>
        <v>99.999999999999986</v>
      </c>
      <c r="N75" s="23"/>
      <c r="O75" s="85"/>
      <c r="AJ75" s="12" t="str">
        <f ca="1">IFERROR(MATCH($B$114,OFFSET(#REF!,AJ74,0,1000000),0)+AJ74,"")</f>
        <v/>
      </c>
      <c r="AK75" s="17" t="str">
        <f ca="1">IFERROR(_xlfn.SINGLE(INDEX(#REF!,'Weekly Report'!AJ75)),"")</f>
        <v/>
      </c>
      <c r="AL75" s="12" t="str">
        <f ca="1">IFERROR(_xlfn.SINGLE(INDEX(#REF!,'Weekly Report'!AJ75)),"")</f>
        <v/>
      </c>
      <c r="AN75" s="12" t="str">
        <f ca="1">IFERROR(MATCH($G$115,OFFSET(#REF!,AN74,0,1000000),0)+AN74,"")</f>
        <v/>
      </c>
      <c r="AO75" s="17" t="str">
        <f ca="1">IFERROR(_xlfn.SINGLE(INDEX(#REF!,'Weekly Report'!AN75)),"")</f>
        <v/>
      </c>
      <c r="AP75" s="12" t="str">
        <f ca="1">IFERROR(_xlfn.SINGLE(INDEX(#REF!,'Weekly Report'!AN75)),"")</f>
        <v/>
      </c>
      <c r="BP75" s="105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85"/>
      <c r="CS75" s="6" t="s">
        <v>237</v>
      </c>
      <c r="CT75" s="6">
        <f>SUMIFS(Table_Assembly[Specific Amount],Table_Assembly[NG Type],$CS$13,Table_Assembly[Product type],$BS$50,Table_Assembly[NG content],CS75,Table_Assembly[MFG Date],$BU$42)</f>
        <v>0</v>
      </c>
      <c r="CU75" s="6">
        <f>SUMIFS(Table_Assembly[Specific Amount],Table_Assembly[NG Type],$CS$13,Table_Assembly[Product type],$BS$50,Table_Assembly[NG content],CS75,Table_Assembly[MFG Date],$BV$42)</f>
        <v>0</v>
      </c>
      <c r="CV75" s="6">
        <f>SUMIFS(Table_Assembly[Specific Amount],Table_Assembly[NG Type],$CS$13,Table_Assembly[Product type],$BS$50,Table_Assembly[NG content],CS75,Table_Assembly[MFG Date],$BW$42)</f>
        <v>0</v>
      </c>
      <c r="CW75" s="6">
        <f>SUMIFS(Table_Assembly[Specific Amount],Table_Assembly[NG Type],$CS$13,Table_Assembly[Product type],$BS$50,Table_Assembly[NG content],CS75,Table_Assembly[MFG Date],$BX$42)</f>
        <v>0</v>
      </c>
      <c r="CX75" s="6">
        <f>SUMIFS(Table_Assembly[Specific Amount],Table_Assembly[NG Type],$CS$13,Table_Assembly[Product type],$BS$50,Table_Assembly[NG content],CS75,Table_Assembly[MFG Date],$BY$42)</f>
        <v>0</v>
      </c>
      <c r="CY75" s="6">
        <f>SUMIFS(Table_Assembly[Specific Amount],Table_Assembly[NG Type],$CS$13,Table_Assembly[Product type],$BS$50,Table_Assembly[NG content],CS75,Table_Assembly[MFG Date],$BZ$42)</f>
        <v>0</v>
      </c>
      <c r="CZ75" s="6">
        <f>SUMIFS(Table_Assembly[Specific Amount],Table_Assembly[NG Type],$CS$13,Table_Assembly[Product type],$BS$50,Table_Assembly[NG content],CS75,Table_Assembly[MFG Date],$CA$42)</f>
        <v>0</v>
      </c>
    </row>
    <row r="76" spans="1:104">
      <c r="A76" s="23"/>
      <c r="B76" s="23"/>
      <c r="C76" s="23"/>
      <c r="D76" s="129">
        <v>8</v>
      </c>
      <c r="E76" s="70" t="str">
        <f>Pareto!E64</f>
        <v>Mẻ, lõm, biến dạng</v>
      </c>
      <c r="F76" s="71">
        <f>Pareto!F64</f>
        <v>3</v>
      </c>
      <c r="G76" s="72">
        <f>Pareto!G64</f>
        <v>2.7027027027027026</v>
      </c>
      <c r="H76" s="72">
        <f t="shared" si="66"/>
        <v>91.891891891891902</v>
      </c>
      <c r="I76" s="23"/>
      <c r="J76" s="70" t="str">
        <f>Pareto!K64</f>
        <v>Không đạt do NL</v>
      </c>
      <c r="K76" s="71">
        <f>Pareto!L64</f>
        <v>0</v>
      </c>
      <c r="L76" s="72">
        <f>Pareto!M64</f>
        <v>0</v>
      </c>
      <c r="M76" s="72">
        <f t="shared" si="67"/>
        <v>99.999999999999986</v>
      </c>
      <c r="N76" s="23"/>
      <c r="O76" s="85"/>
      <c r="AJ76" s="12" t="str">
        <f ca="1">IFERROR(MATCH($B$114,OFFSET(#REF!,AJ75,0,1000000),0)+AJ75,"")</f>
        <v/>
      </c>
      <c r="AK76" s="17" t="str">
        <f ca="1">IFERROR(_xlfn.SINGLE(INDEX(#REF!,'Weekly Report'!AJ76)),"")</f>
        <v/>
      </c>
      <c r="AL76" s="12" t="str">
        <f ca="1">IFERROR(_xlfn.SINGLE(INDEX(#REF!,'Weekly Report'!AJ76)),"")</f>
        <v/>
      </c>
      <c r="AN76" s="12" t="str">
        <f ca="1">IFERROR(MATCH($G$115,OFFSET(#REF!,AN75,0,1000000),0)+AN75,"")</f>
        <v/>
      </c>
      <c r="AO76" s="17" t="str">
        <f ca="1">IFERROR(_xlfn.SINGLE(INDEX(#REF!,'Weekly Report'!AN76)),"")</f>
        <v/>
      </c>
      <c r="AP76" s="12" t="str">
        <f ca="1">IFERROR(_xlfn.SINGLE(INDEX(#REF!,'Weekly Report'!AN76)),"")</f>
        <v/>
      </c>
      <c r="BP76" s="105"/>
      <c r="BQ76" s="23"/>
      <c r="BR76" s="23"/>
      <c r="BS76" s="23"/>
      <c r="BT76" s="32" t="s">
        <v>117</v>
      </c>
      <c r="BU76" s="32"/>
      <c r="BV76" s="32"/>
      <c r="BW76" s="32"/>
      <c r="BX76" s="23"/>
      <c r="BY76" s="32" t="s">
        <v>118</v>
      </c>
      <c r="BZ76" s="32"/>
      <c r="CA76" s="32"/>
      <c r="CB76" s="32"/>
      <c r="CC76" s="23"/>
      <c r="CD76" s="85"/>
      <c r="CS76" s="6" t="s">
        <v>238</v>
      </c>
      <c r="CT76" s="6">
        <f>SUMIFS(Table_Assembly[Specific Amount],Table_Assembly[NG Type],$CS$13,Table_Assembly[Product type],$BS$50,Table_Assembly[NG content],CS76,Table_Assembly[MFG Date],$BU$42)</f>
        <v>0</v>
      </c>
      <c r="CU76" s="6">
        <f>SUMIFS(Table_Assembly[Specific Amount],Table_Assembly[NG Type],$CS$13,Table_Assembly[Product type],$BS$50,Table_Assembly[NG content],CS76,Table_Assembly[MFG Date],$BV$42)</f>
        <v>0</v>
      </c>
      <c r="CV76" s="6">
        <f>SUMIFS(Table_Assembly[Specific Amount],Table_Assembly[NG Type],$CS$13,Table_Assembly[Product type],$BS$50,Table_Assembly[NG content],CS76,Table_Assembly[MFG Date],$BW$42)</f>
        <v>0</v>
      </c>
      <c r="CW76" s="6">
        <f>SUMIFS(Table_Assembly[Specific Amount],Table_Assembly[NG Type],$CS$13,Table_Assembly[Product type],$BS$50,Table_Assembly[NG content],CS76,Table_Assembly[MFG Date],$BX$42)</f>
        <v>0</v>
      </c>
      <c r="CX76" s="6">
        <f>SUMIFS(Table_Assembly[Specific Amount],Table_Assembly[NG Type],$CS$13,Table_Assembly[Product type],$BS$50,Table_Assembly[NG content],CS76,Table_Assembly[MFG Date],$BY$42)</f>
        <v>0</v>
      </c>
      <c r="CY76" s="6">
        <f>SUMIFS(Table_Assembly[Specific Amount],Table_Assembly[NG Type],$CS$13,Table_Assembly[Product type],$BS$50,Table_Assembly[NG content],CS76,Table_Assembly[MFG Date],$BZ$42)</f>
        <v>0</v>
      </c>
      <c r="CZ76" s="6">
        <f>SUMIFS(Table_Assembly[Specific Amount],Table_Assembly[NG Type],$CS$13,Table_Assembly[Product type],$BS$50,Table_Assembly[NG content],CS76,Table_Assembly[MFG Date],$CA$42)</f>
        <v>0</v>
      </c>
    </row>
    <row r="77" spans="1:104">
      <c r="A77" s="23"/>
      <c r="B77" s="23"/>
      <c r="C77" s="23"/>
      <c r="D77" s="129">
        <v>9</v>
      </c>
      <c r="E77" s="70" t="str">
        <f>Pareto!E65</f>
        <v>Dính dị vật 端子が異物付き</v>
      </c>
      <c r="F77" s="71">
        <f>Pareto!F65</f>
        <v>3</v>
      </c>
      <c r="G77" s="72">
        <f>Pareto!G65</f>
        <v>2.7027027027027026</v>
      </c>
      <c r="H77" s="72">
        <f t="shared" si="66"/>
        <v>94.594594594594611</v>
      </c>
      <c r="I77" s="23"/>
      <c r="J77" s="70" t="str">
        <f>Pareto!K65</f>
        <v>Mẻ, lõm, biến dạng</v>
      </c>
      <c r="K77" s="71">
        <f>Pareto!L65</f>
        <v>0</v>
      </c>
      <c r="L77" s="72">
        <f>Pareto!M65</f>
        <v>0</v>
      </c>
      <c r="M77" s="72">
        <f t="shared" si="67"/>
        <v>99.999999999999986</v>
      </c>
      <c r="N77" s="23"/>
      <c r="O77" s="85"/>
      <c r="AJ77" s="12" t="str">
        <f ca="1">IFERROR(MATCH($B$114,OFFSET(#REF!,AJ76,0,1000000),0)+AJ76,"")</f>
        <v/>
      </c>
      <c r="AK77" s="17" t="str">
        <f ca="1">IFERROR(_xlfn.SINGLE(INDEX(#REF!,'Weekly Report'!AJ77)),"")</f>
        <v/>
      </c>
      <c r="AL77" s="12" t="str">
        <f ca="1">IFERROR(_xlfn.SINGLE(INDEX(#REF!,'Weekly Report'!AJ77)),"")</f>
        <v/>
      </c>
      <c r="AN77" s="12" t="str">
        <f ca="1">IFERROR(MATCH($G$115,OFFSET(#REF!,AN76,0,1000000),0)+AN76,"")</f>
        <v/>
      </c>
      <c r="AO77" s="17" t="str">
        <f ca="1">IFERROR(_xlfn.SINGLE(INDEX(#REF!,'Weekly Report'!AN77)),"")</f>
        <v/>
      </c>
      <c r="AP77" s="12" t="str">
        <f ca="1">IFERROR(_xlfn.SINGLE(INDEX(#REF!,'Weekly Report'!AN77)),"")</f>
        <v/>
      </c>
      <c r="BP77" s="105"/>
      <c r="BQ77" s="23"/>
      <c r="BR77" s="23"/>
      <c r="BS77" s="23"/>
      <c r="BT77" s="33" t="s">
        <v>107</v>
      </c>
      <c r="BU77" s="33" t="s">
        <v>29</v>
      </c>
      <c r="BV77" s="33" t="s">
        <v>108</v>
      </c>
      <c r="BW77" s="33" t="s">
        <v>110</v>
      </c>
      <c r="BX77" s="23"/>
      <c r="BY77" s="33" t="s">
        <v>107</v>
      </c>
      <c r="BZ77" s="33" t="s">
        <v>29</v>
      </c>
      <c r="CA77" s="33" t="s">
        <v>108</v>
      </c>
      <c r="CB77" s="33" t="s">
        <v>110</v>
      </c>
      <c r="CC77" s="23"/>
      <c r="CD77" s="85"/>
      <c r="CS77" s="6" t="s">
        <v>186</v>
      </c>
      <c r="CT77" s="6">
        <f>SUMIFS(Table_Assembly[Specific Amount],Table_Assembly[NG Type],$CS$13,Table_Assembly[Product type],$BS$50,Table_Assembly[NG content],CS77,Table_Assembly[MFG Date],$BU$42)</f>
        <v>0</v>
      </c>
      <c r="CU77" s="6">
        <f>SUMIFS(Table_Assembly[Specific Amount],Table_Assembly[NG Type],$CS$13,Table_Assembly[Product type],$BS$50,Table_Assembly[NG content],CS77,Table_Assembly[MFG Date],$BV$42)</f>
        <v>0</v>
      </c>
      <c r="CV77" s="6">
        <f>SUMIFS(Table_Assembly[Specific Amount],Table_Assembly[NG Type],$CS$13,Table_Assembly[Product type],$BS$50,Table_Assembly[NG content],CS77,Table_Assembly[MFG Date],$BW$42)</f>
        <v>0</v>
      </c>
      <c r="CW77" s="6">
        <f>SUMIFS(Table_Assembly[Specific Amount],Table_Assembly[NG Type],$CS$13,Table_Assembly[Product type],$BS$50,Table_Assembly[NG content],CS77,Table_Assembly[MFG Date],$BX$42)</f>
        <v>0</v>
      </c>
      <c r="CX77" s="6">
        <f>SUMIFS(Table_Assembly[Specific Amount],Table_Assembly[NG Type],$CS$13,Table_Assembly[Product type],$BS$50,Table_Assembly[NG content],CS77,Table_Assembly[MFG Date],$BY$42)</f>
        <v>0</v>
      </c>
      <c r="CY77" s="6">
        <f>SUMIFS(Table_Assembly[Specific Amount],Table_Assembly[NG Type],$CS$13,Table_Assembly[Product type],$BS$50,Table_Assembly[NG content],CS77,Table_Assembly[MFG Date],$BZ$42)</f>
        <v>0</v>
      </c>
      <c r="CZ77" s="6">
        <f>SUMIFS(Table_Assembly[Specific Amount],Table_Assembly[NG Type],$CS$13,Table_Assembly[Product type],$BS$50,Table_Assembly[NG content],CS77,Table_Assembly[MFG Date],$CA$42)</f>
        <v>0</v>
      </c>
    </row>
    <row r="78" spans="1:104">
      <c r="A78" s="23"/>
      <c r="B78" s="23"/>
      <c r="C78" s="23"/>
      <c r="D78" s="129">
        <v>10</v>
      </c>
      <c r="E78" s="70" t="str">
        <f>Pareto!E66</f>
        <v>Cấn, trầy</v>
      </c>
      <c r="F78" s="71">
        <f>Pareto!F66</f>
        <v>2</v>
      </c>
      <c r="G78" s="72">
        <f>Pareto!G66</f>
        <v>1.8018018018018018</v>
      </c>
      <c r="H78" s="72">
        <f t="shared" si="66"/>
        <v>96.396396396396412</v>
      </c>
      <c r="I78" s="23"/>
      <c r="J78" s="70" t="str">
        <f>Pareto!K66</f>
        <v>Đội gờ HS</v>
      </c>
      <c r="K78" s="71">
        <f>Pareto!L66</f>
        <v>0</v>
      </c>
      <c r="L78" s="72">
        <f>Pareto!M66</f>
        <v>0</v>
      </c>
      <c r="M78" s="72">
        <f t="shared" si="67"/>
        <v>99.999999999999986</v>
      </c>
      <c r="N78" s="23"/>
      <c r="O78" s="85"/>
      <c r="AJ78" s="12" t="str">
        <f ca="1">IFERROR(MATCH($B$114,OFFSET(#REF!,AJ77,0,1000000),0)+AJ77,"")</f>
        <v/>
      </c>
      <c r="AK78" s="17" t="str">
        <f ca="1">IFERROR(_xlfn.SINGLE(INDEX(#REF!,'Weekly Report'!AJ78)),"")</f>
        <v/>
      </c>
      <c r="AL78" s="12" t="str">
        <f ca="1">IFERROR(_xlfn.SINGLE(INDEX(#REF!,'Weekly Report'!AJ78)),"")</f>
        <v/>
      </c>
      <c r="AN78" s="12" t="str">
        <f ca="1">IFERROR(MATCH($G$115,OFFSET(#REF!,AN77,0,1000000),0)+AN77,"")</f>
        <v/>
      </c>
      <c r="AO78" s="17" t="str">
        <f ca="1">IFERROR(_xlfn.SINGLE(INDEX(#REF!,'Weekly Report'!AN78)),"")</f>
        <v/>
      </c>
      <c r="AP78" s="12" t="str">
        <f ca="1">IFERROR(_xlfn.SINGLE(INDEX(#REF!,'Weekly Report'!AN78)),"")</f>
        <v/>
      </c>
      <c r="BP78" s="105"/>
      <c r="BQ78" s="23"/>
      <c r="BR78" s="23"/>
      <c r="BS78" s="129">
        <v>1</v>
      </c>
      <c r="BT78" s="67" t="str">
        <f>Pareto!E153</f>
        <v>Sai phối màu 誤配色</v>
      </c>
      <c r="BU78" s="68">
        <f>Pareto!F153</f>
        <v>33</v>
      </c>
      <c r="BV78" s="69">
        <f>Pareto!G153</f>
        <v>41.77215189873418</v>
      </c>
      <c r="BW78" s="69">
        <f>BV78</f>
        <v>41.77215189873418</v>
      </c>
      <c r="BX78" s="23"/>
      <c r="BY78" s="67" t="str">
        <f>Pareto!K153</f>
        <v>Cháy dây</v>
      </c>
      <c r="BZ78" s="68">
        <f>Pareto!L153</f>
        <v>16</v>
      </c>
      <c r="CA78" s="69">
        <f>Pareto!M153</f>
        <v>59.259259259259252</v>
      </c>
      <c r="CB78" s="69">
        <f>CA78</f>
        <v>59.259259259259252</v>
      </c>
      <c r="CC78" s="23"/>
      <c r="CD78" s="85"/>
      <c r="CS78" s="6" t="s">
        <v>187</v>
      </c>
      <c r="CT78" s="6">
        <f>SUMIFS(Table_Assembly[Specific Amount],Table_Assembly[NG Type],$CS$13,Table_Assembly[Product type],$BS$50,Table_Assembly[NG content],CS78,Table_Assembly[MFG Date],$BU$42)</f>
        <v>0</v>
      </c>
      <c r="CU78" s="6">
        <f>SUMIFS(Table_Assembly[Specific Amount],Table_Assembly[NG Type],$CS$13,Table_Assembly[Product type],$BS$50,Table_Assembly[NG content],CS78,Table_Assembly[MFG Date],$BV$42)</f>
        <v>0</v>
      </c>
      <c r="CV78" s="6">
        <f>SUMIFS(Table_Assembly[Specific Amount],Table_Assembly[NG Type],$CS$13,Table_Assembly[Product type],$BS$50,Table_Assembly[NG content],CS78,Table_Assembly[MFG Date],$BW$42)</f>
        <v>0</v>
      </c>
      <c r="CW78" s="6">
        <f>SUMIFS(Table_Assembly[Specific Amount],Table_Assembly[NG Type],$CS$13,Table_Assembly[Product type],$BS$50,Table_Assembly[NG content],CS78,Table_Assembly[MFG Date],$BX$42)</f>
        <v>0</v>
      </c>
      <c r="CX78" s="6">
        <f>SUMIFS(Table_Assembly[Specific Amount],Table_Assembly[NG Type],$CS$13,Table_Assembly[Product type],$BS$50,Table_Assembly[NG content],CS78,Table_Assembly[MFG Date],$BY$42)</f>
        <v>0</v>
      </c>
      <c r="CY78" s="6">
        <f>SUMIFS(Table_Assembly[Specific Amount],Table_Assembly[NG Type],$CS$13,Table_Assembly[Product type],$BS$50,Table_Assembly[NG content],CS78,Table_Assembly[MFG Date],$BZ$42)</f>
        <v>0</v>
      </c>
      <c r="CZ78" s="6">
        <f>SUMIFS(Table_Assembly[Specific Amount],Table_Assembly[NG Type],$CS$13,Table_Assembly[Product type],$BS$50,Table_Assembly[NG content],CS78,Table_Assembly[MFG Date],$CA$42)</f>
        <v>0</v>
      </c>
    </row>
    <row r="79" spans="1:104">
      <c r="A79" s="23"/>
      <c r="B79" s="23"/>
      <c r="C79" s="23"/>
      <c r="D79" s="129">
        <v>11</v>
      </c>
      <c r="E79" s="70" t="str">
        <f>Pareto!E67</f>
        <v>NG, dính dơ, dị vật do NL</v>
      </c>
      <c r="F79" s="71">
        <f>Pareto!F67</f>
        <v>1</v>
      </c>
      <c r="G79" s="72">
        <f>Pareto!G67</f>
        <v>0.90090090090090091</v>
      </c>
      <c r="H79" s="72">
        <f t="shared" si="66"/>
        <v>97.29729729729732</v>
      </c>
      <c r="I79" s="23"/>
      <c r="J79" s="70" t="str">
        <f>Pareto!K67</f>
        <v>MTD</v>
      </c>
      <c r="K79" s="71">
        <f>Pareto!L67</f>
        <v>0</v>
      </c>
      <c r="L79" s="72">
        <f>Pareto!M67</f>
        <v>0</v>
      </c>
      <c r="M79" s="72">
        <f t="shared" si="67"/>
        <v>99.999999999999986</v>
      </c>
      <c r="N79" s="23"/>
      <c r="O79" s="85"/>
      <c r="AJ79" s="12" t="str">
        <f ca="1">IFERROR(MATCH($B$114,OFFSET(#REF!,AJ78,0,1000000),0)+AJ78,"")</f>
        <v/>
      </c>
      <c r="AK79" s="17" t="str">
        <f ca="1">IFERROR(_xlfn.SINGLE(INDEX(#REF!,'Weekly Report'!AJ79)),"")</f>
        <v/>
      </c>
      <c r="AL79" s="12" t="str">
        <f ca="1">IFERROR(_xlfn.SINGLE(INDEX(#REF!,'Weekly Report'!AJ79)),"")</f>
        <v/>
      </c>
      <c r="AN79" s="12" t="str">
        <f ca="1">IFERROR(MATCH($G$115,OFFSET(#REF!,AN78,0,1000000),0)+AN78,"")</f>
        <v/>
      </c>
      <c r="AO79" s="17" t="str">
        <f ca="1">IFERROR(_xlfn.SINGLE(INDEX(#REF!,'Weekly Report'!AN79)),"")</f>
        <v/>
      </c>
      <c r="AP79" s="12" t="str">
        <f ca="1">IFERROR(_xlfn.SINGLE(INDEX(#REF!,'Weekly Report'!AN79)),"")</f>
        <v/>
      </c>
      <c r="BP79" s="105"/>
      <c r="BQ79" s="23"/>
      <c r="BR79" s="23"/>
      <c r="BS79" s="129">
        <v>2</v>
      </c>
      <c r="BT79" s="70" t="str">
        <f>Pareto!E154</f>
        <v>Dây ngắn/dài</v>
      </c>
      <c r="BU79" s="71">
        <f>Pareto!F154</f>
        <v>15</v>
      </c>
      <c r="BV79" s="72">
        <f>Pareto!G154</f>
        <v>18.9873417721519</v>
      </c>
      <c r="BW79" s="72">
        <f>BW78+BV79</f>
        <v>60.75949367088608</v>
      </c>
      <c r="BX79" s="23"/>
      <c r="BY79" s="70" t="str">
        <f>Pareto!K154</f>
        <v>Dây ngắn/dài</v>
      </c>
      <c r="BZ79" s="71">
        <f>Pareto!L154</f>
        <v>9</v>
      </c>
      <c r="CA79" s="72">
        <f>Pareto!M154</f>
        <v>33.333333333333329</v>
      </c>
      <c r="CB79" s="72">
        <f>CB78+CA79</f>
        <v>92.592592592592581</v>
      </c>
      <c r="CC79" s="23"/>
      <c r="CD79" s="85"/>
      <c r="CS79" s="6" t="s">
        <v>188</v>
      </c>
      <c r="CT79" s="6">
        <f>SUMIFS(Table_Assembly[Specific Amount],Table_Assembly[NG Type],$CS$13,Table_Assembly[Product type],$BS$50,Table_Assembly[NG content],CS79,Table_Assembly[MFG Date],$BU$42)</f>
        <v>0</v>
      </c>
      <c r="CU79" s="6">
        <f>SUMIFS(Table_Assembly[Specific Amount],Table_Assembly[NG Type],$CS$13,Table_Assembly[Product type],$BS$50,Table_Assembly[NG content],CS79,Table_Assembly[MFG Date],$BV$42)</f>
        <v>0</v>
      </c>
      <c r="CV79" s="6">
        <f>SUMIFS(Table_Assembly[Specific Amount],Table_Assembly[NG Type],$CS$13,Table_Assembly[Product type],$BS$50,Table_Assembly[NG content],CS79,Table_Assembly[MFG Date],$BW$42)</f>
        <v>0</v>
      </c>
      <c r="CW79" s="6">
        <f>SUMIFS(Table_Assembly[Specific Amount],Table_Assembly[NG Type],$CS$13,Table_Assembly[Product type],$BS$50,Table_Assembly[NG content],CS79,Table_Assembly[MFG Date],$BX$42)</f>
        <v>0</v>
      </c>
      <c r="CX79" s="6">
        <f>SUMIFS(Table_Assembly[Specific Amount],Table_Assembly[NG Type],$CS$13,Table_Assembly[Product type],$BS$50,Table_Assembly[NG content],CS79,Table_Assembly[MFG Date],$BY$42)</f>
        <v>0</v>
      </c>
      <c r="CY79" s="6">
        <f>SUMIFS(Table_Assembly[Specific Amount],Table_Assembly[NG Type],$CS$13,Table_Assembly[Product type],$BS$50,Table_Assembly[NG content],CS79,Table_Assembly[MFG Date],$BZ$42)</f>
        <v>0</v>
      </c>
      <c r="CZ79" s="6">
        <f>SUMIFS(Table_Assembly[Specific Amount],Table_Assembly[NG Type],$CS$13,Table_Assembly[Product type],$BS$50,Table_Assembly[NG content],CS79,Table_Assembly[MFG Date],$CA$42)</f>
        <v>0</v>
      </c>
    </row>
    <row r="80" spans="1:104">
      <c r="A80" s="23"/>
      <c r="B80" s="23"/>
      <c r="C80" s="23"/>
      <c r="D80" s="129">
        <v>12</v>
      </c>
      <c r="E80" s="70" t="str">
        <f>Pareto!E68</f>
        <v>Dập sai</v>
      </c>
      <c r="F80" s="71">
        <f>Pareto!F68</f>
        <v>1</v>
      </c>
      <c r="G80" s="72">
        <f>Pareto!G68</f>
        <v>0.90090090090090091</v>
      </c>
      <c r="H80" s="72">
        <f t="shared" si="66"/>
        <v>98.198198198198227</v>
      </c>
      <c r="I80" s="23"/>
      <c r="J80" s="70" t="str">
        <f>Pareto!K68</f>
        <v>Sai phối màu 誤配色</v>
      </c>
      <c r="K80" s="71">
        <f>Pareto!L68</f>
        <v>0</v>
      </c>
      <c r="L80" s="72">
        <f>Pareto!M68</f>
        <v>0</v>
      </c>
      <c r="M80" s="72">
        <f t="shared" si="67"/>
        <v>99.999999999999986</v>
      </c>
      <c r="N80" s="23"/>
      <c r="O80" s="85"/>
      <c r="AJ80" s="12" t="str">
        <f ca="1">IFERROR(MATCH($B$114,OFFSET(#REF!,AJ79,0,1000000),0)+AJ79,"")</f>
        <v/>
      </c>
      <c r="AK80" s="17" t="str">
        <f ca="1">IFERROR(_xlfn.SINGLE(INDEX(#REF!,'Weekly Report'!AJ80)),"")</f>
        <v/>
      </c>
      <c r="AL80" s="12" t="str">
        <f ca="1">IFERROR(_xlfn.SINGLE(INDEX(#REF!,'Weekly Report'!AJ80)),"")</f>
        <v/>
      </c>
      <c r="AN80" s="12" t="str">
        <f ca="1">IFERROR(MATCH($G$115,OFFSET(#REF!,AN79,0,1000000),0)+AN79,"")</f>
        <v/>
      </c>
      <c r="AO80" s="17" t="str">
        <f ca="1">IFERROR(_xlfn.SINGLE(INDEX(#REF!,'Weekly Report'!AN80)),"")</f>
        <v/>
      </c>
      <c r="AP80" s="12" t="str">
        <f ca="1">IFERROR(_xlfn.SINGLE(INDEX(#REF!,'Weekly Report'!AN80)),"")</f>
        <v/>
      </c>
      <c r="BP80" s="105"/>
      <c r="BQ80" s="23"/>
      <c r="BR80" s="23"/>
      <c r="BS80" s="129">
        <v>3</v>
      </c>
      <c r="BT80" s="70" t="str">
        <f>Pareto!E155</f>
        <v>Tanshi biến dạng</v>
      </c>
      <c r="BU80" s="71">
        <f>Pareto!F155</f>
        <v>11</v>
      </c>
      <c r="BV80" s="72">
        <f>Pareto!G155</f>
        <v>13.924050632911392</v>
      </c>
      <c r="BW80" s="72">
        <f t="shared" ref="BW80:BW114" si="68">BW79+BV80</f>
        <v>74.683544303797476</v>
      </c>
      <c r="BX80" s="23"/>
      <c r="BY80" s="70" t="str">
        <f>Pareto!K155</f>
        <v>Cấn, trầy</v>
      </c>
      <c r="BZ80" s="71">
        <f>Pareto!L155</f>
        <v>2</v>
      </c>
      <c r="CA80" s="72">
        <f>Pareto!M155</f>
        <v>7.4074074074074066</v>
      </c>
      <c r="CB80" s="72">
        <f t="shared" ref="CB80:CB114" si="69">CB79+CA80</f>
        <v>99.999999999999986</v>
      </c>
      <c r="CC80" s="23"/>
      <c r="CD80" s="85"/>
      <c r="CS80" s="6" t="s">
        <v>189</v>
      </c>
      <c r="CT80" s="6">
        <f>SUMIFS(Table_Assembly[Specific Amount],Table_Assembly[NG Type],$CS$13,Table_Assembly[Product type],$BS$50,Table_Assembly[NG content],CS80,Table_Assembly[MFG Date],$BU$42)</f>
        <v>0</v>
      </c>
      <c r="CU80" s="6">
        <f>SUMIFS(Table_Assembly[Specific Amount],Table_Assembly[NG Type],$CS$13,Table_Assembly[Product type],$BS$50,Table_Assembly[NG content],CS80,Table_Assembly[MFG Date],$BV$42)</f>
        <v>0</v>
      </c>
      <c r="CV80" s="6">
        <f>SUMIFS(Table_Assembly[Specific Amount],Table_Assembly[NG Type],$CS$13,Table_Assembly[Product type],$BS$50,Table_Assembly[NG content],CS80,Table_Assembly[MFG Date],$BW$42)</f>
        <v>0</v>
      </c>
      <c r="CW80" s="6">
        <f>SUMIFS(Table_Assembly[Specific Amount],Table_Assembly[NG Type],$CS$13,Table_Assembly[Product type],$BS$50,Table_Assembly[NG content],CS80,Table_Assembly[MFG Date],$BX$42)</f>
        <v>0</v>
      </c>
      <c r="CX80" s="6">
        <f>SUMIFS(Table_Assembly[Specific Amount],Table_Assembly[NG Type],$CS$13,Table_Assembly[Product type],$BS$50,Table_Assembly[NG content],CS80,Table_Assembly[MFG Date],$BY$42)</f>
        <v>0</v>
      </c>
      <c r="CY80" s="6">
        <f>SUMIFS(Table_Assembly[Specific Amount],Table_Assembly[NG Type],$CS$13,Table_Assembly[Product type],$BS$50,Table_Assembly[NG content],CS80,Table_Assembly[MFG Date],$BZ$42)</f>
        <v>0</v>
      </c>
      <c r="CZ80" s="6">
        <f>SUMIFS(Table_Assembly[Specific Amount],Table_Assembly[NG Type],$CS$13,Table_Assembly[Product type],$BS$50,Table_Assembly[NG content],CS80,Table_Assembly[MFG Date],$CA$42)</f>
        <v>0</v>
      </c>
    </row>
    <row r="81" spans="1:104">
      <c r="A81" s="23"/>
      <c r="B81" s="23"/>
      <c r="C81" s="23"/>
      <c r="D81" s="129">
        <v>13</v>
      </c>
      <c r="E81" s="70" t="str">
        <f>Pareto!E69</f>
        <v>Thiếu dây</v>
      </c>
      <c r="F81" s="71">
        <f>Pareto!F69</f>
        <v>1</v>
      </c>
      <c r="G81" s="72">
        <f>Pareto!G69</f>
        <v>0.90090090090090091</v>
      </c>
      <c r="H81" s="72">
        <f t="shared" si="66"/>
        <v>99.099099099099135</v>
      </c>
      <c r="I81" s="23"/>
      <c r="J81" s="70" t="str">
        <f>Pareto!K69</f>
        <v>Sai ống チューブ間違い</v>
      </c>
      <c r="K81" s="71">
        <f>Pareto!L69</f>
        <v>0</v>
      </c>
      <c r="L81" s="72">
        <f>Pareto!M69</f>
        <v>0</v>
      </c>
      <c r="M81" s="72">
        <f t="shared" si="67"/>
        <v>99.999999999999986</v>
      </c>
      <c r="N81" s="23"/>
      <c r="O81" s="85"/>
      <c r="AJ81" s="12" t="str">
        <f ca="1">IFERROR(MATCH($B$114,OFFSET(#REF!,AJ80,0,1000000),0)+AJ80,"")</f>
        <v/>
      </c>
      <c r="AK81" s="17" t="str">
        <f ca="1">IFERROR(_xlfn.SINGLE(INDEX(#REF!,'Weekly Report'!AJ81)),"")</f>
        <v/>
      </c>
      <c r="AL81" s="12" t="str">
        <f ca="1">IFERROR(_xlfn.SINGLE(INDEX(#REF!,'Weekly Report'!AJ81)),"")</f>
        <v/>
      </c>
      <c r="AN81" s="12" t="str">
        <f ca="1">IFERROR(MATCH($G$115,OFFSET(#REF!,AN80,0,1000000),0)+AN80,"")</f>
        <v/>
      </c>
      <c r="AO81" s="17" t="str">
        <f ca="1">IFERROR(_xlfn.SINGLE(INDEX(#REF!,'Weekly Report'!AN81)),"")</f>
        <v/>
      </c>
      <c r="AP81" s="12" t="str">
        <f ca="1">IFERROR(_xlfn.SINGLE(INDEX(#REF!,'Weekly Report'!AN81)),"")</f>
        <v/>
      </c>
      <c r="BP81" s="105"/>
      <c r="BQ81" s="23"/>
      <c r="BR81" s="23"/>
      <c r="BS81" s="129">
        <v>4</v>
      </c>
      <c r="BT81" s="70" t="str">
        <f>Pareto!E156</f>
        <v>Others for Processing</v>
      </c>
      <c r="BU81" s="71">
        <f>Pareto!F156</f>
        <v>8</v>
      </c>
      <c r="BV81" s="72">
        <f>Pareto!G156</f>
        <v>10.126582278481013</v>
      </c>
      <c r="BW81" s="72">
        <f t="shared" si="68"/>
        <v>84.810126582278485</v>
      </c>
      <c r="BX81" s="23"/>
      <c r="BY81" s="70" t="str">
        <f>Pareto!K156</f>
        <v>Sai phối màu 誤配色</v>
      </c>
      <c r="BZ81" s="71">
        <f>Pareto!L156</f>
        <v>0</v>
      </c>
      <c r="CA81" s="72">
        <f>Pareto!M156</f>
        <v>0</v>
      </c>
      <c r="CB81" s="72">
        <f t="shared" si="69"/>
        <v>99.999999999999986</v>
      </c>
      <c r="CC81" s="23"/>
      <c r="CD81" s="85"/>
      <c r="CS81" s="6" t="s">
        <v>190</v>
      </c>
      <c r="CT81" s="6">
        <f>SUMIFS(Table_Assembly[Specific Amount],Table_Assembly[NG Type],$CS$13,Table_Assembly[Product type],$BS$50,Table_Assembly[NG content],CS81,Table_Assembly[MFG Date],$BU$42)</f>
        <v>0</v>
      </c>
      <c r="CU81" s="6">
        <f>SUMIFS(Table_Assembly[Specific Amount],Table_Assembly[NG Type],$CS$13,Table_Assembly[Product type],$BS$50,Table_Assembly[NG content],CS81,Table_Assembly[MFG Date],$BV$42)</f>
        <v>0</v>
      </c>
      <c r="CV81" s="6">
        <f>SUMIFS(Table_Assembly[Specific Amount],Table_Assembly[NG Type],$CS$13,Table_Assembly[Product type],$BS$50,Table_Assembly[NG content],CS81,Table_Assembly[MFG Date],$BW$42)</f>
        <v>0</v>
      </c>
      <c r="CW81" s="6">
        <f>SUMIFS(Table_Assembly[Specific Amount],Table_Assembly[NG Type],$CS$13,Table_Assembly[Product type],$BS$50,Table_Assembly[NG content],CS81,Table_Assembly[MFG Date],$BX$42)</f>
        <v>0</v>
      </c>
      <c r="CX81" s="6">
        <f>SUMIFS(Table_Assembly[Specific Amount],Table_Assembly[NG Type],$CS$13,Table_Assembly[Product type],$BS$50,Table_Assembly[NG content],CS81,Table_Assembly[MFG Date],$BY$42)</f>
        <v>0</v>
      </c>
      <c r="CY81" s="6">
        <f>SUMIFS(Table_Assembly[Specific Amount],Table_Assembly[NG Type],$CS$13,Table_Assembly[Product type],$BS$50,Table_Assembly[NG content],CS81,Table_Assembly[MFG Date],$BZ$42)</f>
        <v>0</v>
      </c>
      <c r="CZ81" s="6">
        <f>SUMIFS(Table_Assembly[Specific Amount],Table_Assembly[NG Type],$CS$13,Table_Assembly[Product type],$BS$50,Table_Assembly[NG content],CS81,Table_Assembly[MFG Date],$CA$42)</f>
        <v>0</v>
      </c>
    </row>
    <row r="82" spans="1:104">
      <c r="A82" s="23"/>
      <c r="B82" s="23"/>
      <c r="C82" s="23"/>
      <c r="D82" s="129">
        <v>14</v>
      </c>
      <c r="E82" s="70" t="str">
        <f>Pareto!E70</f>
        <v>Bị trầy xước</v>
      </c>
      <c r="F82" s="71">
        <f>Pareto!F70</f>
        <v>1</v>
      </c>
      <c r="G82" s="72">
        <f>Pareto!G70</f>
        <v>0.90090090090090091</v>
      </c>
      <c r="H82" s="72">
        <f t="shared" si="66"/>
        <v>100.00000000000004</v>
      </c>
      <c r="I82" s="23"/>
      <c r="J82" s="70" t="str">
        <f>Pareto!K70</f>
        <v>Ngược nút bọc</v>
      </c>
      <c r="K82" s="71">
        <f>Pareto!L70</f>
        <v>0</v>
      </c>
      <c r="L82" s="72">
        <f>Pareto!M70</f>
        <v>0</v>
      </c>
      <c r="M82" s="72">
        <f t="shared" si="67"/>
        <v>99.999999999999986</v>
      </c>
      <c r="N82" s="23"/>
      <c r="O82" s="85"/>
      <c r="AJ82" s="12" t="str">
        <f ca="1">IFERROR(MATCH($B$114,OFFSET(#REF!,AJ81,0,1000000),0)+AJ81,"")</f>
        <v/>
      </c>
      <c r="AK82" s="17" t="str">
        <f ca="1">IFERROR(_xlfn.SINGLE(INDEX(#REF!,'Weekly Report'!AJ82)),"")</f>
        <v/>
      </c>
      <c r="AL82" s="12" t="str">
        <f ca="1">IFERROR(_xlfn.SINGLE(INDEX(#REF!,'Weekly Report'!AJ82)),"")</f>
        <v/>
      </c>
      <c r="AN82" s="12" t="str">
        <f ca="1">IFERROR(MATCH($G$115,OFFSET(#REF!,AN81,0,1000000),0)+AN81,"")</f>
        <v/>
      </c>
      <c r="AO82" s="17" t="str">
        <f ca="1">IFERROR(_xlfn.SINGLE(INDEX(#REF!,'Weekly Report'!AN82)),"")</f>
        <v/>
      </c>
      <c r="AP82" s="12" t="str">
        <f ca="1">IFERROR(_xlfn.SINGLE(INDEX(#REF!,'Weekly Report'!AN82)),"")</f>
        <v/>
      </c>
      <c r="BP82" s="105"/>
      <c r="BQ82" s="23"/>
      <c r="BR82" s="23"/>
      <c r="BS82" s="129">
        <v>5</v>
      </c>
      <c r="BT82" s="70" t="str">
        <f>Pareto!E157</f>
        <v>Ngắn, dài</v>
      </c>
      <c r="BU82" s="71">
        <f>Pareto!F157</f>
        <v>4</v>
      </c>
      <c r="BV82" s="72">
        <f>Pareto!G157</f>
        <v>5.0632911392405067</v>
      </c>
      <c r="BW82" s="72">
        <f t="shared" si="68"/>
        <v>89.87341772151899</v>
      </c>
      <c r="BX82" s="23"/>
      <c r="BY82" s="70" t="str">
        <f>Pareto!K157</f>
        <v>Sai ống チューブ間違い</v>
      </c>
      <c r="BZ82" s="71">
        <f>Pareto!L157</f>
        <v>0</v>
      </c>
      <c r="CA82" s="72">
        <f>Pareto!M157</f>
        <v>0</v>
      </c>
      <c r="CB82" s="72">
        <f t="shared" si="69"/>
        <v>99.999999999999986</v>
      </c>
      <c r="CC82" s="23"/>
      <c r="CD82" s="85"/>
      <c r="CS82" s="6" t="s">
        <v>191</v>
      </c>
      <c r="CT82" s="6">
        <f>SUMIFS(Table_Assembly[Specific Amount],Table_Assembly[NG Type],$CS$13,Table_Assembly[Product type],$BS$50,Table_Assembly[NG content],CS82,Table_Assembly[MFG Date],$BU$42)</f>
        <v>0</v>
      </c>
      <c r="CU82" s="6">
        <f>SUMIFS(Table_Assembly[Specific Amount],Table_Assembly[NG Type],$CS$13,Table_Assembly[Product type],$BS$50,Table_Assembly[NG content],CS82,Table_Assembly[MFG Date],$BV$42)</f>
        <v>0</v>
      </c>
      <c r="CV82" s="6">
        <f>SUMIFS(Table_Assembly[Specific Amount],Table_Assembly[NG Type],$CS$13,Table_Assembly[Product type],$BS$50,Table_Assembly[NG content],CS82,Table_Assembly[MFG Date],$BW$42)</f>
        <v>0</v>
      </c>
      <c r="CW82" s="6">
        <f>SUMIFS(Table_Assembly[Specific Amount],Table_Assembly[NG Type],$CS$13,Table_Assembly[Product type],$BS$50,Table_Assembly[NG content],CS82,Table_Assembly[MFG Date],$BX$42)</f>
        <v>0</v>
      </c>
      <c r="CX82" s="6">
        <f>SUMIFS(Table_Assembly[Specific Amount],Table_Assembly[NG Type],$CS$13,Table_Assembly[Product type],$BS$50,Table_Assembly[NG content],CS82,Table_Assembly[MFG Date],$BY$42)</f>
        <v>0</v>
      </c>
      <c r="CY82" s="6">
        <f>SUMIFS(Table_Assembly[Specific Amount],Table_Assembly[NG Type],$CS$13,Table_Assembly[Product type],$BS$50,Table_Assembly[NG content],CS82,Table_Assembly[MFG Date],$BZ$42)</f>
        <v>0</v>
      </c>
      <c r="CZ82" s="6">
        <f>SUMIFS(Table_Assembly[Specific Amount],Table_Assembly[NG Type],$CS$13,Table_Assembly[Product type],$BS$50,Table_Assembly[NG content],CS82,Table_Assembly[MFG Date],$CA$42)</f>
        <v>0</v>
      </c>
    </row>
    <row r="83" spans="1:104">
      <c r="A83" s="23"/>
      <c r="B83" s="23"/>
      <c r="C83" s="23"/>
      <c r="D83" s="129">
        <v>15</v>
      </c>
      <c r="E83" s="70" t="str">
        <f>Pareto!E71</f>
        <v>Trầy, dơ do NL</v>
      </c>
      <c r="F83" s="71">
        <f>Pareto!F71</f>
        <v>0</v>
      </c>
      <c r="G83" s="72">
        <f>Pareto!G71</f>
        <v>0</v>
      </c>
      <c r="H83" s="72">
        <f t="shared" si="66"/>
        <v>100.00000000000004</v>
      </c>
      <c r="I83" s="23"/>
      <c r="J83" s="70" t="str">
        <f>Pareto!K71</f>
        <v>Thông dòng NG</v>
      </c>
      <c r="K83" s="71">
        <f>Pareto!L71</f>
        <v>0</v>
      </c>
      <c r="L83" s="72">
        <f>Pareto!M71</f>
        <v>0</v>
      </c>
      <c r="M83" s="72">
        <f t="shared" si="67"/>
        <v>99.999999999999986</v>
      </c>
      <c r="N83" s="23"/>
      <c r="O83" s="85"/>
      <c r="AJ83" s="12" t="str">
        <f ca="1">IFERROR(MATCH($B$114,OFFSET(#REF!,AJ82,0,1000000),0)+AJ82,"")</f>
        <v/>
      </c>
      <c r="AK83" s="17" t="str">
        <f ca="1">IFERROR(_xlfn.SINGLE(INDEX(#REF!,'Weekly Report'!AJ83)),"")</f>
        <v/>
      </c>
      <c r="AL83" s="12" t="str">
        <f ca="1">IFERROR(_xlfn.SINGLE(INDEX(#REF!,'Weekly Report'!AJ83)),"")</f>
        <v/>
      </c>
      <c r="AN83" s="12" t="str">
        <f ca="1">IFERROR(MATCH($G$115,OFFSET(#REF!,AN82,0,1000000),0)+AN82,"")</f>
        <v/>
      </c>
      <c r="AO83" s="17" t="str">
        <f ca="1">IFERROR(_xlfn.SINGLE(INDEX(#REF!,'Weekly Report'!AN83)),"")</f>
        <v/>
      </c>
      <c r="AP83" s="12" t="str">
        <f ca="1">IFERROR(_xlfn.SINGLE(INDEX(#REF!,'Weekly Report'!AN83)),"")</f>
        <v/>
      </c>
      <c r="BP83" s="105"/>
      <c r="BQ83" s="23"/>
      <c r="BR83" s="23"/>
      <c r="BS83" s="129">
        <v>6</v>
      </c>
      <c r="BT83" s="70" t="str">
        <f>Pareto!E158</f>
        <v>Dính dị vật 端子が異物付き</v>
      </c>
      <c r="BU83" s="71">
        <f>Pareto!F158</f>
        <v>3</v>
      </c>
      <c r="BV83" s="72">
        <f>Pareto!G158</f>
        <v>3.79746835443038</v>
      </c>
      <c r="BW83" s="72">
        <f t="shared" si="68"/>
        <v>93.670886075949369</v>
      </c>
      <c r="BX83" s="23"/>
      <c r="BY83" s="70" t="str">
        <f>Pareto!K158</f>
        <v>Ngược nút bọc</v>
      </c>
      <c r="BZ83" s="71">
        <f>Pareto!L158</f>
        <v>0</v>
      </c>
      <c r="CA83" s="72">
        <f>Pareto!M158</f>
        <v>0</v>
      </c>
      <c r="CB83" s="72">
        <f t="shared" si="69"/>
        <v>99.999999999999986</v>
      </c>
      <c r="CC83" s="23"/>
      <c r="CD83" s="85"/>
      <c r="CS83" s="6" t="s">
        <v>240</v>
      </c>
      <c r="CT83" s="6">
        <f>SUMIFS(Table_Assembly[Specific Amount],Table_Assembly[NG Type],$CS$13,Table_Assembly[Product type],$BS$50,Table_Assembly[NG content],CS83,Table_Assembly[MFG Date],$BU$42)</f>
        <v>0</v>
      </c>
      <c r="CU83" s="6">
        <f>SUMIFS(Table_Assembly[Specific Amount],Table_Assembly[NG Type],$CS$13,Table_Assembly[Product type],$BS$50,Table_Assembly[NG content],CS83,Table_Assembly[MFG Date],$BV$42)</f>
        <v>0</v>
      </c>
      <c r="CV83" s="6">
        <f>SUMIFS(Table_Assembly[Specific Amount],Table_Assembly[NG Type],$CS$13,Table_Assembly[Product type],$BS$50,Table_Assembly[NG content],CS83,Table_Assembly[MFG Date],$BW$42)</f>
        <v>0</v>
      </c>
      <c r="CW83" s="6">
        <f>SUMIFS(Table_Assembly[Specific Amount],Table_Assembly[NG Type],$CS$13,Table_Assembly[Product type],$BS$50,Table_Assembly[NG content],CS83,Table_Assembly[MFG Date],$BX$42)</f>
        <v>0</v>
      </c>
      <c r="CX83" s="6">
        <f>SUMIFS(Table_Assembly[Specific Amount],Table_Assembly[NG Type],$CS$13,Table_Assembly[Product type],$BS$50,Table_Assembly[NG content],CS83,Table_Assembly[MFG Date],$BY$42)</f>
        <v>0</v>
      </c>
      <c r="CY83" s="6">
        <f>SUMIFS(Table_Assembly[Specific Amount],Table_Assembly[NG Type],$CS$13,Table_Assembly[Product type],$BS$50,Table_Assembly[NG content],CS83,Table_Assembly[MFG Date],$BZ$42)</f>
        <v>0</v>
      </c>
      <c r="CZ83" s="6">
        <f>SUMIFS(Table_Assembly[Specific Amount],Table_Assembly[NG Type],$CS$13,Table_Assembly[Product type],$BS$50,Table_Assembly[NG content],CS83,Table_Assembly[MFG Date],$CA$42)</f>
        <v>0</v>
      </c>
    </row>
    <row r="84" spans="1:104">
      <c r="A84" s="23"/>
      <c r="B84" s="23"/>
      <c r="C84" s="23"/>
      <c r="D84" s="129">
        <v>16</v>
      </c>
      <c r="E84" s="70" t="str">
        <f>Pareto!E72</f>
        <v>Không đạt do NL</v>
      </c>
      <c r="F84" s="71">
        <f>Pareto!F72</f>
        <v>0</v>
      </c>
      <c r="G84" s="72">
        <f>Pareto!G72</f>
        <v>0</v>
      </c>
      <c r="H84" s="72">
        <f t="shared" si="66"/>
        <v>100.00000000000004</v>
      </c>
      <c r="I84" s="23"/>
      <c r="J84" s="70" t="str">
        <f>Pareto!K72</f>
        <v>Ngược Diode</v>
      </c>
      <c r="K84" s="71">
        <f>Pareto!L72</f>
        <v>0</v>
      </c>
      <c r="L84" s="72">
        <f>Pareto!M72</f>
        <v>0</v>
      </c>
      <c r="M84" s="72">
        <f t="shared" si="67"/>
        <v>99.999999999999986</v>
      </c>
      <c r="N84" s="23"/>
      <c r="O84" s="85"/>
      <c r="AJ84" s="12" t="str">
        <f ca="1">IFERROR(MATCH($B$114,OFFSET(#REF!,AJ83,0,1000000),0)+AJ83,"")</f>
        <v/>
      </c>
      <c r="AK84" s="17" t="str">
        <f ca="1">IFERROR(_xlfn.SINGLE(INDEX(#REF!,'Weekly Report'!AJ84)),"")</f>
        <v/>
      </c>
      <c r="AL84" s="12" t="str">
        <f ca="1">IFERROR(_xlfn.SINGLE(INDEX(#REF!,'Weekly Report'!AJ84)),"")</f>
        <v/>
      </c>
      <c r="AN84" s="12" t="str">
        <f ca="1">IFERROR(MATCH($G$115,OFFSET(#REF!,AN83,0,1000000),0)+AN83,"")</f>
        <v/>
      </c>
      <c r="AO84" s="17" t="str">
        <f ca="1">IFERROR(_xlfn.SINGLE(INDEX(#REF!,'Weekly Report'!AN84)),"")</f>
        <v/>
      </c>
      <c r="AP84" s="12" t="str">
        <f ca="1">IFERROR(_xlfn.SINGLE(INDEX(#REF!,'Weekly Report'!AN84)),"")</f>
        <v/>
      </c>
      <c r="BP84" s="105"/>
      <c r="BQ84" s="23"/>
      <c r="BR84" s="23"/>
      <c r="BS84" s="129">
        <v>7</v>
      </c>
      <c r="BT84" s="70" t="str">
        <f>Pareto!E159</f>
        <v>Cấn, trầy</v>
      </c>
      <c r="BU84" s="71">
        <f>Pareto!F159</f>
        <v>2</v>
      </c>
      <c r="BV84" s="72">
        <f>Pareto!G159</f>
        <v>2.5316455696202533</v>
      </c>
      <c r="BW84" s="72">
        <f t="shared" si="68"/>
        <v>96.202531645569621</v>
      </c>
      <c r="BX84" s="23"/>
      <c r="BY84" s="70" t="str">
        <f>Pareto!K159</f>
        <v>Thông dòng NG</v>
      </c>
      <c r="BZ84" s="71">
        <f>Pareto!L159</f>
        <v>0</v>
      </c>
      <c r="CA84" s="72">
        <f>Pareto!M159</f>
        <v>0</v>
      </c>
      <c r="CB84" s="72">
        <f t="shared" si="69"/>
        <v>99.999999999999986</v>
      </c>
      <c r="CC84" s="23"/>
      <c r="CD84" s="85"/>
      <c r="CS84" s="6" t="s">
        <v>192</v>
      </c>
      <c r="CT84" s="6">
        <f>SUMIFS(Table_Assembly[Specific Amount],Table_Assembly[NG Type],$CS$13,Table_Assembly[Product type],$BS$50,Table_Assembly[NG content],CS84,Table_Assembly[MFG Date],$BU$42)</f>
        <v>0</v>
      </c>
      <c r="CU84" s="6">
        <f>SUMIFS(Table_Assembly[Specific Amount],Table_Assembly[NG Type],$CS$13,Table_Assembly[Product type],$BS$50,Table_Assembly[NG content],CS84,Table_Assembly[MFG Date],$BV$42)</f>
        <v>0</v>
      </c>
      <c r="CV84" s="6">
        <f>SUMIFS(Table_Assembly[Specific Amount],Table_Assembly[NG Type],$CS$13,Table_Assembly[Product type],$BS$50,Table_Assembly[NG content],CS84,Table_Assembly[MFG Date],$BW$42)</f>
        <v>0</v>
      </c>
      <c r="CW84" s="6">
        <f>SUMIFS(Table_Assembly[Specific Amount],Table_Assembly[NG Type],$CS$13,Table_Assembly[Product type],$BS$50,Table_Assembly[NG content],CS84,Table_Assembly[MFG Date],$BX$42)</f>
        <v>0</v>
      </c>
      <c r="CX84" s="6">
        <f>SUMIFS(Table_Assembly[Specific Amount],Table_Assembly[NG Type],$CS$13,Table_Assembly[Product type],$BS$50,Table_Assembly[NG content],CS84,Table_Assembly[MFG Date],$BY$42)</f>
        <v>0</v>
      </c>
      <c r="CY84" s="6">
        <f>SUMIFS(Table_Assembly[Specific Amount],Table_Assembly[NG Type],$CS$13,Table_Assembly[Product type],$BS$50,Table_Assembly[NG content],CS84,Table_Assembly[MFG Date],$BZ$42)</f>
        <v>0</v>
      </c>
      <c r="CZ84" s="6">
        <f>SUMIFS(Table_Assembly[Specific Amount],Table_Assembly[NG Type],$CS$13,Table_Assembly[Product type],$BS$50,Table_Assembly[NG content],CS84,Table_Assembly[MFG Date],$CA$42)</f>
        <v>0</v>
      </c>
    </row>
    <row r="85" spans="1:104">
      <c r="A85" s="23"/>
      <c r="B85" s="23"/>
      <c r="C85" s="23"/>
      <c r="D85" s="129">
        <v>17</v>
      </c>
      <c r="E85" s="70" t="str">
        <f>Pareto!E73</f>
        <v>MTD</v>
      </c>
      <c r="F85" s="71">
        <f>Pareto!F73</f>
        <v>0</v>
      </c>
      <c r="G85" s="72">
        <f>Pareto!G73</f>
        <v>0</v>
      </c>
      <c r="H85" s="72">
        <f t="shared" si="66"/>
        <v>100.00000000000004</v>
      </c>
      <c r="I85" s="23"/>
      <c r="J85" s="70" t="str">
        <f>Pareto!K73</f>
        <v>Dập sai</v>
      </c>
      <c r="K85" s="71">
        <f>Pareto!L73</f>
        <v>0</v>
      </c>
      <c r="L85" s="72">
        <f>Pareto!M73</f>
        <v>0</v>
      </c>
      <c r="M85" s="72">
        <f t="shared" si="67"/>
        <v>99.999999999999986</v>
      </c>
      <c r="N85" s="23"/>
      <c r="O85" s="85"/>
      <c r="AJ85" s="12" t="str">
        <f ca="1">IFERROR(MATCH($B$114,OFFSET(#REF!,AJ84,0,1000000),0)+AJ84,"")</f>
        <v/>
      </c>
      <c r="AK85" s="17" t="str">
        <f ca="1">IFERROR(_xlfn.SINGLE(INDEX(#REF!,'Weekly Report'!AJ85)),"")</f>
        <v/>
      </c>
      <c r="AL85" s="12" t="str">
        <f ca="1">IFERROR(_xlfn.SINGLE(INDEX(#REF!,'Weekly Report'!AJ85)),"")</f>
        <v/>
      </c>
      <c r="AN85" s="12" t="str">
        <f ca="1">IFERROR(MATCH($G$115,OFFSET(#REF!,AN84,0,1000000),0)+AN84,"")</f>
        <v/>
      </c>
      <c r="AO85" s="17" t="str">
        <f ca="1">IFERROR(_xlfn.SINGLE(INDEX(#REF!,'Weekly Report'!AN85)),"")</f>
        <v/>
      </c>
      <c r="AP85" s="12" t="str">
        <f ca="1">IFERROR(_xlfn.SINGLE(INDEX(#REF!,'Weekly Report'!AN85)),"")</f>
        <v/>
      </c>
      <c r="BP85" s="105"/>
      <c r="BQ85" s="23"/>
      <c r="BR85" s="23"/>
      <c r="BS85" s="129">
        <v>8</v>
      </c>
      <c r="BT85" s="70" t="str">
        <f>Pareto!E160</f>
        <v>Dập sai</v>
      </c>
      <c r="BU85" s="71">
        <f>Pareto!F160</f>
        <v>1</v>
      </c>
      <c r="BV85" s="72">
        <f>Pareto!G160</f>
        <v>1.2658227848101267</v>
      </c>
      <c r="BW85" s="72">
        <f t="shared" si="68"/>
        <v>97.468354430379748</v>
      </c>
      <c r="BX85" s="23"/>
      <c r="BY85" s="70" t="str">
        <f>Pareto!K160</f>
        <v>Ngược Diode</v>
      </c>
      <c r="BZ85" s="71">
        <f>Pareto!L160</f>
        <v>0</v>
      </c>
      <c r="CA85" s="72">
        <f>Pareto!M160</f>
        <v>0</v>
      </c>
      <c r="CB85" s="72">
        <f t="shared" si="69"/>
        <v>99.999999999999986</v>
      </c>
      <c r="CC85" s="23"/>
      <c r="CD85" s="85"/>
      <c r="CS85" s="6" t="s">
        <v>193</v>
      </c>
      <c r="CT85" s="6">
        <f>SUMIFS(Table_Assembly[Specific Amount],Table_Assembly[NG Type],$CS$13,Table_Assembly[Product type],$BS$50,Table_Assembly[NG content],CS85,Table_Assembly[MFG Date],$BU$42)</f>
        <v>0</v>
      </c>
      <c r="CU85" s="6">
        <f>SUMIFS(Table_Assembly[Specific Amount],Table_Assembly[NG Type],$CS$13,Table_Assembly[Product type],$BS$50,Table_Assembly[NG content],CS85,Table_Assembly[MFG Date],$BV$42)</f>
        <v>0</v>
      </c>
      <c r="CV85" s="6">
        <f>SUMIFS(Table_Assembly[Specific Amount],Table_Assembly[NG Type],$CS$13,Table_Assembly[Product type],$BS$50,Table_Assembly[NG content],CS85,Table_Assembly[MFG Date],$BW$42)</f>
        <v>0</v>
      </c>
      <c r="CW85" s="6">
        <f>SUMIFS(Table_Assembly[Specific Amount],Table_Assembly[NG Type],$CS$13,Table_Assembly[Product type],$BS$50,Table_Assembly[NG content],CS85,Table_Assembly[MFG Date],$BX$42)</f>
        <v>0</v>
      </c>
      <c r="CX85" s="6">
        <f>SUMIFS(Table_Assembly[Specific Amount],Table_Assembly[NG Type],$CS$13,Table_Assembly[Product type],$BS$50,Table_Assembly[NG content],CS85,Table_Assembly[MFG Date],$BY$42)</f>
        <v>0</v>
      </c>
      <c r="CY85" s="6">
        <f>SUMIFS(Table_Assembly[Specific Amount],Table_Assembly[NG Type],$CS$13,Table_Assembly[Product type],$BS$50,Table_Assembly[NG content],CS85,Table_Assembly[MFG Date],$BZ$42)</f>
        <v>0</v>
      </c>
      <c r="CZ85" s="6">
        <f>SUMIFS(Table_Assembly[Specific Amount],Table_Assembly[NG Type],$CS$13,Table_Assembly[Product type],$BS$50,Table_Assembly[NG content],CS85,Table_Assembly[MFG Date],$CA$42)</f>
        <v>0</v>
      </c>
    </row>
    <row r="86" spans="1:104">
      <c r="A86" s="23"/>
      <c r="B86" s="23"/>
      <c r="C86" s="23"/>
      <c r="D86" s="129">
        <v>18</v>
      </c>
      <c r="E86" s="70" t="str">
        <f>Pareto!E74</f>
        <v>Others for IC</v>
      </c>
      <c r="F86" s="71">
        <f>Pareto!F74</f>
        <v>0</v>
      </c>
      <c r="G86" s="72">
        <f>Pareto!G74</f>
        <v>0</v>
      </c>
      <c r="H86" s="72">
        <f t="shared" si="66"/>
        <v>100.00000000000004</v>
      </c>
      <c r="I86" s="23"/>
      <c r="J86" s="70" t="str">
        <f>Pareto!K74</f>
        <v>Thiếu dây</v>
      </c>
      <c r="K86" s="71">
        <f>Pareto!L74</f>
        <v>0</v>
      </c>
      <c r="L86" s="72">
        <f>Pareto!M74</f>
        <v>0</v>
      </c>
      <c r="M86" s="72">
        <f t="shared" si="67"/>
        <v>99.999999999999986</v>
      </c>
      <c r="N86" s="23"/>
      <c r="O86" s="85"/>
      <c r="AJ86" s="12" t="str">
        <f ca="1">IFERROR(MATCH($B$114,OFFSET(#REF!,AJ85,0,1000000),0)+AJ85,"")</f>
        <v/>
      </c>
      <c r="AK86" s="17" t="str">
        <f ca="1">IFERROR(_xlfn.SINGLE(INDEX(#REF!,'Weekly Report'!AJ86)),"")</f>
        <v/>
      </c>
      <c r="AL86" s="12" t="str">
        <f ca="1">IFERROR(_xlfn.SINGLE(INDEX(#REF!,'Weekly Report'!AJ86)),"")</f>
        <v/>
      </c>
      <c r="AN86" s="12" t="str">
        <f ca="1">IFERROR(MATCH($G$115,OFFSET(#REF!,AN85,0,1000000),0)+AN85,"")</f>
        <v/>
      </c>
      <c r="AO86" s="17" t="str">
        <f ca="1">IFERROR(_xlfn.SINGLE(INDEX(#REF!,'Weekly Report'!AN86)),"")</f>
        <v/>
      </c>
      <c r="AP86" s="12" t="str">
        <f ca="1">IFERROR(_xlfn.SINGLE(INDEX(#REF!,'Weekly Report'!AN86)),"")</f>
        <v/>
      </c>
      <c r="BP86" s="105"/>
      <c r="BQ86" s="23"/>
      <c r="BR86" s="23"/>
      <c r="BS86" s="129">
        <v>9</v>
      </c>
      <c r="BT86" s="70" t="str">
        <f>Pareto!E161</f>
        <v>Thiếu dây</v>
      </c>
      <c r="BU86" s="71">
        <f>Pareto!F161</f>
        <v>1</v>
      </c>
      <c r="BV86" s="72">
        <f>Pareto!G161</f>
        <v>1.2658227848101267</v>
      </c>
      <c r="BW86" s="72">
        <f t="shared" si="68"/>
        <v>98.734177215189874</v>
      </c>
      <c r="BX86" s="23"/>
      <c r="BY86" s="70" t="str">
        <f>Pareto!K161</f>
        <v>Dập sai</v>
      </c>
      <c r="BZ86" s="71">
        <f>Pareto!L161</f>
        <v>0</v>
      </c>
      <c r="CA86" s="72">
        <f>Pareto!M161</f>
        <v>0</v>
      </c>
      <c r="CB86" s="72">
        <f t="shared" si="69"/>
        <v>99.999999999999986</v>
      </c>
      <c r="CC86" s="23"/>
      <c r="CD86" s="85"/>
      <c r="CS86" s="6" t="s">
        <v>241</v>
      </c>
      <c r="CT86" s="6">
        <f>SUMIFS(Table_Assembly[Specific Amount],Table_Assembly[NG Type],$CS$13,Table_Assembly[Product type],$BS$50,Table_Assembly[NG content],CS86,Table_Assembly[MFG Date],$BU$42)</f>
        <v>0</v>
      </c>
      <c r="CU86" s="6">
        <f>SUMIFS(Table_Assembly[Specific Amount],Table_Assembly[NG Type],$CS$13,Table_Assembly[Product type],$BS$50,Table_Assembly[NG content],CS86,Table_Assembly[MFG Date],$BV$42)</f>
        <v>0</v>
      </c>
      <c r="CV86" s="6">
        <f>SUMIFS(Table_Assembly[Specific Amount],Table_Assembly[NG Type],$CS$13,Table_Assembly[Product type],$BS$50,Table_Assembly[NG content],CS86,Table_Assembly[MFG Date],$BW$42)</f>
        <v>0</v>
      </c>
      <c r="CW86" s="6">
        <f>SUMIFS(Table_Assembly[Specific Amount],Table_Assembly[NG Type],$CS$13,Table_Assembly[Product type],$BS$50,Table_Assembly[NG content],CS86,Table_Assembly[MFG Date],$BX$42)</f>
        <v>0</v>
      </c>
      <c r="CX86" s="6">
        <f>SUMIFS(Table_Assembly[Specific Amount],Table_Assembly[NG Type],$CS$13,Table_Assembly[Product type],$BS$50,Table_Assembly[NG content],CS86,Table_Assembly[MFG Date],$BY$42)</f>
        <v>0</v>
      </c>
      <c r="CY86" s="6">
        <f>SUMIFS(Table_Assembly[Specific Amount],Table_Assembly[NG Type],$CS$13,Table_Assembly[Product type],$BS$50,Table_Assembly[NG content],CS86,Table_Assembly[MFG Date],$BZ$42)</f>
        <v>0</v>
      </c>
      <c r="CZ86" s="6">
        <f>SUMIFS(Table_Assembly[Specific Amount],Table_Assembly[NG Type],$CS$13,Table_Assembly[Product type],$BS$50,Table_Assembly[NG content],CS86,Table_Assembly[MFG Date],$CA$42)</f>
        <v>0</v>
      </c>
    </row>
    <row r="87" spans="1:104">
      <c r="A87" s="23"/>
      <c r="B87" s="23"/>
      <c r="C87" s="23"/>
      <c r="D87" s="129">
        <v>19</v>
      </c>
      <c r="E87" s="70" t="str">
        <f>Pareto!E75</f>
        <v>Sai ống チューブ間違い</v>
      </c>
      <c r="F87" s="71">
        <f>Pareto!F75</f>
        <v>0</v>
      </c>
      <c r="G87" s="72">
        <f>Pareto!G75</f>
        <v>0</v>
      </c>
      <c r="H87" s="72">
        <f t="shared" si="66"/>
        <v>100.00000000000004</v>
      </c>
      <c r="I87" s="23"/>
      <c r="J87" s="70" t="str">
        <f>Pareto!K75</f>
        <v>Sai vị trí</v>
      </c>
      <c r="K87" s="71">
        <f>Pareto!L75</f>
        <v>0</v>
      </c>
      <c r="L87" s="72">
        <f>Pareto!M75</f>
        <v>0</v>
      </c>
      <c r="M87" s="72">
        <f t="shared" si="67"/>
        <v>99.999999999999986</v>
      </c>
      <c r="N87" s="23"/>
      <c r="O87" s="85"/>
      <c r="AJ87" s="12" t="str">
        <f ca="1">IFERROR(MATCH($B$114,OFFSET(#REF!,AJ86,0,1000000),0)+AJ86,"")</f>
        <v/>
      </c>
      <c r="AK87" s="17" t="str">
        <f ca="1">IFERROR(_xlfn.SINGLE(INDEX(#REF!,'Weekly Report'!AJ87)),"")</f>
        <v/>
      </c>
      <c r="AL87" s="12" t="str">
        <f ca="1">IFERROR(_xlfn.SINGLE(INDEX(#REF!,'Weekly Report'!AJ87)),"")</f>
        <v/>
      </c>
      <c r="AN87" s="12" t="str">
        <f ca="1">IFERROR(MATCH($G$115,OFFSET(#REF!,AN86,0,1000000),0)+AN86,"")</f>
        <v/>
      </c>
      <c r="AO87" s="17" t="str">
        <f ca="1">IFERROR(_xlfn.SINGLE(INDEX(#REF!,'Weekly Report'!AN87)),"")</f>
        <v/>
      </c>
      <c r="AP87" s="12" t="str">
        <f ca="1">IFERROR(_xlfn.SINGLE(INDEX(#REF!,'Weekly Report'!AN87)),"")</f>
        <v/>
      </c>
      <c r="BP87" s="105"/>
      <c r="BQ87" s="23"/>
      <c r="BR87" s="23"/>
      <c r="BS87" s="129">
        <v>10</v>
      </c>
      <c r="BT87" s="70" t="str">
        <f>Pareto!E162</f>
        <v>Bị trầy xước</v>
      </c>
      <c r="BU87" s="71">
        <f>Pareto!F162</f>
        <v>1</v>
      </c>
      <c r="BV87" s="72">
        <f>Pareto!G162</f>
        <v>1.2658227848101267</v>
      </c>
      <c r="BW87" s="72">
        <f t="shared" si="68"/>
        <v>100</v>
      </c>
      <c r="BX87" s="23"/>
      <c r="BY87" s="70" t="str">
        <f>Pareto!K162</f>
        <v>Thiếu dây</v>
      </c>
      <c r="BZ87" s="71">
        <f>Pareto!L162</f>
        <v>0</v>
      </c>
      <c r="CA87" s="72">
        <f>Pareto!M162</f>
        <v>0</v>
      </c>
      <c r="CB87" s="72">
        <f t="shared" si="69"/>
        <v>99.999999999999986</v>
      </c>
      <c r="CC87" s="23"/>
      <c r="CD87" s="85"/>
      <c r="CS87" s="6" t="s">
        <v>194</v>
      </c>
      <c r="CT87" s="6">
        <f>SUMIFS(Table_Assembly[Specific Amount],Table_Assembly[NG Type],$CS$13,Table_Assembly[Product type],$BS$50,Table_Assembly[NG content],CS87,Table_Assembly[MFG Date],$BU$42)</f>
        <v>0</v>
      </c>
      <c r="CU87" s="6">
        <f>SUMIFS(Table_Assembly[Specific Amount],Table_Assembly[NG Type],$CS$13,Table_Assembly[Product type],$BS$50,Table_Assembly[NG content],CS87,Table_Assembly[MFG Date],$BV$42)</f>
        <v>0</v>
      </c>
      <c r="CV87" s="6">
        <f>SUMIFS(Table_Assembly[Specific Amount],Table_Assembly[NG Type],$CS$13,Table_Assembly[Product type],$BS$50,Table_Assembly[NG content],CS87,Table_Assembly[MFG Date],$BW$42)</f>
        <v>0</v>
      </c>
      <c r="CW87" s="6">
        <f>SUMIFS(Table_Assembly[Specific Amount],Table_Assembly[NG Type],$CS$13,Table_Assembly[Product type],$BS$50,Table_Assembly[NG content],CS87,Table_Assembly[MFG Date],$BX$42)</f>
        <v>0</v>
      </c>
      <c r="CX87" s="6">
        <f>SUMIFS(Table_Assembly[Specific Amount],Table_Assembly[NG Type],$CS$13,Table_Assembly[Product type],$BS$50,Table_Assembly[NG content],CS87,Table_Assembly[MFG Date],$BY$42)</f>
        <v>0</v>
      </c>
      <c r="CY87" s="6">
        <f>SUMIFS(Table_Assembly[Specific Amount],Table_Assembly[NG Type],$CS$13,Table_Assembly[Product type],$BS$50,Table_Assembly[NG content],CS87,Table_Assembly[MFG Date],$BZ$42)</f>
        <v>0</v>
      </c>
      <c r="CZ87" s="6">
        <f>SUMIFS(Table_Assembly[Specific Amount],Table_Assembly[NG Type],$CS$13,Table_Assembly[Product type],$BS$50,Table_Assembly[NG content],CS87,Table_Assembly[MFG Date],$CA$42)</f>
        <v>0</v>
      </c>
    </row>
    <row r="88" spans="1:104">
      <c r="A88" s="23"/>
      <c r="B88" s="23"/>
      <c r="C88" s="23"/>
      <c r="D88" s="129">
        <v>20</v>
      </c>
      <c r="E88" s="73" t="str">
        <f>Pareto!E76</f>
        <v>Ngược nút bọc</v>
      </c>
      <c r="F88" s="71">
        <f>Pareto!F76</f>
        <v>0</v>
      </c>
      <c r="G88" s="72">
        <f>Pareto!G76</f>
        <v>0</v>
      </c>
      <c r="H88" s="128">
        <f t="shared" si="66"/>
        <v>100.00000000000004</v>
      </c>
      <c r="I88" s="23"/>
      <c r="J88" s="73" t="str">
        <f>Pareto!K76</f>
        <v>Sai kích thước</v>
      </c>
      <c r="K88" s="71">
        <f>Pareto!L76</f>
        <v>0</v>
      </c>
      <c r="L88" s="72">
        <f>Pareto!M76</f>
        <v>0</v>
      </c>
      <c r="M88" s="128">
        <f t="shared" si="67"/>
        <v>99.999999999999986</v>
      </c>
      <c r="N88" s="23"/>
      <c r="O88" s="85"/>
      <c r="AJ88" s="12" t="str">
        <f ca="1">IFERROR(MATCH($B$114,OFFSET(#REF!,AJ87,0,1000000),0)+AJ87,"")</f>
        <v/>
      </c>
      <c r="AK88" s="17" t="str">
        <f ca="1">IFERROR(_xlfn.SINGLE(INDEX(#REF!,'Weekly Report'!AJ88)),"")</f>
        <v/>
      </c>
      <c r="AL88" s="12" t="str">
        <f ca="1">IFERROR(_xlfn.SINGLE(INDEX(#REF!,'Weekly Report'!AJ88)),"")</f>
        <v/>
      </c>
      <c r="AN88" s="12" t="str">
        <f ca="1">IFERROR(MATCH($G$115,OFFSET(#REF!,AN87,0,1000000),0)+AN87,"")</f>
        <v/>
      </c>
      <c r="AO88" s="17" t="str">
        <f ca="1">IFERROR(_xlfn.SINGLE(INDEX(#REF!,'Weekly Report'!AN88)),"")</f>
        <v/>
      </c>
      <c r="AP88" s="12" t="str">
        <f ca="1">IFERROR(_xlfn.SINGLE(INDEX(#REF!,'Weekly Report'!AN88)),"")</f>
        <v/>
      </c>
      <c r="BP88" s="105"/>
      <c r="BQ88" s="23"/>
      <c r="BR88" s="23"/>
      <c r="BS88" s="129">
        <v>11</v>
      </c>
      <c r="BT88" s="70" t="str">
        <f>Pareto!E163</f>
        <v>Sai ống チューブ間違い</v>
      </c>
      <c r="BU88" s="71">
        <f>Pareto!F163</f>
        <v>0</v>
      </c>
      <c r="BV88" s="72">
        <f>Pareto!G163</f>
        <v>0</v>
      </c>
      <c r="BW88" s="72">
        <f t="shared" si="68"/>
        <v>100</v>
      </c>
      <c r="BX88" s="23"/>
      <c r="BY88" s="70" t="str">
        <f>Pareto!K163</f>
        <v>Sai vị trí</v>
      </c>
      <c r="BZ88" s="71">
        <f>Pareto!L163</f>
        <v>0</v>
      </c>
      <c r="CA88" s="72">
        <f>Pareto!M163</f>
        <v>0</v>
      </c>
      <c r="CB88" s="72">
        <f t="shared" si="69"/>
        <v>99.999999999999986</v>
      </c>
      <c r="CC88" s="23"/>
      <c r="CD88" s="85"/>
      <c r="CS88" s="6" t="s">
        <v>195</v>
      </c>
      <c r="CT88" s="6">
        <f>SUMIFS(Table_Assembly[Specific Amount],Table_Assembly[NG Type],$CS$13,Table_Assembly[Product type],$BS$50,Table_Assembly[NG content],CS88,Table_Assembly[MFG Date],$BU$42)</f>
        <v>0</v>
      </c>
      <c r="CU88" s="6">
        <f>SUMIFS(Table_Assembly[Specific Amount],Table_Assembly[NG Type],$CS$13,Table_Assembly[Product type],$BS$50,Table_Assembly[NG content],CS88,Table_Assembly[MFG Date],$BV$42)</f>
        <v>0</v>
      </c>
      <c r="CV88" s="6">
        <f>SUMIFS(Table_Assembly[Specific Amount],Table_Assembly[NG Type],$CS$13,Table_Assembly[Product type],$BS$50,Table_Assembly[NG content],CS88,Table_Assembly[MFG Date],$BW$42)</f>
        <v>0</v>
      </c>
      <c r="CW88" s="6">
        <f>SUMIFS(Table_Assembly[Specific Amount],Table_Assembly[NG Type],$CS$13,Table_Assembly[Product type],$BS$50,Table_Assembly[NG content],CS88,Table_Assembly[MFG Date],$BX$42)</f>
        <v>0</v>
      </c>
      <c r="CX88" s="6">
        <f>SUMIFS(Table_Assembly[Specific Amount],Table_Assembly[NG Type],$CS$13,Table_Assembly[Product type],$BS$50,Table_Assembly[NG content],CS88,Table_Assembly[MFG Date],$BY$42)</f>
        <v>0</v>
      </c>
      <c r="CY88" s="6">
        <f>SUMIFS(Table_Assembly[Specific Amount],Table_Assembly[NG Type],$CS$13,Table_Assembly[Product type],$BS$50,Table_Assembly[NG content],CS88,Table_Assembly[MFG Date],$BZ$42)</f>
        <v>0</v>
      </c>
      <c r="CZ88" s="6">
        <f>SUMIFS(Table_Assembly[Specific Amount],Table_Assembly[NG Type],$CS$13,Table_Assembly[Product type],$BS$50,Table_Assembly[NG content],CS88,Table_Assembly[MFG Date],$CA$42)</f>
        <v>0</v>
      </c>
    </row>
    <row r="89" spans="1:104">
      <c r="A89" s="23"/>
      <c r="B89" s="23"/>
      <c r="C89" s="23"/>
      <c r="D89" s="129">
        <v>21</v>
      </c>
      <c r="E89" s="73" t="str">
        <f>Pareto!E77</f>
        <v>Thông dòng NG</v>
      </c>
      <c r="F89" s="71">
        <f>Pareto!F77</f>
        <v>0</v>
      </c>
      <c r="G89" s="72">
        <f>Pareto!G77</f>
        <v>0</v>
      </c>
      <c r="H89" s="128">
        <f t="shared" si="66"/>
        <v>100.00000000000004</v>
      </c>
      <c r="I89" s="23"/>
      <c r="J89" s="73" t="str">
        <f>Pareto!K77</f>
        <v>Ngắn, dài</v>
      </c>
      <c r="K89" s="71">
        <f>Pareto!L77</f>
        <v>0</v>
      </c>
      <c r="L89" s="72">
        <f>Pareto!M77</f>
        <v>0</v>
      </c>
      <c r="M89" s="128">
        <f t="shared" si="67"/>
        <v>99.999999999999986</v>
      </c>
      <c r="N89" s="23"/>
      <c r="O89" s="85"/>
      <c r="AJ89" s="12" t="str">
        <f ca="1">IFERROR(MATCH($B$114,OFFSET(#REF!,AJ88,0,1000000),0)+AJ88,"")</f>
        <v/>
      </c>
      <c r="AK89" s="17" t="str">
        <f ca="1">IFERROR(_xlfn.SINGLE(INDEX(#REF!,'Weekly Report'!AJ89)),"")</f>
        <v/>
      </c>
      <c r="AL89" s="12" t="str">
        <f ca="1">IFERROR(_xlfn.SINGLE(INDEX(#REF!,'Weekly Report'!AJ89)),"")</f>
        <v/>
      </c>
      <c r="AN89" s="12" t="str">
        <f ca="1">IFERROR(MATCH($G$115,OFFSET(#REF!,AN88,0,1000000),0)+AN88,"")</f>
        <v/>
      </c>
      <c r="AO89" s="17" t="str">
        <f ca="1">IFERROR(_xlfn.SINGLE(INDEX(#REF!,'Weekly Report'!AN89)),"")</f>
        <v/>
      </c>
      <c r="AP89" s="12" t="str">
        <f ca="1">IFERROR(_xlfn.SINGLE(INDEX(#REF!,'Weekly Report'!AN89)),"")</f>
        <v/>
      </c>
      <c r="BP89" s="105"/>
      <c r="BQ89" s="23"/>
      <c r="BR89" s="23"/>
      <c r="BS89" s="129">
        <v>12</v>
      </c>
      <c r="BT89" s="70" t="str">
        <f>Pareto!E164</f>
        <v>Ngược nút bọc</v>
      </c>
      <c r="BU89" s="71">
        <f>Pareto!F164</f>
        <v>0</v>
      </c>
      <c r="BV89" s="72">
        <f>Pareto!G164</f>
        <v>0</v>
      </c>
      <c r="BW89" s="72">
        <f t="shared" si="68"/>
        <v>100</v>
      </c>
      <c r="BX89" s="23"/>
      <c r="BY89" s="70" t="str">
        <f>Pareto!K164</f>
        <v>Sai kích thước</v>
      </c>
      <c r="BZ89" s="71">
        <f>Pareto!L164</f>
        <v>0</v>
      </c>
      <c r="CA89" s="72">
        <f>Pareto!M164</f>
        <v>0</v>
      </c>
      <c r="CB89" s="72">
        <f t="shared" si="69"/>
        <v>99.999999999999986</v>
      </c>
      <c r="CC89" s="23"/>
      <c r="CD89" s="85"/>
      <c r="CS89" s="6" t="s">
        <v>123</v>
      </c>
      <c r="CT89" s="6">
        <f>SUMIFS(Table_Assembly[Specific Amount],Table_Assembly[NG Type],$CS$13,Table_Assembly[Product type],$BS$50,Table_Assembly[NG content],"Others",Table_Assembly[MFG Date],$BU$42)</f>
        <v>0</v>
      </c>
      <c r="CU89" s="6">
        <f>SUMIFS(Table_Assembly[Specific Amount],Table_Assembly[NG Type],$CS$13,Table_Assembly[Product type],$BS$50,Table_Assembly[NG content],"Others",Table_Assembly[MFG Date],$BV$42)</f>
        <v>0</v>
      </c>
      <c r="CV89" s="6">
        <f>SUMIFS(Table_Assembly[Specific Amount],Table_Assembly[NG Type],$CS$13,Table_Assembly[Product type],$BS$50,Table_Assembly[NG content],"Others",Table_Assembly[MFG Date],$BW$42)</f>
        <v>0</v>
      </c>
      <c r="CW89" s="6">
        <f>SUMIFS(Table_Assembly[Specific Amount],Table_Assembly[NG Type],$CS$13,Table_Assembly[Product type],$BS$50,Table_Assembly[NG content],"Others",Table_Assembly[MFG Date],$BX$42)</f>
        <v>0</v>
      </c>
      <c r="CX89" s="6">
        <f>SUMIFS(Table_Assembly[Specific Amount],Table_Assembly[NG Type],$CS$13,Table_Assembly[Product type],$BS$50,Table_Assembly[NG content],"Others",Table_Assembly[MFG Date],$BY$42)</f>
        <v>0</v>
      </c>
      <c r="CY89" s="6">
        <f>SUMIFS(Table_Assembly[Specific Amount],Table_Assembly[NG Type],$CS$13,Table_Assembly[Product type],$BS$50,Table_Assembly[NG content],"Others",Table_Assembly[MFG Date],$BZ$42)</f>
        <v>0</v>
      </c>
      <c r="CZ89" s="6">
        <f>SUMIFS(Table_Assembly[Specific Amount],Table_Assembly[NG Type],$CS$13,Table_Assembly[Product type],$BS$50,Table_Assembly[NG content],"Others",Table_Assembly[MFG Date],$CA$42)</f>
        <v>0</v>
      </c>
    </row>
    <row r="90" spans="1:104">
      <c r="A90" s="23"/>
      <c r="B90" s="23"/>
      <c r="C90" s="23"/>
      <c r="D90" s="129">
        <v>22</v>
      </c>
      <c r="E90" s="73" t="str">
        <f>Pareto!E78</f>
        <v>Ngược Diode</v>
      </c>
      <c r="F90" s="71">
        <f>Pareto!F78</f>
        <v>0</v>
      </c>
      <c r="G90" s="72">
        <f>Pareto!G78</f>
        <v>0</v>
      </c>
      <c r="H90" s="128">
        <f t="shared" si="66"/>
        <v>100.00000000000004</v>
      </c>
      <c r="I90" s="23"/>
      <c r="J90" s="73" t="str">
        <f>Pareto!K78</f>
        <v>Sút</v>
      </c>
      <c r="K90" s="71">
        <f>Pareto!L78</f>
        <v>0</v>
      </c>
      <c r="L90" s="72">
        <f>Pareto!M78</f>
        <v>0</v>
      </c>
      <c r="M90" s="128">
        <f t="shared" si="67"/>
        <v>99.999999999999986</v>
      </c>
      <c r="N90" s="23"/>
      <c r="O90" s="85"/>
      <c r="AJ90" s="12" t="str">
        <f ca="1">IFERROR(MATCH($B$114,OFFSET(#REF!,AJ89,0,1000000),0)+AJ89,"")</f>
        <v/>
      </c>
      <c r="AK90" s="17" t="str">
        <f ca="1">IFERROR(_xlfn.SINGLE(INDEX(#REF!,'Weekly Report'!AJ90)),"")</f>
        <v/>
      </c>
      <c r="AL90" s="12" t="str">
        <f ca="1">IFERROR(_xlfn.SINGLE(INDEX(#REF!,'Weekly Report'!AJ90)),"")</f>
        <v/>
      </c>
      <c r="AN90" s="12" t="str">
        <f ca="1">IFERROR(MATCH($G$115,OFFSET(#REF!,AN89,0,1000000),0)+AN89,"")</f>
        <v/>
      </c>
      <c r="AO90" s="17" t="str">
        <f ca="1">IFERROR(_xlfn.SINGLE(INDEX(#REF!,'Weekly Report'!AN90)),"")</f>
        <v/>
      </c>
      <c r="AP90" s="12" t="str">
        <f ca="1">IFERROR(_xlfn.SINGLE(INDEX(#REF!,'Weekly Report'!AN90)),"")</f>
        <v/>
      </c>
      <c r="BP90" s="105"/>
      <c r="BQ90" s="23"/>
      <c r="BR90" s="23"/>
      <c r="BS90" s="129">
        <v>13</v>
      </c>
      <c r="BT90" s="70" t="str">
        <f>Pareto!E165</f>
        <v>Thông dòng NG</v>
      </c>
      <c r="BU90" s="71">
        <f>Pareto!F165</f>
        <v>0</v>
      </c>
      <c r="BV90" s="72">
        <f>Pareto!G165</f>
        <v>0</v>
      </c>
      <c r="BW90" s="72">
        <f t="shared" si="68"/>
        <v>100</v>
      </c>
      <c r="BX90" s="23"/>
      <c r="BY90" s="70" t="str">
        <f>Pareto!K165</f>
        <v>Ngắn, dài</v>
      </c>
      <c r="BZ90" s="71">
        <f>Pareto!L165</f>
        <v>0</v>
      </c>
      <c r="CA90" s="72">
        <f>Pareto!M165</f>
        <v>0</v>
      </c>
      <c r="CB90" s="72">
        <f t="shared" si="69"/>
        <v>99.999999999999986</v>
      </c>
      <c r="CC90" s="23"/>
      <c r="CD90" s="85"/>
    </row>
    <row r="91" spans="1:104">
      <c r="A91" s="23"/>
      <c r="B91" s="23"/>
      <c r="C91" s="23"/>
      <c r="D91" s="129">
        <v>23</v>
      </c>
      <c r="E91" s="73" t="str">
        <f>Pareto!E79</f>
        <v>Sai vị trí</v>
      </c>
      <c r="F91" s="71">
        <f>Pareto!F79</f>
        <v>0</v>
      </c>
      <c r="G91" s="72">
        <f>Pareto!G79</f>
        <v>0</v>
      </c>
      <c r="H91" s="128">
        <f t="shared" si="66"/>
        <v>100.00000000000004</v>
      </c>
      <c r="I91" s="23"/>
      <c r="J91" s="73" t="str">
        <f>Pareto!K79</f>
        <v>Biến dạng</v>
      </c>
      <c r="K91" s="71">
        <f>Pareto!L79</f>
        <v>0</v>
      </c>
      <c r="L91" s="72">
        <f>Pareto!M79</f>
        <v>0</v>
      </c>
      <c r="M91" s="128">
        <f t="shared" si="67"/>
        <v>99.999999999999986</v>
      </c>
      <c r="N91" s="23"/>
      <c r="O91" s="85"/>
      <c r="AJ91" s="12" t="str">
        <f ca="1">IFERROR(MATCH($B$114,OFFSET(#REF!,AJ90,0,1000000),0)+AJ90,"")</f>
        <v/>
      </c>
      <c r="AK91" s="17" t="str">
        <f ca="1">IFERROR(_xlfn.SINGLE(INDEX(#REF!,'Weekly Report'!AJ91)),"")</f>
        <v/>
      </c>
      <c r="AL91" s="12" t="str">
        <f ca="1">IFERROR(_xlfn.SINGLE(INDEX(#REF!,'Weekly Report'!AJ91)),"")</f>
        <v/>
      </c>
      <c r="AN91" s="12" t="str">
        <f ca="1">IFERROR(MATCH($G$115,OFFSET(#REF!,AN90,0,1000000),0)+AN90,"")</f>
        <v/>
      </c>
      <c r="AO91" s="17" t="str">
        <f ca="1">IFERROR(_xlfn.SINGLE(INDEX(#REF!,'Weekly Report'!AN91)),"")</f>
        <v/>
      </c>
      <c r="AP91" s="12" t="str">
        <f ca="1">IFERROR(_xlfn.SINGLE(INDEX(#REF!,'Weekly Report'!AN91)),"")</f>
        <v/>
      </c>
      <c r="BP91" s="105"/>
      <c r="BQ91" s="23"/>
      <c r="BR91" s="23"/>
      <c r="BS91" s="129">
        <v>14</v>
      </c>
      <c r="BT91" s="70" t="str">
        <f>Pareto!E166</f>
        <v>Ngược Diode</v>
      </c>
      <c r="BU91" s="71">
        <f>Pareto!F166</f>
        <v>0</v>
      </c>
      <c r="BV91" s="72">
        <f>Pareto!G166</f>
        <v>0</v>
      </c>
      <c r="BW91" s="72">
        <f t="shared" si="68"/>
        <v>100</v>
      </c>
      <c r="BX91" s="23"/>
      <c r="BY91" s="70" t="str">
        <f>Pareto!K166</f>
        <v>Sút</v>
      </c>
      <c r="BZ91" s="71">
        <f>Pareto!L166</f>
        <v>0</v>
      </c>
      <c r="CA91" s="72">
        <f>Pareto!M166</f>
        <v>0</v>
      </c>
      <c r="CB91" s="72">
        <f t="shared" si="69"/>
        <v>99.999999999999986</v>
      </c>
      <c r="CC91" s="23"/>
      <c r="CD91" s="85"/>
    </row>
    <row r="92" spans="1:104">
      <c r="A92" s="23"/>
      <c r="B92" s="23"/>
      <c r="C92" s="23"/>
      <c r="D92" s="129">
        <v>24</v>
      </c>
      <c r="E92" s="73" t="str">
        <f>Pareto!E80</f>
        <v>Sai kích thước</v>
      </c>
      <c r="F92" s="71">
        <f>Pareto!F80</f>
        <v>0</v>
      </c>
      <c r="G92" s="72">
        <f>Pareto!G80</f>
        <v>0</v>
      </c>
      <c r="H92" s="128">
        <f t="shared" si="66"/>
        <v>100.00000000000004</v>
      </c>
      <c r="I92" s="23"/>
      <c r="J92" s="73" t="str">
        <f>Pareto!K80</f>
        <v>Hở</v>
      </c>
      <c r="K92" s="71">
        <f>Pareto!L80</f>
        <v>0</v>
      </c>
      <c r="L92" s="72">
        <f>Pareto!M80</f>
        <v>0</v>
      </c>
      <c r="M92" s="128">
        <f t="shared" si="67"/>
        <v>99.999999999999986</v>
      </c>
      <c r="N92" s="23"/>
      <c r="O92" s="85"/>
      <c r="AJ92" s="12" t="str">
        <f ca="1">IFERROR(MATCH($B$114,OFFSET(#REF!,AJ91,0,1000000),0)+AJ91,"")</f>
        <v/>
      </c>
      <c r="AK92" s="17" t="str">
        <f ca="1">IFERROR(_xlfn.SINGLE(INDEX(#REF!,'Weekly Report'!AJ92)),"")</f>
        <v/>
      </c>
      <c r="AL92" s="12" t="str">
        <f ca="1">IFERROR(_xlfn.SINGLE(INDEX(#REF!,'Weekly Report'!AJ92)),"")</f>
        <v/>
      </c>
      <c r="AN92" s="12" t="str">
        <f ca="1">IFERROR(MATCH($G$115,OFFSET(#REF!,AN91,0,1000000),0)+AN91,"")</f>
        <v/>
      </c>
      <c r="AO92" s="17" t="str">
        <f ca="1">IFERROR(_xlfn.SINGLE(INDEX(#REF!,'Weekly Report'!AN92)),"")</f>
        <v/>
      </c>
      <c r="AP92" s="12" t="str">
        <f ca="1">IFERROR(_xlfn.SINGLE(INDEX(#REF!,'Weekly Report'!AN92)),"")</f>
        <v/>
      </c>
      <c r="BP92" s="105"/>
      <c r="BQ92" s="23"/>
      <c r="BR92" s="23"/>
      <c r="BS92" s="129">
        <v>15</v>
      </c>
      <c r="BT92" s="70" t="str">
        <f>Pareto!E167</f>
        <v>Sai vị trí</v>
      </c>
      <c r="BU92" s="71">
        <f>Pareto!F167</f>
        <v>0</v>
      </c>
      <c r="BV92" s="72">
        <f>Pareto!G167</f>
        <v>0</v>
      </c>
      <c r="BW92" s="72">
        <f t="shared" si="68"/>
        <v>100</v>
      </c>
      <c r="BX92" s="23"/>
      <c r="BY92" s="70" t="str">
        <f>Pareto!K167</f>
        <v>Biến dạng</v>
      </c>
      <c r="BZ92" s="71">
        <f>Pareto!L167</f>
        <v>0</v>
      </c>
      <c r="CA92" s="72">
        <f>Pareto!M167</f>
        <v>0</v>
      </c>
      <c r="CB92" s="72">
        <f t="shared" si="69"/>
        <v>99.999999999999986</v>
      </c>
      <c r="CC92" s="23"/>
      <c r="CD92" s="85"/>
    </row>
    <row r="93" spans="1:104">
      <c r="A93" s="23"/>
      <c r="B93" s="23"/>
      <c r="C93" s="23"/>
      <c r="D93" s="129">
        <v>25</v>
      </c>
      <c r="E93" s="73" t="str">
        <f>Pareto!E81</f>
        <v>Sút</v>
      </c>
      <c r="F93" s="71">
        <f>Pareto!F81</f>
        <v>0</v>
      </c>
      <c r="G93" s="72">
        <f>Pareto!G81</f>
        <v>0</v>
      </c>
      <c r="H93" s="128">
        <f t="shared" si="66"/>
        <v>100.00000000000004</v>
      </c>
      <c r="I93" s="23"/>
      <c r="J93" s="73" t="str">
        <f>Pareto!K81</f>
        <v>Gờ tanshi bám ít vào gờ housing ランスのロックが不十分</v>
      </c>
      <c r="K93" s="71">
        <f>Pareto!L81</f>
        <v>0</v>
      </c>
      <c r="L93" s="72">
        <f>Pareto!M81</f>
        <v>0</v>
      </c>
      <c r="M93" s="128">
        <f t="shared" si="67"/>
        <v>99.999999999999986</v>
      </c>
      <c r="N93" s="23"/>
      <c r="O93" s="85"/>
      <c r="AJ93" s="12" t="str">
        <f ca="1">IFERROR(MATCH($B$114,OFFSET(#REF!,AJ92,0,1000000),0)+AJ92,"")</f>
        <v/>
      </c>
      <c r="AK93" s="17" t="str">
        <f ca="1">IFERROR(_xlfn.SINGLE(INDEX(#REF!,'Weekly Report'!AJ93)),"")</f>
        <v/>
      </c>
      <c r="AL93" s="12" t="str">
        <f ca="1">IFERROR(_xlfn.SINGLE(INDEX(#REF!,'Weekly Report'!AJ93)),"")</f>
        <v/>
      </c>
      <c r="AN93" s="12" t="str">
        <f ca="1">IFERROR(MATCH($G$115,OFFSET(#REF!,AN92,0,1000000),0)+AN92,"")</f>
        <v/>
      </c>
      <c r="AO93" s="17" t="str">
        <f ca="1">IFERROR(_xlfn.SINGLE(INDEX(#REF!,'Weekly Report'!AN93)),"")</f>
        <v/>
      </c>
      <c r="AP93" s="12" t="str">
        <f ca="1">IFERROR(_xlfn.SINGLE(INDEX(#REF!,'Weekly Report'!AN93)),"")</f>
        <v/>
      </c>
      <c r="BP93" s="105"/>
      <c r="BQ93" s="23"/>
      <c r="BR93" s="23"/>
      <c r="BS93" s="129">
        <v>16</v>
      </c>
      <c r="BT93" s="70" t="str">
        <f>Pareto!E168</f>
        <v>Sai kích thước</v>
      </c>
      <c r="BU93" s="71">
        <f>Pareto!F168</f>
        <v>0</v>
      </c>
      <c r="BV93" s="72">
        <f>Pareto!G168</f>
        <v>0</v>
      </c>
      <c r="BW93" s="72">
        <f t="shared" si="68"/>
        <v>100</v>
      </c>
      <c r="BX93" s="23"/>
      <c r="BY93" s="70" t="str">
        <f>Pareto!K168</f>
        <v>Hở</v>
      </c>
      <c r="BZ93" s="71">
        <f>Pareto!L168</f>
        <v>0</v>
      </c>
      <c r="CA93" s="72">
        <f>Pareto!M168</f>
        <v>0</v>
      </c>
      <c r="CB93" s="72">
        <f t="shared" si="69"/>
        <v>99.999999999999986</v>
      </c>
      <c r="CC93" s="23"/>
      <c r="CD93" s="85"/>
    </row>
    <row r="94" spans="1:104">
      <c r="A94" s="23"/>
      <c r="B94" s="23"/>
      <c r="C94" s="23"/>
      <c r="D94" s="129">
        <v>26</v>
      </c>
      <c r="E94" s="73" t="str">
        <f>Pareto!E82</f>
        <v>Biến dạng</v>
      </c>
      <c r="F94" s="71">
        <f>Pareto!F82</f>
        <v>0</v>
      </c>
      <c r="G94" s="72">
        <f>Pareto!G82</f>
        <v>0</v>
      </c>
      <c r="H94" s="128">
        <f t="shared" si="66"/>
        <v>100.00000000000004</v>
      </c>
      <c r="I94" s="23"/>
      <c r="J94" s="73" t="str">
        <f>Pareto!K82</f>
        <v>Tuột mấu ôm vỏ do tán cạn 浅打ちで被覆カシメ外れ</v>
      </c>
      <c r="K94" s="71">
        <f>Pareto!L82</f>
        <v>0</v>
      </c>
      <c r="L94" s="72">
        <f>Pareto!M82</f>
        <v>0</v>
      </c>
      <c r="M94" s="128">
        <f t="shared" si="67"/>
        <v>99.999999999999986</v>
      </c>
      <c r="N94" s="23"/>
      <c r="O94" s="85"/>
      <c r="AJ94" s="12" t="str">
        <f ca="1">IFERROR(MATCH($B$114,OFFSET(#REF!,AJ93,0,1000000),0)+AJ93,"")</f>
        <v/>
      </c>
      <c r="AK94" s="17" t="str">
        <f ca="1">IFERROR(_xlfn.SINGLE(INDEX(#REF!,'Weekly Report'!AJ94)),"")</f>
        <v/>
      </c>
      <c r="AL94" s="12" t="str">
        <f ca="1">IFERROR(_xlfn.SINGLE(INDEX(#REF!,'Weekly Report'!AJ94)),"")</f>
        <v/>
      </c>
      <c r="AN94" s="12" t="str">
        <f ca="1">IFERROR(MATCH($G$115,OFFSET(#REF!,AN93,0,1000000),0)+AN93,"")</f>
        <v/>
      </c>
      <c r="AO94" s="17" t="str">
        <f ca="1">IFERROR(_xlfn.SINGLE(INDEX(#REF!,'Weekly Report'!AN94)),"")</f>
        <v/>
      </c>
      <c r="AP94" s="12" t="str">
        <f ca="1">IFERROR(_xlfn.SINGLE(INDEX(#REF!,'Weekly Report'!AN94)),"")</f>
        <v/>
      </c>
      <c r="BP94" s="105"/>
      <c r="BQ94" s="23"/>
      <c r="BR94" s="23"/>
      <c r="BS94" s="129">
        <v>17</v>
      </c>
      <c r="BT94" s="70" t="str">
        <f>Pareto!E169</f>
        <v>Sút</v>
      </c>
      <c r="BU94" s="71">
        <f>Pareto!F169</f>
        <v>0</v>
      </c>
      <c r="BV94" s="72">
        <f>Pareto!G169</f>
        <v>0</v>
      </c>
      <c r="BW94" s="72">
        <f t="shared" si="68"/>
        <v>100</v>
      </c>
      <c r="BX94" s="23"/>
      <c r="BY94" s="70" t="str">
        <f>Pareto!K169</f>
        <v>Gờ tanshi bám ít vào gờ housing ランスのロックが不十分</v>
      </c>
      <c r="BZ94" s="71">
        <f>Pareto!L169</f>
        <v>0</v>
      </c>
      <c r="CA94" s="72">
        <f>Pareto!M169</f>
        <v>0</v>
      </c>
      <c r="CB94" s="72">
        <f t="shared" si="69"/>
        <v>99.999999999999986</v>
      </c>
      <c r="CC94" s="23"/>
      <c r="CD94" s="85"/>
    </row>
    <row r="95" spans="1:104">
      <c r="A95" s="23"/>
      <c r="B95" s="23"/>
      <c r="C95" s="23"/>
      <c r="D95" s="129">
        <v>27</v>
      </c>
      <c r="E95" s="73" t="str">
        <f>Pareto!E83</f>
        <v>Hở</v>
      </c>
      <c r="F95" s="71">
        <f>Pareto!F83</f>
        <v>0</v>
      </c>
      <c r="G95" s="72">
        <f>Pareto!G83</f>
        <v>0</v>
      </c>
      <c r="H95" s="128">
        <f t="shared" si="66"/>
        <v>100.00000000000004</v>
      </c>
      <c r="I95" s="23"/>
      <c r="J95" s="73" t="str">
        <f>Pareto!K83</f>
        <v>Thiếu ống</v>
      </c>
      <c r="K95" s="71">
        <f>Pareto!L83</f>
        <v>0</v>
      </c>
      <c r="L95" s="72">
        <f>Pareto!M83</f>
        <v>0</v>
      </c>
      <c r="M95" s="128">
        <f t="shared" si="67"/>
        <v>99.999999999999986</v>
      </c>
      <c r="N95" s="23"/>
      <c r="O95" s="85"/>
      <c r="AJ95" s="12" t="str">
        <f ca="1">IFERROR(MATCH($B$114,OFFSET(#REF!,AJ94,0,1000000),0)+AJ94,"")</f>
        <v/>
      </c>
      <c r="AK95" s="17" t="str">
        <f ca="1">IFERROR(_xlfn.SINGLE(INDEX(#REF!,'Weekly Report'!AJ95)),"")</f>
        <v/>
      </c>
      <c r="AL95" s="12" t="str">
        <f ca="1">IFERROR(_xlfn.SINGLE(INDEX(#REF!,'Weekly Report'!AJ95)),"")</f>
        <v/>
      </c>
      <c r="AN95" s="12" t="str">
        <f ca="1">IFERROR(MATCH($G$115,OFFSET(#REF!,AN94,0,1000000),0)+AN94,"")</f>
        <v/>
      </c>
      <c r="AO95" s="17" t="str">
        <f ca="1">IFERROR(_xlfn.SINGLE(INDEX(#REF!,'Weekly Report'!AN95)),"")</f>
        <v/>
      </c>
      <c r="AP95" s="12" t="str">
        <f ca="1">IFERROR(_xlfn.SINGLE(INDEX(#REF!,'Weekly Report'!AN95)),"")</f>
        <v/>
      </c>
      <c r="BP95" s="105"/>
      <c r="BQ95" s="23"/>
      <c r="BR95" s="23"/>
      <c r="BS95" s="129">
        <v>18</v>
      </c>
      <c r="BT95" s="70" t="str">
        <f>Pareto!E170</f>
        <v>Biến dạng</v>
      </c>
      <c r="BU95" s="71">
        <f>Pareto!F170</f>
        <v>0</v>
      </c>
      <c r="BV95" s="72">
        <f>Pareto!G170</f>
        <v>0</v>
      </c>
      <c r="BW95" s="72">
        <f t="shared" si="68"/>
        <v>100</v>
      </c>
      <c r="BX95" s="23"/>
      <c r="BY95" s="70" t="str">
        <f>Pareto!K170</f>
        <v>Tuột mấu ôm vỏ do tán cạn 浅打ちで被覆カシメ外れ</v>
      </c>
      <c r="BZ95" s="71">
        <f>Pareto!L170</f>
        <v>0</v>
      </c>
      <c r="CA95" s="72">
        <f>Pareto!M170</f>
        <v>0</v>
      </c>
      <c r="CB95" s="72">
        <f t="shared" si="69"/>
        <v>99.999999999999986</v>
      </c>
      <c r="CC95" s="23"/>
      <c r="CD95" s="85"/>
    </row>
    <row r="96" spans="1:104">
      <c r="A96" s="23"/>
      <c r="B96" s="23"/>
      <c r="C96" s="23"/>
      <c r="D96" s="129">
        <v>28</v>
      </c>
      <c r="E96" s="73" t="str">
        <f>Pareto!E84</f>
        <v>Gờ tanshi bám ít vào gờ housing ランスのロックが不十分</v>
      </c>
      <c r="F96" s="71">
        <f>Pareto!F84</f>
        <v>0</v>
      </c>
      <c r="G96" s="72">
        <f>Pareto!G84</f>
        <v>0</v>
      </c>
      <c r="H96" s="128">
        <f t="shared" si="66"/>
        <v>100.00000000000004</v>
      </c>
      <c r="I96" s="23"/>
      <c r="J96" s="73" t="str">
        <f>Pareto!K84</f>
        <v>Dính dị vật 端子が異物付き</v>
      </c>
      <c r="K96" s="71">
        <f>Pareto!L84</f>
        <v>0</v>
      </c>
      <c r="L96" s="72">
        <f>Pareto!M84</f>
        <v>0</v>
      </c>
      <c r="M96" s="128">
        <f t="shared" si="67"/>
        <v>99.999999999999986</v>
      </c>
      <c r="N96" s="23"/>
      <c r="O96" s="85"/>
      <c r="AJ96" s="12" t="str">
        <f ca="1">IFERROR(MATCH($B$114,OFFSET(#REF!,AJ95,0,1000000),0)+AJ95,"")</f>
        <v/>
      </c>
      <c r="AK96" s="17" t="str">
        <f ca="1">IFERROR(_xlfn.SINGLE(INDEX(#REF!,'Weekly Report'!AJ96)),"")</f>
        <v/>
      </c>
      <c r="AL96" s="12" t="str">
        <f ca="1">IFERROR(_xlfn.SINGLE(INDEX(#REF!,'Weekly Report'!AJ96)),"")</f>
        <v/>
      </c>
      <c r="AN96" s="12" t="str">
        <f ca="1">IFERROR(MATCH($G$115,OFFSET(#REF!,AN95,0,1000000),0)+AN95,"")</f>
        <v/>
      </c>
      <c r="AO96" s="17" t="str">
        <f ca="1">IFERROR(_xlfn.SINGLE(INDEX(#REF!,'Weekly Report'!AN96)),"")</f>
        <v/>
      </c>
      <c r="AP96" s="12" t="str">
        <f ca="1">IFERROR(_xlfn.SINGLE(INDEX(#REF!,'Weekly Report'!AN96)),"")</f>
        <v/>
      </c>
      <c r="BP96" s="105"/>
      <c r="BQ96" s="23"/>
      <c r="BR96" s="23"/>
      <c r="BS96" s="129">
        <v>19</v>
      </c>
      <c r="BT96" s="70" t="str">
        <f>Pareto!E171</f>
        <v>Hở</v>
      </c>
      <c r="BU96" s="71">
        <f>Pareto!F171</f>
        <v>0</v>
      </c>
      <c r="BV96" s="72">
        <f>Pareto!G171</f>
        <v>0</v>
      </c>
      <c r="BW96" s="72">
        <f t="shared" si="68"/>
        <v>100</v>
      </c>
      <c r="BX96" s="23"/>
      <c r="BY96" s="70" t="str">
        <f>Pareto!K171</f>
        <v>Thiếu ống</v>
      </c>
      <c r="BZ96" s="71">
        <f>Pareto!L171</f>
        <v>0</v>
      </c>
      <c r="CA96" s="72">
        <f>Pareto!M171</f>
        <v>0</v>
      </c>
      <c r="CB96" s="72">
        <f t="shared" si="69"/>
        <v>99.999999999999986</v>
      </c>
      <c r="CC96" s="23"/>
      <c r="CD96" s="85"/>
    </row>
    <row r="97" spans="1:82">
      <c r="A97" s="23"/>
      <c r="B97" s="23"/>
      <c r="C97" s="23"/>
      <c r="D97" s="129">
        <v>29</v>
      </c>
      <c r="E97" s="73" t="str">
        <f>Pareto!E85</f>
        <v>Tuột mấu ôm vỏ do tán cạn 浅打ちで被覆カシメ外れ</v>
      </c>
      <c r="F97" s="71">
        <f>Pareto!F85</f>
        <v>0</v>
      </c>
      <c r="G97" s="72">
        <f>Pareto!G85</f>
        <v>0</v>
      </c>
      <c r="H97" s="128">
        <f t="shared" si="66"/>
        <v>100.00000000000004</v>
      </c>
      <c r="I97" s="23"/>
      <c r="J97" s="73" t="str">
        <f>Pareto!K85</f>
        <v>Tanshi biến dạng</v>
      </c>
      <c r="K97" s="71">
        <f>Pareto!L85</f>
        <v>0</v>
      </c>
      <c r="L97" s="72">
        <f>Pareto!M85</f>
        <v>0</v>
      </c>
      <c r="M97" s="128">
        <f t="shared" si="67"/>
        <v>99.999999999999986</v>
      </c>
      <c r="N97" s="23"/>
      <c r="O97" s="85"/>
      <c r="AJ97" s="12" t="str">
        <f ca="1">IFERROR(MATCH($B$114,OFFSET(#REF!,AJ96,0,1000000),0)+AJ96,"")</f>
        <v/>
      </c>
      <c r="AK97" s="17" t="str">
        <f ca="1">IFERROR(_xlfn.SINGLE(INDEX(#REF!,'Weekly Report'!AJ97)),"")</f>
        <v/>
      </c>
      <c r="AL97" s="12" t="str">
        <f ca="1">IFERROR(_xlfn.SINGLE(INDEX(#REF!,'Weekly Report'!AJ97)),"")</f>
        <v/>
      </c>
      <c r="AN97" s="12" t="str">
        <f ca="1">IFERROR(MATCH($G$115,OFFSET(#REF!,AN96,0,1000000),0)+AN96,"")</f>
        <v/>
      </c>
      <c r="AO97" s="17" t="str">
        <f ca="1">IFERROR(_xlfn.SINGLE(INDEX(#REF!,'Weekly Report'!AN97)),"")</f>
        <v/>
      </c>
      <c r="AP97" s="12" t="str">
        <f ca="1">IFERROR(_xlfn.SINGLE(INDEX(#REF!,'Weekly Report'!AN97)),"")</f>
        <v/>
      </c>
      <c r="BP97" s="105"/>
      <c r="BQ97" s="23"/>
      <c r="BR97" s="23"/>
      <c r="BS97" s="129">
        <v>20</v>
      </c>
      <c r="BT97" s="73" t="str">
        <f>Pareto!E172</f>
        <v>Gờ tanshi bám ít vào gờ housing ランスのロックが不十分</v>
      </c>
      <c r="BU97" s="71">
        <f>Pareto!F172</f>
        <v>0</v>
      </c>
      <c r="BV97" s="72">
        <f>Pareto!G172</f>
        <v>0</v>
      </c>
      <c r="BW97" s="128">
        <f t="shared" si="68"/>
        <v>100</v>
      </c>
      <c r="BX97" s="23"/>
      <c r="BY97" s="73" t="str">
        <f>Pareto!K172</f>
        <v>Dính dị vật 端子が異物付き</v>
      </c>
      <c r="BZ97" s="71">
        <f>Pareto!L172</f>
        <v>0</v>
      </c>
      <c r="CA97" s="72">
        <f>Pareto!M172</f>
        <v>0</v>
      </c>
      <c r="CB97" s="128">
        <f t="shared" si="69"/>
        <v>99.999999999999986</v>
      </c>
      <c r="CC97" s="23"/>
      <c r="CD97" s="85"/>
    </row>
    <row r="98" spans="1:82">
      <c r="A98" s="23"/>
      <c r="B98" s="23"/>
      <c r="C98" s="23"/>
      <c r="D98" s="129">
        <v>30</v>
      </c>
      <c r="E98" s="73" t="str">
        <f>Pareto!E86</f>
        <v>Thiếu ống</v>
      </c>
      <c r="F98" s="71">
        <f>Pareto!F86</f>
        <v>0</v>
      </c>
      <c r="G98" s="72">
        <f>Pareto!G86</f>
        <v>0</v>
      </c>
      <c r="H98" s="128">
        <f t="shared" si="66"/>
        <v>100.00000000000004</v>
      </c>
      <c r="I98" s="23"/>
      <c r="J98" s="73" t="str">
        <f>Pareto!K86</f>
        <v>Bẩn, dơ</v>
      </c>
      <c r="K98" s="71">
        <f>Pareto!L86</f>
        <v>0</v>
      </c>
      <c r="L98" s="72">
        <f>Pareto!M86</f>
        <v>0</v>
      </c>
      <c r="M98" s="128">
        <f t="shared" si="67"/>
        <v>99.999999999999986</v>
      </c>
      <c r="N98" s="23"/>
      <c r="O98" s="85"/>
      <c r="AJ98" s="12" t="str">
        <f ca="1">IFERROR(MATCH($B$114,OFFSET(#REF!,AJ97,0,1000000),0)+AJ97,"")</f>
        <v/>
      </c>
      <c r="AK98" s="17" t="str">
        <f ca="1">IFERROR(_xlfn.SINGLE(INDEX(#REF!,'Weekly Report'!AJ98)),"")</f>
        <v/>
      </c>
      <c r="AL98" s="12" t="str">
        <f ca="1">IFERROR(_xlfn.SINGLE(INDEX(#REF!,'Weekly Report'!AJ98)),"")</f>
        <v/>
      </c>
      <c r="AN98" s="12" t="str">
        <f ca="1">IFERROR(MATCH($G$115,OFFSET(#REF!,AN97,0,1000000),0)+AN97,"")</f>
        <v/>
      </c>
      <c r="AO98" s="17" t="str">
        <f ca="1">IFERROR(_xlfn.SINGLE(INDEX(#REF!,'Weekly Report'!AN98)),"")</f>
        <v/>
      </c>
      <c r="AP98" s="12" t="str">
        <f ca="1">IFERROR(_xlfn.SINGLE(INDEX(#REF!,'Weekly Report'!AN98)),"")</f>
        <v/>
      </c>
      <c r="BP98" s="105"/>
      <c r="BQ98" s="23"/>
      <c r="BR98" s="23"/>
      <c r="BS98" s="129">
        <v>21</v>
      </c>
      <c r="BT98" s="73" t="str">
        <f>Pareto!E173</f>
        <v>Tuột mấu ôm vỏ do tán cạn 浅打ちで被覆カシメ外れ</v>
      </c>
      <c r="BU98" s="71">
        <f>Pareto!F173</f>
        <v>0</v>
      </c>
      <c r="BV98" s="72">
        <f>Pareto!G173</f>
        <v>0</v>
      </c>
      <c r="BW98" s="128">
        <f t="shared" si="68"/>
        <v>100</v>
      </c>
      <c r="BX98" s="23"/>
      <c r="BY98" s="73" t="str">
        <f>Pareto!K173</f>
        <v>Tanshi biến dạng</v>
      </c>
      <c r="BZ98" s="71">
        <f>Pareto!L173</f>
        <v>0</v>
      </c>
      <c r="CA98" s="72">
        <f>Pareto!M173</f>
        <v>0</v>
      </c>
      <c r="CB98" s="128">
        <f t="shared" si="69"/>
        <v>99.999999999999986</v>
      </c>
      <c r="CC98" s="23"/>
      <c r="CD98" s="85"/>
    </row>
    <row r="99" spans="1:82">
      <c r="A99" s="23"/>
      <c r="B99" s="23"/>
      <c r="C99" s="23"/>
      <c r="D99" s="129">
        <v>31</v>
      </c>
      <c r="E99" s="73" t="str">
        <f>Pareto!E87</f>
        <v>Bẩn, dơ</v>
      </c>
      <c r="F99" s="71">
        <f>Pareto!F87</f>
        <v>0</v>
      </c>
      <c r="G99" s="72">
        <f>Pareto!G87</f>
        <v>0</v>
      </c>
      <c r="H99" s="128">
        <f t="shared" si="66"/>
        <v>100.00000000000004</v>
      </c>
      <c r="I99" s="23"/>
      <c r="J99" s="73" t="str">
        <f>Pareto!K87</f>
        <v>Tưa lõi</v>
      </c>
      <c r="K99" s="71">
        <f>Pareto!L87</f>
        <v>0</v>
      </c>
      <c r="L99" s="72">
        <f>Pareto!M87</f>
        <v>0</v>
      </c>
      <c r="M99" s="128">
        <f t="shared" si="67"/>
        <v>99.999999999999986</v>
      </c>
      <c r="N99" s="23"/>
      <c r="O99" s="85"/>
      <c r="AJ99" s="12" t="str">
        <f ca="1">IFERROR(MATCH($B$114,OFFSET(#REF!,AJ98,0,1000000),0)+AJ98,"")</f>
        <v/>
      </c>
      <c r="AK99" s="17" t="str">
        <f ca="1">IFERROR(_xlfn.SINGLE(INDEX(#REF!,'Weekly Report'!AJ99)),"")</f>
        <v/>
      </c>
      <c r="AL99" s="12" t="str">
        <f ca="1">IFERROR(_xlfn.SINGLE(INDEX(#REF!,'Weekly Report'!AJ99)),"")</f>
        <v/>
      </c>
      <c r="AN99" s="12" t="str">
        <f ca="1">IFERROR(MATCH($G$115,OFFSET(#REF!,AN98,0,1000000),0)+AN98,"")</f>
        <v/>
      </c>
      <c r="AO99" s="17" t="str">
        <f ca="1">IFERROR(_xlfn.SINGLE(INDEX(#REF!,'Weekly Report'!AN99)),"")</f>
        <v/>
      </c>
      <c r="AP99" s="12" t="str">
        <f ca="1">IFERROR(_xlfn.SINGLE(INDEX(#REF!,'Weekly Report'!AN99)),"")</f>
        <v/>
      </c>
      <c r="BP99" s="105"/>
      <c r="BQ99" s="23"/>
      <c r="BR99" s="23"/>
      <c r="BS99" s="129">
        <v>22</v>
      </c>
      <c r="BT99" s="73" t="str">
        <f>Pareto!E174</f>
        <v>Thiếu ống</v>
      </c>
      <c r="BU99" s="71">
        <f>Pareto!F174</f>
        <v>0</v>
      </c>
      <c r="BV99" s="72">
        <f>Pareto!G174</f>
        <v>0</v>
      </c>
      <c r="BW99" s="128">
        <f t="shared" si="68"/>
        <v>100</v>
      </c>
      <c r="BX99" s="23"/>
      <c r="BY99" s="73" t="str">
        <f>Pareto!K174</f>
        <v>Bẩn, dơ</v>
      </c>
      <c r="BZ99" s="71">
        <f>Pareto!L174</f>
        <v>0</v>
      </c>
      <c r="CA99" s="72">
        <f>Pareto!M174</f>
        <v>0</v>
      </c>
      <c r="CB99" s="128">
        <f t="shared" si="69"/>
        <v>99.999999999999986</v>
      </c>
      <c r="CC99" s="23"/>
      <c r="CD99" s="85"/>
    </row>
    <row r="100" spans="1:82">
      <c r="A100" s="23"/>
      <c r="B100" s="23"/>
      <c r="C100" s="23"/>
      <c r="D100" s="129">
        <v>32</v>
      </c>
      <c r="E100" s="73" t="str">
        <f>Pareto!E88</f>
        <v>Cháy dây</v>
      </c>
      <c r="F100" s="71">
        <f>Pareto!F88</f>
        <v>0</v>
      </c>
      <c r="G100" s="72">
        <f>Pareto!G88</f>
        <v>0</v>
      </c>
      <c r="H100" s="128">
        <f t="shared" si="66"/>
        <v>100.00000000000004</v>
      </c>
      <c r="I100" s="23"/>
      <c r="J100" s="73" t="str">
        <f>Pareto!K88</f>
        <v>Đứt Lõi</v>
      </c>
      <c r="K100" s="71">
        <f>Pareto!L88</f>
        <v>0</v>
      </c>
      <c r="L100" s="72">
        <f>Pareto!M88</f>
        <v>0</v>
      </c>
      <c r="M100" s="128">
        <f t="shared" si="67"/>
        <v>99.999999999999986</v>
      </c>
      <c r="N100" s="23"/>
      <c r="O100" s="85"/>
      <c r="AJ100" s="12" t="str">
        <f ca="1">IFERROR(MATCH($B$114,OFFSET(#REF!,AJ99,0,1000000),0)+AJ99,"")</f>
        <v/>
      </c>
      <c r="AK100" s="17" t="str">
        <f ca="1">IFERROR(_xlfn.SINGLE(INDEX(#REF!,'Weekly Report'!AJ100)),"")</f>
        <v/>
      </c>
      <c r="AL100" s="12" t="str">
        <f ca="1">IFERROR(_xlfn.SINGLE(INDEX(#REF!,'Weekly Report'!AJ100)),"")</f>
        <v/>
      </c>
      <c r="AN100" s="12" t="str">
        <f ca="1">IFERROR(MATCH($G$115,OFFSET(#REF!,AN99,0,1000000),0)+AN99,"")</f>
        <v/>
      </c>
      <c r="AO100" s="17" t="str">
        <f ca="1">IFERROR(_xlfn.SINGLE(INDEX(#REF!,'Weekly Report'!AN100)),"")</f>
        <v/>
      </c>
      <c r="AP100" s="12" t="str">
        <f ca="1">IFERROR(_xlfn.SINGLE(INDEX(#REF!,'Weekly Report'!AN100)),"")</f>
        <v/>
      </c>
      <c r="BP100" s="105"/>
      <c r="BQ100" s="23"/>
      <c r="BR100" s="23"/>
      <c r="BS100" s="129">
        <v>23</v>
      </c>
      <c r="BT100" s="73" t="str">
        <f>Pareto!E175</f>
        <v>Bẩn, dơ</v>
      </c>
      <c r="BU100" s="71">
        <f>Pareto!F175</f>
        <v>0</v>
      </c>
      <c r="BV100" s="72">
        <f>Pareto!G175</f>
        <v>0</v>
      </c>
      <c r="BW100" s="128">
        <f t="shared" si="68"/>
        <v>100</v>
      </c>
      <c r="BX100" s="23"/>
      <c r="BY100" s="73" t="str">
        <f>Pareto!K175</f>
        <v>Tưa lõi</v>
      </c>
      <c r="BZ100" s="71">
        <f>Pareto!L175</f>
        <v>0</v>
      </c>
      <c r="CA100" s="72">
        <f>Pareto!M175</f>
        <v>0</v>
      </c>
      <c r="CB100" s="128">
        <f t="shared" si="69"/>
        <v>99.999999999999986</v>
      </c>
      <c r="CC100" s="23"/>
      <c r="CD100" s="85"/>
    </row>
    <row r="101" spans="1:82">
      <c r="A101" s="23"/>
      <c r="B101" s="23"/>
      <c r="C101" s="23"/>
      <c r="D101" s="129">
        <v>33</v>
      </c>
      <c r="E101" s="73" t="str">
        <f>Pareto!E89</f>
        <v>Tưa lõi</v>
      </c>
      <c r="F101" s="71">
        <f>Pareto!F89</f>
        <v>0</v>
      </c>
      <c r="G101" s="72">
        <f>Pareto!G89</f>
        <v>0</v>
      </c>
      <c r="H101" s="128">
        <f t="shared" si="66"/>
        <v>100.00000000000004</v>
      </c>
      <c r="I101" s="23"/>
      <c r="J101" s="73" t="str">
        <f>Pareto!K89</f>
        <v>Thiếu dấu marking PS PSマーキング不足</v>
      </c>
      <c r="K101" s="71">
        <f>Pareto!L89</f>
        <v>0</v>
      </c>
      <c r="L101" s="72">
        <f>Pareto!M89</f>
        <v>0</v>
      </c>
      <c r="M101" s="128">
        <f t="shared" si="67"/>
        <v>99.999999999999986</v>
      </c>
      <c r="N101" s="23"/>
      <c r="O101" s="85"/>
      <c r="AJ101" s="12" t="str">
        <f ca="1">IFERROR(MATCH($B$114,OFFSET(#REF!,AJ100,0,1000000),0)+AJ100,"")</f>
        <v/>
      </c>
      <c r="AK101" s="17" t="str">
        <f ca="1">IFERROR(_xlfn.SINGLE(INDEX(#REF!,'Weekly Report'!AJ101)),"")</f>
        <v/>
      </c>
      <c r="AL101" s="12" t="str">
        <f ca="1">IFERROR(_xlfn.SINGLE(INDEX(#REF!,'Weekly Report'!AJ101)),"")</f>
        <v/>
      </c>
      <c r="AN101" s="12" t="str">
        <f ca="1">IFERROR(MATCH($G$115,OFFSET(#REF!,AN100,0,1000000),0)+AN100,"")</f>
        <v/>
      </c>
      <c r="AO101" s="17" t="str">
        <f ca="1">IFERROR(_xlfn.SINGLE(INDEX(#REF!,'Weekly Report'!AN101)),"")</f>
        <v/>
      </c>
      <c r="AP101" s="12" t="str">
        <f ca="1">IFERROR(_xlfn.SINGLE(INDEX(#REF!,'Weekly Report'!AN101)),"")</f>
        <v/>
      </c>
      <c r="BP101" s="105"/>
      <c r="BQ101" s="23"/>
      <c r="BR101" s="23"/>
      <c r="BS101" s="129">
        <v>24</v>
      </c>
      <c r="BT101" s="73" t="str">
        <f>Pareto!E176</f>
        <v>Cháy dây</v>
      </c>
      <c r="BU101" s="71">
        <f>Pareto!F176</f>
        <v>0</v>
      </c>
      <c r="BV101" s="72">
        <f>Pareto!G176</f>
        <v>0</v>
      </c>
      <c r="BW101" s="128">
        <f t="shared" si="68"/>
        <v>100</v>
      </c>
      <c r="BX101" s="23"/>
      <c r="BY101" s="73" t="str">
        <f>Pareto!K176</f>
        <v>Đứt Lõi</v>
      </c>
      <c r="BZ101" s="71">
        <f>Pareto!L176</f>
        <v>0</v>
      </c>
      <c r="CA101" s="72">
        <f>Pareto!M176</f>
        <v>0</v>
      </c>
      <c r="CB101" s="128">
        <f t="shared" si="69"/>
        <v>99.999999999999986</v>
      </c>
      <c r="CC101" s="23"/>
      <c r="CD101" s="85"/>
    </row>
    <row r="102" spans="1:82">
      <c r="A102" s="23"/>
      <c r="B102" s="23"/>
      <c r="C102" s="23"/>
      <c r="D102" s="129">
        <v>34</v>
      </c>
      <c r="E102" s="73" t="str">
        <f>Pareto!E90</f>
        <v>Đứt Lõi</v>
      </c>
      <c r="F102" s="71">
        <f>Pareto!F90</f>
        <v>0</v>
      </c>
      <c r="G102" s="72">
        <f>Pareto!G90</f>
        <v>0</v>
      </c>
      <c r="H102" s="128">
        <f t="shared" si="66"/>
        <v>100.00000000000004</v>
      </c>
      <c r="I102" s="23"/>
      <c r="J102" s="73" t="str">
        <f>Pareto!K90</f>
        <v>Biến dạng vị trí Soket</v>
      </c>
      <c r="K102" s="71">
        <f>Pareto!L90</f>
        <v>0</v>
      </c>
      <c r="L102" s="72">
        <f>Pareto!M90</f>
        <v>0</v>
      </c>
      <c r="M102" s="128">
        <f t="shared" si="67"/>
        <v>99.999999999999986</v>
      </c>
      <c r="N102" s="23"/>
      <c r="O102" s="85"/>
      <c r="AJ102" s="12" t="str">
        <f ca="1">IFERROR(MATCH($B$114,OFFSET(#REF!,AJ101,0,1000000),0)+AJ101,"")</f>
        <v/>
      </c>
      <c r="AK102" s="17" t="str">
        <f ca="1">IFERROR(_xlfn.SINGLE(INDEX(#REF!,'Weekly Report'!AJ102)),"")</f>
        <v/>
      </c>
      <c r="AL102" s="12" t="str">
        <f ca="1">IFERROR(_xlfn.SINGLE(INDEX(#REF!,'Weekly Report'!AJ102)),"")</f>
        <v/>
      </c>
      <c r="AN102" s="12" t="str">
        <f ca="1">IFERROR(MATCH($G$115,OFFSET(#REF!,AN101,0,1000000),0)+AN101,"")</f>
        <v/>
      </c>
      <c r="AO102" s="17" t="str">
        <f ca="1">IFERROR(_xlfn.SINGLE(INDEX(#REF!,'Weekly Report'!AN102)),"")</f>
        <v/>
      </c>
      <c r="AP102" s="12" t="str">
        <f ca="1">IFERROR(_xlfn.SINGLE(INDEX(#REF!,'Weekly Report'!AN102)),"")</f>
        <v/>
      </c>
      <c r="BP102" s="105"/>
      <c r="BQ102" s="23"/>
      <c r="BR102" s="23"/>
      <c r="BS102" s="129">
        <v>25</v>
      </c>
      <c r="BT102" s="73" t="str">
        <f>Pareto!E177</f>
        <v>Tưa lõi</v>
      </c>
      <c r="BU102" s="71">
        <f>Pareto!F177</f>
        <v>0</v>
      </c>
      <c r="BV102" s="72">
        <f>Pareto!G177</f>
        <v>0</v>
      </c>
      <c r="BW102" s="128">
        <f t="shared" si="68"/>
        <v>100</v>
      </c>
      <c r="BX102" s="23"/>
      <c r="BY102" s="73" t="str">
        <f>Pareto!K177</f>
        <v>Thiếu dấu marking PS PSマーキング不足</v>
      </c>
      <c r="BZ102" s="71">
        <f>Pareto!L177</f>
        <v>0</v>
      </c>
      <c r="CA102" s="72">
        <f>Pareto!M177</f>
        <v>0</v>
      </c>
      <c r="CB102" s="128">
        <f t="shared" si="69"/>
        <v>99.999999999999986</v>
      </c>
      <c r="CC102" s="23"/>
      <c r="CD102" s="85"/>
    </row>
    <row r="103" spans="1:82">
      <c r="A103" s="23"/>
      <c r="B103" s="23"/>
      <c r="C103" s="23"/>
      <c r="D103" s="129">
        <v>35</v>
      </c>
      <c r="E103" s="73" t="str">
        <f>Pareto!E91</f>
        <v>Thiếu dấu marking PS PSマーキング不足</v>
      </c>
      <c r="F103" s="71">
        <f>Pareto!F91</f>
        <v>0</v>
      </c>
      <c r="G103" s="72">
        <f>Pareto!G91</f>
        <v>0</v>
      </c>
      <c r="H103" s="128">
        <f t="shared" si="66"/>
        <v>100.00000000000004</v>
      </c>
      <c r="I103" s="23"/>
      <c r="J103" s="73" t="str">
        <f>Pareto!K91</f>
        <v>Bị bể, mẻ, cấn</v>
      </c>
      <c r="K103" s="71">
        <f>Pareto!L91</f>
        <v>0</v>
      </c>
      <c r="L103" s="72">
        <f>Pareto!M91</f>
        <v>0</v>
      </c>
      <c r="M103" s="128">
        <f t="shared" si="67"/>
        <v>99.999999999999986</v>
      </c>
      <c r="N103" s="23"/>
      <c r="O103" s="85"/>
      <c r="AJ103" s="12" t="str">
        <f ca="1">IFERROR(MATCH($B$114,OFFSET(#REF!,AJ102,0,1000000),0)+AJ102,"")</f>
        <v/>
      </c>
      <c r="AK103" s="17" t="str">
        <f ca="1">IFERROR(_xlfn.SINGLE(INDEX(#REF!,'Weekly Report'!AJ103)),"")</f>
        <v/>
      </c>
      <c r="AL103" s="12" t="str">
        <f ca="1">IFERROR(_xlfn.SINGLE(INDEX(#REF!,'Weekly Report'!AJ103)),"")</f>
        <v/>
      </c>
      <c r="AN103" s="12" t="str">
        <f ca="1">IFERROR(MATCH($G$115,OFFSET(#REF!,AN102,0,1000000),0)+AN102,"")</f>
        <v/>
      </c>
      <c r="AO103" s="17" t="str">
        <f ca="1">IFERROR(_xlfn.SINGLE(INDEX(#REF!,'Weekly Report'!AN103)),"")</f>
        <v/>
      </c>
      <c r="AP103" s="12" t="str">
        <f ca="1">IFERROR(_xlfn.SINGLE(INDEX(#REF!,'Weekly Report'!AN103)),"")</f>
        <v/>
      </c>
      <c r="BP103" s="105"/>
      <c r="BQ103" s="23"/>
      <c r="BR103" s="23"/>
      <c r="BS103" s="129">
        <v>26</v>
      </c>
      <c r="BT103" s="73" t="str">
        <f>Pareto!E178</f>
        <v>Đứt Lõi</v>
      </c>
      <c r="BU103" s="71">
        <f>Pareto!F178</f>
        <v>0</v>
      </c>
      <c r="BV103" s="72">
        <f>Pareto!G178</f>
        <v>0</v>
      </c>
      <c r="BW103" s="128">
        <f t="shared" si="68"/>
        <v>100</v>
      </c>
      <c r="BX103" s="23"/>
      <c r="BY103" s="73" t="str">
        <f>Pareto!K178</f>
        <v>Biến dạng vị trí Soket</v>
      </c>
      <c r="BZ103" s="71">
        <f>Pareto!L178</f>
        <v>0</v>
      </c>
      <c r="CA103" s="72">
        <f>Pareto!M178</f>
        <v>0</v>
      </c>
      <c r="CB103" s="128">
        <f t="shared" si="69"/>
        <v>99.999999999999986</v>
      </c>
      <c r="CC103" s="23"/>
      <c r="CD103" s="85"/>
    </row>
    <row r="104" spans="1:82">
      <c r="A104" s="23"/>
      <c r="B104" s="23"/>
      <c r="C104" s="23"/>
      <c r="D104" s="129">
        <v>36</v>
      </c>
      <c r="E104" s="135" t="str">
        <f>Pareto!E92</f>
        <v>Biến dạng vị trí Soket</v>
      </c>
      <c r="F104" s="136">
        <f>Pareto!F92</f>
        <v>0</v>
      </c>
      <c r="G104" s="137">
        <f>Pareto!G92</f>
        <v>0</v>
      </c>
      <c r="H104" s="138">
        <f t="shared" si="66"/>
        <v>100.00000000000004</v>
      </c>
      <c r="I104" s="23"/>
      <c r="J104" s="135" t="str">
        <f>Pareto!K92</f>
        <v>Xỏ ngược đầu</v>
      </c>
      <c r="K104" s="136">
        <f>Pareto!L92</f>
        <v>0</v>
      </c>
      <c r="L104" s="137">
        <f>Pareto!M92</f>
        <v>0</v>
      </c>
      <c r="M104" s="138">
        <f t="shared" si="67"/>
        <v>99.999999999999986</v>
      </c>
      <c r="N104" s="23"/>
      <c r="O104" s="85"/>
      <c r="AJ104" s="12" t="str">
        <f ca="1">IFERROR(MATCH($B$114,OFFSET(#REF!,AJ103,0,1000000),0)+AJ103,"")</f>
        <v/>
      </c>
      <c r="AK104" s="17" t="str">
        <f ca="1">IFERROR(_xlfn.SINGLE(INDEX(#REF!,'Weekly Report'!AJ104)),"")</f>
        <v/>
      </c>
      <c r="AL104" s="12" t="str">
        <f ca="1">IFERROR(_xlfn.SINGLE(INDEX(#REF!,'Weekly Report'!AJ104)),"")</f>
        <v/>
      </c>
      <c r="AN104" s="12" t="str">
        <f ca="1">IFERROR(MATCH($G$115,OFFSET(#REF!,AN103,0,1000000),0)+AN103,"")</f>
        <v/>
      </c>
      <c r="AO104" s="17" t="str">
        <f ca="1">IFERROR(_xlfn.SINGLE(INDEX(#REF!,'Weekly Report'!AN104)),"")</f>
        <v/>
      </c>
      <c r="AP104" s="12" t="str">
        <f ca="1">IFERROR(_xlfn.SINGLE(INDEX(#REF!,'Weekly Report'!AN104)),"")</f>
        <v/>
      </c>
      <c r="BP104" s="105"/>
      <c r="BQ104" s="23"/>
      <c r="BR104" s="23"/>
      <c r="BS104" s="129">
        <v>27</v>
      </c>
      <c r="BT104" s="73" t="str">
        <f>Pareto!E179</f>
        <v>Thiếu dấu marking PS PSマーキング不足</v>
      </c>
      <c r="BU104" s="71">
        <f>Pareto!F179</f>
        <v>0</v>
      </c>
      <c r="BV104" s="72">
        <f>Pareto!G179</f>
        <v>0</v>
      </c>
      <c r="BW104" s="128">
        <f t="shared" si="68"/>
        <v>100</v>
      </c>
      <c r="BX104" s="23"/>
      <c r="BY104" s="73" t="str">
        <f>Pareto!K179</f>
        <v>Bị bể, mẻ, cấn</v>
      </c>
      <c r="BZ104" s="71">
        <f>Pareto!L179</f>
        <v>0</v>
      </c>
      <c r="CA104" s="72">
        <f>Pareto!M179</f>
        <v>0</v>
      </c>
      <c r="CB104" s="128">
        <f t="shared" si="69"/>
        <v>99.999999999999986</v>
      </c>
      <c r="CC104" s="23"/>
      <c r="CD104" s="85"/>
    </row>
    <row r="105" spans="1:82">
      <c r="A105" s="23"/>
      <c r="B105" s="23"/>
      <c r="C105" s="23"/>
      <c r="D105" s="129">
        <v>37</v>
      </c>
      <c r="E105" s="135" t="str">
        <f>Pareto!E93</f>
        <v>Bị bể, mẻ, cấn</v>
      </c>
      <c r="F105" s="136">
        <f>Pareto!F93</f>
        <v>0</v>
      </c>
      <c r="G105" s="137">
        <f>Pareto!G93</f>
        <v>0</v>
      </c>
      <c r="H105" s="138">
        <f t="shared" si="66"/>
        <v>100.00000000000004</v>
      </c>
      <c r="I105" s="23"/>
      <c r="J105" s="135" t="str">
        <f>Pareto!K93</f>
        <v>Bị trầy xước</v>
      </c>
      <c r="K105" s="136">
        <f>Pareto!L93</f>
        <v>0</v>
      </c>
      <c r="L105" s="137">
        <f>Pareto!M93</f>
        <v>0</v>
      </c>
      <c r="M105" s="138">
        <f t="shared" si="67"/>
        <v>99.999999999999986</v>
      </c>
      <c r="N105" s="23"/>
      <c r="O105" s="85"/>
      <c r="AJ105" s="12" t="str">
        <f ca="1">IFERROR(MATCH($B$114,OFFSET(#REF!,AJ104,0,1000000),0)+AJ104,"")</f>
        <v/>
      </c>
      <c r="AK105" s="17" t="str">
        <f ca="1">IFERROR(_xlfn.SINGLE(INDEX(#REF!,'Weekly Report'!AJ105)),"")</f>
        <v/>
      </c>
      <c r="AL105" s="12" t="str">
        <f ca="1">IFERROR(_xlfn.SINGLE(INDEX(#REF!,'Weekly Report'!AJ105)),"")</f>
        <v/>
      </c>
      <c r="AN105" s="12" t="str">
        <f ca="1">IFERROR(MATCH($G$115,OFFSET(#REF!,AN104,0,1000000),0)+AN104,"")</f>
        <v/>
      </c>
      <c r="AO105" s="17" t="str">
        <f ca="1">IFERROR(_xlfn.SINGLE(INDEX(#REF!,'Weekly Report'!AN105)),"")</f>
        <v/>
      </c>
      <c r="AP105" s="12" t="str">
        <f ca="1">IFERROR(_xlfn.SINGLE(INDEX(#REF!,'Weekly Report'!AN105)),"")</f>
        <v/>
      </c>
      <c r="BP105" s="105"/>
      <c r="BQ105" s="23"/>
      <c r="BR105" s="23"/>
      <c r="BS105" s="129">
        <v>28</v>
      </c>
      <c r="BT105" s="73" t="str">
        <f>Pareto!E180</f>
        <v>Biến dạng vị trí Soket</v>
      </c>
      <c r="BU105" s="71">
        <f>Pareto!F180</f>
        <v>0</v>
      </c>
      <c r="BV105" s="72">
        <f>Pareto!G180</f>
        <v>0</v>
      </c>
      <c r="BW105" s="128">
        <f t="shared" si="68"/>
        <v>100</v>
      </c>
      <c r="BX105" s="23"/>
      <c r="BY105" s="73" t="str">
        <f>Pareto!K180</f>
        <v>Xỏ ngược đầu</v>
      </c>
      <c r="BZ105" s="71">
        <f>Pareto!L180</f>
        <v>0</v>
      </c>
      <c r="CA105" s="72">
        <f>Pareto!M180</f>
        <v>0</v>
      </c>
      <c r="CB105" s="128">
        <f t="shared" si="69"/>
        <v>99.999999999999986</v>
      </c>
      <c r="CC105" s="23"/>
      <c r="CD105" s="85"/>
    </row>
    <row r="106" spans="1:82">
      <c r="A106" s="23"/>
      <c r="B106" s="23"/>
      <c r="C106" s="23"/>
      <c r="D106" s="129">
        <v>38</v>
      </c>
      <c r="E106" s="135" t="str">
        <f>Pareto!E94</f>
        <v>Xỏ ngược đầu</v>
      </c>
      <c r="F106" s="136">
        <f>Pareto!F94</f>
        <v>0</v>
      </c>
      <c r="G106" s="137">
        <f>Pareto!G94</f>
        <v>0</v>
      </c>
      <c r="H106" s="138">
        <f t="shared" si="66"/>
        <v>100.00000000000004</v>
      </c>
      <c r="I106" s="23"/>
      <c r="J106" s="135" t="str">
        <f>Pareto!K94</f>
        <v>Bị gãy khóa</v>
      </c>
      <c r="K106" s="136">
        <f>Pareto!L94</f>
        <v>0</v>
      </c>
      <c r="L106" s="137">
        <f>Pareto!M94</f>
        <v>0</v>
      </c>
      <c r="M106" s="138">
        <f t="shared" si="67"/>
        <v>99.999999999999986</v>
      </c>
      <c r="N106" s="23"/>
      <c r="O106" s="85"/>
      <c r="AJ106" s="12" t="str">
        <f ca="1">IFERROR(MATCH($B$114,OFFSET(#REF!,AJ105,0,1000000),0)+AJ105,"")</f>
        <v/>
      </c>
      <c r="AK106" s="17" t="str">
        <f ca="1">IFERROR(_xlfn.SINGLE(INDEX(#REF!,'Weekly Report'!AJ106)),"")</f>
        <v/>
      </c>
      <c r="AL106" s="12" t="str">
        <f ca="1">IFERROR(_xlfn.SINGLE(INDEX(#REF!,'Weekly Report'!AJ106)),"")</f>
        <v/>
      </c>
      <c r="AN106" s="12" t="str">
        <f ca="1">IFERROR(MATCH($G$115,OFFSET(#REF!,AN105,0,1000000),0)+AN105,"")</f>
        <v/>
      </c>
      <c r="AO106" s="17" t="str">
        <f ca="1">IFERROR(_xlfn.SINGLE(INDEX(#REF!,'Weekly Report'!AN106)),"")</f>
        <v/>
      </c>
      <c r="AP106" s="12" t="str">
        <f ca="1">IFERROR(_xlfn.SINGLE(INDEX(#REF!,'Weekly Report'!AN106)),"")</f>
        <v/>
      </c>
      <c r="BP106" s="105"/>
      <c r="BQ106" s="23"/>
      <c r="BR106" s="23"/>
      <c r="BS106" s="129">
        <v>29</v>
      </c>
      <c r="BT106" s="73" t="str">
        <f>Pareto!E181</f>
        <v>Bị bể, mẻ, cấn</v>
      </c>
      <c r="BU106" s="71">
        <f>Pareto!F181</f>
        <v>0</v>
      </c>
      <c r="BV106" s="72">
        <f>Pareto!G181</f>
        <v>0</v>
      </c>
      <c r="BW106" s="128">
        <f t="shared" si="68"/>
        <v>100</v>
      </c>
      <c r="BX106" s="23"/>
      <c r="BY106" s="73" t="str">
        <f>Pareto!K181</f>
        <v>Bị trầy xước</v>
      </c>
      <c r="BZ106" s="71">
        <f>Pareto!L181</f>
        <v>0</v>
      </c>
      <c r="CA106" s="72">
        <f>Pareto!M181</f>
        <v>0</v>
      </c>
      <c r="CB106" s="128">
        <f t="shared" si="69"/>
        <v>99.999999999999986</v>
      </c>
      <c r="CC106" s="23"/>
      <c r="CD106" s="85"/>
    </row>
    <row r="107" spans="1:82">
      <c r="A107" s="23"/>
      <c r="B107" s="23"/>
      <c r="C107" s="23"/>
      <c r="D107" s="129">
        <v>39</v>
      </c>
      <c r="E107" s="135" t="str">
        <f>Pareto!E95</f>
        <v>Bị gãy khóa</v>
      </c>
      <c r="F107" s="136">
        <f>Pareto!F95</f>
        <v>0</v>
      </c>
      <c r="G107" s="137">
        <f>Pareto!G95</f>
        <v>0</v>
      </c>
      <c r="H107" s="138">
        <f t="shared" si="66"/>
        <v>100.00000000000004</v>
      </c>
      <c r="I107" s="23"/>
      <c r="J107" s="135" t="str">
        <f>Pareto!K95</f>
        <v>Bk không đạt</v>
      </c>
      <c r="K107" s="136">
        <f>Pareto!L95</f>
        <v>0</v>
      </c>
      <c r="L107" s="137">
        <f>Pareto!M95</f>
        <v>0</v>
      </c>
      <c r="M107" s="138">
        <f t="shared" si="67"/>
        <v>99.999999999999986</v>
      </c>
      <c r="N107" s="23"/>
      <c r="O107" s="85"/>
      <c r="AJ107" s="12" t="str">
        <f ca="1">IFERROR(MATCH($B$114,OFFSET(#REF!,AJ106,0,1000000),0)+AJ106,"")</f>
        <v/>
      </c>
      <c r="AK107" s="17" t="str">
        <f ca="1">IFERROR(_xlfn.SINGLE(INDEX(#REF!,'Weekly Report'!AJ107)),"")</f>
        <v/>
      </c>
      <c r="AL107" s="12" t="str">
        <f ca="1">IFERROR(_xlfn.SINGLE(INDEX(#REF!,'Weekly Report'!AJ107)),"")</f>
        <v/>
      </c>
      <c r="AN107" s="12" t="str">
        <f ca="1">IFERROR(MATCH($G$115,OFFSET(#REF!,AN106,0,1000000),0)+AN106,"")</f>
        <v/>
      </c>
      <c r="AO107" s="17" t="str">
        <f ca="1">IFERROR(_xlfn.SINGLE(INDEX(#REF!,'Weekly Report'!AN107)),"")</f>
        <v/>
      </c>
      <c r="AP107" s="12" t="str">
        <f ca="1">IFERROR(_xlfn.SINGLE(INDEX(#REF!,'Weekly Report'!AN107)),"")</f>
        <v/>
      </c>
      <c r="BP107" s="105"/>
      <c r="BQ107" s="23"/>
      <c r="BR107" s="23"/>
      <c r="BS107" s="129">
        <v>30</v>
      </c>
      <c r="BT107" s="73" t="str">
        <f>Pareto!E182</f>
        <v>Xỏ ngược đầu</v>
      </c>
      <c r="BU107" s="71">
        <f>Pareto!F182</f>
        <v>0</v>
      </c>
      <c r="BV107" s="72">
        <f>Pareto!G182</f>
        <v>0</v>
      </c>
      <c r="BW107" s="128">
        <f t="shared" si="68"/>
        <v>100</v>
      </c>
      <c r="BX107" s="23"/>
      <c r="BY107" s="73" t="str">
        <f>Pareto!K182</f>
        <v>Bị gãy khóa</v>
      </c>
      <c r="BZ107" s="71">
        <f>Pareto!L182</f>
        <v>0</v>
      </c>
      <c r="CA107" s="72">
        <f>Pareto!M182</f>
        <v>0</v>
      </c>
      <c r="CB107" s="128">
        <f t="shared" si="69"/>
        <v>99.999999999999986</v>
      </c>
      <c r="CC107" s="23"/>
      <c r="CD107" s="85"/>
    </row>
    <row r="108" spans="1:82">
      <c r="A108" s="23"/>
      <c r="B108" s="23"/>
      <c r="C108" s="23"/>
      <c r="D108" s="129">
        <v>40</v>
      </c>
      <c r="E108" s="135" t="str">
        <f>Pareto!E96</f>
        <v>Bk không đạt</v>
      </c>
      <c r="F108" s="136">
        <f>Pareto!F96</f>
        <v>0</v>
      </c>
      <c r="G108" s="137">
        <f>Pareto!G96</f>
        <v>0</v>
      </c>
      <c r="H108" s="138">
        <f t="shared" si="66"/>
        <v>100.00000000000004</v>
      </c>
      <c r="I108" s="23"/>
      <c r="J108" s="135" t="str">
        <f>Pareto!K96</f>
        <v>Rách</v>
      </c>
      <c r="K108" s="136">
        <f>Pareto!L96</f>
        <v>0</v>
      </c>
      <c r="L108" s="137">
        <f>Pareto!M96</f>
        <v>0</v>
      </c>
      <c r="M108" s="138">
        <f t="shared" si="67"/>
        <v>99.999999999999986</v>
      </c>
      <c r="N108" s="23"/>
      <c r="O108" s="85"/>
      <c r="AJ108" s="12" t="str">
        <f ca="1">IFERROR(MATCH($B$114,OFFSET(#REF!,AJ107,0,1000000),0)+AJ107,"")</f>
        <v/>
      </c>
      <c r="AK108" s="17" t="str">
        <f ca="1">IFERROR(_xlfn.SINGLE(INDEX(#REF!,'Weekly Report'!AJ108)),"")</f>
        <v/>
      </c>
      <c r="AL108" s="12" t="str">
        <f ca="1">IFERROR(_xlfn.SINGLE(INDEX(#REF!,'Weekly Report'!AJ108)),"")</f>
        <v/>
      </c>
      <c r="AN108" s="12" t="str">
        <f ca="1">IFERROR(MATCH($G$115,OFFSET(#REF!,AN107,0,1000000),0)+AN107,"")</f>
        <v/>
      </c>
      <c r="AO108" s="17" t="str">
        <f ca="1">IFERROR(_xlfn.SINGLE(INDEX(#REF!,'Weekly Report'!AN108)),"")</f>
        <v/>
      </c>
      <c r="AP108" s="12" t="str">
        <f ca="1">IFERROR(_xlfn.SINGLE(INDEX(#REF!,'Weekly Report'!AN108)),"")</f>
        <v/>
      </c>
      <c r="BP108" s="105"/>
      <c r="BQ108" s="23"/>
      <c r="BR108" s="23"/>
      <c r="BS108" s="129">
        <v>31</v>
      </c>
      <c r="BT108" s="73" t="str">
        <f>Pareto!E183</f>
        <v>Bị gãy khóa</v>
      </c>
      <c r="BU108" s="71">
        <f>Pareto!F183</f>
        <v>0</v>
      </c>
      <c r="BV108" s="72">
        <f>Pareto!G183</f>
        <v>0</v>
      </c>
      <c r="BW108" s="128">
        <f t="shared" si="68"/>
        <v>100</v>
      </c>
      <c r="BX108" s="23"/>
      <c r="BY108" s="73" t="str">
        <f>Pareto!K183</f>
        <v>Bk không đạt</v>
      </c>
      <c r="BZ108" s="71">
        <f>Pareto!L183</f>
        <v>0</v>
      </c>
      <c r="CA108" s="72">
        <f>Pareto!M183</f>
        <v>0</v>
      </c>
      <c r="CB108" s="128">
        <f t="shared" si="69"/>
        <v>99.999999999999986</v>
      </c>
      <c r="CC108" s="23"/>
      <c r="CD108" s="85"/>
    </row>
    <row r="109" spans="1:82">
      <c r="A109" s="23"/>
      <c r="B109" s="23"/>
      <c r="C109" s="23"/>
      <c r="D109" s="129">
        <v>41</v>
      </c>
      <c r="E109" s="135" t="str">
        <f>Pareto!E97</f>
        <v>Rách</v>
      </c>
      <c r="F109" s="136">
        <f>Pareto!F97</f>
        <v>0</v>
      </c>
      <c r="G109" s="137">
        <f>Pareto!G97</f>
        <v>0</v>
      </c>
      <c r="H109" s="138">
        <f t="shared" si="66"/>
        <v>100.00000000000004</v>
      </c>
      <c r="I109" s="23"/>
      <c r="J109" s="135" t="str">
        <f>Pareto!K97</f>
        <v>Contact bị cháy コン クト焼け</v>
      </c>
      <c r="K109" s="136">
        <f>Pareto!L97</f>
        <v>0</v>
      </c>
      <c r="L109" s="137">
        <f>Pareto!M97</f>
        <v>0</v>
      </c>
      <c r="M109" s="138">
        <f t="shared" si="67"/>
        <v>99.999999999999986</v>
      </c>
      <c r="N109" s="23"/>
      <c r="O109" s="85"/>
      <c r="AJ109" s="12" t="str">
        <f ca="1">IFERROR(MATCH($B$114,OFFSET(#REF!,AJ108,0,1000000),0)+AJ108,"")</f>
        <v/>
      </c>
      <c r="AK109" s="17" t="str">
        <f ca="1">IFERROR(_xlfn.SINGLE(INDEX(#REF!,'Weekly Report'!AJ109)),"")</f>
        <v/>
      </c>
      <c r="AL109" s="12" t="str">
        <f ca="1">IFERROR(_xlfn.SINGLE(INDEX(#REF!,'Weekly Report'!AJ109)),"")</f>
        <v/>
      </c>
      <c r="AN109" s="12" t="str">
        <f ca="1">IFERROR(MATCH($G$115,OFFSET(#REF!,AN108,0,1000000),0)+AN108,"")</f>
        <v/>
      </c>
      <c r="AO109" s="17" t="str">
        <f ca="1">IFERROR(_xlfn.SINGLE(INDEX(#REF!,'Weekly Report'!AN109)),"")</f>
        <v/>
      </c>
      <c r="AP109" s="12" t="str">
        <f ca="1">IFERROR(_xlfn.SINGLE(INDEX(#REF!,'Weekly Report'!AN109)),"")</f>
        <v/>
      </c>
      <c r="BP109" s="105"/>
      <c r="BQ109" s="23"/>
      <c r="BR109" s="23"/>
      <c r="BS109" s="129">
        <v>32</v>
      </c>
      <c r="BT109" s="73" t="str">
        <f>Pareto!E184</f>
        <v>Bk không đạt</v>
      </c>
      <c r="BU109" s="71">
        <f>Pareto!F184</f>
        <v>0</v>
      </c>
      <c r="BV109" s="72">
        <f>Pareto!G184</f>
        <v>0</v>
      </c>
      <c r="BW109" s="128">
        <f t="shared" si="68"/>
        <v>100</v>
      </c>
      <c r="BX109" s="23"/>
      <c r="BY109" s="73" t="str">
        <f>Pareto!K184</f>
        <v>Rách</v>
      </c>
      <c r="BZ109" s="71">
        <f>Pareto!L184</f>
        <v>0</v>
      </c>
      <c r="CA109" s="72">
        <f>Pareto!M184</f>
        <v>0</v>
      </c>
      <c r="CB109" s="128">
        <f t="shared" si="69"/>
        <v>99.999999999999986</v>
      </c>
      <c r="CC109" s="23"/>
      <c r="CD109" s="85"/>
    </row>
    <row r="110" spans="1:82">
      <c r="A110" s="23"/>
      <c r="B110" s="23"/>
      <c r="C110" s="23"/>
      <c r="D110" s="129">
        <v>42</v>
      </c>
      <c r="E110" s="135" t="str">
        <f>Pareto!E98</f>
        <v>Contact bị cháy コン クト焼け</v>
      </c>
      <c r="F110" s="136">
        <f>Pareto!F98</f>
        <v>0</v>
      </c>
      <c r="G110" s="137">
        <f>Pareto!G98</f>
        <v>0</v>
      </c>
      <c r="H110" s="138">
        <f t="shared" si="66"/>
        <v>100.00000000000004</v>
      </c>
      <c r="I110" s="23"/>
      <c r="J110" s="135" t="str">
        <f>Pareto!K98</f>
        <v>HKH NG</v>
      </c>
      <c r="K110" s="136">
        <f>Pareto!L98</f>
        <v>0</v>
      </c>
      <c r="L110" s="137">
        <f>Pareto!M98</f>
        <v>0</v>
      </c>
      <c r="M110" s="138">
        <f t="shared" si="67"/>
        <v>99.999999999999986</v>
      </c>
      <c r="N110" s="23"/>
      <c r="O110" s="85"/>
      <c r="AJ110" s="12" t="str">
        <f ca="1">IFERROR(MATCH($B$114,OFFSET(#REF!,AJ109,0,1000000),0)+AJ109,"")</f>
        <v/>
      </c>
      <c r="AK110" s="17" t="str">
        <f ca="1">IFERROR(_xlfn.SINGLE(INDEX(#REF!,'Weekly Report'!AJ110)),"")</f>
        <v/>
      </c>
      <c r="AL110" s="12" t="str">
        <f ca="1">IFERROR(_xlfn.SINGLE(INDEX(#REF!,'Weekly Report'!AJ110)),"")</f>
        <v/>
      </c>
      <c r="AN110" s="12" t="str">
        <f ca="1">IFERROR(MATCH($G$115,OFFSET(#REF!,AN109,0,1000000),0)+AN109,"")</f>
        <v/>
      </c>
      <c r="AO110" s="17" t="str">
        <f ca="1">IFERROR(_xlfn.SINGLE(INDEX(#REF!,'Weekly Report'!AN110)),"")</f>
        <v/>
      </c>
      <c r="AP110" s="12" t="str">
        <f ca="1">IFERROR(_xlfn.SINGLE(INDEX(#REF!,'Weekly Report'!AN110)),"")</f>
        <v/>
      </c>
      <c r="BP110" s="105"/>
      <c r="BQ110" s="23"/>
      <c r="BR110" s="23"/>
      <c r="BS110" s="129">
        <v>33</v>
      </c>
      <c r="BT110" s="73" t="str">
        <f>Pareto!E185</f>
        <v>Rách</v>
      </c>
      <c r="BU110" s="71">
        <f>Pareto!F185</f>
        <v>0</v>
      </c>
      <c r="BV110" s="72">
        <f>Pareto!G185</f>
        <v>0</v>
      </c>
      <c r="BW110" s="128">
        <f t="shared" si="68"/>
        <v>100</v>
      </c>
      <c r="BX110" s="23"/>
      <c r="BY110" s="73" t="str">
        <f>Pareto!K185</f>
        <v>Contact bị cháy コン クト焼け</v>
      </c>
      <c r="BZ110" s="71">
        <f>Pareto!L185</f>
        <v>0</v>
      </c>
      <c r="CA110" s="72">
        <f>Pareto!M185</f>
        <v>0</v>
      </c>
      <c r="CB110" s="128">
        <f t="shared" si="69"/>
        <v>99.999999999999986</v>
      </c>
      <c r="CC110" s="23"/>
      <c r="CD110" s="85"/>
    </row>
    <row r="111" spans="1:82">
      <c r="A111" s="23"/>
      <c r="B111" s="23"/>
      <c r="C111" s="23"/>
      <c r="D111" s="129">
        <v>43</v>
      </c>
      <c r="E111" s="135" t="str">
        <f>Pareto!E99</f>
        <v>HKH NG</v>
      </c>
      <c r="F111" s="136">
        <f>Pareto!F99</f>
        <v>0</v>
      </c>
      <c r="G111" s="137">
        <f>Pareto!G99</f>
        <v>0</v>
      </c>
      <c r="H111" s="138">
        <f t="shared" si="66"/>
        <v>100.00000000000004</v>
      </c>
      <c r="I111" s="23"/>
      <c r="J111" s="135" t="str">
        <f>Pareto!K99</f>
        <v>Tanshi dính HKH はん  着</v>
      </c>
      <c r="K111" s="136">
        <f>Pareto!L99</f>
        <v>0</v>
      </c>
      <c r="L111" s="137">
        <f>Pareto!M99</f>
        <v>0</v>
      </c>
      <c r="M111" s="138">
        <f t="shared" si="67"/>
        <v>99.999999999999986</v>
      </c>
      <c r="N111" s="23"/>
      <c r="O111" s="85"/>
      <c r="AJ111" s="12" t="str">
        <f ca="1">IFERROR(MATCH($B$114,OFFSET(#REF!,AJ110,0,1000000),0)+AJ110,"")</f>
        <v/>
      </c>
      <c r="AK111" s="17" t="str">
        <f ca="1">IFERROR(_xlfn.SINGLE(INDEX(#REF!,'Weekly Report'!AJ111)),"")</f>
        <v/>
      </c>
      <c r="AL111" s="12" t="str">
        <f ca="1">IFERROR(_xlfn.SINGLE(INDEX(#REF!,'Weekly Report'!AJ111)),"")</f>
        <v/>
      </c>
      <c r="AN111" s="12" t="str">
        <f ca="1">IFERROR(MATCH($G$115,OFFSET(#REF!,AN110,0,1000000),0)+AN110,"")</f>
        <v/>
      </c>
      <c r="AO111" s="17" t="str">
        <f ca="1">IFERROR(_xlfn.SINGLE(INDEX(#REF!,'Weekly Report'!AN111)),"")</f>
        <v/>
      </c>
      <c r="AP111" s="12" t="str">
        <f ca="1">IFERROR(_xlfn.SINGLE(INDEX(#REF!,'Weekly Report'!AN111)),"")</f>
        <v/>
      </c>
      <c r="BP111" s="105"/>
      <c r="BQ111" s="23"/>
      <c r="BR111" s="23"/>
      <c r="BS111" s="129">
        <v>34</v>
      </c>
      <c r="BT111" s="73" t="str">
        <f>Pareto!E186</f>
        <v>Contact bị cháy コン クト焼け</v>
      </c>
      <c r="BU111" s="71">
        <f>Pareto!F186</f>
        <v>0</v>
      </c>
      <c r="BV111" s="72">
        <f>Pareto!G186</f>
        <v>0</v>
      </c>
      <c r="BW111" s="128">
        <f t="shared" si="68"/>
        <v>100</v>
      </c>
      <c r="BX111" s="23"/>
      <c r="BY111" s="73" t="str">
        <f>Pareto!K186</f>
        <v>HKH NG</v>
      </c>
      <c r="BZ111" s="71">
        <f>Pareto!L186</f>
        <v>0</v>
      </c>
      <c r="CA111" s="72">
        <f>Pareto!M186</f>
        <v>0</v>
      </c>
      <c r="CB111" s="128">
        <f t="shared" si="69"/>
        <v>99.999999999999986</v>
      </c>
      <c r="CC111" s="23"/>
      <c r="CD111" s="85"/>
    </row>
    <row r="112" spans="1:82">
      <c r="A112" s="23"/>
      <c r="B112" s="23"/>
      <c r="C112" s="23"/>
      <c r="D112" s="129">
        <v>44</v>
      </c>
      <c r="E112" s="135" t="str">
        <f>Pareto!E100</f>
        <v>Tanshi dính HKH はん  着</v>
      </c>
      <c r="F112" s="136">
        <f>Pareto!F100</f>
        <v>0</v>
      </c>
      <c r="G112" s="137">
        <f>Pareto!G100</f>
        <v>0</v>
      </c>
      <c r="H112" s="138">
        <f t="shared" si="66"/>
        <v>100.00000000000004</v>
      </c>
      <c r="I112" s="23"/>
      <c r="J112" s="135" t="str">
        <f>Pareto!K100</f>
        <v>Hở hộp nối 端子勘合部(接点）が開いている</v>
      </c>
      <c r="K112" s="136">
        <f>Pareto!L100</f>
        <v>0</v>
      </c>
      <c r="L112" s="137">
        <f>Pareto!M100</f>
        <v>0</v>
      </c>
      <c r="M112" s="138">
        <f t="shared" si="67"/>
        <v>99.999999999999986</v>
      </c>
      <c r="N112" s="23"/>
      <c r="O112" s="85"/>
      <c r="AJ112" s="12" t="str">
        <f ca="1">IFERROR(MATCH($B$114,OFFSET(#REF!,AJ111,0,1000000),0)+AJ111,"")</f>
        <v/>
      </c>
      <c r="AK112" s="17" t="str">
        <f ca="1">IFERROR(_xlfn.SINGLE(INDEX(#REF!,'Weekly Report'!AJ112)),"")</f>
        <v/>
      </c>
      <c r="AL112" s="12" t="str">
        <f ca="1">IFERROR(_xlfn.SINGLE(INDEX(#REF!,'Weekly Report'!AJ112)),"")</f>
        <v/>
      </c>
      <c r="AN112" s="12" t="str">
        <f ca="1">IFERROR(MATCH($G$115,OFFSET(#REF!,AN111,0,1000000),0)+AN111,"")</f>
        <v/>
      </c>
      <c r="AO112" s="17" t="str">
        <f ca="1">IFERROR(_xlfn.SINGLE(INDEX(#REF!,'Weekly Report'!AN112)),"")</f>
        <v/>
      </c>
      <c r="AP112" s="12" t="str">
        <f ca="1">IFERROR(_xlfn.SINGLE(INDEX(#REF!,'Weekly Report'!AN112)),"")</f>
        <v/>
      </c>
      <c r="BP112" s="105"/>
      <c r="BQ112" s="23"/>
      <c r="BR112" s="23"/>
      <c r="BS112" s="129">
        <v>35</v>
      </c>
      <c r="BT112" s="73" t="str">
        <f>Pareto!E187</f>
        <v>HKH NG</v>
      </c>
      <c r="BU112" s="71">
        <f>Pareto!F187</f>
        <v>0</v>
      </c>
      <c r="BV112" s="72">
        <f>Pareto!G187</f>
        <v>0</v>
      </c>
      <c r="BW112" s="128">
        <f t="shared" si="68"/>
        <v>100</v>
      </c>
      <c r="BX112" s="23"/>
      <c r="BY112" s="73" t="str">
        <f>Pareto!K187</f>
        <v>Tanshi dính HKH はん  着</v>
      </c>
      <c r="BZ112" s="71">
        <f>Pareto!L187</f>
        <v>0</v>
      </c>
      <c r="CA112" s="72">
        <f>Pareto!M187</f>
        <v>0</v>
      </c>
      <c r="CB112" s="128">
        <f t="shared" si="69"/>
        <v>99.999999999999986</v>
      </c>
      <c r="CC112" s="23"/>
      <c r="CD112" s="85"/>
    </row>
    <row r="113" spans="1:82">
      <c r="A113" s="105"/>
      <c r="B113" s="23"/>
      <c r="C113" s="23"/>
      <c r="D113" s="129">
        <v>45</v>
      </c>
      <c r="E113" s="74" t="str">
        <f>Pareto!E101</f>
        <v>Hở hộp nối 端子勘合部(接点）が開いている</v>
      </c>
      <c r="F113" s="75">
        <f>Pareto!F101</f>
        <v>0</v>
      </c>
      <c r="G113" s="76">
        <f>Pareto!G101</f>
        <v>0</v>
      </c>
      <c r="H113" s="107">
        <f t="shared" si="66"/>
        <v>100.00000000000004</v>
      </c>
      <c r="I113" s="23"/>
      <c r="J113" s="74" t="str">
        <f>Pareto!K101</f>
        <v>Others for Processing</v>
      </c>
      <c r="K113" s="75">
        <f>Pareto!L101</f>
        <v>0</v>
      </c>
      <c r="L113" s="76">
        <f>Pareto!M101</f>
        <v>0</v>
      </c>
      <c r="M113" s="107">
        <f t="shared" si="67"/>
        <v>99.999999999999986</v>
      </c>
      <c r="N113" s="23"/>
      <c r="O113" s="130"/>
      <c r="AJ113" s="12" t="str">
        <f ca="1">IFERROR(MATCH($B$114,OFFSET(#REF!,AJ112,0,1000000),0)+AJ112,"")</f>
        <v/>
      </c>
      <c r="AK113" s="17" t="str">
        <f ca="1">IFERROR(_xlfn.SINGLE(INDEX(#REF!,'Weekly Report'!AJ113)),"")</f>
        <v/>
      </c>
      <c r="AL113" s="12" t="str">
        <f ca="1">IFERROR(_xlfn.SINGLE(INDEX(#REF!,'Weekly Report'!AJ113)),"")</f>
        <v/>
      </c>
      <c r="AN113" s="12" t="str">
        <f ca="1">IFERROR(MATCH($G$115,OFFSET(#REF!,AN112,0,1000000),0)+AN112,"")</f>
        <v/>
      </c>
      <c r="AO113" s="17" t="str">
        <f ca="1">IFERROR(_xlfn.SINGLE(INDEX(#REF!,'Weekly Report'!AN113)),"")</f>
        <v/>
      </c>
      <c r="AP113" s="12" t="str">
        <f ca="1">IFERROR(_xlfn.SINGLE(INDEX(#REF!,'Weekly Report'!AN113)),"")</f>
        <v/>
      </c>
      <c r="BP113" s="105"/>
      <c r="BQ113" s="23"/>
      <c r="BR113" s="23"/>
      <c r="BS113" s="129">
        <v>36</v>
      </c>
      <c r="BT113" s="135" t="str">
        <f>Pareto!E188</f>
        <v>Tanshi dính HKH はん  着</v>
      </c>
      <c r="BU113" s="136">
        <f>Pareto!F188</f>
        <v>0</v>
      </c>
      <c r="BV113" s="137">
        <f>Pareto!G188</f>
        <v>0</v>
      </c>
      <c r="BW113" s="138">
        <f t="shared" si="68"/>
        <v>100</v>
      </c>
      <c r="BX113" s="23"/>
      <c r="BY113" s="135" t="str">
        <f>Pareto!K188</f>
        <v>Hở hộp nối 端子勘合部(接点）が開いている</v>
      </c>
      <c r="BZ113" s="136">
        <f>Pareto!L188</f>
        <v>0</v>
      </c>
      <c r="CA113" s="137">
        <f>Pareto!M188</f>
        <v>0</v>
      </c>
      <c r="CB113" s="138">
        <f t="shared" si="69"/>
        <v>99.999999999999986</v>
      </c>
      <c r="CC113" s="23"/>
      <c r="CD113" s="85"/>
    </row>
    <row r="114" spans="1:82">
      <c r="A114" s="10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130"/>
      <c r="AJ114" s="12" t="str">
        <f ca="1">IFERROR(MATCH($B$114,OFFSET(#REF!,AJ113,0,1000000),0)+AJ113,"")</f>
        <v/>
      </c>
      <c r="AK114" s="17" t="str">
        <f ca="1">IFERROR(_xlfn.SINGLE(INDEX(#REF!,'Weekly Report'!AJ114)),"")</f>
        <v/>
      </c>
      <c r="AL114" s="12" t="str">
        <f ca="1">IFERROR(_xlfn.SINGLE(INDEX(#REF!,'Weekly Report'!AJ114)),"")</f>
        <v/>
      </c>
      <c r="AN114" s="12" t="str">
        <f ca="1">IFERROR(MATCH($G$115,OFFSET(#REF!,AN113,0,1000000),0)+AN113,"")</f>
        <v/>
      </c>
      <c r="AO114" s="17" t="str">
        <f ca="1">IFERROR(_xlfn.SINGLE(INDEX(#REF!,'Weekly Report'!AN114)),"")</f>
        <v/>
      </c>
      <c r="AP114" s="12" t="str">
        <f ca="1">IFERROR(_xlfn.SINGLE(INDEX(#REF!,'Weekly Report'!AN114)),"")</f>
        <v/>
      </c>
      <c r="BP114" s="105"/>
      <c r="BQ114" s="23"/>
      <c r="BR114" s="23"/>
      <c r="BS114" s="129">
        <v>37</v>
      </c>
      <c r="BT114" s="74" t="str">
        <f>Pareto!E189</f>
        <v>Hở hộp nối 端子勘合部(接点）が開いている</v>
      </c>
      <c r="BU114" s="75">
        <f>Pareto!F189</f>
        <v>0</v>
      </c>
      <c r="BV114" s="76">
        <f>Pareto!G189</f>
        <v>0</v>
      </c>
      <c r="BW114" s="107">
        <f t="shared" si="68"/>
        <v>100</v>
      </c>
      <c r="BX114" s="23"/>
      <c r="BY114" s="74" t="str">
        <f>Pareto!K189</f>
        <v>Others for Processing</v>
      </c>
      <c r="BZ114" s="75">
        <f>Pareto!L189</f>
        <v>0</v>
      </c>
      <c r="CA114" s="76">
        <f>Pareto!M189</f>
        <v>0</v>
      </c>
      <c r="CB114" s="107">
        <f t="shared" si="69"/>
        <v>99.999999999999986</v>
      </c>
      <c r="CC114" s="23"/>
      <c r="CD114" s="85"/>
    </row>
    <row r="115" spans="1:82">
      <c r="A115" s="10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130"/>
      <c r="AJ115" s="12" t="str">
        <f ca="1">IFERROR(MATCH($B$114,OFFSET(#REF!,AJ114,0,1000000),0)+AJ114,"")</f>
        <v/>
      </c>
      <c r="AK115" s="17" t="str">
        <f ca="1">IFERROR(_xlfn.SINGLE(INDEX(#REF!,'Weekly Report'!AJ115)),"")</f>
        <v/>
      </c>
      <c r="AL115" s="12" t="str">
        <f ca="1">IFERROR(_xlfn.SINGLE(INDEX(#REF!,'Weekly Report'!AJ115)),"")</f>
        <v/>
      </c>
      <c r="AN115" s="12" t="str">
        <f ca="1">IFERROR(MATCH($G$115,OFFSET(#REF!,AN114,0,1000000),0)+AN114,"")</f>
        <v/>
      </c>
      <c r="AO115" s="17" t="str">
        <f ca="1">IFERROR(_xlfn.SINGLE(INDEX(#REF!,'Weekly Report'!AN115)),"")</f>
        <v/>
      </c>
      <c r="AP115" s="12" t="str">
        <f ca="1">IFERROR(_xlfn.SINGLE(INDEX(#REF!,'Weekly Report'!AN115)),"")</f>
        <v/>
      </c>
      <c r="BP115" s="105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130"/>
    </row>
    <row r="116" spans="1:82">
      <c r="A116" s="10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130"/>
      <c r="AJ116" s="12" t="str">
        <f ca="1">IFERROR(MATCH($B$114,OFFSET(#REF!,AJ115,0,1000000),0)+AJ115,"")</f>
        <v/>
      </c>
      <c r="AK116" s="17" t="str">
        <f ca="1">IFERROR(_xlfn.SINGLE(INDEX(#REF!,'Weekly Report'!AJ116)),"")</f>
        <v/>
      </c>
      <c r="AL116" s="12" t="str">
        <f ca="1">IFERROR(_xlfn.SINGLE(INDEX(#REF!,'Weekly Report'!AJ116)),"")</f>
        <v/>
      </c>
      <c r="AN116" s="12" t="str">
        <f ca="1">IFERROR(MATCH($G$115,OFFSET(#REF!,AN115,0,1000000),0)+AN115,"")</f>
        <v/>
      </c>
      <c r="AO116" s="17" t="str">
        <f ca="1">IFERROR(_xlfn.SINGLE(INDEX(#REF!,'Weekly Report'!AN116)),"")</f>
        <v/>
      </c>
      <c r="AP116" s="12" t="str">
        <f ca="1">IFERROR(_xlfn.SINGLE(INDEX(#REF!,'Weekly Report'!AN116)),"")</f>
        <v/>
      </c>
      <c r="BP116" s="105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130"/>
    </row>
    <row r="117" spans="1:82">
      <c r="A117" s="10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130"/>
      <c r="AJ117" s="12" t="str">
        <f ca="1">IFERROR(MATCH($B$114,OFFSET(#REF!,AJ116,0,1000000),0)+AJ116,"")</f>
        <v/>
      </c>
      <c r="AK117" s="17" t="str">
        <f ca="1">IFERROR(_xlfn.SINGLE(INDEX(#REF!,'Weekly Report'!AJ117)),"")</f>
        <v/>
      </c>
      <c r="AL117" s="12" t="str">
        <f ca="1">IFERROR(_xlfn.SINGLE(INDEX(#REF!,'Weekly Report'!AJ117)),"")</f>
        <v/>
      </c>
      <c r="AN117" s="12" t="str">
        <f ca="1">IFERROR(MATCH($G$115,OFFSET(#REF!,AN116,0,1000000),0)+AN116,"")</f>
        <v/>
      </c>
      <c r="AO117" s="17" t="str">
        <f ca="1">IFERROR(_xlfn.SINGLE(INDEX(#REF!,'Weekly Report'!AN117)),"")</f>
        <v/>
      </c>
      <c r="AP117" s="12" t="str">
        <f ca="1">IFERROR(_xlfn.SINGLE(INDEX(#REF!,'Weekly Report'!AN117)),"")</f>
        <v/>
      </c>
      <c r="BP117" s="105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130"/>
    </row>
    <row r="118" spans="1:82">
      <c r="A118" s="10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130"/>
      <c r="AJ118" s="12" t="str">
        <f ca="1">IFERROR(MATCH($B$114,OFFSET(#REF!,AJ117,0,1000000),0)+AJ117,"")</f>
        <v/>
      </c>
      <c r="AK118" s="17" t="str">
        <f ca="1">IFERROR(_xlfn.SINGLE(INDEX(#REF!,'Weekly Report'!AJ118)),"")</f>
        <v/>
      </c>
      <c r="AL118" s="12" t="str">
        <f ca="1">IFERROR(_xlfn.SINGLE(INDEX(#REF!,'Weekly Report'!AJ118)),"")</f>
        <v/>
      </c>
      <c r="AN118" s="12" t="str">
        <f ca="1">IFERROR(MATCH($G$115,OFFSET(#REF!,AN117,0,1000000),0)+AN117,"")</f>
        <v/>
      </c>
      <c r="AO118" s="17" t="str">
        <f ca="1">IFERROR(_xlfn.SINGLE(INDEX(#REF!,'Weekly Report'!AN118)),"")</f>
        <v/>
      </c>
      <c r="AP118" s="12" t="str">
        <f ca="1">IFERROR(_xlfn.SINGLE(INDEX(#REF!,'Weekly Report'!AN118)),"")</f>
        <v/>
      </c>
      <c r="BP118" s="105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130"/>
    </row>
    <row r="119" spans="1:82">
      <c r="A119" s="10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130"/>
      <c r="AJ119" s="12" t="str">
        <f ca="1">IFERROR(MATCH($B$114,OFFSET(#REF!,AJ118,0,1000000),0)+AJ118,"")</f>
        <v/>
      </c>
      <c r="AK119" s="17" t="str">
        <f ca="1">IFERROR(_xlfn.SINGLE(INDEX(#REF!,'Weekly Report'!AJ119)),"")</f>
        <v/>
      </c>
      <c r="AL119" s="12" t="str">
        <f ca="1">IFERROR(_xlfn.SINGLE(INDEX(#REF!,'Weekly Report'!AJ119)),"")</f>
        <v/>
      </c>
      <c r="AN119" s="12" t="str">
        <f ca="1">IFERROR(MATCH($G$115,OFFSET(#REF!,AN118,0,1000000),0)+AN118,"")</f>
        <v/>
      </c>
      <c r="AO119" s="17" t="str">
        <f ca="1">IFERROR(_xlfn.SINGLE(INDEX(#REF!,'Weekly Report'!AN119)),"")</f>
        <v/>
      </c>
      <c r="AP119" s="12" t="str">
        <f ca="1">IFERROR(_xlfn.SINGLE(INDEX(#REF!,'Weekly Report'!AN119)),"")</f>
        <v/>
      </c>
      <c r="BP119" s="105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130"/>
    </row>
    <row r="120" spans="1:82">
      <c r="A120" s="10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130"/>
      <c r="AJ120" s="12" t="str">
        <f ca="1">IFERROR(MATCH($B$114,OFFSET(#REF!,AJ119,0,1000000),0)+AJ119,"")</f>
        <v/>
      </c>
      <c r="AK120" s="17" t="str">
        <f ca="1">IFERROR(_xlfn.SINGLE(INDEX(#REF!,'Weekly Report'!AJ120)),"")</f>
        <v/>
      </c>
      <c r="AL120" s="12" t="str">
        <f ca="1">IFERROR(_xlfn.SINGLE(INDEX(#REF!,'Weekly Report'!AJ120)),"")</f>
        <v/>
      </c>
      <c r="AN120" s="12" t="str">
        <f ca="1">IFERROR(MATCH($G$115,OFFSET(#REF!,AN119,0,1000000),0)+AN119,"")</f>
        <v/>
      </c>
      <c r="AO120" s="17" t="str">
        <f ca="1">IFERROR(_xlfn.SINGLE(INDEX(#REF!,'Weekly Report'!AN120)),"")</f>
        <v/>
      </c>
      <c r="AP120" s="12" t="str">
        <f ca="1">IFERROR(_xlfn.SINGLE(INDEX(#REF!,'Weekly Report'!AN120)),"")</f>
        <v/>
      </c>
      <c r="BP120" s="105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130"/>
    </row>
    <row r="121" spans="1:82">
      <c r="A121" s="10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30"/>
      <c r="AJ121" s="12" t="str">
        <f ca="1">IFERROR(MATCH($B$114,OFFSET(#REF!,AJ120,0,1000000),0)+AJ120,"")</f>
        <v/>
      </c>
      <c r="AK121" s="17" t="str">
        <f ca="1">IFERROR(_xlfn.SINGLE(INDEX(#REF!,'Weekly Report'!AJ121)),"")</f>
        <v/>
      </c>
      <c r="AL121" s="12" t="str">
        <f ca="1">IFERROR(_xlfn.SINGLE(INDEX(#REF!,'Weekly Report'!AJ121)),"")</f>
        <v/>
      </c>
      <c r="AN121" s="12" t="str">
        <f ca="1">IFERROR(MATCH($G$115,OFFSET(#REF!,AN120,0,1000000),0)+AN120,"")</f>
        <v/>
      </c>
      <c r="AO121" s="17" t="str">
        <f ca="1">IFERROR(_xlfn.SINGLE(INDEX(#REF!,'Weekly Report'!AN121)),"")</f>
        <v/>
      </c>
      <c r="AP121" s="12" t="str">
        <f ca="1">IFERROR(_xlfn.SINGLE(INDEX(#REF!,'Weekly Report'!AN121)),"")</f>
        <v/>
      </c>
      <c r="BP121" s="105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130"/>
    </row>
    <row r="122" spans="1:82">
      <c r="A122" s="10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130"/>
      <c r="AJ122" s="12" t="str">
        <f ca="1">IFERROR(MATCH($B$114,OFFSET(#REF!,AJ121,0,1000000),0)+AJ121,"")</f>
        <v/>
      </c>
      <c r="AK122" s="17" t="str">
        <f ca="1">IFERROR(_xlfn.SINGLE(INDEX(#REF!,'Weekly Report'!AJ122)),"")</f>
        <v/>
      </c>
      <c r="AL122" s="12" t="str">
        <f ca="1">IFERROR(_xlfn.SINGLE(INDEX(#REF!,'Weekly Report'!AJ122)),"")</f>
        <v/>
      </c>
      <c r="AN122" s="12" t="str">
        <f ca="1">IFERROR(MATCH($G$115,OFFSET(#REF!,AN121,0,1000000),0)+AN121,"")</f>
        <v/>
      </c>
      <c r="AO122" s="17" t="str">
        <f ca="1">IFERROR(_xlfn.SINGLE(INDEX(#REF!,'Weekly Report'!AN122)),"")</f>
        <v/>
      </c>
      <c r="AP122" s="12" t="str">
        <f ca="1">IFERROR(_xlfn.SINGLE(INDEX(#REF!,'Weekly Report'!AN122)),"")</f>
        <v/>
      </c>
      <c r="BP122" s="105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130"/>
    </row>
    <row r="123" spans="1:82">
      <c r="A123" s="10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130"/>
      <c r="AJ123" s="12" t="str">
        <f ca="1">IFERROR(MATCH($B$114,OFFSET(#REF!,AJ122,0,1000000),0)+AJ122,"")</f>
        <v/>
      </c>
      <c r="AK123" s="17" t="str">
        <f ca="1">IFERROR(_xlfn.SINGLE(INDEX(#REF!,'Weekly Report'!AJ123)),"")</f>
        <v/>
      </c>
      <c r="AL123" s="12" t="str">
        <f ca="1">IFERROR(_xlfn.SINGLE(INDEX(#REF!,'Weekly Report'!AJ123)),"")</f>
        <v/>
      </c>
      <c r="AN123" s="12" t="str">
        <f ca="1">IFERROR(MATCH($G$115,OFFSET(#REF!,AN122,0,1000000),0)+AN122,"")</f>
        <v/>
      </c>
      <c r="AO123" s="17" t="str">
        <f ca="1">IFERROR(_xlfn.SINGLE(INDEX(#REF!,'Weekly Report'!AN123)),"")</f>
        <v/>
      </c>
      <c r="AP123" s="12" t="str">
        <f ca="1">IFERROR(_xlfn.SINGLE(INDEX(#REF!,'Weekly Report'!AN123)),"")</f>
        <v/>
      </c>
      <c r="BP123" s="105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130"/>
    </row>
    <row r="124" spans="1:82">
      <c r="A124" s="10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130"/>
      <c r="AJ124" s="12" t="str">
        <f ca="1">IFERROR(MATCH($B$114,OFFSET(#REF!,AJ123,0,1000000),0)+AJ123,"")</f>
        <v/>
      </c>
      <c r="AK124" s="17" t="str">
        <f ca="1">IFERROR(_xlfn.SINGLE(INDEX(#REF!,'Weekly Report'!AJ124)),"")</f>
        <v/>
      </c>
      <c r="AL124" s="12" t="str">
        <f ca="1">IFERROR(_xlfn.SINGLE(INDEX(#REF!,'Weekly Report'!AJ124)),"")</f>
        <v/>
      </c>
      <c r="AN124" s="12" t="str">
        <f ca="1">IFERROR(MATCH($G$115,OFFSET(#REF!,AN123,0,1000000),0)+AN123,"")</f>
        <v/>
      </c>
      <c r="AO124" s="17" t="str">
        <f ca="1">IFERROR(_xlfn.SINGLE(INDEX(#REF!,'Weekly Report'!AN124)),"")</f>
        <v/>
      </c>
      <c r="AP124" s="12" t="str">
        <f ca="1">IFERROR(_xlfn.SINGLE(INDEX(#REF!,'Weekly Report'!AN124)),"")</f>
        <v/>
      </c>
      <c r="BP124" s="105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130"/>
    </row>
    <row r="125" spans="1:82">
      <c r="A125" s="10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130"/>
      <c r="AJ125" s="12" t="str">
        <f ca="1">IFERROR(MATCH($B$114,OFFSET(#REF!,AJ124,0,1000000),0)+AJ124,"")</f>
        <v/>
      </c>
      <c r="AK125" s="17" t="str">
        <f ca="1">IFERROR(_xlfn.SINGLE(INDEX(#REF!,'Weekly Report'!AJ125)),"")</f>
        <v/>
      </c>
      <c r="AL125" s="12" t="str">
        <f ca="1">IFERROR(_xlfn.SINGLE(INDEX(#REF!,'Weekly Report'!AJ125)),"")</f>
        <v/>
      </c>
      <c r="AN125" s="12" t="str">
        <f ca="1">IFERROR(MATCH($G$115,OFFSET(#REF!,AN124,0,1000000),0)+AN124,"")</f>
        <v/>
      </c>
      <c r="AO125" s="17" t="str">
        <f ca="1">IFERROR(_xlfn.SINGLE(INDEX(#REF!,'Weekly Report'!AN125)),"")</f>
        <v/>
      </c>
      <c r="AP125" s="12" t="str">
        <f ca="1">IFERROR(_xlfn.SINGLE(INDEX(#REF!,'Weekly Report'!AN125)),"")</f>
        <v/>
      </c>
      <c r="BP125" s="105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130"/>
    </row>
    <row r="126" spans="1:82">
      <c r="A126" s="10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85"/>
      <c r="AJ126" s="12" t="str">
        <f ca="1">IFERROR(MATCH($B$114,OFFSET(#REF!,AJ125,0,1000000),0)+AJ125,"")</f>
        <v/>
      </c>
      <c r="AK126" s="17" t="str">
        <f ca="1">IFERROR(_xlfn.SINGLE(INDEX(#REF!,'Weekly Report'!AJ126)),"")</f>
        <v/>
      </c>
      <c r="AL126" s="12" t="str">
        <f ca="1">IFERROR(_xlfn.SINGLE(INDEX(#REF!,'Weekly Report'!AJ126)),"")</f>
        <v/>
      </c>
      <c r="AN126" s="12" t="str">
        <f ca="1">IFERROR(MATCH($G$115,OFFSET(#REF!,AN125,0,1000000),0)+AN125,"")</f>
        <v/>
      </c>
      <c r="AO126" s="17" t="str">
        <f ca="1">IFERROR(_xlfn.SINGLE(INDEX(#REF!,'Weekly Report'!AN126)),"")</f>
        <v/>
      </c>
      <c r="AP126" s="12" t="str">
        <f ca="1">IFERROR(_xlfn.SINGLE(INDEX(#REF!,'Weekly Report'!AN126)),"")</f>
        <v/>
      </c>
      <c r="BP126" s="105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130"/>
    </row>
    <row r="127" spans="1:82">
      <c r="A127" s="10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130"/>
      <c r="AJ127" s="12" t="str">
        <f ca="1">IFERROR(MATCH($B$114,OFFSET(#REF!,AJ126,0,1000000),0)+AJ126,"")</f>
        <v/>
      </c>
      <c r="AK127" s="17" t="str">
        <f ca="1">IFERROR(_xlfn.SINGLE(INDEX(#REF!,'Weekly Report'!AJ127)),"")</f>
        <v/>
      </c>
      <c r="AL127" s="12" t="str">
        <f ca="1">IFERROR(_xlfn.SINGLE(INDEX(#REF!,'Weekly Report'!AJ127)),"")</f>
        <v/>
      </c>
      <c r="AN127" s="12" t="str">
        <f ca="1">IFERROR(MATCH($G$115,OFFSET(#REF!,AN126,0,1000000),0)+AN126,"")</f>
        <v/>
      </c>
      <c r="AO127" s="17" t="str">
        <f ca="1">IFERROR(_xlfn.SINGLE(INDEX(#REF!,'Weekly Report'!AN127)),"")</f>
        <v/>
      </c>
      <c r="AP127" s="12" t="str">
        <f ca="1">IFERROR(_xlfn.SINGLE(INDEX(#REF!,'Weekly Report'!AN127)),"")</f>
        <v/>
      </c>
      <c r="BP127" s="105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130"/>
    </row>
    <row r="128" spans="1:82">
      <c r="A128" s="10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130"/>
      <c r="AJ128" s="12" t="str">
        <f ca="1">IFERROR(MATCH($B$114,OFFSET(#REF!,AJ127,0,1000000),0)+AJ127,"")</f>
        <v/>
      </c>
      <c r="AK128" s="17" t="str">
        <f ca="1">IFERROR(_xlfn.SINGLE(INDEX(#REF!,'Weekly Report'!AJ128)),"")</f>
        <v/>
      </c>
      <c r="AL128" s="12" t="str">
        <f ca="1">IFERROR(_xlfn.SINGLE(INDEX(#REF!,'Weekly Report'!AJ128)),"")</f>
        <v/>
      </c>
      <c r="AN128" s="12" t="str">
        <f ca="1">IFERROR(MATCH($G$115,OFFSET(#REF!,AN127,0,1000000),0)+AN127,"")</f>
        <v/>
      </c>
      <c r="AO128" s="17" t="str">
        <f ca="1">IFERROR(_xlfn.SINGLE(INDEX(#REF!,'Weekly Report'!AN128)),"")</f>
        <v/>
      </c>
      <c r="AP128" s="12" t="str">
        <f ca="1">IFERROR(_xlfn.SINGLE(INDEX(#REF!,'Weekly Report'!AN128)),"")</f>
        <v/>
      </c>
      <c r="BP128" s="105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85"/>
    </row>
    <row r="129" spans="1:82">
      <c r="A129" s="10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85"/>
      <c r="AJ129" s="12" t="str">
        <f ca="1">IFERROR(MATCH($B$114,OFFSET(#REF!,AJ128,0,1000000),0)+AJ128,"")</f>
        <v/>
      </c>
      <c r="AK129" s="17" t="str">
        <f ca="1">IFERROR(_xlfn.SINGLE(INDEX(#REF!,'Weekly Report'!AJ129)),"")</f>
        <v/>
      </c>
      <c r="AL129" s="12" t="str">
        <f ca="1">IFERROR(_xlfn.SINGLE(INDEX(#REF!,'Weekly Report'!AJ129)),"")</f>
        <v/>
      </c>
      <c r="AN129" s="12" t="str">
        <f ca="1">IFERROR(MATCH($G$115,OFFSET(#REF!,AN128,0,1000000),0)+AN128,"")</f>
        <v/>
      </c>
      <c r="AO129" s="17" t="str">
        <f ca="1">IFERROR(_xlfn.SINGLE(INDEX(#REF!,'Weekly Report'!AN129)),"")</f>
        <v/>
      </c>
      <c r="AP129" s="12" t="str">
        <f ca="1">IFERROR(_xlfn.SINGLE(INDEX(#REF!,'Weekly Report'!AN129)),"")</f>
        <v/>
      </c>
      <c r="BP129" s="105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130"/>
    </row>
    <row r="130" spans="1:82">
      <c r="A130" s="10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85"/>
      <c r="AJ130" s="12" t="str">
        <f ca="1">IFERROR(MATCH($B$114,OFFSET(#REF!,AJ129,0,1000000),0)+AJ129,"")</f>
        <v/>
      </c>
      <c r="AK130" s="17" t="str">
        <f ca="1">IFERROR(_xlfn.SINGLE(INDEX(#REF!,'Weekly Report'!AJ130)),"")</f>
        <v/>
      </c>
      <c r="AL130" s="12" t="str">
        <f ca="1">IFERROR(_xlfn.SINGLE(INDEX(#REF!,'Weekly Report'!AJ130)),"")</f>
        <v/>
      </c>
      <c r="AN130" s="12" t="str">
        <f ca="1">IFERROR(MATCH($G$115,OFFSET(#REF!,AN129,0,1000000),0)+AN129,"")</f>
        <v/>
      </c>
      <c r="AO130" s="17" t="str">
        <f ca="1">IFERROR(_xlfn.SINGLE(INDEX(#REF!,'Weekly Report'!AN130)),"")</f>
        <v/>
      </c>
      <c r="AP130" s="12" t="str">
        <f ca="1">IFERROR(_xlfn.SINGLE(INDEX(#REF!,'Weekly Report'!AN130)),"")</f>
        <v/>
      </c>
      <c r="BP130" s="105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130"/>
    </row>
    <row r="131" spans="1:82">
      <c r="A131" s="10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85"/>
      <c r="AJ131" s="12" t="str">
        <f ca="1">IFERROR(MATCH($B$114,OFFSET(#REF!,AJ130,0,1000000),0)+AJ130,"")</f>
        <v/>
      </c>
      <c r="AK131" s="17" t="str">
        <f ca="1">IFERROR(_xlfn.SINGLE(INDEX(#REF!,'Weekly Report'!AJ131)),"")</f>
        <v/>
      </c>
      <c r="AL131" s="12" t="str">
        <f ca="1">IFERROR(_xlfn.SINGLE(INDEX(#REF!,'Weekly Report'!AJ131)),"")</f>
        <v/>
      </c>
      <c r="AN131" s="12" t="str">
        <f ca="1">IFERROR(MATCH($G$115,OFFSET(#REF!,AN130,0,1000000),0)+AN130,"")</f>
        <v/>
      </c>
      <c r="AO131" s="17" t="str">
        <f ca="1">IFERROR(_xlfn.SINGLE(INDEX(#REF!,'Weekly Report'!AN131)),"")</f>
        <v/>
      </c>
      <c r="AP131" s="12" t="str">
        <f ca="1">IFERROR(_xlfn.SINGLE(INDEX(#REF!,'Weekly Report'!AN131)),"")</f>
        <v/>
      </c>
      <c r="BP131" s="105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85"/>
    </row>
    <row r="132" spans="1:82">
      <c r="A132" s="10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85"/>
      <c r="AJ132" s="12" t="str">
        <f ca="1">IFERROR(MATCH($B$114,OFFSET(#REF!,AJ131,0,1000000),0)+AJ131,"")</f>
        <v/>
      </c>
      <c r="AK132" s="17" t="str">
        <f ca="1">IFERROR(_xlfn.SINGLE(INDEX(#REF!,'Weekly Report'!AJ132)),"")</f>
        <v/>
      </c>
      <c r="AL132" s="12" t="str">
        <f ca="1">IFERROR(_xlfn.SINGLE(INDEX(#REF!,'Weekly Report'!AJ132)),"")</f>
        <v/>
      </c>
      <c r="AN132" s="12" t="str">
        <f ca="1">IFERROR(MATCH($G$115,OFFSET(#REF!,AN131,0,1000000),0)+AN131,"")</f>
        <v/>
      </c>
      <c r="AO132" s="17" t="str">
        <f ca="1">IFERROR(_xlfn.SINGLE(INDEX(#REF!,'Weekly Report'!AN132)),"")</f>
        <v/>
      </c>
      <c r="AP132" s="12" t="str">
        <f ca="1">IFERROR(_xlfn.SINGLE(INDEX(#REF!,'Weekly Report'!AN132)),"")</f>
        <v/>
      </c>
      <c r="BP132" s="105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85"/>
    </row>
    <row r="133" spans="1:82">
      <c r="A133" s="10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85"/>
      <c r="AJ133" s="12" t="str">
        <f ca="1">IFERROR(MATCH($B$114,OFFSET(#REF!,AJ132,0,1000000),0)+AJ132,"")</f>
        <v/>
      </c>
      <c r="AK133" s="17" t="str">
        <f ca="1">IFERROR(_xlfn.SINGLE(INDEX(#REF!,'Weekly Report'!AJ133)),"")</f>
        <v/>
      </c>
      <c r="AL133" s="12" t="str">
        <f ca="1">IFERROR(_xlfn.SINGLE(INDEX(#REF!,'Weekly Report'!AJ133)),"")</f>
        <v/>
      </c>
      <c r="AN133" s="12" t="str">
        <f ca="1">IFERROR(MATCH($G$115,OFFSET(#REF!,AN132,0,1000000),0)+AN132,"")</f>
        <v/>
      </c>
      <c r="AO133" s="17" t="str">
        <f ca="1">IFERROR(_xlfn.SINGLE(INDEX(#REF!,'Weekly Report'!AN133)),"")</f>
        <v/>
      </c>
      <c r="AP133" s="12" t="str">
        <f ca="1">IFERROR(_xlfn.SINGLE(INDEX(#REF!,'Weekly Report'!AN133)),"")</f>
        <v/>
      </c>
      <c r="BP133" s="105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85"/>
    </row>
    <row r="134" spans="1:82">
      <c r="A134" s="10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85"/>
      <c r="AJ134" s="12" t="str">
        <f ca="1">IFERROR(MATCH($B$114,OFFSET(#REF!,AJ133,0,1000000),0)+AJ133,"")</f>
        <v/>
      </c>
      <c r="AK134" s="17" t="str">
        <f ca="1">IFERROR(_xlfn.SINGLE(INDEX(#REF!,'Weekly Report'!AJ134)),"")</f>
        <v/>
      </c>
      <c r="AL134" s="12" t="str">
        <f ca="1">IFERROR(_xlfn.SINGLE(INDEX(#REF!,'Weekly Report'!AJ134)),"")</f>
        <v/>
      </c>
      <c r="AN134" s="12" t="str">
        <f ca="1">IFERROR(MATCH($G$115,OFFSET(#REF!,AN133,0,1000000),0)+AN133,"")</f>
        <v/>
      </c>
      <c r="AO134" s="17" t="str">
        <f ca="1">IFERROR(_xlfn.SINGLE(INDEX(#REF!,'Weekly Report'!AN134)),"")</f>
        <v/>
      </c>
      <c r="AP134" s="12" t="str">
        <f ca="1">IFERROR(_xlfn.SINGLE(INDEX(#REF!,'Weekly Report'!AN134)),"")</f>
        <v/>
      </c>
      <c r="BP134" s="105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85"/>
    </row>
    <row r="135" spans="1:82">
      <c r="A135" s="10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85"/>
      <c r="AJ135" s="12" t="str">
        <f ca="1">IFERROR(MATCH($B$114,OFFSET(#REF!,AJ134,0,1000000),0)+AJ134,"")</f>
        <v/>
      </c>
      <c r="AK135" s="17" t="str">
        <f ca="1">IFERROR(_xlfn.SINGLE(INDEX(#REF!,'Weekly Report'!AJ135)),"")</f>
        <v/>
      </c>
      <c r="AL135" s="12" t="str">
        <f ca="1">IFERROR(_xlfn.SINGLE(INDEX(#REF!,'Weekly Report'!AJ135)),"")</f>
        <v/>
      </c>
      <c r="AN135" s="12" t="str">
        <f ca="1">IFERROR(MATCH($G$115,OFFSET(#REF!,AN134,0,1000000),0)+AN134,"")</f>
        <v/>
      </c>
      <c r="AO135" s="17" t="str">
        <f ca="1">IFERROR(_xlfn.SINGLE(INDEX(#REF!,'Weekly Report'!AN135)),"")</f>
        <v/>
      </c>
      <c r="AP135" s="12" t="str">
        <f ca="1">IFERROR(_xlfn.SINGLE(INDEX(#REF!,'Weekly Report'!AN135)),"")</f>
        <v/>
      </c>
      <c r="BP135" s="105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85"/>
    </row>
    <row r="136" spans="1:82">
      <c r="A136" s="10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85"/>
      <c r="AJ136" s="12" t="str">
        <f ca="1">IFERROR(MATCH($B$114,OFFSET(#REF!,AJ135,0,1000000),0)+AJ135,"")</f>
        <v/>
      </c>
      <c r="AK136" s="17" t="str">
        <f ca="1">IFERROR(_xlfn.SINGLE(INDEX(#REF!,'Weekly Report'!AJ136)),"")</f>
        <v/>
      </c>
      <c r="AL136" s="12" t="str">
        <f ca="1">IFERROR(_xlfn.SINGLE(INDEX(#REF!,'Weekly Report'!AJ136)),"")</f>
        <v/>
      </c>
      <c r="AN136" s="12" t="str">
        <f ca="1">IFERROR(MATCH($G$115,OFFSET(#REF!,AN135,0,1000000),0)+AN135,"")</f>
        <v/>
      </c>
      <c r="AO136" s="17" t="str">
        <f ca="1">IFERROR(_xlfn.SINGLE(INDEX(#REF!,'Weekly Report'!AN136)),"")</f>
        <v/>
      </c>
      <c r="AP136" s="12" t="str">
        <f ca="1">IFERROR(_xlfn.SINGLE(INDEX(#REF!,'Weekly Report'!AN136)),"")</f>
        <v/>
      </c>
      <c r="BP136" s="105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85"/>
    </row>
    <row r="137" spans="1:82">
      <c r="A137" s="10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85"/>
      <c r="AJ137" s="12" t="str">
        <f ca="1">IFERROR(MATCH($B$114,OFFSET(#REF!,AJ136,0,1000000),0)+AJ136,"")</f>
        <v/>
      </c>
      <c r="AK137" s="17" t="str">
        <f ca="1">IFERROR(_xlfn.SINGLE(INDEX(#REF!,'Weekly Report'!AJ137)),"")</f>
        <v/>
      </c>
      <c r="AL137" s="12" t="str">
        <f ca="1">IFERROR(_xlfn.SINGLE(INDEX(#REF!,'Weekly Report'!AJ137)),"")</f>
        <v/>
      </c>
      <c r="AN137" s="12" t="str">
        <f ca="1">IFERROR(MATCH($G$115,OFFSET(#REF!,AN136,0,1000000),0)+AN136,"")</f>
        <v/>
      </c>
      <c r="AO137" s="17" t="str">
        <f ca="1">IFERROR(_xlfn.SINGLE(INDEX(#REF!,'Weekly Report'!AN137)),"")</f>
        <v/>
      </c>
      <c r="AP137" s="12" t="str">
        <f ca="1">IFERROR(_xlfn.SINGLE(INDEX(#REF!,'Weekly Report'!AN137)),"")</f>
        <v/>
      </c>
      <c r="BP137" s="105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85"/>
    </row>
    <row r="138" spans="1:82">
      <c r="A138" s="10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7"/>
      <c r="AJ138" s="12" t="str">
        <f ca="1">IFERROR(MATCH($B$114,OFFSET(#REF!,AJ137,0,1000000),0)+AJ137,"")</f>
        <v/>
      </c>
      <c r="AK138" s="17" t="str">
        <f ca="1">IFERROR(_xlfn.SINGLE(INDEX(#REF!,'Weekly Report'!AJ138)),"")</f>
        <v/>
      </c>
      <c r="AL138" s="12" t="str">
        <f ca="1">IFERROR(_xlfn.SINGLE(INDEX(#REF!,'Weekly Report'!AJ138)),"")</f>
        <v/>
      </c>
      <c r="AN138" s="12" t="str">
        <f ca="1">IFERROR(MATCH($G$115,OFFSET(#REF!,AN137,0,1000000),0)+AN137,"")</f>
        <v/>
      </c>
      <c r="AO138" s="17" t="str">
        <f ca="1">IFERROR(_xlfn.SINGLE(INDEX(#REF!,'Weekly Report'!AN138)),"")</f>
        <v/>
      </c>
      <c r="AP138" s="12" t="str">
        <f ca="1">IFERROR(_xlfn.SINGLE(INDEX(#REF!,'Weekly Report'!AN138)),"")</f>
        <v/>
      </c>
      <c r="BP138" s="105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85"/>
    </row>
    <row r="139" spans="1:82">
      <c r="AJ139" s="12" t="str">
        <f ca="1">IFERROR(MATCH($B$114,OFFSET(#REF!,AJ138,0,1000000),0)+AJ138,"")</f>
        <v/>
      </c>
      <c r="AK139" s="17" t="str">
        <f ca="1">IFERROR(_xlfn.SINGLE(INDEX(#REF!,'Weekly Report'!AJ139)),"")</f>
        <v/>
      </c>
      <c r="AL139" s="12" t="str">
        <f ca="1">IFERROR(_xlfn.SINGLE(INDEX(#REF!,'Weekly Report'!AJ139)),"")</f>
        <v/>
      </c>
      <c r="AN139" s="12" t="str">
        <f ca="1">IFERROR(MATCH($G$115,OFFSET(#REF!,AN138,0,1000000),0)+AN138,"")</f>
        <v/>
      </c>
      <c r="AO139" s="17" t="str">
        <f ca="1">IFERROR(_xlfn.SINGLE(INDEX(#REF!,'Weekly Report'!AN139)),"")</f>
        <v/>
      </c>
      <c r="AP139" s="12" t="str">
        <f ca="1">IFERROR(_xlfn.SINGLE(INDEX(#REF!,'Weekly Report'!AN139)),"")</f>
        <v/>
      </c>
      <c r="BP139" s="105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85"/>
    </row>
    <row r="140" spans="1:82">
      <c r="AJ140" s="12" t="str">
        <f ca="1">IFERROR(MATCH($B$114,OFFSET(#REF!,AJ139,0,1000000),0)+AJ139,"")</f>
        <v/>
      </c>
      <c r="AK140" s="17" t="str">
        <f ca="1">IFERROR(_xlfn.SINGLE(INDEX(#REF!,'Weekly Report'!AJ140)),"")</f>
        <v/>
      </c>
      <c r="AL140" s="12" t="str">
        <f ca="1">IFERROR(_xlfn.SINGLE(INDEX(#REF!,'Weekly Report'!AJ140)),"")</f>
        <v/>
      </c>
      <c r="AN140" s="12" t="str">
        <f ca="1">IFERROR(MATCH($G$115,OFFSET(#REF!,AN139,0,1000000),0)+AN139,"")</f>
        <v/>
      </c>
      <c r="AO140" s="17" t="str">
        <f ca="1">IFERROR(_xlfn.SINGLE(INDEX(#REF!,'Weekly Report'!AN140)),"")</f>
        <v/>
      </c>
      <c r="AP140" s="12" t="str">
        <f ca="1">IFERROR(_xlfn.SINGLE(INDEX(#REF!,'Weekly Report'!AN140)),"")</f>
        <v/>
      </c>
      <c r="BP140" s="10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7"/>
    </row>
    <row r="141" spans="1:82">
      <c r="AJ141" s="12" t="str">
        <f ca="1">IFERROR(MATCH($B$114,OFFSET(#REF!,AJ140,0,1000000),0)+AJ140,"")</f>
        <v/>
      </c>
      <c r="AK141" s="17" t="str">
        <f ca="1">IFERROR(_xlfn.SINGLE(INDEX(#REF!,'Weekly Report'!AJ141)),"")</f>
        <v/>
      </c>
      <c r="AL141" s="12" t="str">
        <f ca="1">IFERROR(_xlfn.SINGLE(INDEX(#REF!,'Weekly Report'!AJ141)),"")</f>
        <v/>
      </c>
      <c r="AN141" s="12" t="str">
        <f ca="1">IFERROR(MATCH($G$115,OFFSET(#REF!,AN140,0,1000000),0)+AN140,"")</f>
        <v/>
      </c>
      <c r="AO141" s="17" t="str">
        <f ca="1">IFERROR(_xlfn.SINGLE(INDEX(#REF!,'Weekly Report'!AN141)),"")</f>
        <v/>
      </c>
      <c r="AP141" s="12" t="str">
        <f ca="1">IFERROR(_xlfn.SINGLE(INDEX(#REF!,'Weekly Report'!AN141)),"")</f>
        <v/>
      </c>
    </row>
    <row r="142" spans="1:82">
      <c r="AJ142" s="12" t="str">
        <f ca="1">IFERROR(MATCH($B$114,OFFSET(#REF!,AJ141,0,1000000),0)+AJ141,"")</f>
        <v/>
      </c>
      <c r="AK142" s="17" t="str">
        <f ca="1">IFERROR(_xlfn.SINGLE(INDEX(#REF!,'Weekly Report'!AJ142)),"")</f>
        <v/>
      </c>
      <c r="AL142" s="12" t="str">
        <f ca="1">IFERROR(_xlfn.SINGLE(INDEX(#REF!,'Weekly Report'!AJ142)),"")</f>
        <v/>
      </c>
      <c r="AN142" s="12" t="str">
        <f ca="1">IFERROR(MATCH($G$115,OFFSET(#REF!,AN141,0,1000000),0)+AN141,"")</f>
        <v/>
      </c>
      <c r="AO142" s="17" t="str">
        <f ca="1">IFERROR(_xlfn.SINGLE(INDEX(#REF!,'Weekly Report'!AN142)),"")</f>
        <v/>
      </c>
      <c r="AP142" s="12" t="str">
        <f ca="1">IFERROR(_xlfn.SINGLE(INDEX(#REF!,'Weekly Report'!AN142)),"")</f>
        <v/>
      </c>
    </row>
    <row r="143" spans="1:82">
      <c r="AJ143" s="12" t="str">
        <f ca="1">IFERROR(MATCH($B$114,OFFSET(#REF!,AJ142,0,1000000),0)+AJ142,"")</f>
        <v/>
      </c>
      <c r="AK143" s="17" t="str">
        <f ca="1">IFERROR(_xlfn.SINGLE(INDEX(#REF!,'Weekly Report'!AJ143)),"")</f>
        <v/>
      </c>
      <c r="AL143" s="12" t="str">
        <f ca="1">IFERROR(_xlfn.SINGLE(INDEX(#REF!,'Weekly Report'!AJ143)),"")</f>
        <v/>
      </c>
      <c r="AN143" s="12" t="str">
        <f ca="1">IFERROR(MATCH($G$115,OFFSET(#REF!,AN142,0,1000000),0)+AN142,"")</f>
        <v/>
      </c>
      <c r="AO143" s="17" t="str">
        <f ca="1">IFERROR(_xlfn.SINGLE(INDEX(#REF!,'Weekly Report'!AN143)),"")</f>
        <v/>
      </c>
      <c r="AP143" s="12" t="str">
        <f ca="1">IFERROR(_xlfn.SINGLE(INDEX(#REF!,'Weekly Report'!AN143)),"")</f>
        <v/>
      </c>
    </row>
    <row r="144" spans="1:82">
      <c r="AJ144" s="12" t="str">
        <f ca="1">IFERROR(MATCH($B$114,OFFSET(#REF!,AJ143,0,1000000),0)+AJ143,"")</f>
        <v/>
      </c>
      <c r="AK144" s="17" t="str">
        <f ca="1">IFERROR(_xlfn.SINGLE(INDEX(#REF!,'Weekly Report'!AJ144)),"")</f>
        <v/>
      </c>
      <c r="AL144" s="12" t="str">
        <f ca="1">IFERROR(_xlfn.SINGLE(INDEX(#REF!,'Weekly Report'!AJ144)),"")</f>
        <v/>
      </c>
      <c r="AN144" s="12" t="str">
        <f ca="1">IFERROR(MATCH($G$115,OFFSET(#REF!,AN143,0,1000000),0)+AN143,"")</f>
        <v/>
      </c>
      <c r="AO144" s="17" t="str">
        <f ca="1">IFERROR(_xlfn.SINGLE(INDEX(#REF!,'Weekly Report'!AN144)),"")</f>
        <v/>
      </c>
      <c r="AP144" s="12" t="str">
        <f ca="1">IFERROR(_xlfn.SINGLE(INDEX(#REF!,'Weekly Report'!AN144)),"")</f>
        <v/>
      </c>
    </row>
    <row r="145" spans="36:42">
      <c r="AJ145" s="12" t="str">
        <f ca="1">IFERROR(MATCH($B$114,OFFSET(#REF!,AJ144,0,1000000),0)+AJ144,"")</f>
        <v/>
      </c>
      <c r="AK145" s="17" t="str">
        <f ca="1">IFERROR(_xlfn.SINGLE(INDEX(#REF!,'Weekly Report'!AJ145)),"")</f>
        <v/>
      </c>
      <c r="AL145" s="12" t="str">
        <f ca="1">IFERROR(_xlfn.SINGLE(INDEX(#REF!,'Weekly Report'!AJ145)),"")</f>
        <v/>
      </c>
      <c r="AN145" s="12" t="str">
        <f ca="1">IFERROR(MATCH($G$115,OFFSET(#REF!,AN144,0,1000000),0)+AN144,"")</f>
        <v/>
      </c>
      <c r="AO145" s="17" t="str">
        <f ca="1">IFERROR(_xlfn.SINGLE(INDEX(#REF!,'Weekly Report'!AN145)),"")</f>
        <v/>
      </c>
      <c r="AP145" s="12" t="str">
        <f ca="1">IFERROR(_xlfn.SINGLE(INDEX(#REF!,'Weekly Report'!AN145)),"")</f>
        <v/>
      </c>
    </row>
    <row r="146" spans="36:42">
      <c r="AJ146" s="12" t="str">
        <f ca="1">IFERROR(MATCH($B$114,OFFSET(#REF!,AJ145,0,1000000),0)+AJ145,"")</f>
        <v/>
      </c>
      <c r="AK146" s="17" t="str">
        <f ca="1">IFERROR(_xlfn.SINGLE(INDEX(#REF!,'Weekly Report'!AJ146)),"")</f>
        <v/>
      </c>
      <c r="AL146" s="12" t="str">
        <f ca="1">IFERROR(_xlfn.SINGLE(INDEX(#REF!,'Weekly Report'!AJ146)),"")</f>
        <v/>
      </c>
      <c r="AN146" s="12" t="str">
        <f ca="1">IFERROR(MATCH($G$115,OFFSET(#REF!,AN145,0,1000000),0)+AN145,"")</f>
        <v/>
      </c>
      <c r="AO146" s="17" t="str">
        <f ca="1">IFERROR(_xlfn.SINGLE(INDEX(#REF!,'Weekly Report'!AN146)),"")</f>
        <v/>
      </c>
      <c r="AP146" s="12" t="str">
        <f ca="1">IFERROR(_xlfn.SINGLE(INDEX(#REF!,'Weekly Report'!AN146)),"")</f>
        <v/>
      </c>
    </row>
    <row r="147" spans="36:42">
      <c r="AJ147" s="12" t="str">
        <f ca="1">IFERROR(MATCH($B$114,OFFSET(#REF!,AJ146,0,1000000),0)+AJ146,"")</f>
        <v/>
      </c>
      <c r="AK147" s="17" t="str">
        <f ca="1">IFERROR(_xlfn.SINGLE(INDEX(#REF!,'Weekly Report'!AJ147)),"")</f>
        <v/>
      </c>
      <c r="AL147" s="12" t="str">
        <f ca="1">IFERROR(_xlfn.SINGLE(INDEX(#REF!,'Weekly Report'!AJ147)),"")</f>
        <v/>
      </c>
      <c r="AN147" s="12" t="str">
        <f ca="1">IFERROR(MATCH($G$115,OFFSET(#REF!,AN146,0,1000000),0)+AN146,"")</f>
        <v/>
      </c>
      <c r="AO147" s="17" t="str">
        <f ca="1">IFERROR(_xlfn.SINGLE(INDEX(#REF!,'Weekly Report'!AN147)),"")</f>
        <v/>
      </c>
      <c r="AP147" s="12" t="str">
        <f ca="1">IFERROR(_xlfn.SINGLE(INDEX(#REF!,'Weekly Report'!AN147)),"")</f>
        <v/>
      </c>
    </row>
    <row r="148" spans="36:42">
      <c r="AJ148" s="12" t="str">
        <f ca="1">IFERROR(MATCH($B$114,OFFSET(#REF!,AJ147,0,1000000),0)+AJ147,"")</f>
        <v/>
      </c>
      <c r="AK148" s="17" t="str">
        <f ca="1">IFERROR(_xlfn.SINGLE(INDEX(#REF!,'Weekly Report'!AJ148)),"")</f>
        <v/>
      </c>
      <c r="AL148" s="12" t="str">
        <f ca="1">IFERROR(_xlfn.SINGLE(INDEX(#REF!,'Weekly Report'!AJ148)),"")</f>
        <v/>
      </c>
      <c r="AN148" s="12" t="str">
        <f ca="1">IFERROR(MATCH($G$115,OFFSET(#REF!,AN147,0,1000000),0)+AN147,"")</f>
        <v/>
      </c>
      <c r="AO148" s="17" t="str">
        <f ca="1">IFERROR(_xlfn.SINGLE(INDEX(#REF!,'Weekly Report'!AN148)),"")</f>
        <v/>
      </c>
      <c r="AP148" s="12" t="str">
        <f ca="1">IFERROR(_xlfn.SINGLE(INDEX(#REF!,'Weekly Report'!AN148)),"")</f>
        <v/>
      </c>
    </row>
    <row r="149" spans="36:42">
      <c r="AJ149" s="12" t="str">
        <f ca="1">IFERROR(MATCH($B$114,OFFSET(#REF!,AJ148,0,1000000),0)+AJ148,"")</f>
        <v/>
      </c>
      <c r="AK149" s="17" t="str">
        <f ca="1">IFERROR(_xlfn.SINGLE(INDEX(#REF!,'Weekly Report'!AJ149)),"")</f>
        <v/>
      </c>
      <c r="AL149" s="12" t="str">
        <f ca="1">IFERROR(_xlfn.SINGLE(INDEX(#REF!,'Weekly Report'!AJ149)),"")</f>
        <v/>
      </c>
      <c r="AN149" s="12" t="str">
        <f ca="1">IFERROR(MATCH($G$115,OFFSET(#REF!,AN148,0,1000000),0)+AN148,"")</f>
        <v/>
      </c>
      <c r="AO149" s="17" t="str">
        <f ca="1">IFERROR(_xlfn.SINGLE(INDEX(#REF!,'Weekly Report'!AN149)),"")</f>
        <v/>
      </c>
      <c r="AP149" s="12" t="str">
        <f ca="1">IFERROR(_xlfn.SINGLE(INDEX(#REF!,'Weekly Report'!AN149)),"")</f>
        <v/>
      </c>
    </row>
    <row r="150" spans="36:42">
      <c r="AJ150" s="12" t="str">
        <f ca="1">IFERROR(MATCH($B$114,OFFSET(#REF!,AJ149,0,1000000),0)+AJ149,"")</f>
        <v/>
      </c>
      <c r="AK150" s="17" t="str">
        <f ca="1">IFERROR(_xlfn.SINGLE(INDEX(#REF!,'Weekly Report'!AJ150)),"")</f>
        <v/>
      </c>
      <c r="AL150" s="12" t="str">
        <f ca="1">IFERROR(_xlfn.SINGLE(INDEX(#REF!,'Weekly Report'!AJ150)),"")</f>
        <v/>
      </c>
      <c r="AN150" s="12" t="str">
        <f ca="1">IFERROR(MATCH($G$115,OFFSET(#REF!,AN149,0,1000000),0)+AN149,"")</f>
        <v/>
      </c>
      <c r="AO150" s="17" t="str">
        <f ca="1">IFERROR(_xlfn.SINGLE(INDEX(#REF!,'Weekly Report'!AN150)),"")</f>
        <v/>
      </c>
      <c r="AP150" s="12" t="str">
        <f ca="1">IFERROR(_xlfn.SINGLE(INDEX(#REF!,'Weekly Report'!AN150)),"")</f>
        <v/>
      </c>
    </row>
    <row r="151" spans="36:42">
      <c r="AJ151" s="12" t="str">
        <f ca="1">IFERROR(MATCH($B$114,OFFSET(#REF!,AJ150,0,1000000),0)+AJ150,"")</f>
        <v/>
      </c>
      <c r="AK151" s="17" t="str">
        <f ca="1">IFERROR(_xlfn.SINGLE(INDEX(#REF!,'Weekly Report'!AJ151)),"")</f>
        <v/>
      </c>
      <c r="AL151" s="12" t="str">
        <f ca="1">IFERROR(_xlfn.SINGLE(INDEX(#REF!,'Weekly Report'!AJ151)),"")</f>
        <v/>
      </c>
      <c r="AN151" s="12" t="str">
        <f ca="1">IFERROR(MATCH($G$115,OFFSET(#REF!,AN150,0,1000000),0)+AN150,"")</f>
        <v/>
      </c>
      <c r="AO151" s="17" t="str">
        <f ca="1">IFERROR(_xlfn.SINGLE(INDEX(#REF!,'Weekly Report'!AN151)),"")</f>
        <v/>
      </c>
      <c r="AP151" s="12" t="str">
        <f ca="1">IFERROR(_xlfn.SINGLE(INDEX(#REF!,'Weekly Report'!AN151)),"")</f>
        <v/>
      </c>
    </row>
    <row r="152" spans="36:42">
      <c r="AJ152" s="12" t="str">
        <f ca="1">IFERROR(MATCH($B$114,OFFSET(#REF!,AJ151,0,1000000),0)+AJ151,"")</f>
        <v/>
      </c>
      <c r="AK152" s="17" t="str">
        <f ca="1">IFERROR(_xlfn.SINGLE(INDEX(#REF!,'Weekly Report'!AJ152)),"")</f>
        <v/>
      </c>
      <c r="AL152" s="12" t="str">
        <f ca="1">IFERROR(_xlfn.SINGLE(INDEX(#REF!,'Weekly Report'!AJ152)),"")</f>
        <v/>
      </c>
      <c r="AN152" s="12" t="str">
        <f ca="1">IFERROR(MATCH($G$115,OFFSET(#REF!,AN151,0,1000000),0)+AN151,"")</f>
        <v/>
      </c>
      <c r="AO152" s="17" t="str">
        <f ca="1">IFERROR(_xlfn.SINGLE(INDEX(#REF!,'Weekly Report'!AN152)),"")</f>
        <v/>
      </c>
      <c r="AP152" s="12" t="str">
        <f ca="1">IFERROR(_xlfn.SINGLE(INDEX(#REF!,'Weekly Report'!AN152)),"")</f>
        <v/>
      </c>
    </row>
    <row r="153" spans="36:42">
      <c r="AJ153" s="12" t="str">
        <f ca="1">IFERROR(MATCH($B$114,OFFSET(#REF!,AJ152,0,1000000),0)+AJ152,"")</f>
        <v/>
      </c>
      <c r="AK153" s="17" t="str">
        <f ca="1">IFERROR(_xlfn.SINGLE(INDEX(#REF!,'Weekly Report'!AJ153)),"")</f>
        <v/>
      </c>
      <c r="AL153" s="12" t="str">
        <f ca="1">IFERROR(_xlfn.SINGLE(INDEX(#REF!,'Weekly Report'!AJ153)),"")</f>
        <v/>
      </c>
      <c r="AN153" s="12" t="str">
        <f ca="1">IFERROR(MATCH($G$115,OFFSET(#REF!,AN152,0,1000000),0)+AN152,"")</f>
        <v/>
      </c>
      <c r="AO153" s="17" t="str">
        <f ca="1">IFERROR(_xlfn.SINGLE(INDEX(#REF!,'Weekly Report'!AN153)),"")</f>
        <v/>
      </c>
      <c r="AP153" s="12" t="str">
        <f ca="1">IFERROR(_xlfn.SINGLE(INDEX(#REF!,'Weekly Report'!AN153)),"")</f>
        <v/>
      </c>
    </row>
    <row r="154" spans="36:42">
      <c r="AJ154" s="12" t="str">
        <f ca="1">IFERROR(MATCH($B$114,OFFSET(#REF!,AJ153,0,1000000),0)+AJ153,"")</f>
        <v/>
      </c>
      <c r="AK154" s="17" t="str">
        <f ca="1">IFERROR(_xlfn.SINGLE(INDEX(#REF!,'Weekly Report'!AJ154)),"")</f>
        <v/>
      </c>
      <c r="AL154" s="12" t="str">
        <f ca="1">IFERROR(_xlfn.SINGLE(INDEX(#REF!,'Weekly Report'!AJ154)),"")</f>
        <v/>
      </c>
      <c r="AN154" s="12" t="str">
        <f ca="1">IFERROR(MATCH($G$115,OFFSET(#REF!,AN153,0,1000000),0)+AN153,"")</f>
        <v/>
      </c>
      <c r="AO154" s="17" t="str">
        <f ca="1">IFERROR(_xlfn.SINGLE(INDEX(#REF!,'Weekly Report'!AN154)),"")</f>
        <v/>
      </c>
      <c r="AP154" s="12" t="str">
        <f ca="1">IFERROR(_xlfn.SINGLE(INDEX(#REF!,'Weekly Report'!AN154)),"")</f>
        <v/>
      </c>
    </row>
    <row r="155" spans="36:42">
      <c r="AJ155" s="12" t="str">
        <f ca="1">IFERROR(MATCH($B$114,OFFSET(#REF!,AJ154,0,1000000),0)+AJ154,"")</f>
        <v/>
      </c>
      <c r="AK155" s="17" t="str">
        <f ca="1">IFERROR(_xlfn.SINGLE(INDEX(#REF!,'Weekly Report'!AJ155)),"")</f>
        <v/>
      </c>
      <c r="AL155" s="12" t="str">
        <f ca="1">IFERROR(_xlfn.SINGLE(INDEX(#REF!,'Weekly Report'!AJ155)),"")</f>
        <v/>
      </c>
      <c r="AN155" s="12" t="str">
        <f ca="1">IFERROR(MATCH($G$115,OFFSET(#REF!,AN154,0,1000000),0)+AN154,"")</f>
        <v/>
      </c>
      <c r="AO155" s="17" t="str">
        <f ca="1">IFERROR(_xlfn.SINGLE(INDEX(#REF!,'Weekly Report'!AN155)),"")</f>
        <v/>
      </c>
      <c r="AP155" s="12" t="str">
        <f ca="1">IFERROR(_xlfn.SINGLE(INDEX(#REF!,'Weekly Report'!AN155)),"")</f>
        <v/>
      </c>
    </row>
    <row r="156" spans="36:42">
      <c r="AJ156" s="12" t="str">
        <f ca="1">IFERROR(MATCH($B$114,OFFSET(#REF!,AJ155,0,1000000),0)+AJ155,"")</f>
        <v/>
      </c>
      <c r="AK156" s="17" t="str">
        <f ca="1">IFERROR(_xlfn.SINGLE(INDEX(#REF!,'Weekly Report'!AJ156)),"")</f>
        <v/>
      </c>
      <c r="AL156" s="12" t="str">
        <f ca="1">IFERROR(_xlfn.SINGLE(INDEX(#REF!,'Weekly Report'!AJ156)),"")</f>
        <v/>
      </c>
      <c r="AN156" s="12" t="str">
        <f ca="1">IFERROR(MATCH($G$115,OFFSET(#REF!,AN155,0,1000000),0)+AN155,"")</f>
        <v/>
      </c>
      <c r="AO156" s="17" t="str">
        <f ca="1">IFERROR(_xlfn.SINGLE(INDEX(#REF!,'Weekly Report'!AN156)),"")</f>
        <v/>
      </c>
      <c r="AP156" s="12" t="str">
        <f ca="1">IFERROR(_xlfn.SINGLE(INDEX(#REF!,'Weekly Report'!AN156)),"")</f>
        <v/>
      </c>
    </row>
    <row r="157" spans="36:42">
      <c r="AJ157" s="12" t="str">
        <f ca="1">IFERROR(MATCH($B$114,OFFSET(#REF!,AJ156,0,1000000),0)+AJ156,"")</f>
        <v/>
      </c>
      <c r="AK157" s="17" t="str">
        <f ca="1">IFERROR(_xlfn.SINGLE(INDEX(#REF!,'Weekly Report'!AJ157)),"")</f>
        <v/>
      </c>
      <c r="AL157" s="12" t="str">
        <f ca="1">IFERROR(_xlfn.SINGLE(INDEX(#REF!,'Weekly Report'!AJ157)),"")</f>
        <v/>
      </c>
      <c r="AN157" s="12" t="str">
        <f ca="1">IFERROR(MATCH($G$115,OFFSET(#REF!,AN156,0,1000000),0)+AN156,"")</f>
        <v/>
      </c>
      <c r="AO157" s="17" t="str">
        <f ca="1">IFERROR(_xlfn.SINGLE(INDEX(#REF!,'Weekly Report'!AN157)),"")</f>
        <v/>
      </c>
      <c r="AP157" s="12" t="str">
        <f ca="1">IFERROR(_xlfn.SINGLE(INDEX(#REF!,'Weekly Report'!AN157)),"")</f>
        <v/>
      </c>
    </row>
    <row r="158" spans="36:42">
      <c r="AJ158" s="12" t="str">
        <f ca="1">IFERROR(MATCH($B$114,OFFSET(#REF!,AJ157,0,1000000),0)+AJ157,"")</f>
        <v/>
      </c>
      <c r="AK158" s="17" t="str">
        <f ca="1">IFERROR(_xlfn.SINGLE(INDEX(#REF!,'Weekly Report'!AJ158)),"")</f>
        <v/>
      </c>
      <c r="AL158" s="12" t="str">
        <f ca="1">IFERROR(_xlfn.SINGLE(INDEX(#REF!,'Weekly Report'!AJ158)),"")</f>
        <v/>
      </c>
      <c r="AN158" s="12" t="str">
        <f ca="1">IFERROR(MATCH($G$115,OFFSET(#REF!,AN157,0,1000000),0)+AN157,"")</f>
        <v/>
      </c>
      <c r="AO158" s="17" t="str">
        <f ca="1">IFERROR(_xlfn.SINGLE(INDEX(#REF!,'Weekly Report'!AN158)),"")</f>
        <v/>
      </c>
      <c r="AP158" s="12" t="str">
        <f ca="1">IFERROR(_xlfn.SINGLE(INDEX(#REF!,'Weekly Report'!AN158)),"")</f>
        <v/>
      </c>
    </row>
    <row r="159" spans="36:42">
      <c r="AJ159" s="12" t="str">
        <f ca="1">IFERROR(MATCH($B$114,OFFSET(#REF!,AJ158,0,1000000),0)+AJ158,"")</f>
        <v/>
      </c>
      <c r="AK159" s="17" t="str">
        <f ca="1">IFERROR(_xlfn.SINGLE(INDEX(#REF!,'Weekly Report'!AJ159)),"")</f>
        <v/>
      </c>
      <c r="AL159" s="12" t="str">
        <f ca="1">IFERROR(_xlfn.SINGLE(INDEX(#REF!,'Weekly Report'!AJ159)),"")</f>
        <v/>
      </c>
      <c r="AN159" s="12" t="str">
        <f ca="1">IFERROR(MATCH($G$115,OFFSET(#REF!,AN158,0,1000000),0)+AN158,"")</f>
        <v/>
      </c>
      <c r="AO159" s="17" t="str">
        <f ca="1">IFERROR(_xlfn.SINGLE(INDEX(#REF!,'Weekly Report'!AN159)),"")</f>
        <v/>
      </c>
      <c r="AP159" s="12" t="str">
        <f ca="1">IFERROR(_xlfn.SINGLE(INDEX(#REF!,'Weekly Report'!AN159)),"")</f>
        <v/>
      </c>
    </row>
    <row r="160" spans="36:42">
      <c r="AJ160" s="12" t="str">
        <f ca="1">IFERROR(MATCH($B$114,OFFSET(#REF!,AJ159,0,1000000),0)+AJ159,"")</f>
        <v/>
      </c>
      <c r="AK160" s="17" t="str">
        <f ca="1">IFERROR(_xlfn.SINGLE(INDEX(#REF!,'Weekly Report'!AJ160)),"")</f>
        <v/>
      </c>
      <c r="AL160" s="12" t="str">
        <f ca="1">IFERROR(_xlfn.SINGLE(INDEX(#REF!,'Weekly Report'!AJ160)),"")</f>
        <v/>
      </c>
      <c r="AN160" s="12" t="str">
        <f ca="1">IFERROR(MATCH($G$115,OFFSET(#REF!,AN159,0,1000000),0)+AN159,"")</f>
        <v/>
      </c>
      <c r="AO160" s="17" t="str">
        <f ca="1">IFERROR(_xlfn.SINGLE(INDEX(#REF!,'Weekly Report'!AN160)),"")</f>
        <v/>
      </c>
      <c r="AP160" s="12" t="str">
        <f ca="1">IFERROR(_xlfn.SINGLE(INDEX(#REF!,'Weekly Report'!AN160)),"")</f>
        <v/>
      </c>
    </row>
    <row r="161" spans="36:42">
      <c r="AJ161" s="12" t="str">
        <f ca="1">IFERROR(MATCH($B$114,OFFSET(#REF!,AJ160,0,1000000),0)+AJ160,"")</f>
        <v/>
      </c>
      <c r="AK161" s="17" t="str">
        <f ca="1">IFERROR(_xlfn.SINGLE(INDEX(#REF!,'Weekly Report'!AJ161)),"")</f>
        <v/>
      </c>
      <c r="AL161" s="12" t="str">
        <f ca="1">IFERROR(_xlfn.SINGLE(INDEX(#REF!,'Weekly Report'!AJ161)),"")</f>
        <v/>
      </c>
      <c r="AN161" s="12" t="str">
        <f ca="1">IFERROR(MATCH($G$115,OFFSET(#REF!,AN160,0,1000000),0)+AN160,"")</f>
        <v/>
      </c>
      <c r="AO161" s="17" t="str">
        <f ca="1">IFERROR(_xlfn.SINGLE(INDEX(#REF!,'Weekly Report'!AN161)),"")</f>
        <v/>
      </c>
      <c r="AP161" s="12" t="str">
        <f ca="1">IFERROR(_xlfn.SINGLE(INDEX(#REF!,'Weekly Report'!AN161)),"")</f>
        <v/>
      </c>
    </row>
    <row r="162" spans="36:42">
      <c r="AJ162" s="12" t="str">
        <f ca="1">IFERROR(MATCH($B$114,OFFSET(#REF!,AJ161,0,1000000),0)+AJ161,"")</f>
        <v/>
      </c>
      <c r="AK162" s="17" t="str">
        <f ca="1">IFERROR(_xlfn.SINGLE(INDEX(#REF!,'Weekly Report'!AJ162)),"")</f>
        <v/>
      </c>
      <c r="AL162" s="12" t="str">
        <f ca="1">IFERROR(_xlfn.SINGLE(INDEX(#REF!,'Weekly Report'!AJ162)),"")</f>
        <v/>
      </c>
      <c r="AN162" s="12" t="str">
        <f ca="1">IFERROR(MATCH($G$115,OFFSET(#REF!,AN161,0,1000000),0)+AN161,"")</f>
        <v/>
      </c>
      <c r="AO162" s="17" t="str">
        <f ca="1">IFERROR(_xlfn.SINGLE(INDEX(#REF!,'Weekly Report'!AN162)),"")</f>
        <v/>
      </c>
      <c r="AP162" s="12" t="str">
        <f ca="1">IFERROR(_xlfn.SINGLE(INDEX(#REF!,'Weekly Report'!AN162)),"")</f>
        <v/>
      </c>
    </row>
    <row r="163" spans="36:42">
      <c r="AJ163" s="12" t="str">
        <f ca="1">IFERROR(MATCH($B$114,OFFSET(#REF!,AJ162,0,1000000),0)+AJ162,"")</f>
        <v/>
      </c>
      <c r="AK163" s="17" t="str">
        <f ca="1">IFERROR(_xlfn.SINGLE(INDEX(#REF!,'Weekly Report'!AJ163)),"")</f>
        <v/>
      </c>
      <c r="AL163" s="12" t="str">
        <f ca="1">IFERROR(_xlfn.SINGLE(INDEX(#REF!,'Weekly Report'!AJ163)),"")</f>
        <v/>
      </c>
      <c r="AN163" s="12" t="str">
        <f ca="1">IFERROR(MATCH($G$115,OFFSET(#REF!,AN162,0,1000000),0)+AN162,"")</f>
        <v/>
      </c>
      <c r="AO163" s="17" t="str">
        <f ca="1">IFERROR(_xlfn.SINGLE(INDEX(#REF!,'Weekly Report'!AN163)),"")</f>
        <v/>
      </c>
      <c r="AP163" s="12" t="str">
        <f ca="1">IFERROR(_xlfn.SINGLE(INDEX(#REF!,'Weekly Report'!AN163)),"")</f>
        <v/>
      </c>
    </row>
    <row r="164" spans="36:42">
      <c r="AJ164" s="12" t="str">
        <f ca="1">IFERROR(MATCH($B$114,OFFSET(#REF!,AJ163,0,1000000),0)+AJ163,"")</f>
        <v/>
      </c>
      <c r="AK164" s="17" t="str">
        <f ca="1">IFERROR(_xlfn.SINGLE(INDEX(#REF!,'Weekly Report'!AJ164)),"")</f>
        <v/>
      </c>
      <c r="AL164" s="12" t="str">
        <f ca="1">IFERROR(_xlfn.SINGLE(INDEX(#REF!,'Weekly Report'!AJ164)),"")</f>
        <v/>
      </c>
      <c r="AN164" s="12" t="str">
        <f ca="1">IFERROR(MATCH($G$115,OFFSET(#REF!,AN163,0,1000000),0)+AN163,"")</f>
        <v/>
      </c>
      <c r="AO164" s="17" t="str">
        <f ca="1">IFERROR(_xlfn.SINGLE(INDEX(#REF!,'Weekly Report'!AN164)),"")</f>
        <v/>
      </c>
      <c r="AP164" s="12" t="str">
        <f ca="1">IFERROR(_xlfn.SINGLE(INDEX(#REF!,'Weekly Report'!AN164)),"")</f>
        <v/>
      </c>
    </row>
    <row r="165" spans="36:42">
      <c r="AJ165" s="12" t="str">
        <f ca="1">IFERROR(MATCH($B$114,OFFSET(#REF!,AJ164,0,1000000),0)+AJ164,"")</f>
        <v/>
      </c>
      <c r="AK165" s="17" t="str">
        <f ca="1">IFERROR(_xlfn.SINGLE(INDEX(#REF!,'Weekly Report'!AJ165)),"")</f>
        <v/>
      </c>
      <c r="AL165" s="12" t="str">
        <f ca="1">IFERROR(_xlfn.SINGLE(INDEX(#REF!,'Weekly Report'!AJ165)),"")</f>
        <v/>
      </c>
      <c r="AN165" s="12" t="str">
        <f ca="1">IFERROR(MATCH($G$115,OFFSET(#REF!,AN164,0,1000000),0)+AN164,"")</f>
        <v/>
      </c>
      <c r="AO165" s="17" t="str">
        <f ca="1">IFERROR(_xlfn.SINGLE(INDEX(#REF!,'Weekly Report'!AN165)),"")</f>
        <v/>
      </c>
      <c r="AP165" s="12" t="str">
        <f ca="1">IFERROR(_xlfn.SINGLE(INDEX(#REF!,'Weekly Report'!AN165)),"")</f>
        <v/>
      </c>
    </row>
    <row r="166" spans="36:42">
      <c r="AJ166" s="12" t="str">
        <f ca="1">IFERROR(MATCH($B$114,OFFSET(#REF!,AJ165,0,1000000),0)+AJ165,"")</f>
        <v/>
      </c>
      <c r="AK166" s="17" t="str">
        <f ca="1">IFERROR(_xlfn.SINGLE(INDEX(#REF!,'Weekly Report'!AJ166)),"")</f>
        <v/>
      </c>
      <c r="AL166" s="12" t="str">
        <f ca="1">IFERROR(_xlfn.SINGLE(INDEX(#REF!,'Weekly Report'!AJ166)),"")</f>
        <v/>
      </c>
      <c r="AN166" s="12" t="str">
        <f ca="1">IFERROR(MATCH($G$115,OFFSET(#REF!,AN165,0,1000000),0)+AN165,"")</f>
        <v/>
      </c>
      <c r="AO166" s="17" t="str">
        <f ca="1">IFERROR(_xlfn.SINGLE(INDEX(#REF!,'Weekly Report'!AN166)),"")</f>
        <v/>
      </c>
      <c r="AP166" s="12" t="str">
        <f ca="1">IFERROR(_xlfn.SINGLE(INDEX(#REF!,'Weekly Report'!AN166)),"")</f>
        <v/>
      </c>
    </row>
    <row r="167" spans="36:42">
      <c r="AJ167" s="12" t="str">
        <f ca="1">IFERROR(MATCH($B$114,OFFSET(#REF!,AJ166,0,1000000),0)+AJ166,"")</f>
        <v/>
      </c>
      <c r="AK167" s="17" t="str">
        <f ca="1">IFERROR(_xlfn.SINGLE(INDEX(#REF!,'Weekly Report'!AJ167)),"")</f>
        <v/>
      </c>
      <c r="AL167" s="12" t="str">
        <f ca="1">IFERROR(_xlfn.SINGLE(INDEX(#REF!,'Weekly Report'!AJ167)),"")</f>
        <v/>
      </c>
      <c r="AN167" s="12" t="str">
        <f ca="1">IFERROR(MATCH($G$115,OFFSET(#REF!,AN166,0,1000000),0)+AN166,"")</f>
        <v/>
      </c>
      <c r="AO167" s="17" t="str">
        <f ca="1">IFERROR(_xlfn.SINGLE(INDEX(#REF!,'Weekly Report'!AN167)),"")</f>
        <v/>
      </c>
      <c r="AP167" s="12" t="str">
        <f ca="1">IFERROR(_xlfn.SINGLE(INDEX(#REF!,'Weekly Report'!AN167)),"")</f>
        <v/>
      </c>
    </row>
    <row r="168" spans="36:42">
      <c r="AJ168" s="12" t="str">
        <f ca="1">IFERROR(MATCH($B$114,OFFSET(#REF!,AJ167,0,1000000),0)+AJ167,"")</f>
        <v/>
      </c>
      <c r="AK168" s="17" t="str">
        <f ca="1">IFERROR(_xlfn.SINGLE(INDEX(#REF!,'Weekly Report'!AJ168)),"")</f>
        <v/>
      </c>
      <c r="AL168" s="12" t="str">
        <f ca="1">IFERROR(_xlfn.SINGLE(INDEX(#REF!,'Weekly Report'!AJ168)),"")</f>
        <v/>
      </c>
      <c r="AN168" s="12" t="str">
        <f ca="1">IFERROR(MATCH($G$115,OFFSET(#REF!,AN167,0,1000000),0)+AN167,"")</f>
        <v/>
      </c>
      <c r="AO168" s="17" t="str">
        <f ca="1">IFERROR(_xlfn.SINGLE(INDEX(#REF!,'Weekly Report'!AN168)),"")</f>
        <v/>
      </c>
      <c r="AP168" s="12" t="str">
        <f ca="1">IFERROR(_xlfn.SINGLE(INDEX(#REF!,'Weekly Report'!AN168)),"")</f>
        <v/>
      </c>
    </row>
    <row r="169" spans="36:42">
      <c r="AJ169" s="12" t="str">
        <f ca="1">IFERROR(MATCH($B$114,OFFSET(#REF!,AJ168,0,1000000),0)+AJ168,"")</f>
        <v/>
      </c>
      <c r="AK169" s="17" t="str">
        <f ca="1">IFERROR(_xlfn.SINGLE(INDEX(#REF!,'Weekly Report'!AJ169)),"")</f>
        <v/>
      </c>
      <c r="AL169" s="12" t="str">
        <f ca="1">IFERROR(_xlfn.SINGLE(INDEX(#REF!,'Weekly Report'!AJ169)),"")</f>
        <v/>
      </c>
      <c r="AN169" s="12" t="str">
        <f ca="1">IFERROR(MATCH($G$115,OFFSET(#REF!,AN168,0,1000000),0)+AN168,"")</f>
        <v/>
      </c>
      <c r="AO169" s="17" t="str">
        <f ca="1">IFERROR(_xlfn.SINGLE(INDEX(#REF!,'Weekly Report'!AN169)),"")</f>
        <v/>
      </c>
      <c r="AP169" s="12" t="str">
        <f ca="1">IFERROR(_xlfn.SINGLE(INDEX(#REF!,'Weekly Report'!AN169)),"")</f>
        <v/>
      </c>
    </row>
    <row r="170" spans="36:42">
      <c r="AJ170" s="12" t="str">
        <f ca="1">IFERROR(MATCH($B$114,OFFSET(#REF!,AJ169,0,1000000),0)+AJ169,"")</f>
        <v/>
      </c>
      <c r="AK170" s="17" t="str">
        <f ca="1">IFERROR(_xlfn.SINGLE(INDEX(#REF!,'Weekly Report'!AJ170)),"")</f>
        <v/>
      </c>
      <c r="AL170" s="12" t="str">
        <f ca="1">IFERROR(_xlfn.SINGLE(INDEX(#REF!,'Weekly Report'!AJ170)),"")</f>
        <v/>
      </c>
      <c r="AN170" s="12" t="str">
        <f ca="1">IFERROR(MATCH($G$115,OFFSET(#REF!,AN169,0,1000000),0)+AN169,"")</f>
        <v/>
      </c>
      <c r="AO170" s="17" t="str">
        <f ca="1">IFERROR(_xlfn.SINGLE(INDEX(#REF!,'Weekly Report'!AN170)),"")</f>
        <v/>
      </c>
      <c r="AP170" s="12" t="str">
        <f ca="1">IFERROR(_xlfn.SINGLE(INDEX(#REF!,'Weekly Report'!AN170)),"")</f>
        <v/>
      </c>
    </row>
    <row r="171" spans="36:42">
      <c r="AJ171" s="12" t="str">
        <f ca="1">IFERROR(MATCH($B$114,OFFSET(#REF!,AJ170,0,1000000),0)+AJ170,"")</f>
        <v/>
      </c>
      <c r="AK171" s="17" t="str">
        <f ca="1">IFERROR(_xlfn.SINGLE(INDEX(#REF!,'Weekly Report'!AJ171)),"")</f>
        <v/>
      </c>
      <c r="AL171" s="12" t="str">
        <f ca="1">IFERROR(_xlfn.SINGLE(INDEX(#REF!,'Weekly Report'!AJ171)),"")</f>
        <v/>
      </c>
      <c r="AN171" s="12" t="str">
        <f ca="1">IFERROR(MATCH($G$115,OFFSET(#REF!,AN170,0,1000000),0)+AN170,"")</f>
        <v/>
      </c>
      <c r="AO171" s="17" t="str">
        <f ca="1">IFERROR(_xlfn.SINGLE(INDEX(#REF!,'Weekly Report'!AN171)),"")</f>
        <v/>
      </c>
      <c r="AP171" s="12" t="str">
        <f ca="1">IFERROR(_xlfn.SINGLE(INDEX(#REF!,'Weekly Report'!AN171)),"")</f>
        <v/>
      </c>
    </row>
    <row r="172" spans="36:42">
      <c r="AJ172" s="12" t="str">
        <f ca="1">IFERROR(MATCH($B$114,OFFSET(#REF!,AJ171,0,1000000),0)+AJ171,"")</f>
        <v/>
      </c>
      <c r="AK172" s="17" t="str">
        <f ca="1">IFERROR(_xlfn.SINGLE(INDEX(#REF!,'Weekly Report'!AJ172)),"")</f>
        <v/>
      </c>
      <c r="AL172" s="12" t="str">
        <f ca="1">IFERROR(_xlfn.SINGLE(INDEX(#REF!,'Weekly Report'!AJ172)),"")</f>
        <v/>
      </c>
      <c r="AN172" s="12" t="str">
        <f ca="1">IFERROR(MATCH($G$115,OFFSET(#REF!,AN171,0,1000000),0)+AN171,"")</f>
        <v/>
      </c>
      <c r="AO172" s="17" t="str">
        <f ca="1">IFERROR(_xlfn.SINGLE(INDEX(#REF!,'Weekly Report'!AN172)),"")</f>
        <v/>
      </c>
      <c r="AP172" s="12" t="str">
        <f ca="1">IFERROR(_xlfn.SINGLE(INDEX(#REF!,'Weekly Report'!AN172)),"")</f>
        <v/>
      </c>
    </row>
    <row r="173" spans="36:42">
      <c r="AJ173" s="12" t="str">
        <f ca="1">IFERROR(MATCH($B$114,OFFSET(#REF!,AJ172,0,1000000),0)+AJ172,"")</f>
        <v/>
      </c>
      <c r="AK173" s="17" t="str">
        <f ca="1">IFERROR(_xlfn.SINGLE(INDEX(#REF!,'Weekly Report'!AJ173)),"")</f>
        <v/>
      </c>
      <c r="AL173" s="12" t="str">
        <f ca="1">IFERROR(_xlfn.SINGLE(INDEX(#REF!,'Weekly Report'!AJ173)),"")</f>
        <v/>
      </c>
      <c r="AN173" s="12" t="str">
        <f ca="1">IFERROR(MATCH($G$115,OFFSET(#REF!,AN172,0,1000000),0)+AN172,"")</f>
        <v/>
      </c>
      <c r="AO173" s="17" t="str">
        <f ca="1">IFERROR(_xlfn.SINGLE(INDEX(#REF!,'Weekly Report'!AN173)),"")</f>
        <v/>
      </c>
      <c r="AP173" s="12" t="str">
        <f ca="1">IFERROR(_xlfn.SINGLE(INDEX(#REF!,'Weekly Report'!AN173)),"")</f>
        <v/>
      </c>
    </row>
    <row r="174" spans="36:42">
      <c r="AJ174" s="12" t="str">
        <f ca="1">IFERROR(MATCH($B$114,OFFSET(#REF!,AJ173,0,1000000),0)+AJ173,"")</f>
        <v/>
      </c>
      <c r="AK174" s="17" t="str">
        <f ca="1">IFERROR(_xlfn.SINGLE(INDEX(#REF!,'Weekly Report'!AJ174)),"")</f>
        <v/>
      </c>
      <c r="AL174" s="12" t="str">
        <f ca="1">IFERROR(_xlfn.SINGLE(INDEX(#REF!,'Weekly Report'!AJ174)),"")</f>
        <v/>
      </c>
      <c r="AN174" s="12" t="str">
        <f ca="1">IFERROR(MATCH($G$115,OFFSET(#REF!,AN173,0,1000000),0)+AN173,"")</f>
        <v/>
      </c>
      <c r="AO174" s="17" t="str">
        <f ca="1">IFERROR(_xlfn.SINGLE(INDEX(#REF!,'Weekly Report'!AN174)),"")</f>
        <v/>
      </c>
      <c r="AP174" s="12" t="str">
        <f ca="1">IFERROR(_xlfn.SINGLE(INDEX(#REF!,'Weekly Report'!AN174)),"")</f>
        <v/>
      </c>
    </row>
    <row r="175" spans="36:42">
      <c r="AJ175" s="12" t="str">
        <f ca="1">IFERROR(MATCH($B$114,OFFSET(#REF!,AJ174,0,1000000),0)+AJ174,"")</f>
        <v/>
      </c>
      <c r="AK175" s="17" t="str">
        <f ca="1">IFERROR(_xlfn.SINGLE(INDEX(#REF!,'Weekly Report'!AJ175)),"")</f>
        <v/>
      </c>
      <c r="AL175" s="12" t="str">
        <f ca="1">IFERROR(_xlfn.SINGLE(INDEX(#REF!,'Weekly Report'!AJ175)),"")</f>
        <v/>
      </c>
      <c r="AN175" s="12" t="str">
        <f ca="1">IFERROR(MATCH($G$115,OFFSET(#REF!,AN174,0,1000000),0)+AN174,"")</f>
        <v/>
      </c>
      <c r="AO175" s="17" t="str">
        <f ca="1">IFERROR(_xlfn.SINGLE(INDEX(#REF!,'Weekly Report'!AN175)),"")</f>
        <v/>
      </c>
      <c r="AP175" s="12" t="str">
        <f ca="1">IFERROR(_xlfn.SINGLE(INDEX(#REF!,'Weekly Report'!AN175)),"")</f>
        <v/>
      </c>
    </row>
    <row r="176" spans="36:42">
      <c r="AJ176" s="12" t="str">
        <f ca="1">IFERROR(MATCH($B$114,OFFSET(#REF!,AJ175,0,1000000),0)+AJ175,"")</f>
        <v/>
      </c>
      <c r="AK176" s="17" t="str">
        <f ca="1">IFERROR(_xlfn.SINGLE(INDEX(#REF!,'Weekly Report'!AJ176)),"")</f>
        <v/>
      </c>
      <c r="AL176" s="12" t="str">
        <f ca="1">IFERROR(_xlfn.SINGLE(INDEX(#REF!,'Weekly Report'!AJ176)),"")</f>
        <v/>
      </c>
      <c r="AN176" s="12" t="str">
        <f ca="1">IFERROR(MATCH($G$115,OFFSET(#REF!,AN175,0,1000000),0)+AN175,"")</f>
        <v/>
      </c>
      <c r="AO176" s="17" t="str">
        <f ca="1">IFERROR(_xlfn.SINGLE(INDEX(#REF!,'Weekly Report'!AN176)),"")</f>
        <v/>
      </c>
      <c r="AP176" s="12" t="str">
        <f ca="1">IFERROR(_xlfn.SINGLE(INDEX(#REF!,'Weekly Report'!AN176)),"")</f>
        <v/>
      </c>
    </row>
    <row r="177" spans="36:42">
      <c r="AJ177" s="12" t="str">
        <f ca="1">IFERROR(MATCH($B$114,OFFSET(#REF!,AJ176,0,1000000),0)+AJ176,"")</f>
        <v/>
      </c>
      <c r="AK177" s="17" t="str">
        <f ca="1">IFERROR(_xlfn.SINGLE(INDEX(#REF!,'Weekly Report'!AJ177)),"")</f>
        <v/>
      </c>
      <c r="AL177" s="12" t="str">
        <f ca="1">IFERROR(_xlfn.SINGLE(INDEX(#REF!,'Weekly Report'!AJ177)),"")</f>
        <v/>
      </c>
      <c r="AN177" s="12" t="str">
        <f ca="1">IFERROR(MATCH($G$115,OFFSET(#REF!,AN176,0,1000000),0)+AN176,"")</f>
        <v/>
      </c>
      <c r="AO177" s="17" t="str">
        <f ca="1">IFERROR(_xlfn.SINGLE(INDEX(#REF!,'Weekly Report'!AN177)),"")</f>
        <v/>
      </c>
      <c r="AP177" s="12" t="str">
        <f ca="1">IFERROR(_xlfn.SINGLE(INDEX(#REF!,'Weekly Report'!AN177)),"")</f>
        <v/>
      </c>
    </row>
    <row r="178" spans="36:42">
      <c r="AJ178" s="12" t="str">
        <f ca="1">IFERROR(MATCH($B$114,OFFSET(#REF!,AJ177,0,1000000),0)+AJ177,"")</f>
        <v/>
      </c>
      <c r="AK178" s="17" t="str">
        <f ca="1">IFERROR(_xlfn.SINGLE(INDEX(#REF!,'Weekly Report'!AJ178)),"")</f>
        <v/>
      </c>
      <c r="AL178" s="12" t="str">
        <f ca="1">IFERROR(_xlfn.SINGLE(INDEX(#REF!,'Weekly Report'!AJ178)),"")</f>
        <v/>
      </c>
      <c r="AN178" s="12" t="str">
        <f ca="1">IFERROR(MATCH($G$115,OFFSET(#REF!,AN177,0,1000000),0)+AN177,"")</f>
        <v/>
      </c>
      <c r="AO178" s="17" t="str">
        <f ca="1">IFERROR(_xlfn.SINGLE(INDEX(#REF!,'Weekly Report'!AN178)),"")</f>
        <v/>
      </c>
      <c r="AP178" s="12" t="str">
        <f ca="1">IFERROR(_xlfn.SINGLE(INDEX(#REF!,'Weekly Report'!AN178)),"")</f>
        <v/>
      </c>
    </row>
    <row r="179" spans="36:42">
      <c r="AJ179" s="12" t="str">
        <f ca="1">IFERROR(MATCH($B$114,OFFSET(#REF!,AJ178,0,1000000),0)+AJ178,"")</f>
        <v/>
      </c>
      <c r="AK179" s="17" t="str">
        <f ca="1">IFERROR(_xlfn.SINGLE(INDEX(#REF!,'Weekly Report'!AJ179)),"")</f>
        <v/>
      </c>
      <c r="AL179" s="12" t="str">
        <f ca="1">IFERROR(_xlfn.SINGLE(INDEX(#REF!,'Weekly Report'!AJ179)),"")</f>
        <v/>
      </c>
      <c r="AN179" s="12" t="str">
        <f ca="1">IFERROR(MATCH($G$115,OFFSET(#REF!,AN178,0,1000000),0)+AN178,"")</f>
        <v/>
      </c>
      <c r="AO179" s="17" t="str">
        <f ca="1">IFERROR(_xlfn.SINGLE(INDEX(#REF!,'Weekly Report'!AN179)),"")</f>
        <v/>
      </c>
      <c r="AP179" s="12" t="str">
        <f ca="1">IFERROR(_xlfn.SINGLE(INDEX(#REF!,'Weekly Report'!AN179)),"")</f>
        <v/>
      </c>
    </row>
    <row r="180" spans="36:42">
      <c r="AJ180" s="12" t="str">
        <f ca="1">IFERROR(MATCH($B$114,OFFSET(#REF!,AJ179,0,1000000),0)+AJ179,"")</f>
        <v/>
      </c>
      <c r="AK180" s="17" t="str">
        <f ca="1">IFERROR(_xlfn.SINGLE(INDEX(#REF!,'Weekly Report'!AJ180)),"")</f>
        <v/>
      </c>
      <c r="AL180" s="12" t="str">
        <f ca="1">IFERROR(_xlfn.SINGLE(INDEX(#REF!,'Weekly Report'!AJ180)),"")</f>
        <v/>
      </c>
      <c r="AN180" s="12" t="str">
        <f ca="1">IFERROR(MATCH($G$115,OFFSET(#REF!,AN179,0,1000000),0)+AN179,"")</f>
        <v/>
      </c>
      <c r="AO180" s="17" t="str">
        <f ca="1">IFERROR(_xlfn.SINGLE(INDEX(#REF!,'Weekly Report'!AN180)),"")</f>
        <v/>
      </c>
      <c r="AP180" s="12" t="str">
        <f ca="1">IFERROR(_xlfn.SINGLE(INDEX(#REF!,'Weekly Report'!AN180)),"")</f>
        <v/>
      </c>
    </row>
    <row r="181" spans="36:42">
      <c r="AJ181" s="12" t="str">
        <f ca="1">IFERROR(MATCH($B$114,OFFSET(#REF!,AJ180,0,1000000),0)+AJ180,"")</f>
        <v/>
      </c>
      <c r="AK181" s="17" t="str">
        <f ca="1">IFERROR(_xlfn.SINGLE(INDEX(#REF!,'Weekly Report'!AJ181)),"")</f>
        <v/>
      </c>
      <c r="AL181" s="12" t="str">
        <f ca="1">IFERROR(_xlfn.SINGLE(INDEX(#REF!,'Weekly Report'!AJ181)),"")</f>
        <v/>
      </c>
      <c r="AN181" s="12" t="str">
        <f ca="1">IFERROR(MATCH($G$115,OFFSET(#REF!,AN180,0,1000000),0)+AN180,"")</f>
        <v/>
      </c>
      <c r="AO181" s="17" t="str">
        <f ca="1">IFERROR(_xlfn.SINGLE(INDEX(#REF!,'Weekly Report'!AN181)),"")</f>
        <v/>
      </c>
      <c r="AP181" s="12" t="str">
        <f ca="1">IFERROR(_xlfn.SINGLE(INDEX(#REF!,'Weekly Report'!AN181)),"")</f>
        <v/>
      </c>
    </row>
    <row r="182" spans="36:42">
      <c r="AJ182" s="12" t="str">
        <f ca="1">IFERROR(MATCH($B$114,OFFSET(#REF!,AJ181,0,1000000),0)+AJ181,"")</f>
        <v/>
      </c>
      <c r="AK182" s="17" t="str">
        <f ca="1">IFERROR(_xlfn.SINGLE(INDEX(#REF!,'Weekly Report'!AJ182)),"")</f>
        <v/>
      </c>
      <c r="AL182" s="12" t="str">
        <f ca="1">IFERROR(_xlfn.SINGLE(INDEX(#REF!,'Weekly Report'!AJ182)),"")</f>
        <v/>
      </c>
      <c r="AN182" s="12" t="str">
        <f ca="1">IFERROR(MATCH($G$115,OFFSET(#REF!,AN181,0,1000000),0)+AN181,"")</f>
        <v/>
      </c>
      <c r="AO182" s="17" t="str">
        <f ca="1">IFERROR(_xlfn.SINGLE(INDEX(#REF!,'Weekly Report'!AN182)),"")</f>
        <v/>
      </c>
      <c r="AP182" s="12" t="str">
        <f ca="1">IFERROR(_xlfn.SINGLE(INDEX(#REF!,'Weekly Report'!AN182)),"")</f>
        <v/>
      </c>
    </row>
    <row r="183" spans="36:42">
      <c r="AJ183" s="12" t="str">
        <f ca="1">IFERROR(MATCH($B$114,OFFSET(#REF!,AJ182,0,1000000),0)+AJ182,"")</f>
        <v/>
      </c>
      <c r="AK183" s="17" t="str">
        <f ca="1">IFERROR(_xlfn.SINGLE(INDEX(#REF!,'Weekly Report'!AJ183)),"")</f>
        <v/>
      </c>
      <c r="AL183" s="12" t="str">
        <f ca="1">IFERROR(_xlfn.SINGLE(INDEX(#REF!,'Weekly Report'!AJ183)),"")</f>
        <v/>
      </c>
      <c r="AN183" s="12" t="str">
        <f ca="1">IFERROR(MATCH($G$115,OFFSET(#REF!,AN182,0,1000000),0)+AN182,"")</f>
        <v/>
      </c>
      <c r="AO183" s="17" t="str">
        <f ca="1">IFERROR(_xlfn.SINGLE(INDEX(#REF!,'Weekly Report'!AN183)),"")</f>
        <v/>
      </c>
      <c r="AP183" s="12" t="str">
        <f ca="1">IFERROR(_xlfn.SINGLE(INDEX(#REF!,'Weekly Report'!AN183)),"")</f>
        <v/>
      </c>
    </row>
    <row r="184" spans="36:42">
      <c r="AJ184" s="12" t="str">
        <f ca="1">IFERROR(MATCH($B$114,OFFSET(#REF!,AJ183,0,1000000),0)+AJ183,"")</f>
        <v/>
      </c>
      <c r="AK184" s="17" t="str">
        <f ca="1">IFERROR(_xlfn.SINGLE(INDEX(#REF!,'Weekly Report'!AJ184)),"")</f>
        <v/>
      </c>
      <c r="AL184" s="12" t="str">
        <f ca="1">IFERROR(_xlfn.SINGLE(INDEX(#REF!,'Weekly Report'!AJ184)),"")</f>
        <v/>
      </c>
      <c r="AN184" s="12" t="str">
        <f ca="1">IFERROR(MATCH($G$115,OFFSET(#REF!,AN183,0,1000000),0)+AN183,"")</f>
        <v/>
      </c>
      <c r="AO184" s="17" t="str">
        <f ca="1">IFERROR(_xlfn.SINGLE(INDEX(#REF!,'Weekly Report'!AN184)),"")</f>
        <v/>
      </c>
      <c r="AP184" s="12" t="str">
        <f ca="1">IFERROR(_xlfn.SINGLE(INDEX(#REF!,'Weekly Report'!AN184)),"")</f>
        <v/>
      </c>
    </row>
    <row r="185" spans="36:42">
      <c r="AJ185" s="12" t="str">
        <f ca="1">IFERROR(MATCH($B$114,OFFSET(#REF!,AJ184,0,1000000),0)+AJ184,"")</f>
        <v/>
      </c>
      <c r="AK185" s="17" t="str">
        <f ca="1">IFERROR(_xlfn.SINGLE(INDEX(#REF!,'Weekly Report'!AJ185)),"")</f>
        <v/>
      </c>
      <c r="AL185" s="12" t="str">
        <f ca="1">IFERROR(_xlfn.SINGLE(INDEX(#REF!,'Weekly Report'!AJ185)),"")</f>
        <v/>
      </c>
      <c r="AN185" s="12" t="str">
        <f ca="1">IFERROR(MATCH($G$115,OFFSET(#REF!,AN184,0,1000000),0)+AN184,"")</f>
        <v/>
      </c>
      <c r="AO185" s="17" t="str">
        <f ca="1">IFERROR(_xlfn.SINGLE(INDEX(#REF!,'Weekly Report'!AN185)),"")</f>
        <v/>
      </c>
      <c r="AP185" s="12" t="str">
        <f ca="1">IFERROR(_xlfn.SINGLE(INDEX(#REF!,'Weekly Report'!AN185)),"")</f>
        <v/>
      </c>
    </row>
    <row r="186" spans="36:42">
      <c r="AJ186" s="12" t="str">
        <f ca="1">IFERROR(MATCH($B$114,OFFSET(#REF!,AJ185,0,1000000),0)+AJ185,"")</f>
        <v/>
      </c>
      <c r="AK186" s="17" t="str">
        <f ca="1">IFERROR(_xlfn.SINGLE(INDEX(#REF!,'Weekly Report'!AJ186)),"")</f>
        <v/>
      </c>
      <c r="AL186" s="12" t="str">
        <f ca="1">IFERROR(_xlfn.SINGLE(INDEX(#REF!,'Weekly Report'!AJ186)),"")</f>
        <v/>
      </c>
      <c r="AN186" s="12" t="str">
        <f ca="1">IFERROR(MATCH($G$115,OFFSET(#REF!,AN185,0,1000000),0)+AN185,"")</f>
        <v/>
      </c>
      <c r="AO186" s="17" t="str">
        <f ca="1">IFERROR(_xlfn.SINGLE(INDEX(#REF!,'Weekly Report'!AN186)),"")</f>
        <v/>
      </c>
      <c r="AP186" s="12" t="str">
        <f ca="1">IFERROR(_xlfn.SINGLE(INDEX(#REF!,'Weekly Report'!AN186)),"")</f>
        <v/>
      </c>
    </row>
    <row r="187" spans="36:42">
      <c r="AJ187" s="12" t="str">
        <f ca="1">IFERROR(MATCH($B$114,OFFSET(#REF!,AJ186,0,1000000),0)+AJ186,"")</f>
        <v/>
      </c>
      <c r="AK187" s="17" t="str">
        <f ca="1">IFERROR(_xlfn.SINGLE(INDEX(#REF!,'Weekly Report'!AJ187)),"")</f>
        <v/>
      </c>
      <c r="AL187" s="12" t="str">
        <f ca="1">IFERROR(_xlfn.SINGLE(INDEX(#REF!,'Weekly Report'!AJ187)),"")</f>
        <v/>
      </c>
      <c r="AN187" s="12" t="str">
        <f ca="1">IFERROR(MATCH($G$115,OFFSET(#REF!,AN186,0,1000000),0)+AN186,"")</f>
        <v/>
      </c>
      <c r="AO187" s="17" t="str">
        <f ca="1">IFERROR(_xlfn.SINGLE(INDEX(#REF!,'Weekly Report'!AN187)),"")</f>
        <v/>
      </c>
      <c r="AP187" s="12" t="str">
        <f ca="1">IFERROR(_xlfn.SINGLE(INDEX(#REF!,'Weekly Report'!AN187)),"")</f>
        <v/>
      </c>
    </row>
    <row r="188" spans="36:42">
      <c r="AJ188" s="12" t="str">
        <f ca="1">IFERROR(MATCH($B$114,OFFSET(#REF!,AJ187,0,1000000),0)+AJ187,"")</f>
        <v/>
      </c>
      <c r="AK188" s="17" t="str">
        <f ca="1">IFERROR(_xlfn.SINGLE(INDEX(#REF!,'Weekly Report'!AJ188)),"")</f>
        <v/>
      </c>
      <c r="AL188" s="12" t="str">
        <f ca="1">IFERROR(_xlfn.SINGLE(INDEX(#REF!,'Weekly Report'!AJ188)),"")</f>
        <v/>
      </c>
      <c r="AN188" s="12" t="str">
        <f ca="1">IFERROR(MATCH($G$115,OFFSET(#REF!,AN187,0,1000000),0)+AN187,"")</f>
        <v/>
      </c>
      <c r="AO188" s="17" t="str">
        <f ca="1">IFERROR(_xlfn.SINGLE(INDEX(#REF!,'Weekly Report'!AN188)),"")</f>
        <v/>
      </c>
      <c r="AP188" s="12" t="str">
        <f ca="1">IFERROR(_xlfn.SINGLE(INDEX(#REF!,'Weekly Report'!AN188)),"")</f>
        <v/>
      </c>
    </row>
    <row r="189" spans="36:42">
      <c r="AJ189" s="12" t="str">
        <f ca="1">IFERROR(MATCH($B$114,OFFSET(#REF!,AJ188,0,1000000),0)+AJ188,"")</f>
        <v/>
      </c>
      <c r="AK189" s="17" t="str">
        <f ca="1">IFERROR(_xlfn.SINGLE(INDEX(#REF!,'Weekly Report'!AJ189)),"")</f>
        <v/>
      </c>
      <c r="AL189" s="12" t="str">
        <f ca="1">IFERROR(_xlfn.SINGLE(INDEX(#REF!,'Weekly Report'!AJ189)),"")</f>
        <v/>
      </c>
      <c r="AN189" s="12" t="str">
        <f ca="1">IFERROR(MATCH($G$115,OFFSET(#REF!,AN188,0,1000000),0)+AN188,"")</f>
        <v/>
      </c>
      <c r="AO189" s="17" t="str">
        <f ca="1">IFERROR(_xlfn.SINGLE(INDEX(#REF!,'Weekly Report'!AN189)),"")</f>
        <v/>
      </c>
      <c r="AP189" s="12" t="str">
        <f ca="1">IFERROR(_xlfn.SINGLE(INDEX(#REF!,'Weekly Report'!AN189)),"")</f>
        <v/>
      </c>
    </row>
    <row r="190" spans="36:42">
      <c r="AJ190" s="12" t="str">
        <f ca="1">IFERROR(MATCH($B$114,OFFSET(#REF!,AJ189,0,1000000),0)+AJ189,"")</f>
        <v/>
      </c>
      <c r="AK190" s="17" t="str">
        <f ca="1">IFERROR(_xlfn.SINGLE(INDEX(#REF!,'Weekly Report'!AJ190)),"")</f>
        <v/>
      </c>
      <c r="AL190" s="12" t="str">
        <f ca="1">IFERROR(_xlfn.SINGLE(INDEX(#REF!,'Weekly Report'!AJ190)),"")</f>
        <v/>
      </c>
      <c r="AN190" s="12" t="str">
        <f ca="1">IFERROR(MATCH($G$115,OFFSET(#REF!,AN189,0,1000000),0)+AN189,"")</f>
        <v/>
      </c>
      <c r="AO190" s="17" t="str">
        <f ca="1">IFERROR(_xlfn.SINGLE(INDEX(#REF!,'Weekly Report'!AN190)),"")</f>
        <v/>
      </c>
      <c r="AP190" s="12" t="str">
        <f ca="1">IFERROR(_xlfn.SINGLE(INDEX(#REF!,'Weekly Report'!AN190)),"")</f>
        <v/>
      </c>
    </row>
    <row r="191" spans="36:42">
      <c r="AJ191" s="12" t="str">
        <f ca="1">IFERROR(MATCH($B$114,OFFSET(#REF!,AJ190,0,1000000),0)+AJ190,"")</f>
        <v/>
      </c>
      <c r="AK191" s="17" t="str">
        <f ca="1">IFERROR(_xlfn.SINGLE(INDEX(#REF!,'Weekly Report'!AJ191)),"")</f>
        <v/>
      </c>
      <c r="AL191" s="12" t="str">
        <f ca="1">IFERROR(_xlfn.SINGLE(INDEX(#REF!,'Weekly Report'!AJ191)),"")</f>
        <v/>
      </c>
      <c r="AN191" s="12" t="str">
        <f ca="1">IFERROR(MATCH($G$115,OFFSET(#REF!,AN190,0,1000000),0)+AN190,"")</f>
        <v/>
      </c>
      <c r="AO191" s="17" t="str">
        <f ca="1">IFERROR(_xlfn.SINGLE(INDEX(#REF!,'Weekly Report'!AN191)),"")</f>
        <v/>
      </c>
      <c r="AP191" s="12" t="str">
        <f ca="1">IFERROR(_xlfn.SINGLE(INDEX(#REF!,'Weekly Report'!AN191)),"")</f>
        <v/>
      </c>
    </row>
    <row r="192" spans="36:42">
      <c r="AJ192" s="12" t="str">
        <f ca="1">IFERROR(MATCH($B$114,OFFSET(#REF!,AJ191,0,1000000),0)+AJ191,"")</f>
        <v/>
      </c>
      <c r="AK192" s="17" t="str">
        <f ca="1">IFERROR(_xlfn.SINGLE(INDEX(#REF!,'Weekly Report'!AJ192)),"")</f>
        <v/>
      </c>
      <c r="AL192" s="12" t="str">
        <f ca="1">IFERROR(_xlfn.SINGLE(INDEX(#REF!,'Weekly Report'!AJ192)),"")</f>
        <v/>
      </c>
      <c r="AN192" s="12" t="str">
        <f ca="1">IFERROR(MATCH($G$115,OFFSET(#REF!,AN191,0,1000000),0)+AN191,"")</f>
        <v/>
      </c>
      <c r="AO192" s="17" t="str">
        <f ca="1">IFERROR(_xlfn.SINGLE(INDEX(#REF!,'Weekly Report'!AN192)),"")</f>
        <v/>
      </c>
      <c r="AP192" s="12" t="str">
        <f ca="1">IFERROR(_xlfn.SINGLE(INDEX(#REF!,'Weekly Report'!AN192)),"")</f>
        <v/>
      </c>
    </row>
    <row r="193" spans="36:42">
      <c r="AJ193" s="12" t="str">
        <f ca="1">IFERROR(MATCH($B$114,OFFSET(#REF!,AJ192,0,1000000),0)+AJ192,"")</f>
        <v/>
      </c>
      <c r="AK193" s="17" t="str">
        <f ca="1">IFERROR(_xlfn.SINGLE(INDEX(#REF!,'Weekly Report'!AJ193)),"")</f>
        <v/>
      </c>
      <c r="AL193" s="12" t="str">
        <f ca="1">IFERROR(_xlfn.SINGLE(INDEX(#REF!,'Weekly Report'!AJ193)),"")</f>
        <v/>
      </c>
      <c r="AN193" s="12" t="str">
        <f ca="1">IFERROR(MATCH($G$115,OFFSET(#REF!,AN192,0,1000000),0)+AN192,"")</f>
        <v/>
      </c>
      <c r="AO193" s="17" t="str">
        <f ca="1">IFERROR(_xlfn.SINGLE(INDEX(#REF!,'Weekly Report'!AN193)),"")</f>
        <v/>
      </c>
      <c r="AP193" s="12" t="str">
        <f ca="1">IFERROR(_xlfn.SINGLE(INDEX(#REF!,'Weekly Report'!AN193)),"")</f>
        <v/>
      </c>
    </row>
    <row r="194" spans="36:42">
      <c r="AJ194" s="12" t="str">
        <f ca="1">IFERROR(MATCH($B$114,OFFSET(#REF!,AJ193,0,1000000),0)+AJ193,"")</f>
        <v/>
      </c>
      <c r="AK194" s="17" t="str">
        <f ca="1">IFERROR(_xlfn.SINGLE(INDEX(#REF!,'Weekly Report'!AJ194)),"")</f>
        <v/>
      </c>
      <c r="AL194" s="12" t="str">
        <f ca="1">IFERROR(_xlfn.SINGLE(INDEX(#REF!,'Weekly Report'!AJ194)),"")</f>
        <v/>
      </c>
      <c r="AN194" s="12" t="str">
        <f ca="1">IFERROR(MATCH($G$115,OFFSET(#REF!,AN193,0,1000000),0)+AN193,"")</f>
        <v/>
      </c>
      <c r="AO194" s="17" t="str">
        <f ca="1">IFERROR(_xlfn.SINGLE(INDEX(#REF!,'Weekly Report'!AN194)),"")</f>
        <v/>
      </c>
      <c r="AP194" s="12" t="str">
        <f ca="1">IFERROR(_xlfn.SINGLE(INDEX(#REF!,'Weekly Report'!AN194)),"")</f>
        <v/>
      </c>
    </row>
    <row r="195" spans="36:42">
      <c r="AJ195" s="12" t="str">
        <f ca="1">IFERROR(MATCH($B$114,OFFSET(#REF!,AJ194,0,1000000),0)+AJ194,"")</f>
        <v/>
      </c>
      <c r="AK195" s="17" t="str">
        <f ca="1">IFERROR(_xlfn.SINGLE(INDEX(#REF!,'Weekly Report'!AJ195)),"")</f>
        <v/>
      </c>
      <c r="AL195" s="12" t="str">
        <f ca="1">IFERROR(_xlfn.SINGLE(INDEX(#REF!,'Weekly Report'!AJ195)),"")</f>
        <v/>
      </c>
      <c r="AN195" s="12" t="str">
        <f ca="1">IFERROR(MATCH($G$115,OFFSET(#REF!,AN194,0,1000000),0)+AN194,"")</f>
        <v/>
      </c>
      <c r="AO195" s="17" t="str">
        <f ca="1">IFERROR(_xlfn.SINGLE(INDEX(#REF!,'Weekly Report'!AN195)),"")</f>
        <v/>
      </c>
      <c r="AP195" s="12" t="str">
        <f ca="1">IFERROR(_xlfn.SINGLE(INDEX(#REF!,'Weekly Report'!AN195)),"")</f>
        <v/>
      </c>
    </row>
    <row r="196" spans="36:42">
      <c r="AJ196" s="12" t="str">
        <f ca="1">IFERROR(MATCH($B$114,OFFSET(#REF!,AJ195,0,1000000),0)+AJ195,"")</f>
        <v/>
      </c>
      <c r="AK196" s="17" t="str">
        <f ca="1">IFERROR(_xlfn.SINGLE(INDEX(#REF!,'Weekly Report'!AJ196)),"")</f>
        <v/>
      </c>
      <c r="AL196" s="12" t="str">
        <f ca="1">IFERROR(_xlfn.SINGLE(INDEX(#REF!,'Weekly Report'!AJ196)),"")</f>
        <v/>
      </c>
      <c r="AN196" s="12" t="str">
        <f ca="1">IFERROR(MATCH($G$115,OFFSET(#REF!,AN195,0,1000000),0)+AN195,"")</f>
        <v/>
      </c>
      <c r="AO196" s="17" t="str">
        <f ca="1">IFERROR(_xlfn.SINGLE(INDEX(#REF!,'Weekly Report'!AN196)),"")</f>
        <v/>
      </c>
      <c r="AP196" s="12" t="str">
        <f ca="1">IFERROR(_xlfn.SINGLE(INDEX(#REF!,'Weekly Report'!AN196)),"")</f>
        <v/>
      </c>
    </row>
    <row r="197" spans="36:42">
      <c r="AJ197" s="12" t="str">
        <f ca="1">IFERROR(MATCH($B$114,OFFSET(#REF!,AJ196,0,1000000),0)+AJ196,"")</f>
        <v/>
      </c>
      <c r="AK197" s="17" t="str">
        <f ca="1">IFERROR(_xlfn.SINGLE(INDEX(#REF!,'Weekly Report'!AJ197)),"")</f>
        <v/>
      </c>
      <c r="AL197" s="12" t="str">
        <f ca="1">IFERROR(_xlfn.SINGLE(INDEX(#REF!,'Weekly Report'!AJ197)),"")</f>
        <v/>
      </c>
      <c r="AN197" s="12" t="str">
        <f ca="1">IFERROR(MATCH($G$115,OFFSET(#REF!,AN196,0,1000000),0)+AN196,"")</f>
        <v/>
      </c>
      <c r="AO197" s="17" t="str">
        <f ca="1">IFERROR(_xlfn.SINGLE(INDEX(#REF!,'Weekly Report'!AN197)),"")</f>
        <v/>
      </c>
      <c r="AP197" s="12" t="str">
        <f ca="1">IFERROR(_xlfn.SINGLE(INDEX(#REF!,'Weekly Report'!AN197)),"")</f>
        <v/>
      </c>
    </row>
    <row r="198" spans="36:42">
      <c r="AJ198" s="12" t="str">
        <f ca="1">IFERROR(MATCH($B$114,OFFSET(#REF!,AJ197,0,1000000),0)+AJ197,"")</f>
        <v/>
      </c>
      <c r="AK198" s="17" t="str">
        <f ca="1">IFERROR(_xlfn.SINGLE(INDEX(#REF!,'Weekly Report'!AJ198)),"")</f>
        <v/>
      </c>
      <c r="AL198" s="12" t="str">
        <f ca="1">IFERROR(_xlfn.SINGLE(INDEX(#REF!,'Weekly Report'!AJ198)),"")</f>
        <v/>
      </c>
      <c r="AN198" s="12" t="str">
        <f ca="1">IFERROR(MATCH($G$115,OFFSET(#REF!,AN197,0,1000000),0)+AN197,"")</f>
        <v/>
      </c>
      <c r="AO198" s="17" t="str">
        <f ca="1">IFERROR(_xlfn.SINGLE(INDEX(#REF!,'Weekly Report'!AN198)),"")</f>
        <v/>
      </c>
      <c r="AP198" s="12" t="str">
        <f ca="1">IFERROR(_xlfn.SINGLE(INDEX(#REF!,'Weekly Report'!AN198)),"")</f>
        <v/>
      </c>
    </row>
    <row r="199" spans="36:42">
      <c r="AJ199" s="12" t="str">
        <f ca="1">IFERROR(MATCH($B$114,OFFSET(#REF!,AJ198,0,1000000),0)+AJ198,"")</f>
        <v/>
      </c>
      <c r="AK199" s="17" t="str">
        <f ca="1">IFERROR(_xlfn.SINGLE(INDEX(#REF!,'Weekly Report'!AJ199)),"")</f>
        <v/>
      </c>
      <c r="AL199" s="12" t="str">
        <f ca="1">IFERROR(_xlfn.SINGLE(INDEX(#REF!,'Weekly Report'!AJ199)),"")</f>
        <v/>
      </c>
      <c r="AN199" s="12" t="str">
        <f ca="1">IFERROR(MATCH($G$115,OFFSET(#REF!,AN198,0,1000000),0)+AN198,"")</f>
        <v/>
      </c>
      <c r="AO199" s="17" t="str">
        <f ca="1">IFERROR(_xlfn.SINGLE(INDEX(#REF!,'Weekly Report'!AN199)),"")</f>
        <v/>
      </c>
      <c r="AP199" s="12" t="str">
        <f ca="1">IFERROR(_xlfn.SINGLE(INDEX(#REF!,'Weekly Report'!AN199)),"")</f>
        <v/>
      </c>
    </row>
    <row r="200" spans="36:42">
      <c r="AJ200" s="12" t="str">
        <f ca="1">IFERROR(MATCH($B$114,OFFSET(#REF!,AJ199,0,1000000),0)+AJ199,"")</f>
        <v/>
      </c>
      <c r="AK200" s="17" t="str">
        <f ca="1">IFERROR(_xlfn.SINGLE(INDEX(#REF!,'Weekly Report'!AJ200)),"")</f>
        <v/>
      </c>
      <c r="AL200" s="12" t="str">
        <f ca="1">IFERROR(_xlfn.SINGLE(INDEX(#REF!,'Weekly Report'!AJ200)),"")</f>
        <v/>
      </c>
      <c r="AN200" s="12" t="str">
        <f ca="1">IFERROR(MATCH($G$115,OFFSET(#REF!,AN199,0,1000000),0)+AN199,"")</f>
        <v/>
      </c>
      <c r="AO200" s="17" t="str">
        <f ca="1">IFERROR(_xlfn.SINGLE(INDEX(#REF!,'Weekly Report'!AN200)),"")</f>
        <v/>
      </c>
      <c r="AP200" s="12" t="str">
        <f ca="1">IFERROR(_xlfn.SINGLE(INDEX(#REF!,'Weekly Report'!AN200)),"")</f>
        <v/>
      </c>
    </row>
    <row r="201" spans="36:42">
      <c r="AJ201" s="12" t="str">
        <f ca="1">IFERROR(MATCH($B$114,OFFSET(#REF!,AJ200,0,1000000),0)+AJ200,"")</f>
        <v/>
      </c>
      <c r="AK201" s="17" t="str">
        <f ca="1">IFERROR(_xlfn.SINGLE(INDEX(#REF!,'Weekly Report'!AJ201)),"")</f>
        <v/>
      </c>
      <c r="AL201" s="12" t="str">
        <f ca="1">IFERROR(_xlfn.SINGLE(INDEX(#REF!,'Weekly Report'!AJ201)),"")</f>
        <v/>
      </c>
      <c r="AN201" s="12" t="str">
        <f ca="1">IFERROR(MATCH($G$115,OFFSET(#REF!,AN200,0,1000000),0)+AN200,"")</f>
        <v/>
      </c>
      <c r="AO201" s="17" t="str">
        <f ca="1">IFERROR(_xlfn.SINGLE(INDEX(#REF!,'Weekly Report'!AN201)),"")</f>
        <v/>
      </c>
      <c r="AP201" s="12" t="str">
        <f ca="1">IFERROR(_xlfn.SINGLE(INDEX(#REF!,'Weekly Report'!AN201)),"")</f>
        <v/>
      </c>
    </row>
    <row r="202" spans="36:42">
      <c r="AJ202" s="12" t="str">
        <f ca="1">IFERROR(MATCH($B$114,OFFSET(#REF!,AJ201,0,1000000),0)+AJ201,"")</f>
        <v/>
      </c>
      <c r="AK202" s="17" t="str">
        <f ca="1">IFERROR(_xlfn.SINGLE(INDEX(#REF!,'Weekly Report'!AJ202)),"")</f>
        <v/>
      </c>
      <c r="AL202" s="12" t="str">
        <f ca="1">IFERROR(_xlfn.SINGLE(INDEX(#REF!,'Weekly Report'!AJ202)),"")</f>
        <v/>
      </c>
      <c r="AN202" s="12" t="str">
        <f ca="1">IFERROR(MATCH($G$115,OFFSET(#REF!,AN201,0,1000000),0)+AN201,"")</f>
        <v/>
      </c>
      <c r="AO202" s="17" t="str">
        <f ca="1">IFERROR(_xlfn.SINGLE(INDEX(#REF!,'Weekly Report'!AN202)),"")</f>
        <v/>
      </c>
      <c r="AP202" s="12" t="str">
        <f ca="1">IFERROR(_xlfn.SINGLE(INDEX(#REF!,'Weekly Report'!AN202)),"")</f>
        <v/>
      </c>
    </row>
    <row r="203" spans="36:42">
      <c r="AJ203" s="12" t="str">
        <f ca="1">IFERROR(MATCH($B$114,OFFSET(#REF!,AJ202,0,1000000),0)+AJ202,"")</f>
        <v/>
      </c>
      <c r="AK203" s="17" t="str">
        <f ca="1">IFERROR(_xlfn.SINGLE(INDEX(#REF!,'Weekly Report'!AJ203)),"")</f>
        <v/>
      </c>
      <c r="AL203" s="12" t="str">
        <f ca="1">IFERROR(_xlfn.SINGLE(INDEX(#REF!,'Weekly Report'!AJ203)),"")</f>
        <v/>
      </c>
      <c r="AN203" s="12" t="str">
        <f ca="1">IFERROR(MATCH($G$115,OFFSET(#REF!,AN202,0,1000000),0)+AN202,"")</f>
        <v/>
      </c>
      <c r="AO203" s="17" t="str">
        <f ca="1">IFERROR(_xlfn.SINGLE(INDEX(#REF!,'Weekly Report'!AN203)),"")</f>
        <v/>
      </c>
      <c r="AP203" s="12" t="str">
        <f ca="1">IFERROR(_xlfn.SINGLE(INDEX(#REF!,'Weekly Report'!AN203)),"")</f>
        <v/>
      </c>
    </row>
    <row r="204" spans="36:42">
      <c r="AJ204" s="12" t="str">
        <f ca="1">IFERROR(MATCH($B$114,OFFSET(#REF!,AJ203,0,1000000),0)+AJ203,"")</f>
        <v/>
      </c>
      <c r="AK204" s="17" t="str">
        <f ca="1">IFERROR(_xlfn.SINGLE(INDEX(#REF!,'Weekly Report'!AJ204)),"")</f>
        <v/>
      </c>
      <c r="AL204" s="12" t="str">
        <f ca="1">IFERROR(_xlfn.SINGLE(INDEX(#REF!,'Weekly Report'!AJ204)),"")</f>
        <v/>
      </c>
      <c r="AN204" s="12" t="str">
        <f ca="1">IFERROR(MATCH($G$115,OFFSET(#REF!,AN203,0,1000000),0)+AN203,"")</f>
        <v/>
      </c>
      <c r="AO204" s="17" t="str">
        <f ca="1">IFERROR(_xlfn.SINGLE(INDEX(#REF!,'Weekly Report'!AN204)),"")</f>
        <v/>
      </c>
      <c r="AP204" s="12" t="str">
        <f ca="1">IFERROR(_xlfn.SINGLE(INDEX(#REF!,'Weekly Report'!AN204)),"")</f>
        <v/>
      </c>
    </row>
    <row r="205" spans="36:42">
      <c r="AJ205" s="12" t="str">
        <f ca="1">IFERROR(MATCH($B$114,OFFSET(#REF!,AJ204,0,1000000),0)+AJ204,"")</f>
        <v/>
      </c>
      <c r="AK205" s="17" t="str">
        <f ca="1">IFERROR(_xlfn.SINGLE(INDEX(#REF!,'Weekly Report'!AJ205)),"")</f>
        <v/>
      </c>
      <c r="AL205" s="12" t="str">
        <f ca="1">IFERROR(_xlfn.SINGLE(INDEX(#REF!,'Weekly Report'!AJ205)),"")</f>
        <v/>
      </c>
      <c r="AN205" s="12" t="str">
        <f ca="1">IFERROR(MATCH($G$115,OFFSET(#REF!,AN204,0,1000000),0)+AN204,"")</f>
        <v/>
      </c>
      <c r="AO205" s="17" t="str">
        <f ca="1">IFERROR(_xlfn.SINGLE(INDEX(#REF!,'Weekly Report'!AN205)),"")</f>
        <v/>
      </c>
      <c r="AP205" s="12" t="str">
        <f ca="1">IFERROR(_xlfn.SINGLE(INDEX(#REF!,'Weekly Report'!AN205)),"")</f>
        <v/>
      </c>
    </row>
    <row r="206" spans="36:42">
      <c r="AJ206" s="12" t="str">
        <f ca="1">IFERROR(MATCH($B$114,OFFSET(#REF!,AJ205,0,1000000),0)+AJ205,"")</f>
        <v/>
      </c>
      <c r="AK206" s="17" t="str">
        <f ca="1">IFERROR(_xlfn.SINGLE(INDEX(#REF!,'Weekly Report'!AJ206)),"")</f>
        <v/>
      </c>
      <c r="AL206" s="12" t="str">
        <f ca="1">IFERROR(_xlfn.SINGLE(INDEX(#REF!,'Weekly Report'!AJ206)),"")</f>
        <v/>
      </c>
      <c r="AN206" s="12" t="str">
        <f ca="1">IFERROR(MATCH($G$115,OFFSET(#REF!,AN205,0,1000000),0)+AN205,"")</f>
        <v/>
      </c>
      <c r="AO206" s="17" t="str">
        <f ca="1">IFERROR(_xlfn.SINGLE(INDEX(#REF!,'Weekly Report'!AN206)),"")</f>
        <v/>
      </c>
      <c r="AP206" s="12" t="str">
        <f ca="1">IFERROR(_xlfn.SINGLE(INDEX(#REF!,'Weekly Report'!AN206)),"")</f>
        <v/>
      </c>
    </row>
    <row r="207" spans="36:42">
      <c r="AJ207" s="12" t="str">
        <f ca="1">IFERROR(MATCH($B$114,OFFSET(#REF!,AJ206,0,1000000),0)+AJ206,"")</f>
        <v/>
      </c>
      <c r="AK207" s="17" t="str">
        <f ca="1">IFERROR(_xlfn.SINGLE(INDEX(#REF!,'Weekly Report'!AJ207)),"")</f>
        <v/>
      </c>
      <c r="AL207" s="12" t="str">
        <f ca="1">IFERROR(_xlfn.SINGLE(INDEX(#REF!,'Weekly Report'!AJ207)),"")</f>
        <v/>
      </c>
      <c r="AN207" s="12" t="str">
        <f ca="1">IFERROR(MATCH($G$115,OFFSET(#REF!,AN206,0,1000000),0)+AN206,"")</f>
        <v/>
      </c>
      <c r="AO207" s="17" t="str">
        <f ca="1">IFERROR(_xlfn.SINGLE(INDEX(#REF!,'Weekly Report'!AN207)),"")</f>
        <v/>
      </c>
      <c r="AP207" s="12" t="str">
        <f ca="1">IFERROR(_xlfn.SINGLE(INDEX(#REF!,'Weekly Report'!AN207)),"")</f>
        <v/>
      </c>
    </row>
    <row r="208" spans="36:42">
      <c r="AJ208" s="12" t="str">
        <f ca="1">IFERROR(MATCH($B$114,OFFSET(#REF!,AJ207,0,1000000),0)+AJ207,"")</f>
        <v/>
      </c>
      <c r="AK208" s="17" t="str">
        <f ca="1">IFERROR(_xlfn.SINGLE(INDEX(#REF!,'Weekly Report'!AJ208)),"")</f>
        <v/>
      </c>
      <c r="AL208" s="12" t="str">
        <f ca="1">IFERROR(_xlfn.SINGLE(INDEX(#REF!,'Weekly Report'!AJ208)),"")</f>
        <v/>
      </c>
      <c r="AN208" s="12" t="str">
        <f ca="1">IFERROR(MATCH($G$115,OFFSET(#REF!,AN207,0,1000000),0)+AN207,"")</f>
        <v/>
      </c>
      <c r="AO208" s="17" t="str">
        <f ca="1">IFERROR(_xlfn.SINGLE(INDEX(#REF!,'Weekly Report'!AN208)),"")</f>
        <v/>
      </c>
      <c r="AP208" s="12" t="str">
        <f ca="1">IFERROR(_xlfn.SINGLE(INDEX(#REF!,'Weekly Report'!AN208)),"")</f>
        <v/>
      </c>
    </row>
    <row r="209" spans="36:42">
      <c r="AJ209" s="12" t="str">
        <f ca="1">IFERROR(MATCH($B$114,OFFSET(#REF!,AJ208,0,1000000),0)+AJ208,"")</f>
        <v/>
      </c>
      <c r="AK209" s="17" t="str">
        <f ca="1">IFERROR(_xlfn.SINGLE(INDEX(#REF!,'Weekly Report'!AJ209)),"")</f>
        <v/>
      </c>
      <c r="AL209" s="12" t="str">
        <f ca="1">IFERROR(_xlfn.SINGLE(INDEX(#REF!,'Weekly Report'!AJ209)),"")</f>
        <v/>
      </c>
      <c r="AN209" s="12" t="str">
        <f ca="1">IFERROR(MATCH($G$115,OFFSET(#REF!,AN208,0,1000000),0)+AN208,"")</f>
        <v/>
      </c>
      <c r="AO209" s="17" t="str">
        <f ca="1">IFERROR(_xlfn.SINGLE(INDEX(#REF!,'Weekly Report'!AN209)),"")</f>
        <v/>
      </c>
      <c r="AP209" s="12" t="str">
        <f ca="1">IFERROR(_xlfn.SINGLE(INDEX(#REF!,'Weekly Report'!AN209)),"")</f>
        <v/>
      </c>
    </row>
    <row r="210" spans="36:42">
      <c r="AJ210" s="12" t="str">
        <f ca="1">IFERROR(MATCH($B$114,OFFSET(#REF!,AJ209,0,1000000),0)+AJ209,"")</f>
        <v/>
      </c>
      <c r="AK210" s="17" t="str">
        <f ca="1">IFERROR(_xlfn.SINGLE(INDEX(#REF!,'Weekly Report'!AJ210)),"")</f>
        <v/>
      </c>
      <c r="AL210" s="12" t="str">
        <f ca="1">IFERROR(_xlfn.SINGLE(INDEX(#REF!,'Weekly Report'!AJ210)),"")</f>
        <v/>
      </c>
      <c r="AN210" s="12" t="str">
        <f ca="1">IFERROR(MATCH($G$115,OFFSET(#REF!,AN209,0,1000000),0)+AN209,"")</f>
        <v/>
      </c>
      <c r="AO210" s="17" t="str">
        <f ca="1">IFERROR(_xlfn.SINGLE(INDEX(#REF!,'Weekly Report'!AN210)),"")</f>
        <v/>
      </c>
      <c r="AP210" s="12" t="str">
        <f ca="1">IFERROR(_xlfn.SINGLE(INDEX(#REF!,'Weekly Report'!AN210)),"")</f>
        <v/>
      </c>
    </row>
    <row r="211" spans="36:42">
      <c r="AJ211" s="12" t="str">
        <f ca="1">IFERROR(MATCH($B$114,OFFSET(#REF!,AJ210,0,1000000),0)+AJ210,"")</f>
        <v/>
      </c>
      <c r="AK211" s="17" t="str">
        <f ca="1">IFERROR(_xlfn.SINGLE(INDEX(#REF!,'Weekly Report'!AJ211)),"")</f>
        <v/>
      </c>
      <c r="AL211" s="12" t="str">
        <f ca="1">IFERROR(_xlfn.SINGLE(INDEX(#REF!,'Weekly Report'!AJ211)),"")</f>
        <v/>
      </c>
      <c r="AN211" s="12" t="str">
        <f ca="1">IFERROR(MATCH($G$115,OFFSET(#REF!,AN210,0,1000000),0)+AN210,"")</f>
        <v/>
      </c>
      <c r="AO211" s="17" t="str">
        <f ca="1">IFERROR(_xlfn.SINGLE(INDEX(#REF!,'Weekly Report'!AN211)),"")</f>
        <v/>
      </c>
      <c r="AP211" s="12" t="str">
        <f ca="1">IFERROR(_xlfn.SINGLE(INDEX(#REF!,'Weekly Report'!AN211)),"")</f>
        <v/>
      </c>
    </row>
    <row r="212" spans="36:42">
      <c r="AJ212" s="12" t="str">
        <f ca="1">IFERROR(MATCH($B$114,OFFSET(#REF!,AJ211,0,1000000),0)+AJ211,"")</f>
        <v/>
      </c>
      <c r="AK212" s="17" t="str">
        <f ca="1">IFERROR(_xlfn.SINGLE(INDEX(#REF!,'Weekly Report'!AJ212)),"")</f>
        <v/>
      </c>
      <c r="AL212" s="12" t="str">
        <f ca="1">IFERROR(_xlfn.SINGLE(INDEX(#REF!,'Weekly Report'!AJ212)),"")</f>
        <v/>
      </c>
      <c r="AN212" s="12" t="str">
        <f ca="1">IFERROR(MATCH($G$115,OFFSET(#REF!,AN211,0,1000000),0)+AN211,"")</f>
        <v/>
      </c>
      <c r="AO212" s="17" t="str">
        <f ca="1">IFERROR(_xlfn.SINGLE(INDEX(#REF!,'Weekly Report'!AN212)),"")</f>
        <v/>
      </c>
      <c r="AP212" s="12" t="str">
        <f ca="1">IFERROR(_xlfn.SINGLE(INDEX(#REF!,'Weekly Report'!AN212)),"")</f>
        <v/>
      </c>
    </row>
    <row r="213" spans="36:42">
      <c r="AJ213" s="12" t="str">
        <f ca="1">IFERROR(MATCH($B$114,OFFSET(#REF!,AJ212,0,1000000),0)+AJ212,"")</f>
        <v/>
      </c>
      <c r="AK213" s="17" t="str">
        <f ca="1">IFERROR(_xlfn.SINGLE(INDEX(#REF!,'Weekly Report'!AJ213)),"")</f>
        <v/>
      </c>
      <c r="AL213" s="12" t="str">
        <f ca="1">IFERROR(_xlfn.SINGLE(INDEX(#REF!,'Weekly Report'!AJ213)),"")</f>
        <v/>
      </c>
      <c r="AN213" s="12" t="str">
        <f ca="1">IFERROR(MATCH($G$115,OFFSET(#REF!,AN212,0,1000000),0)+AN212,"")</f>
        <v/>
      </c>
      <c r="AO213" s="17" t="str">
        <f ca="1">IFERROR(_xlfn.SINGLE(INDEX(#REF!,'Weekly Report'!AN213)),"")</f>
        <v/>
      </c>
      <c r="AP213" s="12" t="str">
        <f ca="1">IFERROR(_xlfn.SINGLE(INDEX(#REF!,'Weekly Report'!AN213)),"")</f>
        <v/>
      </c>
    </row>
    <row r="214" spans="36:42">
      <c r="AJ214" s="12" t="str">
        <f ca="1">IFERROR(MATCH($B$114,OFFSET(#REF!,AJ213,0,1000000),0)+AJ213,"")</f>
        <v/>
      </c>
      <c r="AK214" s="17" t="str">
        <f ca="1">IFERROR(_xlfn.SINGLE(INDEX(#REF!,'Weekly Report'!AJ214)),"")</f>
        <v/>
      </c>
      <c r="AL214" s="12" t="str">
        <f ca="1">IFERROR(_xlfn.SINGLE(INDEX(#REF!,'Weekly Report'!AJ214)),"")</f>
        <v/>
      </c>
      <c r="AN214" s="12" t="str">
        <f ca="1">IFERROR(MATCH($G$115,OFFSET(#REF!,AN213,0,1000000),0)+AN213,"")</f>
        <v/>
      </c>
      <c r="AO214" s="17" t="str">
        <f ca="1">IFERROR(_xlfn.SINGLE(INDEX(#REF!,'Weekly Report'!AN214)),"")</f>
        <v/>
      </c>
      <c r="AP214" s="12" t="str">
        <f ca="1">IFERROR(_xlfn.SINGLE(INDEX(#REF!,'Weekly Report'!AN214)),"")</f>
        <v/>
      </c>
    </row>
    <row r="215" spans="36:42">
      <c r="AJ215" s="12" t="str">
        <f ca="1">IFERROR(MATCH($B$114,OFFSET(#REF!,AJ214,0,1000000),0)+AJ214,"")</f>
        <v/>
      </c>
      <c r="AK215" s="17" t="str">
        <f ca="1">IFERROR(_xlfn.SINGLE(INDEX(#REF!,'Weekly Report'!AJ215)),"")</f>
        <v/>
      </c>
      <c r="AL215" s="12" t="str">
        <f ca="1">IFERROR(_xlfn.SINGLE(INDEX(#REF!,'Weekly Report'!AJ215)),"")</f>
        <v/>
      </c>
      <c r="AN215" s="12" t="str">
        <f ca="1">IFERROR(MATCH($G$115,OFFSET(#REF!,AN214,0,1000000),0)+AN214,"")</f>
        <v/>
      </c>
      <c r="AO215" s="17" t="str">
        <f ca="1">IFERROR(_xlfn.SINGLE(INDEX(#REF!,'Weekly Report'!AN215)),"")</f>
        <v/>
      </c>
      <c r="AP215" s="12" t="str">
        <f ca="1">IFERROR(_xlfn.SINGLE(INDEX(#REF!,'Weekly Report'!AN215)),"")</f>
        <v/>
      </c>
    </row>
    <row r="216" spans="36:42">
      <c r="AJ216" s="12" t="str">
        <f ca="1">IFERROR(MATCH($B$114,OFFSET(#REF!,AJ215,0,1000000),0)+AJ215,"")</f>
        <v/>
      </c>
      <c r="AK216" s="17" t="str">
        <f ca="1">IFERROR(_xlfn.SINGLE(INDEX(#REF!,'Weekly Report'!AJ216)),"")</f>
        <v/>
      </c>
      <c r="AL216" s="12" t="str">
        <f ca="1">IFERROR(_xlfn.SINGLE(INDEX(#REF!,'Weekly Report'!AJ216)),"")</f>
        <v/>
      </c>
      <c r="AN216" s="12" t="str">
        <f ca="1">IFERROR(MATCH($G$115,OFFSET(#REF!,AN215,0,1000000),0)+AN215,"")</f>
        <v/>
      </c>
      <c r="AO216" s="17" t="str">
        <f ca="1">IFERROR(_xlfn.SINGLE(INDEX(#REF!,'Weekly Report'!AN216)),"")</f>
        <v/>
      </c>
      <c r="AP216" s="12" t="str">
        <f ca="1">IFERROR(_xlfn.SINGLE(INDEX(#REF!,'Weekly Report'!AN216)),"")</f>
        <v/>
      </c>
    </row>
    <row r="217" spans="36:42">
      <c r="AJ217" s="12" t="str">
        <f ca="1">IFERROR(MATCH($B$114,OFFSET(#REF!,AJ216,0,1000000),0)+AJ216,"")</f>
        <v/>
      </c>
      <c r="AK217" s="17" t="str">
        <f ca="1">IFERROR(_xlfn.SINGLE(INDEX(#REF!,'Weekly Report'!AJ217)),"")</f>
        <v/>
      </c>
      <c r="AL217" s="12" t="str">
        <f ca="1">IFERROR(_xlfn.SINGLE(INDEX(#REF!,'Weekly Report'!AJ217)),"")</f>
        <v/>
      </c>
      <c r="AN217" s="12" t="str">
        <f ca="1">IFERROR(MATCH($G$115,OFFSET(#REF!,AN216,0,1000000),0)+AN216,"")</f>
        <v/>
      </c>
      <c r="AO217" s="17" t="str">
        <f ca="1">IFERROR(_xlfn.SINGLE(INDEX(#REF!,'Weekly Report'!AN217)),"")</f>
        <v/>
      </c>
      <c r="AP217" s="12" t="str">
        <f ca="1">IFERROR(_xlfn.SINGLE(INDEX(#REF!,'Weekly Report'!AN217)),"")</f>
        <v/>
      </c>
    </row>
    <row r="218" spans="36:42">
      <c r="AJ218" s="12" t="str">
        <f ca="1">IFERROR(MATCH($B$114,OFFSET(#REF!,AJ217,0,1000000),0)+AJ217,"")</f>
        <v/>
      </c>
      <c r="AK218" s="17" t="str">
        <f ca="1">IFERROR(_xlfn.SINGLE(INDEX(#REF!,'Weekly Report'!AJ218)),"")</f>
        <v/>
      </c>
      <c r="AL218" s="12" t="str">
        <f ca="1">IFERROR(_xlfn.SINGLE(INDEX(#REF!,'Weekly Report'!AJ218)),"")</f>
        <v/>
      </c>
      <c r="AN218" s="12" t="str">
        <f ca="1">IFERROR(MATCH($G$115,OFFSET(#REF!,AN217,0,1000000),0)+AN217,"")</f>
        <v/>
      </c>
      <c r="AO218" s="17" t="str">
        <f ca="1">IFERROR(_xlfn.SINGLE(INDEX(#REF!,'Weekly Report'!AN218)),"")</f>
        <v/>
      </c>
      <c r="AP218" s="12" t="str">
        <f ca="1">IFERROR(_xlfn.SINGLE(INDEX(#REF!,'Weekly Report'!AN218)),"")</f>
        <v/>
      </c>
    </row>
    <row r="219" spans="36:42">
      <c r="AJ219" s="12" t="str">
        <f ca="1">IFERROR(MATCH($B$114,OFFSET(#REF!,AJ218,0,1000000),0)+AJ218,"")</f>
        <v/>
      </c>
      <c r="AK219" s="17" t="str">
        <f ca="1">IFERROR(_xlfn.SINGLE(INDEX(#REF!,'Weekly Report'!AJ219)),"")</f>
        <v/>
      </c>
      <c r="AL219" s="12" t="str">
        <f ca="1">IFERROR(_xlfn.SINGLE(INDEX(#REF!,'Weekly Report'!AJ219)),"")</f>
        <v/>
      </c>
      <c r="AN219" s="12" t="str">
        <f ca="1">IFERROR(MATCH($G$115,OFFSET(#REF!,AN218,0,1000000),0)+AN218,"")</f>
        <v/>
      </c>
      <c r="AO219" s="17" t="str">
        <f ca="1">IFERROR(_xlfn.SINGLE(INDEX(#REF!,'Weekly Report'!AN219)),"")</f>
        <v/>
      </c>
      <c r="AP219" s="12" t="str">
        <f ca="1">IFERROR(_xlfn.SINGLE(INDEX(#REF!,'Weekly Report'!AN219)),"")</f>
        <v/>
      </c>
    </row>
    <row r="220" spans="36:42">
      <c r="AJ220" s="12" t="str">
        <f ca="1">IFERROR(MATCH($B$114,OFFSET(#REF!,AJ219,0,1000000),0)+AJ219,"")</f>
        <v/>
      </c>
      <c r="AK220" s="17" t="str">
        <f ca="1">IFERROR(_xlfn.SINGLE(INDEX(#REF!,'Weekly Report'!AJ220)),"")</f>
        <v/>
      </c>
      <c r="AL220" s="12" t="str">
        <f ca="1">IFERROR(_xlfn.SINGLE(INDEX(#REF!,'Weekly Report'!AJ220)),"")</f>
        <v/>
      </c>
      <c r="AN220" s="12" t="str">
        <f ca="1">IFERROR(MATCH($G$115,OFFSET(#REF!,AN219,0,1000000),0)+AN219,"")</f>
        <v/>
      </c>
      <c r="AO220" s="17" t="str">
        <f ca="1">IFERROR(_xlfn.SINGLE(INDEX(#REF!,'Weekly Report'!AN220)),"")</f>
        <v/>
      </c>
      <c r="AP220" s="12" t="str">
        <f ca="1">IFERROR(_xlfn.SINGLE(INDEX(#REF!,'Weekly Report'!AN220)),"")</f>
        <v/>
      </c>
    </row>
    <row r="221" spans="36:42">
      <c r="AJ221" s="12" t="str">
        <f ca="1">IFERROR(MATCH($B$114,OFFSET(#REF!,AJ220,0,1000000),0)+AJ220,"")</f>
        <v/>
      </c>
      <c r="AK221" s="17" t="str">
        <f ca="1">IFERROR(_xlfn.SINGLE(INDEX(#REF!,'Weekly Report'!AJ221)),"")</f>
        <v/>
      </c>
      <c r="AL221" s="12" t="str">
        <f ca="1">IFERROR(_xlfn.SINGLE(INDEX(#REF!,'Weekly Report'!AJ221)),"")</f>
        <v/>
      </c>
      <c r="AN221" s="12" t="str">
        <f ca="1">IFERROR(MATCH($G$115,OFFSET(#REF!,AN220,0,1000000),0)+AN220,"")</f>
        <v/>
      </c>
      <c r="AO221" s="17" t="str">
        <f ca="1">IFERROR(_xlfn.SINGLE(INDEX(#REF!,'Weekly Report'!AN221)),"")</f>
        <v/>
      </c>
      <c r="AP221" s="12" t="str">
        <f ca="1">IFERROR(_xlfn.SINGLE(INDEX(#REF!,'Weekly Report'!AN221)),"")</f>
        <v/>
      </c>
    </row>
    <row r="222" spans="36:42">
      <c r="AJ222" s="12" t="str">
        <f ca="1">IFERROR(MATCH($B$114,OFFSET(#REF!,AJ221,0,1000000),0)+AJ221,"")</f>
        <v/>
      </c>
      <c r="AK222" s="17" t="str">
        <f ca="1">IFERROR(_xlfn.SINGLE(INDEX(#REF!,'Weekly Report'!AJ222)),"")</f>
        <v/>
      </c>
      <c r="AL222" s="12" t="str">
        <f ca="1">IFERROR(_xlfn.SINGLE(INDEX(#REF!,'Weekly Report'!AJ222)),"")</f>
        <v/>
      </c>
      <c r="AN222" s="12" t="str">
        <f ca="1">IFERROR(MATCH($G$115,OFFSET(#REF!,AN221,0,1000000),0)+AN221,"")</f>
        <v/>
      </c>
      <c r="AO222" s="17" t="str">
        <f ca="1">IFERROR(_xlfn.SINGLE(INDEX(#REF!,'Weekly Report'!AN222)),"")</f>
        <v/>
      </c>
      <c r="AP222" s="12" t="str">
        <f ca="1">IFERROR(_xlfn.SINGLE(INDEX(#REF!,'Weekly Report'!AN222)),"")</f>
        <v/>
      </c>
    </row>
    <row r="223" spans="36:42">
      <c r="AJ223" s="12" t="str">
        <f ca="1">IFERROR(MATCH($B$114,OFFSET(#REF!,AJ222,0,1000000),0)+AJ222,"")</f>
        <v/>
      </c>
      <c r="AK223" s="17" t="str">
        <f ca="1">IFERROR(_xlfn.SINGLE(INDEX(#REF!,'Weekly Report'!AJ223)),"")</f>
        <v/>
      </c>
      <c r="AL223" s="12" t="str">
        <f ca="1">IFERROR(_xlfn.SINGLE(INDEX(#REF!,'Weekly Report'!AJ223)),"")</f>
        <v/>
      </c>
      <c r="AN223" s="12" t="str">
        <f ca="1">IFERROR(MATCH($G$115,OFFSET(#REF!,AN222,0,1000000),0)+AN222,"")</f>
        <v/>
      </c>
      <c r="AO223" s="17" t="str">
        <f ca="1">IFERROR(_xlfn.SINGLE(INDEX(#REF!,'Weekly Report'!AN223)),"")</f>
        <v/>
      </c>
      <c r="AP223" s="12" t="str">
        <f ca="1">IFERROR(_xlfn.SINGLE(INDEX(#REF!,'Weekly Report'!AN223)),"")</f>
        <v/>
      </c>
    </row>
    <row r="224" spans="36:42">
      <c r="AJ224" s="12" t="str">
        <f ca="1">IFERROR(MATCH($B$114,OFFSET(#REF!,AJ223,0,1000000),0)+AJ223,"")</f>
        <v/>
      </c>
      <c r="AK224" s="17" t="str">
        <f ca="1">IFERROR(_xlfn.SINGLE(INDEX(#REF!,'Weekly Report'!AJ224)),"")</f>
        <v/>
      </c>
      <c r="AL224" s="12" t="str">
        <f ca="1">IFERROR(_xlfn.SINGLE(INDEX(#REF!,'Weekly Report'!AJ224)),"")</f>
        <v/>
      </c>
      <c r="AN224" s="12" t="str">
        <f ca="1">IFERROR(MATCH($G$115,OFFSET(#REF!,AN223,0,1000000),0)+AN223,"")</f>
        <v/>
      </c>
      <c r="AO224" s="17" t="str">
        <f ca="1">IFERROR(_xlfn.SINGLE(INDEX(#REF!,'Weekly Report'!AN224)),"")</f>
        <v/>
      </c>
      <c r="AP224" s="12" t="str">
        <f ca="1">IFERROR(_xlfn.SINGLE(INDEX(#REF!,'Weekly Report'!AN224)),"")</f>
        <v/>
      </c>
    </row>
    <row r="225" spans="36:42">
      <c r="AJ225" s="12" t="str">
        <f ca="1">IFERROR(MATCH($B$114,OFFSET(#REF!,AJ224,0,1000000),0)+AJ224,"")</f>
        <v/>
      </c>
      <c r="AK225" s="17" t="str">
        <f ca="1">IFERROR(_xlfn.SINGLE(INDEX(#REF!,'Weekly Report'!AJ225)),"")</f>
        <v/>
      </c>
      <c r="AL225" s="12" t="str">
        <f ca="1">IFERROR(_xlfn.SINGLE(INDEX(#REF!,'Weekly Report'!AJ225)),"")</f>
        <v/>
      </c>
      <c r="AN225" s="12" t="str">
        <f ca="1">IFERROR(MATCH($G$115,OFFSET(#REF!,AN224,0,1000000),0)+AN224,"")</f>
        <v/>
      </c>
      <c r="AO225" s="17" t="str">
        <f ca="1">IFERROR(_xlfn.SINGLE(INDEX(#REF!,'Weekly Report'!AN225)),"")</f>
        <v/>
      </c>
      <c r="AP225" s="12" t="str">
        <f ca="1">IFERROR(_xlfn.SINGLE(INDEX(#REF!,'Weekly Report'!AN225)),"")</f>
        <v/>
      </c>
    </row>
    <row r="226" spans="36:42">
      <c r="AJ226" s="12" t="str">
        <f ca="1">IFERROR(MATCH($B$114,OFFSET(#REF!,AJ225,0,1000000),0)+AJ225,"")</f>
        <v/>
      </c>
      <c r="AK226" s="17" t="str">
        <f ca="1">IFERROR(_xlfn.SINGLE(INDEX(#REF!,'Weekly Report'!AJ226)),"")</f>
        <v/>
      </c>
      <c r="AL226" s="12" t="str">
        <f ca="1">IFERROR(_xlfn.SINGLE(INDEX(#REF!,'Weekly Report'!AJ226)),"")</f>
        <v/>
      </c>
      <c r="AN226" s="12" t="str">
        <f ca="1">IFERROR(MATCH($G$115,OFFSET(#REF!,AN225,0,1000000),0)+AN225,"")</f>
        <v/>
      </c>
      <c r="AO226" s="17" t="str">
        <f ca="1">IFERROR(_xlfn.SINGLE(INDEX(#REF!,'Weekly Report'!AN226)),"")</f>
        <v/>
      </c>
      <c r="AP226" s="12" t="str">
        <f ca="1">IFERROR(_xlfn.SINGLE(INDEX(#REF!,'Weekly Report'!AN226)),"")</f>
        <v/>
      </c>
    </row>
    <row r="227" spans="36:42">
      <c r="AJ227" s="12" t="str">
        <f ca="1">IFERROR(MATCH($B$114,OFFSET(#REF!,AJ226,0,1000000),0)+AJ226,"")</f>
        <v/>
      </c>
      <c r="AK227" s="17" t="str">
        <f ca="1">IFERROR(_xlfn.SINGLE(INDEX(#REF!,'Weekly Report'!AJ227)),"")</f>
        <v/>
      </c>
      <c r="AL227" s="12" t="str">
        <f ca="1">IFERROR(_xlfn.SINGLE(INDEX(#REF!,'Weekly Report'!AJ227)),"")</f>
        <v/>
      </c>
      <c r="AN227" s="12" t="str">
        <f ca="1">IFERROR(MATCH($G$115,OFFSET(#REF!,AN226,0,1000000),0)+AN226,"")</f>
        <v/>
      </c>
      <c r="AO227" s="17" t="str">
        <f ca="1">IFERROR(_xlfn.SINGLE(INDEX(#REF!,'Weekly Report'!AN227)),"")</f>
        <v/>
      </c>
      <c r="AP227" s="12" t="str">
        <f ca="1">IFERROR(_xlfn.SINGLE(INDEX(#REF!,'Weekly Report'!AN227)),"")</f>
        <v/>
      </c>
    </row>
    <row r="228" spans="36:42">
      <c r="AJ228" s="12" t="str">
        <f ca="1">IFERROR(MATCH($B$114,OFFSET(#REF!,AJ227,0,1000000),0)+AJ227,"")</f>
        <v/>
      </c>
      <c r="AK228" s="17" t="str">
        <f ca="1">IFERROR(_xlfn.SINGLE(INDEX(#REF!,'Weekly Report'!AJ228)),"")</f>
        <v/>
      </c>
      <c r="AL228" s="12" t="str">
        <f ca="1">IFERROR(_xlfn.SINGLE(INDEX(#REF!,'Weekly Report'!AJ228)),"")</f>
        <v/>
      </c>
      <c r="AN228" s="12" t="str">
        <f ca="1">IFERROR(MATCH($G$115,OFFSET(#REF!,AN227,0,1000000),0)+AN227,"")</f>
        <v/>
      </c>
      <c r="AO228" s="17" t="str">
        <f ca="1">IFERROR(_xlfn.SINGLE(INDEX(#REF!,'Weekly Report'!AN228)),"")</f>
        <v/>
      </c>
      <c r="AP228" s="12" t="str">
        <f ca="1">IFERROR(_xlfn.SINGLE(INDEX(#REF!,'Weekly Report'!AN228)),"")</f>
        <v/>
      </c>
    </row>
    <row r="229" spans="36:42">
      <c r="AJ229" s="12" t="str">
        <f ca="1">IFERROR(MATCH($B$114,OFFSET(#REF!,AJ228,0,1000000),0)+AJ228,"")</f>
        <v/>
      </c>
      <c r="AK229" s="17" t="str">
        <f ca="1">IFERROR(_xlfn.SINGLE(INDEX(#REF!,'Weekly Report'!AJ229)),"")</f>
        <v/>
      </c>
      <c r="AL229" s="12" t="str">
        <f ca="1">IFERROR(_xlfn.SINGLE(INDEX(#REF!,'Weekly Report'!AJ229)),"")</f>
        <v/>
      </c>
      <c r="AN229" s="12" t="str">
        <f ca="1">IFERROR(MATCH($G$115,OFFSET(#REF!,AN228,0,1000000),0)+AN228,"")</f>
        <v/>
      </c>
      <c r="AO229" s="17" t="str">
        <f ca="1">IFERROR(_xlfn.SINGLE(INDEX(#REF!,'Weekly Report'!AN229)),"")</f>
        <v/>
      </c>
      <c r="AP229" s="12" t="str">
        <f ca="1">IFERROR(_xlfn.SINGLE(INDEX(#REF!,'Weekly Report'!AN229)),"")</f>
        <v/>
      </c>
    </row>
    <row r="230" spans="36:42">
      <c r="AJ230" s="12" t="str">
        <f ca="1">IFERROR(MATCH($B$114,OFFSET(#REF!,AJ229,0,1000000),0)+AJ229,"")</f>
        <v/>
      </c>
      <c r="AK230" s="17" t="str">
        <f ca="1">IFERROR(_xlfn.SINGLE(INDEX(#REF!,'Weekly Report'!AJ230)),"")</f>
        <v/>
      </c>
      <c r="AL230" s="12" t="str">
        <f ca="1">IFERROR(_xlfn.SINGLE(INDEX(#REF!,'Weekly Report'!AJ230)),"")</f>
        <v/>
      </c>
      <c r="AN230" s="12" t="str">
        <f ca="1">IFERROR(MATCH($G$115,OFFSET(#REF!,AN229,0,1000000),0)+AN229,"")</f>
        <v/>
      </c>
      <c r="AO230" s="17" t="str">
        <f ca="1">IFERROR(_xlfn.SINGLE(INDEX(#REF!,'Weekly Report'!AN230)),"")</f>
        <v/>
      </c>
      <c r="AP230" s="12" t="str">
        <f ca="1">IFERROR(_xlfn.SINGLE(INDEX(#REF!,'Weekly Report'!AN230)),"")</f>
        <v/>
      </c>
    </row>
    <row r="231" spans="36:42">
      <c r="AJ231" s="12" t="str">
        <f ca="1">IFERROR(MATCH($B$114,OFFSET(#REF!,AJ230,0,1000000),0)+AJ230,"")</f>
        <v/>
      </c>
      <c r="AK231" s="17" t="str">
        <f ca="1">IFERROR(_xlfn.SINGLE(INDEX(#REF!,'Weekly Report'!AJ231)),"")</f>
        <v/>
      </c>
      <c r="AL231" s="12" t="str">
        <f ca="1">IFERROR(_xlfn.SINGLE(INDEX(#REF!,'Weekly Report'!AJ231)),"")</f>
        <v/>
      </c>
      <c r="AN231" s="12" t="str">
        <f ca="1">IFERROR(MATCH($G$115,OFFSET(#REF!,AN230,0,1000000),0)+AN230,"")</f>
        <v/>
      </c>
      <c r="AO231" s="17" t="str">
        <f ca="1">IFERROR(_xlfn.SINGLE(INDEX(#REF!,'Weekly Report'!AN231)),"")</f>
        <v/>
      </c>
      <c r="AP231" s="12" t="str">
        <f ca="1">IFERROR(_xlfn.SINGLE(INDEX(#REF!,'Weekly Report'!AN231)),"")</f>
        <v/>
      </c>
    </row>
    <row r="232" spans="36:42">
      <c r="AJ232" s="12" t="str">
        <f ca="1">IFERROR(MATCH($B$114,OFFSET(#REF!,AJ231,0,1000000),0)+AJ231,"")</f>
        <v/>
      </c>
      <c r="AK232" s="17" t="str">
        <f ca="1">IFERROR(_xlfn.SINGLE(INDEX(#REF!,'Weekly Report'!AJ232)),"")</f>
        <v/>
      </c>
      <c r="AL232" s="12" t="str">
        <f ca="1">IFERROR(_xlfn.SINGLE(INDEX(#REF!,'Weekly Report'!AJ232)),"")</f>
        <v/>
      </c>
      <c r="AN232" s="12" t="str">
        <f ca="1">IFERROR(MATCH($G$115,OFFSET(#REF!,AN231,0,1000000),0)+AN231,"")</f>
        <v/>
      </c>
      <c r="AO232" s="17" t="str">
        <f ca="1">IFERROR(_xlfn.SINGLE(INDEX(#REF!,'Weekly Report'!AN232)),"")</f>
        <v/>
      </c>
      <c r="AP232" s="12" t="str">
        <f ca="1">IFERROR(_xlfn.SINGLE(INDEX(#REF!,'Weekly Report'!AN232)),"")</f>
        <v/>
      </c>
    </row>
    <row r="233" spans="36:42">
      <c r="AJ233" s="12" t="str">
        <f ca="1">IFERROR(MATCH($B$114,OFFSET(#REF!,AJ232,0,1000000),0)+AJ232,"")</f>
        <v/>
      </c>
      <c r="AK233" s="17" t="str">
        <f ca="1">IFERROR(_xlfn.SINGLE(INDEX(#REF!,'Weekly Report'!AJ233)),"")</f>
        <v/>
      </c>
      <c r="AL233" s="12" t="str">
        <f ca="1">IFERROR(_xlfn.SINGLE(INDEX(#REF!,'Weekly Report'!AJ233)),"")</f>
        <v/>
      </c>
      <c r="AN233" s="12" t="str">
        <f ca="1">IFERROR(MATCH($G$115,OFFSET(#REF!,AN232,0,1000000),0)+AN232,"")</f>
        <v/>
      </c>
      <c r="AO233" s="17" t="str">
        <f ca="1">IFERROR(_xlfn.SINGLE(INDEX(#REF!,'Weekly Report'!AN233)),"")</f>
        <v/>
      </c>
      <c r="AP233" s="12" t="str">
        <f ca="1">IFERROR(_xlfn.SINGLE(INDEX(#REF!,'Weekly Report'!AN233)),"")</f>
        <v/>
      </c>
    </row>
    <row r="234" spans="36:42">
      <c r="AJ234" s="12" t="str">
        <f ca="1">IFERROR(MATCH($B$114,OFFSET(#REF!,AJ233,0,1000000),0)+AJ233,"")</f>
        <v/>
      </c>
      <c r="AK234" s="17" t="str">
        <f ca="1">IFERROR(_xlfn.SINGLE(INDEX(#REF!,'Weekly Report'!AJ234)),"")</f>
        <v/>
      </c>
      <c r="AL234" s="12" t="str">
        <f ca="1">IFERROR(_xlfn.SINGLE(INDEX(#REF!,'Weekly Report'!AJ234)),"")</f>
        <v/>
      </c>
      <c r="AN234" s="12" t="str">
        <f ca="1">IFERROR(MATCH($G$115,OFFSET(#REF!,AN233,0,1000000),0)+AN233,"")</f>
        <v/>
      </c>
      <c r="AO234" s="17" t="str">
        <f ca="1">IFERROR(_xlfn.SINGLE(INDEX(#REF!,'Weekly Report'!AN234)),"")</f>
        <v/>
      </c>
      <c r="AP234" s="12" t="str">
        <f ca="1">IFERROR(_xlfn.SINGLE(INDEX(#REF!,'Weekly Report'!AN234)),"")</f>
        <v/>
      </c>
    </row>
    <row r="235" spans="36:42">
      <c r="AJ235" s="12" t="str">
        <f ca="1">IFERROR(MATCH($B$114,OFFSET(#REF!,AJ234,0,1000000),0)+AJ234,"")</f>
        <v/>
      </c>
      <c r="AK235" s="17" t="str">
        <f ca="1">IFERROR(_xlfn.SINGLE(INDEX(#REF!,'Weekly Report'!AJ235)),"")</f>
        <v/>
      </c>
      <c r="AL235" s="12" t="str">
        <f ca="1">IFERROR(_xlfn.SINGLE(INDEX(#REF!,'Weekly Report'!AJ235)),"")</f>
        <v/>
      </c>
      <c r="AN235" s="12" t="str">
        <f ca="1">IFERROR(MATCH($G$115,OFFSET(#REF!,AN234,0,1000000),0)+AN234,"")</f>
        <v/>
      </c>
      <c r="AO235" s="17" t="str">
        <f ca="1">IFERROR(_xlfn.SINGLE(INDEX(#REF!,'Weekly Report'!AN235)),"")</f>
        <v/>
      </c>
      <c r="AP235" s="12" t="str">
        <f ca="1">IFERROR(_xlfn.SINGLE(INDEX(#REF!,'Weekly Report'!AN235)),"")</f>
        <v/>
      </c>
    </row>
    <row r="236" spans="36:42">
      <c r="AJ236" s="12" t="str">
        <f ca="1">IFERROR(MATCH($B$114,OFFSET(#REF!,AJ235,0,1000000),0)+AJ235,"")</f>
        <v/>
      </c>
      <c r="AK236" s="17" t="str">
        <f ca="1">IFERROR(_xlfn.SINGLE(INDEX(#REF!,'Weekly Report'!AJ236)),"")</f>
        <v/>
      </c>
      <c r="AL236" s="12" t="str">
        <f ca="1">IFERROR(_xlfn.SINGLE(INDEX(#REF!,'Weekly Report'!AJ236)),"")</f>
        <v/>
      </c>
      <c r="AN236" s="12" t="str">
        <f ca="1">IFERROR(MATCH($G$115,OFFSET(#REF!,AN235,0,1000000),0)+AN235,"")</f>
        <v/>
      </c>
      <c r="AO236" s="17" t="str">
        <f ca="1">IFERROR(_xlfn.SINGLE(INDEX(#REF!,'Weekly Report'!AN236)),"")</f>
        <v/>
      </c>
      <c r="AP236" s="12" t="str">
        <f ca="1">IFERROR(_xlfn.SINGLE(INDEX(#REF!,'Weekly Report'!AN236)),"")</f>
        <v/>
      </c>
    </row>
    <row r="237" spans="36:42">
      <c r="AJ237" s="12" t="str">
        <f ca="1">IFERROR(MATCH($B$114,OFFSET(#REF!,AJ236,0,1000000),0)+AJ236,"")</f>
        <v/>
      </c>
      <c r="AK237" s="17" t="str">
        <f ca="1">IFERROR(_xlfn.SINGLE(INDEX(#REF!,'Weekly Report'!AJ237)),"")</f>
        <v/>
      </c>
      <c r="AL237" s="12" t="str">
        <f ca="1">IFERROR(_xlfn.SINGLE(INDEX(#REF!,'Weekly Report'!AJ237)),"")</f>
        <v/>
      </c>
      <c r="AN237" s="12" t="str">
        <f ca="1">IFERROR(MATCH($G$115,OFFSET(#REF!,AN236,0,1000000),0)+AN236,"")</f>
        <v/>
      </c>
      <c r="AO237" s="17" t="str">
        <f ca="1">IFERROR(_xlfn.SINGLE(INDEX(#REF!,'Weekly Report'!AN237)),"")</f>
        <v/>
      </c>
      <c r="AP237" s="12" t="str">
        <f ca="1">IFERROR(_xlfn.SINGLE(INDEX(#REF!,'Weekly Report'!AN237)),"")</f>
        <v/>
      </c>
    </row>
    <row r="238" spans="36:42">
      <c r="AJ238" s="12" t="str">
        <f ca="1">IFERROR(MATCH($B$114,OFFSET(#REF!,AJ237,0,1000000),0)+AJ237,"")</f>
        <v/>
      </c>
      <c r="AK238" s="17" t="str">
        <f ca="1">IFERROR(_xlfn.SINGLE(INDEX(#REF!,'Weekly Report'!AJ238)),"")</f>
        <v/>
      </c>
      <c r="AL238" s="12" t="str">
        <f ca="1">IFERROR(_xlfn.SINGLE(INDEX(#REF!,'Weekly Report'!AJ238)),"")</f>
        <v/>
      </c>
      <c r="AN238" s="12" t="str">
        <f ca="1">IFERROR(MATCH($G$115,OFFSET(#REF!,AN237,0,1000000),0)+AN237,"")</f>
        <v/>
      </c>
      <c r="AO238" s="17" t="str">
        <f ca="1">IFERROR(_xlfn.SINGLE(INDEX(#REF!,'Weekly Report'!AN238)),"")</f>
        <v/>
      </c>
      <c r="AP238" s="12" t="str">
        <f ca="1">IFERROR(_xlfn.SINGLE(INDEX(#REF!,'Weekly Report'!AN238)),"")</f>
        <v/>
      </c>
    </row>
    <row r="239" spans="36:42">
      <c r="AJ239" s="12" t="str">
        <f ca="1">IFERROR(MATCH($B$114,OFFSET(#REF!,AJ238,0,1000000),0)+AJ238,"")</f>
        <v/>
      </c>
      <c r="AK239" s="17" t="str">
        <f ca="1">IFERROR(_xlfn.SINGLE(INDEX(#REF!,'Weekly Report'!AJ239)),"")</f>
        <v/>
      </c>
      <c r="AL239" s="12" t="str">
        <f ca="1">IFERROR(_xlfn.SINGLE(INDEX(#REF!,'Weekly Report'!AJ239)),"")</f>
        <v/>
      </c>
      <c r="AN239" s="12" t="str">
        <f ca="1">IFERROR(MATCH($G$115,OFFSET(#REF!,AN238,0,1000000),0)+AN238,"")</f>
        <v/>
      </c>
      <c r="AO239" s="17" t="str">
        <f ca="1">IFERROR(_xlfn.SINGLE(INDEX(#REF!,'Weekly Report'!AN239)),"")</f>
        <v/>
      </c>
      <c r="AP239" s="12" t="str">
        <f ca="1">IFERROR(_xlfn.SINGLE(INDEX(#REF!,'Weekly Report'!AN239)),"")</f>
        <v/>
      </c>
    </row>
    <row r="240" spans="36:42">
      <c r="AJ240" s="12" t="str">
        <f ca="1">IFERROR(MATCH($B$114,OFFSET(#REF!,AJ239,0,1000000),0)+AJ239,"")</f>
        <v/>
      </c>
      <c r="AK240" s="17" t="str">
        <f ca="1">IFERROR(_xlfn.SINGLE(INDEX(#REF!,'Weekly Report'!AJ240)),"")</f>
        <v/>
      </c>
      <c r="AL240" s="12" t="str">
        <f ca="1">IFERROR(_xlfn.SINGLE(INDEX(#REF!,'Weekly Report'!AJ240)),"")</f>
        <v/>
      </c>
      <c r="AN240" s="12" t="str">
        <f ca="1">IFERROR(MATCH($G$115,OFFSET(#REF!,AN239,0,1000000),0)+AN239,"")</f>
        <v/>
      </c>
      <c r="AO240" s="17" t="str">
        <f ca="1">IFERROR(_xlfn.SINGLE(INDEX(#REF!,'Weekly Report'!AN240)),"")</f>
        <v/>
      </c>
      <c r="AP240" s="12" t="str">
        <f ca="1">IFERROR(_xlfn.SINGLE(INDEX(#REF!,'Weekly Report'!AN240)),"")</f>
        <v/>
      </c>
    </row>
    <row r="241" spans="36:42">
      <c r="AJ241" s="12" t="str">
        <f ca="1">IFERROR(MATCH($B$114,OFFSET(#REF!,AJ240,0,1000000),0)+AJ240,"")</f>
        <v/>
      </c>
      <c r="AK241" s="17" t="str">
        <f ca="1">IFERROR(_xlfn.SINGLE(INDEX(#REF!,'Weekly Report'!AJ241)),"")</f>
        <v/>
      </c>
      <c r="AL241" s="12" t="str">
        <f ca="1">IFERROR(_xlfn.SINGLE(INDEX(#REF!,'Weekly Report'!AJ241)),"")</f>
        <v/>
      </c>
      <c r="AN241" s="12" t="str">
        <f ca="1">IFERROR(MATCH($G$115,OFFSET(#REF!,AN240,0,1000000),0)+AN240,"")</f>
        <v/>
      </c>
      <c r="AO241" s="17" t="str">
        <f ca="1">IFERROR(_xlfn.SINGLE(INDEX(#REF!,'Weekly Report'!AN241)),"")</f>
        <v/>
      </c>
      <c r="AP241" s="12" t="str">
        <f ca="1">IFERROR(_xlfn.SINGLE(INDEX(#REF!,'Weekly Report'!AN241)),"")</f>
        <v/>
      </c>
    </row>
    <row r="242" spans="36:42">
      <c r="AJ242" s="12" t="str">
        <f ca="1">IFERROR(MATCH($B$114,OFFSET(#REF!,AJ241,0,1000000),0)+AJ241,"")</f>
        <v/>
      </c>
      <c r="AK242" s="17" t="str">
        <f ca="1">IFERROR(_xlfn.SINGLE(INDEX(#REF!,'Weekly Report'!AJ242)),"")</f>
        <v/>
      </c>
      <c r="AL242" s="12" t="str">
        <f ca="1">IFERROR(_xlfn.SINGLE(INDEX(#REF!,'Weekly Report'!AJ242)),"")</f>
        <v/>
      </c>
      <c r="AN242" s="12" t="str">
        <f ca="1">IFERROR(MATCH($G$115,OFFSET(#REF!,AN241,0,1000000),0)+AN241,"")</f>
        <v/>
      </c>
      <c r="AO242" s="17" t="str">
        <f ca="1">IFERROR(_xlfn.SINGLE(INDEX(#REF!,'Weekly Report'!AN242)),"")</f>
        <v/>
      </c>
      <c r="AP242" s="12" t="str">
        <f ca="1">IFERROR(_xlfn.SINGLE(INDEX(#REF!,'Weekly Report'!AN242)),"")</f>
        <v/>
      </c>
    </row>
    <row r="243" spans="36:42">
      <c r="AJ243" s="12" t="str">
        <f ca="1">IFERROR(MATCH($B$114,OFFSET(#REF!,AJ242,0,1000000),0)+AJ242,"")</f>
        <v/>
      </c>
      <c r="AK243" s="17" t="str">
        <f ca="1">IFERROR(_xlfn.SINGLE(INDEX(#REF!,'Weekly Report'!AJ243)),"")</f>
        <v/>
      </c>
      <c r="AL243" s="12" t="str">
        <f ca="1">IFERROR(_xlfn.SINGLE(INDEX(#REF!,'Weekly Report'!AJ243)),"")</f>
        <v/>
      </c>
      <c r="AN243" s="12" t="str">
        <f ca="1">IFERROR(MATCH($G$115,OFFSET(#REF!,AN242,0,1000000),0)+AN242,"")</f>
        <v/>
      </c>
      <c r="AO243" s="17" t="str">
        <f ca="1">IFERROR(_xlfn.SINGLE(INDEX(#REF!,'Weekly Report'!AN243)),"")</f>
        <v/>
      </c>
      <c r="AP243" s="12" t="str">
        <f ca="1">IFERROR(_xlfn.SINGLE(INDEX(#REF!,'Weekly Report'!AN243)),"")</f>
        <v/>
      </c>
    </row>
    <row r="244" spans="36:42">
      <c r="AJ244" s="12" t="str">
        <f ca="1">IFERROR(MATCH($B$114,OFFSET(#REF!,AJ243,0,1000000),0)+AJ243,"")</f>
        <v/>
      </c>
      <c r="AK244" s="17" t="str">
        <f ca="1">IFERROR(_xlfn.SINGLE(INDEX(#REF!,'Weekly Report'!AJ244)),"")</f>
        <v/>
      </c>
      <c r="AL244" s="12" t="str">
        <f ca="1">IFERROR(_xlfn.SINGLE(INDEX(#REF!,'Weekly Report'!AJ244)),"")</f>
        <v/>
      </c>
      <c r="AN244" s="12" t="str">
        <f ca="1">IFERROR(MATCH($G$115,OFFSET(#REF!,AN243,0,1000000),0)+AN243,"")</f>
        <v/>
      </c>
      <c r="AO244" s="17" t="str">
        <f ca="1">IFERROR(_xlfn.SINGLE(INDEX(#REF!,'Weekly Report'!AN244)),"")</f>
        <v/>
      </c>
      <c r="AP244" s="12" t="str">
        <f ca="1">IFERROR(_xlfn.SINGLE(INDEX(#REF!,'Weekly Report'!AN244)),"")</f>
        <v/>
      </c>
    </row>
    <row r="245" spans="36:42">
      <c r="AJ245" s="12" t="str">
        <f ca="1">IFERROR(MATCH($B$114,OFFSET(#REF!,AJ244,0,1000000),0)+AJ244,"")</f>
        <v/>
      </c>
      <c r="AK245" s="17" t="str">
        <f ca="1">IFERROR(_xlfn.SINGLE(INDEX(#REF!,'Weekly Report'!AJ245)),"")</f>
        <v/>
      </c>
      <c r="AL245" s="12" t="str">
        <f ca="1">IFERROR(_xlfn.SINGLE(INDEX(#REF!,'Weekly Report'!AJ245)),"")</f>
        <v/>
      </c>
      <c r="AN245" s="12" t="str">
        <f ca="1">IFERROR(MATCH($G$115,OFFSET(#REF!,AN244,0,1000000),0)+AN244,"")</f>
        <v/>
      </c>
      <c r="AO245" s="17" t="str">
        <f ca="1">IFERROR(_xlfn.SINGLE(INDEX(#REF!,'Weekly Report'!AN245)),"")</f>
        <v/>
      </c>
      <c r="AP245" s="12" t="str">
        <f ca="1">IFERROR(_xlfn.SINGLE(INDEX(#REF!,'Weekly Report'!AN245)),"")</f>
        <v/>
      </c>
    </row>
    <row r="246" spans="36:42">
      <c r="AJ246" s="12" t="str">
        <f ca="1">IFERROR(MATCH($B$114,OFFSET(#REF!,AJ245,0,1000000),0)+AJ245,"")</f>
        <v/>
      </c>
      <c r="AK246" s="17" t="str">
        <f ca="1">IFERROR(_xlfn.SINGLE(INDEX(#REF!,'Weekly Report'!AJ246)),"")</f>
        <v/>
      </c>
      <c r="AL246" s="12" t="str">
        <f ca="1">IFERROR(_xlfn.SINGLE(INDEX(#REF!,'Weekly Report'!AJ246)),"")</f>
        <v/>
      </c>
      <c r="AN246" s="12" t="str">
        <f ca="1">IFERROR(MATCH($G$115,OFFSET(#REF!,AN245,0,1000000),0)+AN245,"")</f>
        <v/>
      </c>
      <c r="AO246" s="17" t="str">
        <f ca="1">IFERROR(_xlfn.SINGLE(INDEX(#REF!,'Weekly Report'!AN246)),"")</f>
        <v/>
      </c>
      <c r="AP246" s="12" t="str">
        <f ca="1">IFERROR(_xlfn.SINGLE(INDEX(#REF!,'Weekly Report'!AN246)),"")</f>
        <v/>
      </c>
    </row>
    <row r="247" spans="36:42">
      <c r="AJ247" s="12" t="str">
        <f ca="1">IFERROR(MATCH($B$114,OFFSET(#REF!,AJ246,0,1000000),0)+AJ246,"")</f>
        <v/>
      </c>
      <c r="AK247" s="17" t="str">
        <f ca="1">IFERROR(_xlfn.SINGLE(INDEX(#REF!,'Weekly Report'!AJ247)),"")</f>
        <v/>
      </c>
      <c r="AL247" s="12" t="str">
        <f ca="1">IFERROR(_xlfn.SINGLE(INDEX(#REF!,'Weekly Report'!AJ247)),"")</f>
        <v/>
      </c>
      <c r="AN247" s="12" t="str">
        <f ca="1">IFERROR(MATCH($G$115,OFFSET(#REF!,AN246,0,1000000),0)+AN246,"")</f>
        <v/>
      </c>
      <c r="AO247" s="17" t="str">
        <f ca="1">IFERROR(_xlfn.SINGLE(INDEX(#REF!,'Weekly Report'!AN247)),"")</f>
        <v/>
      </c>
      <c r="AP247" s="12" t="str">
        <f ca="1">IFERROR(_xlfn.SINGLE(INDEX(#REF!,'Weekly Report'!AN247)),"")</f>
        <v/>
      </c>
    </row>
    <row r="248" spans="36:42">
      <c r="AJ248" s="12" t="str">
        <f ca="1">IFERROR(MATCH($B$114,OFFSET(#REF!,AJ247,0,1000000),0)+AJ247,"")</f>
        <v/>
      </c>
      <c r="AK248" s="17" t="str">
        <f ca="1">IFERROR(_xlfn.SINGLE(INDEX(#REF!,'Weekly Report'!AJ248)),"")</f>
        <v/>
      </c>
      <c r="AL248" s="12" t="str">
        <f ca="1">IFERROR(_xlfn.SINGLE(INDEX(#REF!,'Weekly Report'!AJ248)),"")</f>
        <v/>
      </c>
      <c r="AN248" s="12" t="str">
        <f ca="1">IFERROR(MATCH($G$115,OFFSET(#REF!,AN247,0,1000000),0)+AN247,"")</f>
        <v/>
      </c>
      <c r="AO248" s="17" t="str">
        <f ca="1">IFERROR(_xlfn.SINGLE(INDEX(#REF!,'Weekly Report'!AN248)),"")</f>
        <v/>
      </c>
      <c r="AP248" s="12" t="str">
        <f ca="1">IFERROR(_xlfn.SINGLE(INDEX(#REF!,'Weekly Report'!AN248)),"")</f>
        <v/>
      </c>
    </row>
    <row r="249" spans="36:42">
      <c r="AJ249" s="12" t="str">
        <f ca="1">IFERROR(MATCH($B$114,OFFSET(#REF!,AJ248,0,1000000),0)+AJ248,"")</f>
        <v/>
      </c>
      <c r="AK249" s="17" t="str">
        <f ca="1">IFERROR(_xlfn.SINGLE(INDEX(#REF!,'Weekly Report'!AJ249)),"")</f>
        <v/>
      </c>
      <c r="AL249" s="12" t="str">
        <f ca="1">IFERROR(_xlfn.SINGLE(INDEX(#REF!,'Weekly Report'!AJ249)),"")</f>
        <v/>
      </c>
      <c r="AN249" s="12" t="str">
        <f ca="1">IFERROR(MATCH($G$115,OFFSET(#REF!,AN248,0,1000000),0)+AN248,"")</f>
        <v/>
      </c>
      <c r="AO249" s="17" t="str">
        <f ca="1">IFERROR(_xlfn.SINGLE(INDEX(#REF!,'Weekly Report'!AN249)),"")</f>
        <v/>
      </c>
      <c r="AP249" s="12" t="str">
        <f ca="1">IFERROR(_xlfn.SINGLE(INDEX(#REF!,'Weekly Report'!AN249)),"")</f>
        <v/>
      </c>
    </row>
    <row r="250" spans="36:42">
      <c r="AJ250" s="12" t="str">
        <f ca="1">IFERROR(MATCH($B$114,OFFSET(#REF!,AJ249,0,1000000),0)+AJ249,"")</f>
        <v/>
      </c>
      <c r="AK250" s="17" t="str">
        <f ca="1">IFERROR(_xlfn.SINGLE(INDEX(#REF!,'Weekly Report'!AJ250)),"")</f>
        <v/>
      </c>
      <c r="AL250" s="12" t="str">
        <f ca="1">IFERROR(_xlfn.SINGLE(INDEX(#REF!,'Weekly Report'!AJ250)),"")</f>
        <v/>
      </c>
      <c r="AN250" s="12" t="str">
        <f ca="1">IFERROR(MATCH($G$115,OFFSET(#REF!,AN249,0,1000000),0)+AN249,"")</f>
        <v/>
      </c>
      <c r="AO250" s="17" t="str">
        <f ca="1">IFERROR(_xlfn.SINGLE(INDEX(#REF!,'Weekly Report'!AN250)),"")</f>
        <v/>
      </c>
      <c r="AP250" s="12" t="str">
        <f ca="1">IFERROR(_xlfn.SINGLE(INDEX(#REF!,'Weekly Report'!AN250)),"")</f>
        <v/>
      </c>
    </row>
    <row r="251" spans="36:42">
      <c r="AJ251" s="12" t="str">
        <f ca="1">IFERROR(MATCH($B$114,OFFSET(#REF!,AJ250,0,1000000),0)+AJ250,"")</f>
        <v/>
      </c>
      <c r="AK251" s="17" t="str">
        <f ca="1">IFERROR(_xlfn.SINGLE(INDEX(#REF!,'Weekly Report'!AJ251)),"")</f>
        <v/>
      </c>
      <c r="AL251" s="12" t="str">
        <f ca="1">IFERROR(_xlfn.SINGLE(INDEX(#REF!,'Weekly Report'!AJ251)),"")</f>
        <v/>
      </c>
      <c r="AN251" s="12" t="str">
        <f ca="1">IFERROR(MATCH($G$115,OFFSET(#REF!,AN250,0,1000000),0)+AN250,"")</f>
        <v/>
      </c>
      <c r="AO251" s="17" t="str">
        <f ca="1">IFERROR(_xlfn.SINGLE(INDEX(#REF!,'Weekly Report'!AN251)),"")</f>
        <v/>
      </c>
      <c r="AP251" s="12" t="str">
        <f ca="1">IFERROR(_xlfn.SINGLE(INDEX(#REF!,'Weekly Report'!AN251)),"")</f>
        <v/>
      </c>
    </row>
    <row r="252" spans="36:42">
      <c r="AJ252" s="12" t="str">
        <f ca="1">IFERROR(MATCH($B$114,OFFSET(#REF!,AJ251,0,1000000),0)+AJ251,"")</f>
        <v/>
      </c>
      <c r="AK252" s="17" t="str">
        <f ca="1">IFERROR(_xlfn.SINGLE(INDEX(#REF!,'Weekly Report'!AJ252)),"")</f>
        <v/>
      </c>
      <c r="AL252" s="12" t="str">
        <f ca="1">IFERROR(_xlfn.SINGLE(INDEX(#REF!,'Weekly Report'!AJ252)),"")</f>
        <v/>
      </c>
      <c r="AN252" s="12" t="str">
        <f ca="1">IFERROR(MATCH($G$115,OFFSET(#REF!,AN251,0,1000000),0)+AN251,"")</f>
        <v/>
      </c>
      <c r="AO252" s="17" t="str">
        <f ca="1">IFERROR(_xlfn.SINGLE(INDEX(#REF!,'Weekly Report'!AN252)),"")</f>
        <v/>
      </c>
      <c r="AP252" s="12" t="str">
        <f ca="1">IFERROR(_xlfn.SINGLE(INDEX(#REF!,'Weekly Report'!AN252)),"")</f>
        <v/>
      </c>
    </row>
    <row r="253" spans="36:42">
      <c r="AJ253" s="12" t="str">
        <f ca="1">IFERROR(MATCH($B$114,OFFSET(#REF!,AJ252,0,1000000),0)+AJ252,"")</f>
        <v/>
      </c>
      <c r="AK253" s="17" t="str">
        <f ca="1">IFERROR(_xlfn.SINGLE(INDEX(#REF!,'Weekly Report'!AJ253)),"")</f>
        <v/>
      </c>
      <c r="AL253" s="12" t="str">
        <f ca="1">IFERROR(_xlfn.SINGLE(INDEX(#REF!,'Weekly Report'!AJ253)),"")</f>
        <v/>
      </c>
      <c r="AN253" s="12" t="str">
        <f ca="1">IFERROR(MATCH($G$115,OFFSET(#REF!,AN252,0,1000000),0)+AN252,"")</f>
        <v/>
      </c>
      <c r="AO253" s="17" t="str">
        <f ca="1">IFERROR(_xlfn.SINGLE(INDEX(#REF!,'Weekly Report'!AN253)),"")</f>
        <v/>
      </c>
      <c r="AP253" s="12" t="str">
        <f ca="1">IFERROR(_xlfn.SINGLE(INDEX(#REF!,'Weekly Report'!AN253)),"")</f>
        <v/>
      </c>
    </row>
    <row r="254" spans="36:42">
      <c r="AJ254" s="12" t="str">
        <f ca="1">IFERROR(MATCH($B$114,OFFSET(#REF!,AJ253,0,1000000),0)+AJ253,"")</f>
        <v/>
      </c>
      <c r="AK254" s="17" t="str">
        <f ca="1">IFERROR(_xlfn.SINGLE(INDEX(#REF!,'Weekly Report'!AJ254)),"")</f>
        <v/>
      </c>
      <c r="AL254" s="12" t="str">
        <f ca="1">IFERROR(_xlfn.SINGLE(INDEX(#REF!,'Weekly Report'!AJ254)),"")</f>
        <v/>
      </c>
      <c r="AN254" s="12" t="str">
        <f ca="1">IFERROR(MATCH($G$115,OFFSET(#REF!,AN253,0,1000000),0)+AN253,"")</f>
        <v/>
      </c>
      <c r="AO254" s="17" t="str">
        <f ca="1">IFERROR(_xlfn.SINGLE(INDEX(#REF!,'Weekly Report'!AN254)),"")</f>
        <v/>
      </c>
      <c r="AP254" s="12" t="str">
        <f ca="1">IFERROR(_xlfn.SINGLE(INDEX(#REF!,'Weekly Report'!AN254)),"")</f>
        <v/>
      </c>
    </row>
    <row r="255" spans="36:42">
      <c r="AJ255" s="12" t="str">
        <f ca="1">IFERROR(MATCH($B$114,OFFSET(#REF!,AJ254,0,1000000),0)+AJ254,"")</f>
        <v/>
      </c>
      <c r="AK255" s="17" t="str">
        <f ca="1">IFERROR(_xlfn.SINGLE(INDEX(#REF!,'Weekly Report'!AJ255)),"")</f>
        <v/>
      </c>
      <c r="AL255" s="12" t="str">
        <f ca="1">IFERROR(_xlfn.SINGLE(INDEX(#REF!,'Weekly Report'!AJ255)),"")</f>
        <v/>
      </c>
      <c r="AN255" s="12" t="str">
        <f ca="1">IFERROR(MATCH($G$115,OFFSET(#REF!,AN254,0,1000000),0)+AN254,"")</f>
        <v/>
      </c>
      <c r="AO255" s="17" t="str">
        <f ca="1">IFERROR(_xlfn.SINGLE(INDEX(#REF!,'Weekly Report'!AN255)),"")</f>
        <v/>
      </c>
      <c r="AP255" s="12" t="str">
        <f ca="1">IFERROR(_xlfn.SINGLE(INDEX(#REF!,'Weekly Report'!AN255)),"")</f>
        <v/>
      </c>
    </row>
    <row r="256" spans="36:42">
      <c r="AJ256" s="12" t="str">
        <f ca="1">IFERROR(MATCH($B$114,OFFSET(#REF!,AJ255,0,1000000),0)+AJ255,"")</f>
        <v/>
      </c>
      <c r="AK256" s="17" t="str">
        <f ca="1">IFERROR(_xlfn.SINGLE(INDEX(#REF!,'Weekly Report'!AJ256)),"")</f>
        <v/>
      </c>
      <c r="AL256" s="12" t="str">
        <f ca="1">IFERROR(_xlfn.SINGLE(INDEX(#REF!,'Weekly Report'!AJ256)),"")</f>
        <v/>
      </c>
      <c r="AN256" s="12" t="str">
        <f ca="1">IFERROR(MATCH($G$115,OFFSET(#REF!,AN255,0,1000000),0)+AN255,"")</f>
        <v/>
      </c>
      <c r="AO256" s="17" t="str">
        <f ca="1">IFERROR(_xlfn.SINGLE(INDEX(#REF!,'Weekly Report'!AN256)),"")</f>
        <v/>
      </c>
      <c r="AP256" s="12" t="str">
        <f ca="1">IFERROR(_xlfn.SINGLE(INDEX(#REF!,'Weekly Report'!AN256)),"")</f>
        <v/>
      </c>
    </row>
    <row r="257" spans="36:42">
      <c r="AJ257" s="12" t="str">
        <f ca="1">IFERROR(MATCH($B$114,OFFSET(#REF!,AJ256,0,1000000),0)+AJ256,"")</f>
        <v/>
      </c>
      <c r="AK257" s="17" t="str">
        <f ca="1">IFERROR(_xlfn.SINGLE(INDEX(#REF!,'Weekly Report'!AJ257)),"")</f>
        <v/>
      </c>
      <c r="AL257" s="12" t="str">
        <f ca="1">IFERROR(_xlfn.SINGLE(INDEX(#REF!,'Weekly Report'!AJ257)),"")</f>
        <v/>
      </c>
      <c r="AN257" s="12" t="str">
        <f ca="1">IFERROR(MATCH($G$115,OFFSET(#REF!,AN256,0,1000000),0)+AN256,"")</f>
        <v/>
      </c>
      <c r="AO257" s="17" t="str">
        <f ca="1">IFERROR(_xlfn.SINGLE(INDEX(#REF!,'Weekly Report'!AN257)),"")</f>
        <v/>
      </c>
      <c r="AP257" s="12" t="str">
        <f ca="1">IFERROR(_xlfn.SINGLE(INDEX(#REF!,'Weekly Report'!AN257)),"")</f>
        <v/>
      </c>
    </row>
    <row r="258" spans="36:42">
      <c r="AJ258" s="12" t="str">
        <f ca="1">IFERROR(MATCH($B$114,OFFSET(#REF!,AJ257,0,1000000),0)+AJ257,"")</f>
        <v/>
      </c>
      <c r="AK258" s="17" t="str">
        <f ca="1">IFERROR(_xlfn.SINGLE(INDEX(#REF!,'Weekly Report'!AJ258)),"")</f>
        <v/>
      </c>
      <c r="AL258" s="12" t="str">
        <f ca="1">IFERROR(_xlfn.SINGLE(INDEX(#REF!,'Weekly Report'!AJ258)),"")</f>
        <v/>
      </c>
      <c r="AN258" s="12" t="str">
        <f ca="1">IFERROR(MATCH($G$115,OFFSET(#REF!,AN257,0,1000000),0)+AN257,"")</f>
        <v/>
      </c>
      <c r="AO258" s="17" t="str">
        <f ca="1">IFERROR(_xlfn.SINGLE(INDEX(#REF!,'Weekly Report'!AN258)),"")</f>
        <v/>
      </c>
      <c r="AP258" s="12" t="str">
        <f ca="1">IFERROR(_xlfn.SINGLE(INDEX(#REF!,'Weekly Report'!AN258)),"")</f>
        <v/>
      </c>
    </row>
    <row r="259" spans="36:42">
      <c r="AJ259" s="12" t="str">
        <f ca="1">IFERROR(MATCH($B$114,OFFSET(#REF!,AJ258,0,1000000),0)+AJ258,"")</f>
        <v/>
      </c>
      <c r="AK259" s="17" t="str">
        <f ca="1">IFERROR(_xlfn.SINGLE(INDEX(#REF!,'Weekly Report'!AJ259)),"")</f>
        <v/>
      </c>
      <c r="AL259" s="12" t="str">
        <f ca="1">IFERROR(_xlfn.SINGLE(INDEX(#REF!,'Weekly Report'!AJ259)),"")</f>
        <v/>
      </c>
      <c r="AN259" s="12" t="str">
        <f ca="1">IFERROR(MATCH($G$115,OFFSET(#REF!,AN258,0,1000000),0)+AN258,"")</f>
        <v/>
      </c>
      <c r="AO259" s="17" t="str">
        <f ca="1">IFERROR(_xlfn.SINGLE(INDEX(#REF!,'Weekly Report'!AN259)),"")</f>
        <v/>
      </c>
      <c r="AP259" s="12" t="str">
        <f ca="1">IFERROR(_xlfn.SINGLE(INDEX(#REF!,'Weekly Report'!AN259)),"")</f>
        <v/>
      </c>
    </row>
    <row r="260" spans="36:42">
      <c r="AJ260" s="12" t="str">
        <f ca="1">IFERROR(MATCH($B$114,OFFSET(#REF!,AJ259,0,1000000),0)+AJ259,"")</f>
        <v/>
      </c>
      <c r="AK260" s="17" t="str">
        <f ca="1">IFERROR(_xlfn.SINGLE(INDEX(#REF!,'Weekly Report'!AJ260)),"")</f>
        <v/>
      </c>
      <c r="AL260" s="12" t="str">
        <f ca="1">IFERROR(_xlfn.SINGLE(INDEX(#REF!,'Weekly Report'!AJ260)),"")</f>
        <v/>
      </c>
      <c r="AN260" s="12" t="str">
        <f ca="1">IFERROR(MATCH($G$115,OFFSET(#REF!,AN259,0,1000000),0)+AN259,"")</f>
        <v/>
      </c>
      <c r="AO260" s="17" t="str">
        <f ca="1">IFERROR(_xlfn.SINGLE(INDEX(#REF!,'Weekly Report'!AN260)),"")</f>
        <v/>
      </c>
      <c r="AP260" s="12" t="str">
        <f ca="1">IFERROR(_xlfn.SINGLE(INDEX(#REF!,'Weekly Report'!AN260)),"")</f>
        <v/>
      </c>
    </row>
    <row r="261" spans="36:42">
      <c r="AJ261" s="12" t="str">
        <f ca="1">IFERROR(MATCH($B$114,OFFSET(#REF!,AJ260,0,1000000),0)+AJ260,"")</f>
        <v/>
      </c>
      <c r="AK261" s="17" t="str">
        <f ca="1">IFERROR(_xlfn.SINGLE(INDEX(#REF!,'Weekly Report'!AJ261)),"")</f>
        <v/>
      </c>
      <c r="AL261" s="12" t="str">
        <f ca="1">IFERROR(_xlfn.SINGLE(INDEX(#REF!,'Weekly Report'!AJ261)),"")</f>
        <v/>
      </c>
      <c r="AN261" s="12" t="str">
        <f ca="1">IFERROR(MATCH($G$115,OFFSET(#REF!,AN260,0,1000000),0)+AN260,"")</f>
        <v/>
      </c>
      <c r="AO261" s="17" t="str">
        <f ca="1">IFERROR(_xlfn.SINGLE(INDEX(#REF!,'Weekly Report'!AN261)),"")</f>
        <v/>
      </c>
      <c r="AP261" s="12" t="str">
        <f ca="1">IFERROR(_xlfn.SINGLE(INDEX(#REF!,'Weekly Report'!AN261)),"")</f>
        <v/>
      </c>
    </row>
    <row r="262" spans="36:42">
      <c r="AJ262" s="12" t="str">
        <f ca="1">IFERROR(MATCH($B$114,OFFSET(#REF!,AJ261,0,1000000),0)+AJ261,"")</f>
        <v/>
      </c>
      <c r="AK262" s="17" t="str">
        <f ca="1">IFERROR(_xlfn.SINGLE(INDEX(#REF!,'Weekly Report'!AJ262)),"")</f>
        <v/>
      </c>
      <c r="AL262" s="12" t="str">
        <f ca="1">IFERROR(_xlfn.SINGLE(INDEX(#REF!,'Weekly Report'!AJ262)),"")</f>
        <v/>
      </c>
      <c r="AN262" s="12" t="str">
        <f ca="1">IFERROR(MATCH($G$115,OFFSET(#REF!,AN261,0,1000000),0)+AN261,"")</f>
        <v/>
      </c>
      <c r="AO262" s="17" t="str">
        <f ca="1">IFERROR(_xlfn.SINGLE(INDEX(#REF!,'Weekly Report'!AN262)),"")</f>
        <v/>
      </c>
      <c r="AP262" s="12" t="str">
        <f ca="1">IFERROR(_xlfn.SINGLE(INDEX(#REF!,'Weekly Report'!AN262)),"")</f>
        <v/>
      </c>
    </row>
    <row r="263" spans="36:42">
      <c r="AJ263" s="12" t="str">
        <f ca="1">IFERROR(MATCH($B$114,OFFSET(#REF!,AJ262,0,1000000),0)+AJ262,"")</f>
        <v/>
      </c>
      <c r="AK263" s="17" t="str">
        <f ca="1">IFERROR(_xlfn.SINGLE(INDEX(#REF!,'Weekly Report'!AJ263)),"")</f>
        <v/>
      </c>
      <c r="AL263" s="12" t="str">
        <f ca="1">IFERROR(_xlfn.SINGLE(INDEX(#REF!,'Weekly Report'!AJ263)),"")</f>
        <v/>
      </c>
      <c r="AN263" s="12" t="str">
        <f ca="1">IFERROR(MATCH($G$115,OFFSET(#REF!,AN262,0,1000000),0)+AN262,"")</f>
        <v/>
      </c>
      <c r="AO263" s="17" t="str">
        <f ca="1">IFERROR(_xlfn.SINGLE(INDEX(#REF!,'Weekly Report'!AN263)),"")</f>
        <v/>
      </c>
      <c r="AP263" s="12" t="str">
        <f ca="1">IFERROR(_xlfn.SINGLE(INDEX(#REF!,'Weekly Report'!AN263)),"")</f>
        <v/>
      </c>
    </row>
    <row r="264" spans="36:42">
      <c r="AJ264" s="12" t="str">
        <f ca="1">IFERROR(MATCH($B$114,OFFSET(#REF!,AJ263,0,1000000),0)+AJ263,"")</f>
        <v/>
      </c>
      <c r="AK264" s="17" t="str">
        <f ca="1">IFERROR(_xlfn.SINGLE(INDEX(#REF!,'Weekly Report'!AJ264)),"")</f>
        <v/>
      </c>
      <c r="AL264" s="12" t="str">
        <f ca="1">IFERROR(_xlfn.SINGLE(INDEX(#REF!,'Weekly Report'!AJ264)),"")</f>
        <v/>
      </c>
      <c r="AN264" s="12" t="str">
        <f ca="1">IFERROR(MATCH($G$115,OFFSET(#REF!,AN263,0,1000000),0)+AN263,"")</f>
        <v/>
      </c>
      <c r="AO264" s="17" t="str">
        <f ca="1">IFERROR(_xlfn.SINGLE(INDEX(#REF!,'Weekly Report'!AN264)),"")</f>
        <v/>
      </c>
      <c r="AP264" s="12" t="str">
        <f ca="1">IFERROR(_xlfn.SINGLE(INDEX(#REF!,'Weekly Report'!AN264)),"")</f>
        <v/>
      </c>
    </row>
    <row r="265" spans="36:42">
      <c r="AJ265" s="12" t="str">
        <f ca="1">IFERROR(MATCH($B$114,OFFSET(#REF!,AJ264,0,1000000),0)+AJ264,"")</f>
        <v/>
      </c>
      <c r="AK265" s="17" t="str">
        <f ca="1">IFERROR(_xlfn.SINGLE(INDEX(#REF!,'Weekly Report'!AJ265)),"")</f>
        <v/>
      </c>
      <c r="AL265" s="12" t="str">
        <f ca="1">IFERROR(_xlfn.SINGLE(INDEX(#REF!,'Weekly Report'!AJ265)),"")</f>
        <v/>
      </c>
      <c r="AN265" s="12" t="str">
        <f ca="1">IFERROR(MATCH($G$115,OFFSET(#REF!,AN264,0,1000000),0)+AN264,"")</f>
        <v/>
      </c>
      <c r="AO265" s="17" t="str">
        <f ca="1">IFERROR(_xlfn.SINGLE(INDEX(#REF!,'Weekly Report'!AN265)),"")</f>
        <v/>
      </c>
      <c r="AP265" s="12" t="str">
        <f ca="1">IFERROR(_xlfn.SINGLE(INDEX(#REF!,'Weekly Report'!AN265)),"")</f>
        <v/>
      </c>
    </row>
    <row r="266" spans="36:42">
      <c r="AJ266" s="12" t="str">
        <f ca="1">IFERROR(MATCH($B$114,OFFSET(#REF!,AJ265,0,1000000),0)+AJ265,"")</f>
        <v/>
      </c>
      <c r="AK266" s="17" t="str">
        <f ca="1">IFERROR(_xlfn.SINGLE(INDEX(#REF!,'Weekly Report'!AJ266)),"")</f>
        <v/>
      </c>
      <c r="AL266" s="12" t="str">
        <f ca="1">IFERROR(_xlfn.SINGLE(INDEX(#REF!,'Weekly Report'!AJ266)),"")</f>
        <v/>
      </c>
      <c r="AN266" s="12" t="str">
        <f ca="1">IFERROR(MATCH($G$115,OFFSET(#REF!,AN265,0,1000000),0)+AN265,"")</f>
        <v/>
      </c>
      <c r="AO266" s="17" t="str">
        <f ca="1">IFERROR(_xlfn.SINGLE(INDEX(#REF!,'Weekly Report'!AN266)),"")</f>
        <v/>
      </c>
      <c r="AP266" s="12" t="str">
        <f ca="1">IFERROR(_xlfn.SINGLE(INDEX(#REF!,'Weekly Report'!AN266)),"")</f>
        <v/>
      </c>
    </row>
    <row r="267" spans="36:42">
      <c r="AJ267" s="12" t="str">
        <f ca="1">IFERROR(MATCH($B$114,OFFSET(#REF!,AJ266,0,1000000),0)+AJ266,"")</f>
        <v/>
      </c>
      <c r="AK267" s="17" t="str">
        <f ca="1">IFERROR(_xlfn.SINGLE(INDEX(#REF!,'Weekly Report'!AJ267)),"")</f>
        <v/>
      </c>
      <c r="AL267" s="12" t="str">
        <f ca="1">IFERROR(_xlfn.SINGLE(INDEX(#REF!,'Weekly Report'!AJ267)),"")</f>
        <v/>
      </c>
      <c r="AN267" s="12" t="str">
        <f ca="1">IFERROR(MATCH($G$115,OFFSET(#REF!,AN266,0,1000000),0)+AN266,"")</f>
        <v/>
      </c>
      <c r="AO267" s="17" t="str">
        <f ca="1">IFERROR(_xlfn.SINGLE(INDEX(#REF!,'Weekly Report'!AN267)),"")</f>
        <v/>
      </c>
      <c r="AP267" s="12" t="str">
        <f ca="1">IFERROR(_xlfn.SINGLE(INDEX(#REF!,'Weekly Report'!AN267)),"")</f>
        <v/>
      </c>
    </row>
    <row r="268" spans="36:42">
      <c r="AJ268" s="12" t="str">
        <f ca="1">IFERROR(MATCH($B$114,OFFSET(#REF!,AJ267,0,1000000),0)+AJ267,"")</f>
        <v/>
      </c>
      <c r="AK268" s="17" t="str">
        <f ca="1">IFERROR(_xlfn.SINGLE(INDEX(#REF!,'Weekly Report'!AJ268)),"")</f>
        <v/>
      </c>
      <c r="AL268" s="12" t="str">
        <f ca="1">IFERROR(_xlfn.SINGLE(INDEX(#REF!,'Weekly Report'!AJ268)),"")</f>
        <v/>
      </c>
      <c r="AN268" s="12" t="str">
        <f ca="1">IFERROR(MATCH($G$115,OFFSET(#REF!,AN267,0,1000000),0)+AN267,"")</f>
        <v/>
      </c>
      <c r="AO268" s="17" t="str">
        <f ca="1">IFERROR(_xlfn.SINGLE(INDEX(#REF!,'Weekly Report'!AN268)),"")</f>
        <v/>
      </c>
      <c r="AP268" s="12" t="str">
        <f ca="1">IFERROR(_xlfn.SINGLE(INDEX(#REF!,'Weekly Report'!AN268)),"")</f>
        <v/>
      </c>
    </row>
    <row r="269" spans="36:42">
      <c r="AJ269" s="12" t="str">
        <f ca="1">IFERROR(MATCH($B$114,OFFSET(#REF!,AJ268,0,1000000),0)+AJ268,"")</f>
        <v/>
      </c>
      <c r="AK269" s="17" t="str">
        <f ca="1">IFERROR(_xlfn.SINGLE(INDEX(#REF!,'Weekly Report'!AJ269)),"")</f>
        <v/>
      </c>
      <c r="AL269" s="12" t="str">
        <f ca="1">IFERROR(_xlfn.SINGLE(INDEX(#REF!,'Weekly Report'!AJ269)),"")</f>
        <v/>
      </c>
      <c r="AN269" s="12" t="str">
        <f ca="1">IFERROR(MATCH($G$115,OFFSET(#REF!,AN268,0,1000000),0)+AN268,"")</f>
        <v/>
      </c>
      <c r="AO269" s="17" t="str">
        <f ca="1">IFERROR(_xlfn.SINGLE(INDEX(#REF!,'Weekly Report'!AN269)),"")</f>
        <v/>
      </c>
      <c r="AP269" s="12" t="str">
        <f ca="1">IFERROR(_xlfn.SINGLE(INDEX(#REF!,'Weekly Report'!AN269)),"")</f>
        <v/>
      </c>
    </row>
    <row r="270" spans="36:42">
      <c r="AJ270" s="12" t="str">
        <f ca="1">IFERROR(MATCH($B$114,OFFSET(#REF!,AJ269,0,1000000),0)+AJ269,"")</f>
        <v/>
      </c>
      <c r="AK270" s="17" t="str">
        <f ca="1">IFERROR(_xlfn.SINGLE(INDEX(#REF!,'Weekly Report'!AJ270)),"")</f>
        <v/>
      </c>
      <c r="AL270" s="12" t="str">
        <f ca="1">IFERROR(_xlfn.SINGLE(INDEX(#REF!,'Weekly Report'!AJ270)),"")</f>
        <v/>
      </c>
      <c r="AN270" s="12" t="str">
        <f ca="1">IFERROR(MATCH($G$115,OFFSET(#REF!,AN269,0,1000000),0)+AN269,"")</f>
        <v/>
      </c>
      <c r="AO270" s="17" t="str">
        <f ca="1">IFERROR(_xlfn.SINGLE(INDEX(#REF!,'Weekly Report'!AN270)),"")</f>
        <v/>
      </c>
      <c r="AP270" s="12" t="str">
        <f ca="1">IFERROR(_xlfn.SINGLE(INDEX(#REF!,'Weekly Report'!AN270)),"")</f>
        <v/>
      </c>
    </row>
    <row r="271" spans="36:42">
      <c r="AJ271" s="12" t="str">
        <f ca="1">IFERROR(MATCH($B$114,OFFSET(#REF!,AJ270,0,1000000),0)+AJ270,"")</f>
        <v/>
      </c>
      <c r="AK271" s="17" t="str">
        <f ca="1">IFERROR(_xlfn.SINGLE(INDEX(#REF!,'Weekly Report'!AJ271)),"")</f>
        <v/>
      </c>
      <c r="AL271" s="12" t="str">
        <f ca="1">IFERROR(_xlfn.SINGLE(INDEX(#REF!,'Weekly Report'!AJ271)),"")</f>
        <v/>
      </c>
      <c r="AN271" s="12" t="str">
        <f ca="1">IFERROR(MATCH($G$115,OFFSET(#REF!,AN270,0,1000000),0)+AN270,"")</f>
        <v/>
      </c>
      <c r="AO271" s="17" t="str">
        <f ca="1">IFERROR(_xlfn.SINGLE(INDEX(#REF!,'Weekly Report'!AN271)),"")</f>
        <v/>
      </c>
      <c r="AP271" s="12" t="str">
        <f ca="1">IFERROR(_xlfn.SINGLE(INDEX(#REF!,'Weekly Report'!AN271)),"")</f>
        <v/>
      </c>
    </row>
    <row r="272" spans="36:42">
      <c r="AJ272" s="12" t="str">
        <f ca="1">IFERROR(MATCH($B$114,OFFSET(#REF!,AJ271,0,1000000),0)+AJ271,"")</f>
        <v/>
      </c>
      <c r="AK272" s="17" t="str">
        <f ca="1">IFERROR(_xlfn.SINGLE(INDEX(#REF!,'Weekly Report'!AJ272)),"")</f>
        <v/>
      </c>
      <c r="AL272" s="12" t="str">
        <f ca="1">IFERROR(_xlfn.SINGLE(INDEX(#REF!,'Weekly Report'!AJ272)),"")</f>
        <v/>
      </c>
      <c r="AN272" s="12" t="str">
        <f ca="1">IFERROR(MATCH($G$115,OFFSET(#REF!,AN271,0,1000000),0)+AN271,"")</f>
        <v/>
      </c>
      <c r="AO272" s="17" t="str">
        <f ca="1">IFERROR(_xlfn.SINGLE(INDEX(#REF!,'Weekly Report'!AN272)),"")</f>
        <v/>
      </c>
      <c r="AP272" s="12" t="str">
        <f ca="1">IFERROR(_xlfn.SINGLE(INDEX(#REF!,'Weekly Report'!AN272)),"")</f>
        <v/>
      </c>
    </row>
    <row r="273" spans="36:42">
      <c r="AJ273" s="12" t="str">
        <f ca="1">IFERROR(MATCH($B$114,OFFSET(#REF!,AJ272,0,1000000),0)+AJ272,"")</f>
        <v/>
      </c>
      <c r="AK273" s="17" t="str">
        <f ca="1">IFERROR(_xlfn.SINGLE(INDEX(#REF!,'Weekly Report'!AJ273)),"")</f>
        <v/>
      </c>
      <c r="AL273" s="12" t="str">
        <f ca="1">IFERROR(_xlfn.SINGLE(INDEX(#REF!,'Weekly Report'!AJ273)),"")</f>
        <v/>
      </c>
      <c r="AN273" s="12" t="str">
        <f ca="1">IFERROR(MATCH($G$115,OFFSET(#REF!,AN272,0,1000000),0)+AN272,"")</f>
        <v/>
      </c>
      <c r="AO273" s="17" t="str">
        <f ca="1">IFERROR(_xlfn.SINGLE(INDEX(#REF!,'Weekly Report'!AN273)),"")</f>
        <v/>
      </c>
      <c r="AP273" s="12" t="str">
        <f ca="1">IFERROR(_xlfn.SINGLE(INDEX(#REF!,'Weekly Report'!AN273)),"")</f>
        <v/>
      </c>
    </row>
    <row r="274" spans="36:42">
      <c r="AJ274" s="12" t="str">
        <f ca="1">IFERROR(MATCH($B$114,OFFSET(#REF!,AJ273,0,1000000),0)+AJ273,"")</f>
        <v/>
      </c>
      <c r="AK274" s="17" t="str">
        <f ca="1">IFERROR(_xlfn.SINGLE(INDEX(#REF!,'Weekly Report'!AJ274)),"")</f>
        <v/>
      </c>
      <c r="AL274" s="12" t="str">
        <f ca="1">IFERROR(_xlfn.SINGLE(INDEX(#REF!,'Weekly Report'!AJ274)),"")</f>
        <v/>
      </c>
      <c r="AN274" s="12" t="str">
        <f ca="1">IFERROR(MATCH($G$115,OFFSET(#REF!,AN273,0,1000000),0)+AN273,"")</f>
        <v/>
      </c>
      <c r="AO274" s="17" t="str">
        <f ca="1">IFERROR(_xlfn.SINGLE(INDEX(#REF!,'Weekly Report'!AN274)),"")</f>
        <v/>
      </c>
      <c r="AP274" s="12" t="str">
        <f ca="1">IFERROR(_xlfn.SINGLE(INDEX(#REF!,'Weekly Report'!AN274)),"")</f>
        <v/>
      </c>
    </row>
    <row r="275" spans="36:42">
      <c r="AJ275" s="12" t="str">
        <f ca="1">IFERROR(MATCH($B$114,OFFSET(#REF!,AJ274,0,1000000),0)+AJ274,"")</f>
        <v/>
      </c>
      <c r="AK275" s="17" t="str">
        <f ca="1">IFERROR(_xlfn.SINGLE(INDEX(#REF!,'Weekly Report'!AJ275)),"")</f>
        <v/>
      </c>
      <c r="AL275" s="12" t="str">
        <f ca="1">IFERROR(_xlfn.SINGLE(INDEX(#REF!,'Weekly Report'!AJ275)),"")</f>
        <v/>
      </c>
      <c r="AN275" s="12" t="str">
        <f ca="1">IFERROR(MATCH($G$115,OFFSET(#REF!,AN274,0,1000000),0)+AN274,"")</f>
        <v/>
      </c>
      <c r="AO275" s="17" t="str">
        <f ca="1">IFERROR(_xlfn.SINGLE(INDEX(#REF!,'Weekly Report'!AN275)),"")</f>
        <v/>
      </c>
      <c r="AP275" s="12" t="str">
        <f ca="1">IFERROR(_xlfn.SINGLE(INDEX(#REF!,'Weekly Report'!AN275)),"")</f>
        <v/>
      </c>
    </row>
    <row r="276" spans="36:42">
      <c r="AJ276" s="12" t="str">
        <f ca="1">IFERROR(MATCH($B$114,OFFSET(#REF!,AJ275,0,1000000),0)+AJ275,"")</f>
        <v/>
      </c>
      <c r="AK276" s="17" t="str">
        <f ca="1">IFERROR(_xlfn.SINGLE(INDEX(#REF!,'Weekly Report'!AJ276)),"")</f>
        <v/>
      </c>
      <c r="AL276" s="12" t="str">
        <f ca="1">IFERROR(_xlfn.SINGLE(INDEX(#REF!,'Weekly Report'!AJ276)),"")</f>
        <v/>
      </c>
      <c r="AN276" s="12" t="str">
        <f ca="1">IFERROR(MATCH($G$115,OFFSET(#REF!,AN275,0,1000000),0)+AN275,"")</f>
        <v/>
      </c>
      <c r="AO276" s="17" t="str">
        <f ca="1">IFERROR(_xlfn.SINGLE(INDEX(#REF!,'Weekly Report'!AN276)),"")</f>
        <v/>
      </c>
      <c r="AP276" s="12" t="str">
        <f ca="1">IFERROR(_xlfn.SINGLE(INDEX(#REF!,'Weekly Report'!AN276)),"")</f>
        <v/>
      </c>
    </row>
    <row r="277" spans="36:42">
      <c r="AJ277" s="12" t="str">
        <f ca="1">IFERROR(MATCH($B$114,OFFSET(#REF!,AJ276,0,1000000),0)+AJ276,"")</f>
        <v/>
      </c>
      <c r="AK277" s="17" t="str">
        <f ca="1">IFERROR(_xlfn.SINGLE(INDEX(#REF!,'Weekly Report'!AJ277)),"")</f>
        <v/>
      </c>
      <c r="AL277" s="12" t="str">
        <f ca="1">IFERROR(_xlfn.SINGLE(INDEX(#REF!,'Weekly Report'!AJ277)),"")</f>
        <v/>
      </c>
      <c r="AN277" s="12" t="str">
        <f ca="1">IFERROR(MATCH($G$115,OFFSET(#REF!,AN276,0,1000000),0)+AN276,"")</f>
        <v/>
      </c>
      <c r="AO277" s="17" t="str">
        <f ca="1">IFERROR(_xlfn.SINGLE(INDEX(#REF!,'Weekly Report'!AN277)),"")</f>
        <v/>
      </c>
      <c r="AP277" s="12" t="str">
        <f ca="1">IFERROR(_xlfn.SINGLE(INDEX(#REF!,'Weekly Report'!AN277)),"")</f>
        <v/>
      </c>
    </row>
    <row r="278" spans="36:42">
      <c r="AJ278" s="12" t="str">
        <f ca="1">IFERROR(MATCH($B$114,OFFSET(#REF!,AJ277,0,1000000),0)+AJ277,"")</f>
        <v/>
      </c>
      <c r="AK278" s="17" t="str">
        <f ca="1">IFERROR(_xlfn.SINGLE(INDEX(#REF!,'Weekly Report'!AJ278)),"")</f>
        <v/>
      </c>
      <c r="AL278" s="12" t="str">
        <f ca="1">IFERROR(_xlfn.SINGLE(INDEX(#REF!,'Weekly Report'!AJ278)),"")</f>
        <v/>
      </c>
      <c r="AN278" s="12" t="str">
        <f ca="1">IFERROR(MATCH($G$115,OFFSET(#REF!,AN277,0,1000000),0)+AN277,"")</f>
        <v/>
      </c>
      <c r="AO278" s="17" t="str">
        <f ca="1">IFERROR(_xlfn.SINGLE(INDEX(#REF!,'Weekly Report'!AN278)),"")</f>
        <v/>
      </c>
      <c r="AP278" s="12" t="str">
        <f ca="1">IFERROR(_xlfn.SINGLE(INDEX(#REF!,'Weekly Report'!AN278)),"")</f>
        <v/>
      </c>
    </row>
    <row r="279" spans="36:42">
      <c r="AJ279" s="12" t="str">
        <f ca="1">IFERROR(MATCH($B$114,OFFSET(#REF!,AJ278,0,1000000),0)+AJ278,"")</f>
        <v/>
      </c>
      <c r="AK279" s="17" t="str">
        <f ca="1">IFERROR(_xlfn.SINGLE(INDEX(#REF!,'Weekly Report'!AJ279)),"")</f>
        <v/>
      </c>
      <c r="AL279" s="12" t="str">
        <f ca="1">IFERROR(_xlfn.SINGLE(INDEX(#REF!,'Weekly Report'!AJ279)),"")</f>
        <v/>
      </c>
      <c r="AN279" s="12" t="str">
        <f ca="1">IFERROR(MATCH($G$115,OFFSET(#REF!,AN278,0,1000000),0)+AN278,"")</f>
        <v/>
      </c>
      <c r="AO279" s="17" t="str">
        <f ca="1">IFERROR(_xlfn.SINGLE(INDEX(#REF!,'Weekly Report'!AN279)),"")</f>
        <v/>
      </c>
      <c r="AP279" s="12" t="str">
        <f ca="1">IFERROR(_xlfn.SINGLE(INDEX(#REF!,'Weekly Report'!AN279)),"")</f>
        <v/>
      </c>
    </row>
    <row r="280" spans="36:42">
      <c r="AJ280" s="12" t="str">
        <f ca="1">IFERROR(MATCH($B$114,OFFSET(#REF!,AJ279,0,1000000),0)+AJ279,"")</f>
        <v/>
      </c>
      <c r="AK280" s="17" t="str">
        <f ca="1">IFERROR(_xlfn.SINGLE(INDEX(#REF!,'Weekly Report'!AJ280)),"")</f>
        <v/>
      </c>
      <c r="AL280" s="12" t="str">
        <f ca="1">IFERROR(_xlfn.SINGLE(INDEX(#REF!,'Weekly Report'!AJ280)),"")</f>
        <v/>
      </c>
      <c r="AN280" s="12" t="str">
        <f ca="1">IFERROR(MATCH($G$115,OFFSET(#REF!,AN279,0,1000000),0)+AN279,"")</f>
        <v/>
      </c>
      <c r="AO280" s="17" t="str">
        <f ca="1">IFERROR(_xlfn.SINGLE(INDEX(#REF!,'Weekly Report'!AN280)),"")</f>
        <v/>
      </c>
      <c r="AP280" s="12" t="str">
        <f ca="1">IFERROR(_xlfn.SINGLE(INDEX(#REF!,'Weekly Report'!AN280)),"")</f>
        <v/>
      </c>
    </row>
    <row r="281" spans="36:42">
      <c r="AJ281" s="12" t="str">
        <f ca="1">IFERROR(MATCH($B$114,OFFSET(#REF!,AJ280,0,1000000),0)+AJ280,"")</f>
        <v/>
      </c>
      <c r="AK281" s="17" t="str">
        <f ca="1">IFERROR(_xlfn.SINGLE(INDEX(#REF!,'Weekly Report'!AJ281)),"")</f>
        <v/>
      </c>
      <c r="AL281" s="12" t="str">
        <f ca="1">IFERROR(_xlfn.SINGLE(INDEX(#REF!,'Weekly Report'!AJ281)),"")</f>
        <v/>
      </c>
      <c r="AN281" s="12" t="str">
        <f ca="1">IFERROR(MATCH($G$115,OFFSET(#REF!,AN280,0,1000000),0)+AN280,"")</f>
        <v/>
      </c>
      <c r="AO281" s="17" t="str">
        <f ca="1">IFERROR(_xlfn.SINGLE(INDEX(#REF!,'Weekly Report'!AN281)),"")</f>
        <v/>
      </c>
      <c r="AP281" s="12" t="str">
        <f ca="1">IFERROR(_xlfn.SINGLE(INDEX(#REF!,'Weekly Report'!AN281)),"")</f>
        <v/>
      </c>
    </row>
    <row r="282" spans="36:42">
      <c r="AJ282" s="12" t="str">
        <f ca="1">IFERROR(MATCH($B$114,OFFSET(#REF!,AJ281,0,1000000),0)+AJ281,"")</f>
        <v/>
      </c>
      <c r="AK282" s="17" t="str">
        <f ca="1">IFERROR(_xlfn.SINGLE(INDEX(#REF!,'Weekly Report'!AJ282)),"")</f>
        <v/>
      </c>
      <c r="AL282" s="12" t="str">
        <f ca="1">IFERROR(_xlfn.SINGLE(INDEX(#REF!,'Weekly Report'!AJ282)),"")</f>
        <v/>
      </c>
      <c r="AN282" s="12" t="str">
        <f ca="1">IFERROR(MATCH($G$115,OFFSET(#REF!,AN281,0,1000000),0)+AN281,"")</f>
        <v/>
      </c>
      <c r="AO282" s="17" t="str">
        <f ca="1">IFERROR(_xlfn.SINGLE(INDEX(#REF!,'Weekly Report'!AN282)),"")</f>
        <v/>
      </c>
      <c r="AP282" s="12" t="str">
        <f ca="1">IFERROR(_xlfn.SINGLE(INDEX(#REF!,'Weekly Report'!AN282)),"")</f>
        <v/>
      </c>
    </row>
    <row r="283" spans="36:42">
      <c r="AJ283" s="12" t="str">
        <f ca="1">IFERROR(MATCH($B$114,OFFSET(#REF!,AJ282,0,1000000),0)+AJ282,"")</f>
        <v/>
      </c>
      <c r="AK283" s="17" t="str">
        <f ca="1">IFERROR(_xlfn.SINGLE(INDEX(#REF!,'Weekly Report'!AJ283)),"")</f>
        <v/>
      </c>
      <c r="AL283" s="12" t="str">
        <f ca="1">IFERROR(_xlfn.SINGLE(INDEX(#REF!,'Weekly Report'!AJ283)),"")</f>
        <v/>
      </c>
      <c r="AN283" s="12" t="str">
        <f ca="1">IFERROR(MATCH($G$115,OFFSET(#REF!,AN282,0,1000000),0)+AN282,"")</f>
        <v/>
      </c>
      <c r="AO283" s="17" t="str">
        <f ca="1">IFERROR(_xlfn.SINGLE(INDEX(#REF!,'Weekly Report'!AN283)),"")</f>
        <v/>
      </c>
      <c r="AP283" s="12" t="str">
        <f ca="1">IFERROR(_xlfn.SINGLE(INDEX(#REF!,'Weekly Report'!AN283)),"")</f>
        <v/>
      </c>
    </row>
    <row r="284" spans="36:42">
      <c r="AJ284" s="12" t="str">
        <f ca="1">IFERROR(MATCH($B$114,OFFSET(#REF!,AJ283,0,1000000),0)+AJ283,"")</f>
        <v/>
      </c>
      <c r="AK284" s="17" t="str">
        <f ca="1">IFERROR(_xlfn.SINGLE(INDEX(#REF!,'Weekly Report'!AJ284)),"")</f>
        <v/>
      </c>
      <c r="AL284" s="12" t="str">
        <f ca="1">IFERROR(_xlfn.SINGLE(INDEX(#REF!,'Weekly Report'!AJ284)),"")</f>
        <v/>
      </c>
      <c r="AN284" s="12" t="str">
        <f ca="1">IFERROR(MATCH($G$115,OFFSET(#REF!,AN283,0,1000000),0)+AN283,"")</f>
        <v/>
      </c>
      <c r="AO284" s="17" t="str">
        <f ca="1">IFERROR(_xlfn.SINGLE(INDEX(#REF!,'Weekly Report'!AN284)),"")</f>
        <v/>
      </c>
      <c r="AP284" s="12" t="str">
        <f ca="1">IFERROR(_xlfn.SINGLE(INDEX(#REF!,'Weekly Report'!AN284)),"")</f>
        <v/>
      </c>
    </row>
    <row r="285" spans="36:42">
      <c r="AJ285" s="12" t="str">
        <f ca="1">IFERROR(MATCH($B$114,OFFSET(#REF!,AJ284,0,1000000),0)+AJ284,"")</f>
        <v/>
      </c>
      <c r="AK285" s="17" t="str">
        <f ca="1">IFERROR(_xlfn.SINGLE(INDEX(#REF!,'Weekly Report'!AJ285)),"")</f>
        <v/>
      </c>
      <c r="AL285" s="12" t="str">
        <f ca="1">IFERROR(_xlfn.SINGLE(INDEX(#REF!,'Weekly Report'!AJ285)),"")</f>
        <v/>
      </c>
      <c r="AN285" s="12" t="str">
        <f ca="1">IFERROR(MATCH($G$115,OFFSET(#REF!,AN284,0,1000000),0)+AN284,"")</f>
        <v/>
      </c>
      <c r="AO285" s="17" t="str">
        <f ca="1">IFERROR(_xlfn.SINGLE(INDEX(#REF!,'Weekly Report'!AN285)),"")</f>
        <v/>
      </c>
      <c r="AP285" s="12" t="str">
        <f ca="1">IFERROR(_xlfn.SINGLE(INDEX(#REF!,'Weekly Report'!AN285)),"")</f>
        <v/>
      </c>
    </row>
    <row r="286" spans="36:42">
      <c r="AJ286" s="12" t="str">
        <f ca="1">IFERROR(MATCH($B$114,OFFSET(#REF!,AJ285,0,1000000),0)+AJ285,"")</f>
        <v/>
      </c>
      <c r="AK286" s="17" t="str">
        <f ca="1">IFERROR(_xlfn.SINGLE(INDEX(#REF!,'Weekly Report'!AJ286)),"")</f>
        <v/>
      </c>
      <c r="AL286" s="12" t="str">
        <f ca="1">IFERROR(_xlfn.SINGLE(INDEX(#REF!,'Weekly Report'!AJ286)),"")</f>
        <v/>
      </c>
      <c r="AN286" s="12" t="str">
        <f ca="1">IFERROR(MATCH($G$115,OFFSET(#REF!,AN285,0,1000000),0)+AN285,"")</f>
        <v/>
      </c>
      <c r="AO286" s="17" t="str">
        <f ca="1">IFERROR(_xlfn.SINGLE(INDEX(#REF!,'Weekly Report'!AN286)),"")</f>
        <v/>
      </c>
      <c r="AP286" s="12" t="str">
        <f ca="1">IFERROR(_xlfn.SINGLE(INDEX(#REF!,'Weekly Report'!AN286)),"")</f>
        <v/>
      </c>
    </row>
    <row r="287" spans="36:42">
      <c r="AJ287" s="12" t="str">
        <f ca="1">IFERROR(MATCH($B$114,OFFSET(#REF!,AJ286,0,1000000),0)+AJ286,"")</f>
        <v/>
      </c>
      <c r="AK287" s="17" t="str">
        <f ca="1">IFERROR(_xlfn.SINGLE(INDEX(#REF!,'Weekly Report'!AJ287)),"")</f>
        <v/>
      </c>
      <c r="AL287" s="12" t="str">
        <f ca="1">IFERROR(_xlfn.SINGLE(INDEX(#REF!,'Weekly Report'!AJ287)),"")</f>
        <v/>
      </c>
      <c r="AN287" s="12" t="str">
        <f ca="1">IFERROR(MATCH($G$115,OFFSET(#REF!,AN286,0,1000000),0)+AN286,"")</f>
        <v/>
      </c>
      <c r="AO287" s="17" t="str">
        <f ca="1">IFERROR(_xlfn.SINGLE(INDEX(#REF!,'Weekly Report'!AN287)),"")</f>
        <v/>
      </c>
      <c r="AP287" s="12" t="str">
        <f ca="1">IFERROR(_xlfn.SINGLE(INDEX(#REF!,'Weekly Report'!AN287)),"")</f>
        <v/>
      </c>
    </row>
    <row r="288" spans="36:42">
      <c r="AJ288" s="12" t="str">
        <f ca="1">IFERROR(MATCH($B$114,OFFSET(#REF!,AJ287,0,1000000),0)+AJ287,"")</f>
        <v/>
      </c>
      <c r="AK288" s="17" t="str">
        <f ca="1">IFERROR(_xlfn.SINGLE(INDEX(#REF!,'Weekly Report'!AJ288)),"")</f>
        <v/>
      </c>
      <c r="AL288" s="12" t="str">
        <f ca="1">IFERROR(_xlfn.SINGLE(INDEX(#REF!,'Weekly Report'!AJ288)),"")</f>
        <v/>
      </c>
      <c r="AN288" s="12" t="str">
        <f ca="1">IFERROR(MATCH($G$115,OFFSET(#REF!,AN287,0,1000000),0)+AN287,"")</f>
        <v/>
      </c>
      <c r="AO288" s="17" t="str">
        <f ca="1">IFERROR(_xlfn.SINGLE(INDEX(#REF!,'Weekly Report'!AN288)),"")</f>
        <v/>
      </c>
      <c r="AP288" s="12" t="str">
        <f ca="1">IFERROR(_xlfn.SINGLE(INDEX(#REF!,'Weekly Report'!AN288)),"")</f>
        <v/>
      </c>
    </row>
    <row r="289" spans="36:42">
      <c r="AJ289" s="12" t="str">
        <f ca="1">IFERROR(MATCH($B$114,OFFSET(#REF!,AJ288,0,1000000),0)+AJ288,"")</f>
        <v/>
      </c>
      <c r="AK289" s="17" t="str">
        <f ca="1">IFERROR(_xlfn.SINGLE(INDEX(#REF!,'Weekly Report'!AJ289)),"")</f>
        <v/>
      </c>
      <c r="AL289" s="12" t="str">
        <f ca="1">IFERROR(_xlfn.SINGLE(INDEX(#REF!,'Weekly Report'!AJ289)),"")</f>
        <v/>
      </c>
      <c r="AN289" s="12" t="str">
        <f ca="1">IFERROR(MATCH($G$115,OFFSET(#REF!,AN288,0,1000000),0)+AN288,"")</f>
        <v/>
      </c>
      <c r="AO289" s="17" t="str">
        <f ca="1">IFERROR(_xlfn.SINGLE(INDEX(#REF!,'Weekly Report'!AN289)),"")</f>
        <v/>
      </c>
      <c r="AP289" s="12" t="str">
        <f ca="1">IFERROR(_xlfn.SINGLE(INDEX(#REF!,'Weekly Report'!AN289)),"")</f>
        <v/>
      </c>
    </row>
    <row r="290" spans="36:42">
      <c r="AJ290" s="12" t="str">
        <f ca="1">IFERROR(MATCH($B$114,OFFSET(#REF!,AJ289,0,1000000),0)+AJ289,"")</f>
        <v/>
      </c>
      <c r="AK290" s="17" t="str">
        <f ca="1">IFERROR(_xlfn.SINGLE(INDEX(#REF!,'Weekly Report'!AJ290)),"")</f>
        <v/>
      </c>
      <c r="AL290" s="12" t="str">
        <f ca="1">IFERROR(_xlfn.SINGLE(INDEX(#REF!,'Weekly Report'!AJ290)),"")</f>
        <v/>
      </c>
      <c r="AN290" s="12" t="str">
        <f ca="1">IFERROR(MATCH($G$115,OFFSET(#REF!,AN289,0,1000000),0)+AN289,"")</f>
        <v/>
      </c>
      <c r="AO290" s="17" t="str">
        <f ca="1">IFERROR(_xlfn.SINGLE(INDEX(#REF!,'Weekly Report'!AN290)),"")</f>
        <v/>
      </c>
      <c r="AP290" s="12" t="str">
        <f ca="1">IFERROR(_xlfn.SINGLE(INDEX(#REF!,'Weekly Report'!AN290)),"")</f>
        <v/>
      </c>
    </row>
    <row r="291" spans="36:42">
      <c r="AJ291" s="12" t="str">
        <f ca="1">IFERROR(MATCH($B$114,OFFSET(#REF!,AJ290,0,1000000),0)+AJ290,"")</f>
        <v/>
      </c>
      <c r="AK291" s="17" t="str">
        <f ca="1">IFERROR(_xlfn.SINGLE(INDEX(#REF!,'Weekly Report'!AJ291)),"")</f>
        <v/>
      </c>
      <c r="AL291" s="12" t="str">
        <f ca="1">IFERROR(_xlfn.SINGLE(INDEX(#REF!,'Weekly Report'!AJ291)),"")</f>
        <v/>
      </c>
      <c r="AN291" s="12" t="str">
        <f ca="1">IFERROR(MATCH($G$115,OFFSET(#REF!,AN290,0,1000000),0)+AN290,"")</f>
        <v/>
      </c>
      <c r="AO291" s="17" t="str">
        <f ca="1">IFERROR(_xlfn.SINGLE(INDEX(#REF!,'Weekly Report'!AN291)),"")</f>
        <v/>
      </c>
      <c r="AP291" s="12" t="str">
        <f ca="1">IFERROR(_xlfn.SINGLE(INDEX(#REF!,'Weekly Report'!AN291)),"")</f>
        <v/>
      </c>
    </row>
    <row r="292" spans="36:42">
      <c r="AJ292" s="12" t="str">
        <f ca="1">IFERROR(MATCH($B$114,OFFSET(#REF!,AJ291,0,1000000),0)+AJ291,"")</f>
        <v/>
      </c>
      <c r="AK292" s="17" t="str">
        <f ca="1">IFERROR(_xlfn.SINGLE(INDEX(#REF!,'Weekly Report'!AJ292)),"")</f>
        <v/>
      </c>
      <c r="AL292" s="12" t="str">
        <f ca="1">IFERROR(_xlfn.SINGLE(INDEX(#REF!,'Weekly Report'!AJ292)),"")</f>
        <v/>
      </c>
      <c r="AN292" s="12" t="str">
        <f ca="1">IFERROR(MATCH($G$115,OFFSET(#REF!,AN291,0,1000000),0)+AN291,"")</f>
        <v/>
      </c>
      <c r="AO292" s="17" t="str">
        <f ca="1">IFERROR(_xlfn.SINGLE(INDEX(#REF!,'Weekly Report'!AN292)),"")</f>
        <v/>
      </c>
      <c r="AP292" s="12" t="str">
        <f ca="1">IFERROR(_xlfn.SINGLE(INDEX(#REF!,'Weekly Report'!AN292)),"")</f>
        <v/>
      </c>
    </row>
    <row r="293" spans="36:42">
      <c r="AJ293" s="12" t="str">
        <f ca="1">IFERROR(MATCH($B$114,OFFSET(#REF!,AJ292,0,1000000),0)+AJ292,"")</f>
        <v/>
      </c>
      <c r="AK293" s="17" t="str">
        <f ca="1">IFERROR(_xlfn.SINGLE(INDEX(#REF!,'Weekly Report'!AJ293)),"")</f>
        <v/>
      </c>
      <c r="AL293" s="12" t="str">
        <f ca="1">IFERROR(_xlfn.SINGLE(INDEX(#REF!,'Weekly Report'!AJ293)),"")</f>
        <v/>
      </c>
      <c r="AN293" s="12" t="str">
        <f ca="1">IFERROR(MATCH($G$115,OFFSET(#REF!,AN292,0,1000000),0)+AN292,"")</f>
        <v/>
      </c>
      <c r="AO293" s="17" t="str">
        <f ca="1">IFERROR(_xlfn.SINGLE(INDEX(#REF!,'Weekly Report'!AN293)),"")</f>
        <v/>
      </c>
      <c r="AP293" s="12" t="str">
        <f ca="1">IFERROR(_xlfn.SINGLE(INDEX(#REF!,'Weekly Report'!AN293)),"")</f>
        <v/>
      </c>
    </row>
    <row r="294" spans="36:42">
      <c r="AJ294" s="12" t="str">
        <f ca="1">IFERROR(MATCH($B$114,OFFSET(#REF!,AJ293,0,1000000),0)+AJ293,"")</f>
        <v/>
      </c>
      <c r="AK294" s="17" t="str">
        <f ca="1">IFERROR(_xlfn.SINGLE(INDEX(#REF!,'Weekly Report'!AJ294)),"")</f>
        <v/>
      </c>
      <c r="AL294" s="12" t="str">
        <f ca="1">IFERROR(_xlfn.SINGLE(INDEX(#REF!,'Weekly Report'!AJ294)),"")</f>
        <v/>
      </c>
      <c r="AN294" s="12" t="str">
        <f ca="1">IFERROR(MATCH($G$115,OFFSET(#REF!,AN293,0,1000000),0)+AN293,"")</f>
        <v/>
      </c>
      <c r="AO294" s="17" t="str">
        <f ca="1">IFERROR(_xlfn.SINGLE(INDEX(#REF!,'Weekly Report'!AN294)),"")</f>
        <v/>
      </c>
      <c r="AP294" s="12" t="str">
        <f ca="1">IFERROR(_xlfn.SINGLE(INDEX(#REF!,'Weekly Report'!AN294)),"")</f>
        <v/>
      </c>
    </row>
    <row r="295" spans="36:42">
      <c r="AJ295" s="12" t="str">
        <f ca="1">IFERROR(MATCH($B$114,OFFSET(#REF!,AJ294,0,1000000),0)+AJ294,"")</f>
        <v/>
      </c>
      <c r="AK295" s="17" t="str">
        <f ca="1">IFERROR(_xlfn.SINGLE(INDEX(#REF!,'Weekly Report'!AJ295)),"")</f>
        <v/>
      </c>
      <c r="AL295" s="12" t="str">
        <f ca="1">IFERROR(_xlfn.SINGLE(INDEX(#REF!,'Weekly Report'!AJ295)),"")</f>
        <v/>
      </c>
      <c r="AN295" s="12" t="str">
        <f ca="1">IFERROR(MATCH($G$115,OFFSET(#REF!,AN294,0,1000000),0)+AN294,"")</f>
        <v/>
      </c>
      <c r="AO295" s="17" t="str">
        <f ca="1">IFERROR(_xlfn.SINGLE(INDEX(#REF!,'Weekly Report'!AN295)),"")</f>
        <v/>
      </c>
      <c r="AP295" s="12" t="str">
        <f ca="1">IFERROR(_xlfn.SINGLE(INDEX(#REF!,'Weekly Report'!AN295)),"")</f>
        <v/>
      </c>
    </row>
    <row r="296" spans="36:42">
      <c r="AJ296" s="12" t="str">
        <f ca="1">IFERROR(MATCH($B$114,OFFSET(#REF!,AJ295,0,1000000),0)+AJ295,"")</f>
        <v/>
      </c>
      <c r="AK296" s="17" t="str">
        <f ca="1">IFERROR(_xlfn.SINGLE(INDEX(#REF!,'Weekly Report'!AJ296)),"")</f>
        <v/>
      </c>
      <c r="AL296" s="12" t="str">
        <f ca="1">IFERROR(_xlfn.SINGLE(INDEX(#REF!,'Weekly Report'!AJ296)),"")</f>
        <v/>
      </c>
      <c r="AN296" s="12" t="str">
        <f ca="1">IFERROR(MATCH($G$115,OFFSET(#REF!,AN295,0,1000000),0)+AN295,"")</f>
        <v/>
      </c>
      <c r="AO296" s="17" t="str">
        <f ca="1">IFERROR(_xlfn.SINGLE(INDEX(#REF!,'Weekly Report'!AN296)),"")</f>
        <v/>
      </c>
      <c r="AP296" s="12" t="str">
        <f ca="1">IFERROR(_xlfn.SINGLE(INDEX(#REF!,'Weekly Report'!AN296)),"")</f>
        <v/>
      </c>
    </row>
    <row r="297" spans="36:42">
      <c r="AJ297" s="12" t="str">
        <f ca="1">IFERROR(MATCH($B$114,OFFSET(#REF!,AJ296,0,1000000),0)+AJ296,"")</f>
        <v/>
      </c>
      <c r="AK297" s="17" t="str">
        <f ca="1">IFERROR(_xlfn.SINGLE(INDEX(#REF!,'Weekly Report'!AJ297)),"")</f>
        <v/>
      </c>
      <c r="AL297" s="12" t="str">
        <f ca="1">IFERROR(_xlfn.SINGLE(INDEX(#REF!,'Weekly Report'!AJ297)),"")</f>
        <v/>
      </c>
      <c r="AN297" s="12" t="str">
        <f ca="1">IFERROR(MATCH($G$115,OFFSET(#REF!,AN296,0,1000000),0)+AN296,"")</f>
        <v/>
      </c>
      <c r="AO297" s="17" t="str">
        <f ca="1">IFERROR(_xlfn.SINGLE(INDEX(#REF!,'Weekly Report'!AN297)),"")</f>
        <v/>
      </c>
      <c r="AP297" s="12" t="str">
        <f ca="1">IFERROR(_xlfn.SINGLE(INDEX(#REF!,'Weekly Report'!AN297)),"")</f>
        <v/>
      </c>
    </row>
    <row r="298" spans="36:42">
      <c r="AJ298" s="12" t="str">
        <f ca="1">IFERROR(MATCH($B$114,OFFSET(#REF!,AJ297,0,1000000),0)+AJ297,"")</f>
        <v/>
      </c>
      <c r="AK298" s="17" t="str">
        <f ca="1">IFERROR(_xlfn.SINGLE(INDEX(#REF!,'Weekly Report'!AJ298)),"")</f>
        <v/>
      </c>
      <c r="AL298" s="12" t="str">
        <f ca="1">IFERROR(_xlfn.SINGLE(INDEX(#REF!,'Weekly Report'!AJ298)),"")</f>
        <v/>
      </c>
      <c r="AN298" s="12" t="str">
        <f ca="1">IFERROR(MATCH($G$115,OFFSET(#REF!,AN297,0,1000000),0)+AN297,"")</f>
        <v/>
      </c>
      <c r="AO298" s="17" t="str">
        <f ca="1">IFERROR(_xlfn.SINGLE(INDEX(#REF!,'Weekly Report'!AN298)),"")</f>
        <v/>
      </c>
      <c r="AP298" s="12" t="str">
        <f ca="1">IFERROR(_xlfn.SINGLE(INDEX(#REF!,'Weekly Report'!AN298)),"")</f>
        <v/>
      </c>
    </row>
    <row r="299" spans="36:42">
      <c r="AJ299" s="12" t="str">
        <f ca="1">IFERROR(MATCH($B$114,OFFSET(#REF!,AJ298,0,1000000),0)+AJ298,"")</f>
        <v/>
      </c>
      <c r="AK299" s="17" t="str">
        <f ca="1">IFERROR(_xlfn.SINGLE(INDEX(#REF!,'Weekly Report'!AJ299)),"")</f>
        <v/>
      </c>
      <c r="AL299" s="12" t="str">
        <f ca="1">IFERROR(_xlfn.SINGLE(INDEX(#REF!,'Weekly Report'!AJ299)),"")</f>
        <v/>
      </c>
      <c r="AN299" s="12" t="str">
        <f ca="1">IFERROR(MATCH($G$115,OFFSET(#REF!,AN298,0,1000000),0)+AN298,"")</f>
        <v/>
      </c>
      <c r="AO299" s="17" t="str">
        <f ca="1">IFERROR(_xlfn.SINGLE(INDEX(#REF!,'Weekly Report'!AN299)),"")</f>
        <v/>
      </c>
      <c r="AP299" s="12" t="str">
        <f ca="1">IFERROR(_xlfn.SINGLE(INDEX(#REF!,'Weekly Report'!AN299)),"")</f>
        <v/>
      </c>
    </row>
    <row r="300" spans="36:42">
      <c r="AJ300" s="12" t="str">
        <f ca="1">IFERROR(MATCH($B$114,OFFSET(#REF!,AJ299,0,1000000),0)+AJ299,"")</f>
        <v/>
      </c>
      <c r="AK300" s="17" t="str">
        <f ca="1">IFERROR(_xlfn.SINGLE(INDEX(#REF!,'Weekly Report'!AJ300)),"")</f>
        <v/>
      </c>
      <c r="AL300" s="12" t="str">
        <f ca="1">IFERROR(_xlfn.SINGLE(INDEX(#REF!,'Weekly Report'!AJ300)),"")</f>
        <v/>
      </c>
      <c r="AN300" s="12" t="str">
        <f ca="1">IFERROR(MATCH($G$115,OFFSET(#REF!,AN299,0,1000000),0)+AN299,"")</f>
        <v/>
      </c>
      <c r="AO300" s="17" t="str">
        <f ca="1">IFERROR(_xlfn.SINGLE(INDEX(#REF!,'Weekly Report'!AN300)),"")</f>
        <v/>
      </c>
      <c r="AP300" s="12" t="str">
        <f ca="1">IFERROR(_xlfn.SINGLE(INDEX(#REF!,'Weekly Report'!AN300)),"")</f>
        <v/>
      </c>
    </row>
    <row r="301" spans="36:42">
      <c r="AJ301" s="12" t="str">
        <f ca="1">IFERROR(MATCH($B$114,OFFSET(#REF!,AJ300,0,1000000),0)+AJ300,"")</f>
        <v/>
      </c>
      <c r="AK301" s="17" t="str">
        <f ca="1">IFERROR(_xlfn.SINGLE(INDEX(#REF!,'Weekly Report'!AJ301)),"")</f>
        <v/>
      </c>
      <c r="AL301" s="12" t="str">
        <f ca="1">IFERROR(_xlfn.SINGLE(INDEX(#REF!,'Weekly Report'!AJ301)),"")</f>
        <v/>
      </c>
      <c r="AN301" s="12" t="str">
        <f ca="1">IFERROR(MATCH($G$115,OFFSET(#REF!,AN300,0,1000000),0)+AN300,"")</f>
        <v/>
      </c>
      <c r="AO301" s="17" t="str">
        <f ca="1">IFERROR(_xlfn.SINGLE(INDEX(#REF!,'Weekly Report'!AN301)),"")</f>
        <v/>
      </c>
      <c r="AP301" s="12" t="str">
        <f ca="1">IFERROR(_xlfn.SINGLE(INDEX(#REF!,'Weekly Report'!AN301)),"")</f>
        <v/>
      </c>
    </row>
    <row r="302" spans="36:42">
      <c r="AJ302" s="12" t="str">
        <f ca="1">IFERROR(MATCH($B$114,OFFSET(#REF!,AJ301,0,1000000),0)+AJ301,"")</f>
        <v/>
      </c>
      <c r="AK302" s="17" t="str">
        <f ca="1">IFERROR(_xlfn.SINGLE(INDEX(#REF!,'Weekly Report'!AJ302)),"")</f>
        <v/>
      </c>
      <c r="AL302" s="12" t="str">
        <f ca="1">IFERROR(_xlfn.SINGLE(INDEX(#REF!,'Weekly Report'!AJ302)),"")</f>
        <v/>
      </c>
      <c r="AN302" s="12" t="str">
        <f ca="1">IFERROR(MATCH($G$115,OFFSET(#REF!,AN301,0,1000000),0)+AN301,"")</f>
        <v/>
      </c>
      <c r="AO302" s="17" t="str">
        <f ca="1">IFERROR(_xlfn.SINGLE(INDEX(#REF!,'Weekly Report'!AN302)),"")</f>
        <v/>
      </c>
      <c r="AP302" s="12" t="str">
        <f ca="1">IFERROR(_xlfn.SINGLE(INDEX(#REF!,'Weekly Report'!AN302)),"")</f>
        <v/>
      </c>
    </row>
    <row r="303" spans="36:42">
      <c r="AJ303" s="12" t="str">
        <f ca="1">IFERROR(MATCH($B$114,OFFSET(#REF!,AJ302,0,1000000),0)+AJ302,"")</f>
        <v/>
      </c>
      <c r="AK303" s="17" t="str">
        <f ca="1">IFERROR(_xlfn.SINGLE(INDEX(#REF!,'Weekly Report'!AJ303)),"")</f>
        <v/>
      </c>
      <c r="AL303" s="12" t="str">
        <f ca="1">IFERROR(_xlfn.SINGLE(INDEX(#REF!,'Weekly Report'!AJ303)),"")</f>
        <v/>
      </c>
      <c r="AN303" s="12" t="str">
        <f ca="1">IFERROR(MATCH($G$115,OFFSET(#REF!,AN302,0,1000000),0)+AN302,"")</f>
        <v/>
      </c>
      <c r="AO303" s="17" t="str">
        <f ca="1">IFERROR(_xlfn.SINGLE(INDEX(#REF!,'Weekly Report'!AN303)),"")</f>
        <v/>
      </c>
      <c r="AP303" s="12" t="str">
        <f ca="1">IFERROR(_xlfn.SINGLE(INDEX(#REF!,'Weekly Report'!AN303)),"")</f>
        <v/>
      </c>
    </row>
    <row r="304" spans="36:42">
      <c r="AJ304" s="12" t="str">
        <f ca="1">IFERROR(MATCH($B$114,OFFSET(#REF!,AJ303,0,1000000),0)+AJ303,"")</f>
        <v/>
      </c>
      <c r="AK304" s="17" t="str">
        <f ca="1">IFERROR(_xlfn.SINGLE(INDEX(#REF!,'Weekly Report'!AJ304)),"")</f>
        <v/>
      </c>
      <c r="AL304" s="12" t="str">
        <f ca="1">IFERROR(_xlfn.SINGLE(INDEX(#REF!,'Weekly Report'!AJ304)),"")</f>
        <v/>
      </c>
      <c r="AN304" s="12" t="str">
        <f ca="1">IFERROR(MATCH($G$115,OFFSET(#REF!,AN303,0,1000000),0)+AN303,"")</f>
        <v/>
      </c>
      <c r="AO304" s="17" t="str">
        <f ca="1">IFERROR(_xlfn.SINGLE(INDEX(#REF!,'Weekly Report'!AN304)),"")</f>
        <v/>
      </c>
      <c r="AP304" s="12" t="str">
        <f ca="1">IFERROR(_xlfn.SINGLE(INDEX(#REF!,'Weekly Report'!AN304)),"")</f>
        <v/>
      </c>
    </row>
    <row r="305" spans="36:42">
      <c r="AJ305" s="12" t="str">
        <f ca="1">IFERROR(MATCH($B$114,OFFSET(#REF!,AJ304,0,1000000),0)+AJ304,"")</f>
        <v/>
      </c>
      <c r="AK305" s="17" t="str">
        <f ca="1">IFERROR(_xlfn.SINGLE(INDEX(#REF!,'Weekly Report'!AJ305)),"")</f>
        <v/>
      </c>
      <c r="AL305" s="12" t="str">
        <f ca="1">IFERROR(_xlfn.SINGLE(INDEX(#REF!,'Weekly Report'!AJ305)),"")</f>
        <v/>
      </c>
      <c r="AN305" s="12" t="str">
        <f ca="1">IFERROR(MATCH($G$115,OFFSET(#REF!,AN304,0,1000000),0)+AN304,"")</f>
        <v/>
      </c>
      <c r="AO305" s="17" t="str">
        <f ca="1">IFERROR(_xlfn.SINGLE(INDEX(#REF!,'Weekly Report'!AN305)),"")</f>
        <v/>
      </c>
      <c r="AP305" s="12" t="str">
        <f ca="1">IFERROR(_xlfn.SINGLE(INDEX(#REF!,'Weekly Report'!AN305)),"")</f>
        <v/>
      </c>
    </row>
    <row r="306" spans="36:42">
      <c r="AJ306" s="12" t="str">
        <f ca="1">IFERROR(MATCH($B$114,OFFSET(#REF!,AJ305,0,1000000),0)+AJ305,"")</f>
        <v/>
      </c>
      <c r="AK306" s="17" t="str">
        <f ca="1">IFERROR(_xlfn.SINGLE(INDEX(#REF!,'Weekly Report'!AJ306)),"")</f>
        <v/>
      </c>
      <c r="AL306" s="12" t="str">
        <f ca="1">IFERROR(_xlfn.SINGLE(INDEX(#REF!,'Weekly Report'!AJ306)),"")</f>
        <v/>
      </c>
      <c r="AN306" s="12" t="str">
        <f ca="1">IFERROR(MATCH($G$115,OFFSET(#REF!,AN305,0,1000000),0)+AN305,"")</f>
        <v/>
      </c>
      <c r="AO306" s="17" t="str">
        <f ca="1">IFERROR(_xlfn.SINGLE(INDEX(#REF!,'Weekly Report'!AN306)),"")</f>
        <v/>
      </c>
      <c r="AP306" s="12" t="str">
        <f ca="1">IFERROR(_xlfn.SINGLE(INDEX(#REF!,'Weekly Report'!AN306)),"")</f>
        <v/>
      </c>
    </row>
    <row r="307" spans="36:42">
      <c r="AJ307" s="12" t="str">
        <f ca="1">IFERROR(MATCH($B$114,OFFSET(#REF!,AJ306,0,1000000),0)+AJ306,"")</f>
        <v/>
      </c>
      <c r="AK307" s="17" t="str">
        <f ca="1">IFERROR(_xlfn.SINGLE(INDEX(#REF!,'Weekly Report'!AJ307)),"")</f>
        <v/>
      </c>
      <c r="AL307" s="12" t="str">
        <f ca="1">IFERROR(_xlfn.SINGLE(INDEX(#REF!,'Weekly Report'!AJ307)),"")</f>
        <v/>
      </c>
      <c r="AN307" s="12" t="str">
        <f ca="1">IFERROR(MATCH($G$115,OFFSET(#REF!,AN306,0,1000000),0)+AN306,"")</f>
        <v/>
      </c>
      <c r="AO307" s="17" t="str">
        <f ca="1">IFERROR(_xlfn.SINGLE(INDEX(#REF!,'Weekly Report'!AN307)),"")</f>
        <v/>
      </c>
      <c r="AP307" s="12" t="str">
        <f ca="1">IFERROR(_xlfn.SINGLE(INDEX(#REF!,'Weekly Report'!AN307)),"")</f>
        <v/>
      </c>
    </row>
    <row r="308" spans="36:42">
      <c r="AJ308" s="12" t="str">
        <f ca="1">IFERROR(MATCH($B$114,OFFSET(#REF!,AJ307,0,1000000),0)+AJ307,"")</f>
        <v/>
      </c>
      <c r="AK308" s="17" t="str">
        <f ca="1">IFERROR(_xlfn.SINGLE(INDEX(#REF!,'Weekly Report'!AJ308)),"")</f>
        <v/>
      </c>
      <c r="AL308" s="12" t="str">
        <f ca="1">IFERROR(_xlfn.SINGLE(INDEX(#REF!,'Weekly Report'!AJ308)),"")</f>
        <v/>
      </c>
      <c r="AN308" s="12" t="str">
        <f ca="1">IFERROR(MATCH($G$115,OFFSET(#REF!,AN307,0,1000000),0)+AN307,"")</f>
        <v/>
      </c>
      <c r="AO308" s="17" t="str">
        <f ca="1">IFERROR(_xlfn.SINGLE(INDEX(#REF!,'Weekly Report'!AN308)),"")</f>
        <v/>
      </c>
      <c r="AP308" s="12" t="str">
        <f ca="1">IFERROR(_xlfn.SINGLE(INDEX(#REF!,'Weekly Report'!AN308)),"")</f>
        <v/>
      </c>
    </row>
    <row r="309" spans="36:42">
      <c r="AJ309" s="12" t="str">
        <f ca="1">IFERROR(MATCH($B$114,OFFSET(#REF!,AJ308,0,1000000),0)+AJ308,"")</f>
        <v/>
      </c>
      <c r="AK309" s="17" t="str">
        <f ca="1">IFERROR(_xlfn.SINGLE(INDEX(#REF!,'Weekly Report'!AJ309)),"")</f>
        <v/>
      </c>
      <c r="AL309" s="12" t="str">
        <f ca="1">IFERROR(_xlfn.SINGLE(INDEX(#REF!,'Weekly Report'!AJ309)),"")</f>
        <v/>
      </c>
      <c r="AN309" s="12" t="str">
        <f ca="1">IFERROR(MATCH($G$115,OFFSET(#REF!,AN308,0,1000000),0)+AN308,"")</f>
        <v/>
      </c>
      <c r="AO309" s="17" t="str">
        <f ca="1">IFERROR(_xlfn.SINGLE(INDEX(#REF!,'Weekly Report'!AN309)),"")</f>
        <v/>
      </c>
      <c r="AP309" s="12" t="str">
        <f ca="1">IFERROR(_xlfn.SINGLE(INDEX(#REF!,'Weekly Report'!AN309)),"")</f>
        <v/>
      </c>
    </row>
    <row r="310" spans="36:42">
      <c r="AJ310" s="12" t="str">
        <f ca="1">IFERROR(MATCH($B$114,OFFSET(#REF!,AJ309,0,1000000),0)+AJ309,"")</f>
        <v/>
      </c>
      <c r="AK310" s="17" t="str">
        <f ca="1">IFERROR(_xlfn.SINGLE(INDEX(#REF!,'Weekly Report'!AJ310)),"")</f>
        <v/>
      </c>
      <c r="AL310" s="12" t="str">
        <f ca="1">IFERROR(_xlfn.SINGLE(INDEX(#REF!,'Weekly Report'!AJ310)),"")</f>
        <v/>
      </c>
      <c r="AN310" s="12" t="str">
        <f ca="1">IFERROR(MATCH($G$115,OFFSET(#REF!,AN309,0,1000000),0)+AN309,"")</f>
        <v/>
      </c>
      <c r="AO310" s="17" t="str">
        <f ca="1">IFERROR(_xlfn.SINGLE(INDEX(#REF!,'Weekly Report'!AN310)),"")</f>
        <v/>
      </c>
      <c r="AP310" s="12" t="str">
        <f ca="1">IFERROR(_xlfn.SINGLE(INDEX(#REF!,'Weekly Report'!AN310)),"")</f>
        <v/>
      </c>
    </row>
    <row r="311" spans="36:42">
      <c r="AJ311" s="12" t="str">
        <f ca="1">IFERROR(MATCH($B$114,OFFSET(#REF!,AJ310,0,1000000),0)+AJ310,"")</f>
        <v/>
      </c>
      <c r="AK311" s="17" t="str">
        <f ca="1">IFERROR(_xlfn.SINGLE(INDEX(#REF!,'Weekly Report'!AJ311)),"")</f>
        <v/>
      </c>
      <c r="AL311" s="12" t="str">
        <f ca="1">IFERROR(_xlfn.SINGLE(INDEX(#REF!,'Weekly Report'!AJ311)),"")</f>
        <v/>
      </c>
      <c r="AN311" s="12" t="str">
        <f ca="1">IFERROR(MATCH($G$115,OFFSET(#REF!,AN310,0,1000000),0)+AN310,"")</f>
        <v/>
      </c>
      <c r="AO311" s="17" t="str">
        <f ca="1">IFERROR(_xlfn.SINGLE(INDEX(#REF!,'Weekly Report'!AN311)),"")</f>
        <v/>
      </c>
      <c r="AP311" s="12" t="str">
        <f ca="1">IFERROR(_xlfn.SINGLE(INDEX(#REF!,'Weekly Report'!AN311)),"")</f>
        <v/>
      </c>
    </row>
    <row r="312" spans="36:42">
      <c r="AJ312" s="12" t="str">
        <f ca="1">IFERROR(MATCH($B$114,OFFSET(#REF!,AJ311,0,1000000),0)+AJ311,"")</f>
        <v/>
      </c>
      <c r="AK312" s="17" t="str">
        <f ca="1">IFERROR(_xlfn.SINGLE(INDEX(#REF!,'Weekly Report'!AJ312)),"")</f>
        <v/>
      </c>
      <c r="AL312" s="12" t="str">
        <f ca="1">IFERROR(_xlfn.SINGLE(INDEX(#REF!,'Weekly Report'!AJ312)),"")</f>
        <v/>
      </c>
      <c r="AN312" s="12" t="str">
        <f ca="1">IFERROR(MATCH($G$115,OFFSET(#REF!,AN311,0,1000000),0)+AN311,"")</f>
        <v/>
      </c>
      <c r="AO312" s="17" t="str">
        <f ca="1">IFERROR(_xlfn.SINGLE(INDEX(#REF!,'Weekly Report'!AN312)),"")</f>
        <v/>
      </c>
      <c r="AP312" s="12" t="str">
        <f ca="1">IFERROR(_xlfn.SINGLE(INDEX(#REF!,'Weekly Report'!AN312)),"")</f>
        <v/>
      </c>
    </row>
    <row r="313" spans="36:42">
      <c r="AJ313" s="12" t="str">
        <f ca="1">IFERROR(MATCH($B$114,OFFSET(#REF!,AJ312,0,1000000),0)+AJ312,"")</f>
        <v/>
      </c>
      <c r="AK313" s="17" t="str">
        <f ca="1">IFERROR(_xlfn.SINGLE(INDEX(#REF!,'Weekly Report'!AJ313)),"")</f>
        <v/>
      </c>
      <c r="AL313" s="12" t="str">
        <f ca="1">IFERROR(_xlfn.SINGLE(INDEX(#REF!,'Weekly Report'!AJ313)),"")</f>
        <v/>
      </c>
      <c r="AN313" s="12" t="str">
        <f ca="1">IFERROR(MATCH($G$115,OFFSET(#REF!,AN312,0,1000000),0)+AN312,"")</f>
        <v/>
      </c>
      <c r="AO313" s="17" t="str">
        <f ca="1">IFERROR(_xlfn.SINGLE(INDEX(#REF!,'Weekly Report'!AN313)),"")</f>
        <v/>
      </c>
      <c r="AP313" s="12" t="str">
        <f ca="1">IFERROR(_xlfn.SINGLE(INDEX(#REF!,'Weekly Report'!AN313)),"")</f>
        <v/>
      </c>
    </row>
    <row r="314" spans="36:42">
      <c r="AJ314" s="12" t="str">
        <f ca="1">IFERROR(MATCH($B$114,OFFSET(#REF!,AJ313,0,1000000),0)+AJ313,"")</f>
        <v/>
      </c>
      <c r="AK314" s="17" t="str">
        <f ca="1">IFERROR(_xlfn.SINGLE(INDEX(#REF!,'Weekly Report'!AJ314)),"")</f>
        <v/>
      </c>
      <c r="AL314" s="12" t="str">
        <f ca="1">IFERROR(_xlfn.SINGLE(INDEX(#REF!,'Weekly Report'!AJ314)),"")</f>
        <v/>
      </c>
      <c r="AN314" s="12" t="str">
        <f ca="1">IFERROR(MATCH($G$115,OFFSET(#REF!,AN313,0,1000000),0)+AN313,"")</f>
        <v/>
      </c>
      <c r="AO314" s="17" t="str">
        <f ca="1">IFERROR(_xlfn.SINGLE(INDEX(#REF!,'Weekly Report'!AN314)),"")</f>
        <v/>
      </c>
      <c r="AP314" s="12" t="str">
        <f ca="1">IFERROR(_xlfn.SINGLE(INDEX(#REF!,'Weekly Report'!AN314)),"")</f>
        <v/>
      </c>
    </row>
    <row r="315" spans="36:42">
      <c r="AJ315" s="12" t="str">
        <f ca="1">IFERROR(MATCH($B$114,OFFSET(#REF!,AJ314,0,1000000),0)+AJ314,"")</f>
        <v/>
      </c>
      <c r="AK315" s="17" t="str">
        <f ca="1">IFERROR(_xlfn.SINGLE(INDEX(#REF!,'Weekly Report'!AJ315)),"")</f>
        <v/>
      </c>
      <c r="AL315" s="12" t="str">
        <f ca="1">IFERROR(_xlfn.SINGLE(INDEX(#REF!,'Weekly Report'!AJ315)),"")</f>
        <v/>
      </c>
      <c r="AN315" s="12" t="str">
        <f ca="1">IFERROR(MATCH($G$115,OFFSET(#REF!,AN314,0,1000000),0)+AN314,"")</f>
        <v/>
      </c>
      <c r="AO315" s="17" t="str">
        <f ca="1">IFERROR(_xlfn.SINGLE(INDEX(#REF!,'Weekly Report'!AN315)),"")</f>
        <v/>
      </c>
      <c r="AP315" s="12" t="str">
        <f ca="1">IFERROR(_xlfn.SINGLE(INDEX(#REF!,'Weekly Report'!AN315)),"")</f>
        <v/>
      </c>
    </row>
    <row r="316" spans="36:42">
      <c r="AJ316" s="12" t="str">
        <f ca="1">IFERROR(MATCH($B$114,OFFSET(#REF!,AJ315,0,1000000),0)+AJ315,"")</f>
        <v/>
      </c>
      <c r="AK316" s="17" t="str">
        <f ca="1">IFERROR(_xlfn.SINGLE(INDEX(#REF!,'Weekly Report'!AJ316)),"")</f>
        <v/>
      </c>
      <c r="AL316" s="12" t="str">
        <f ca="1">IFERROR(_xlfn.SINGLE(INDEX(#REF!,'Weekly Report'!AJ316)),"")</f>
        <v/>
      </c>
      <c r="AN316" s="12" t="str">
        <f ca="1">IFERROR(MATCH($G$115,OFFSET(#REF!,AN315,0,1000000),0)+AN315,"")</f>
        <v/>
      </c>
      <c r="AO316" s="17" t="str">
        <f ca="1">IFERROR(_xlfn.SINGLE(INDEX(#REF!,'Weekly Report'!AN316)),"")</f>
        <v/>
      </c>
      <c r="AP316" s="12" t="str">
        <f ca="1">IFERROR(_xlfn.SINGLE(INDEX(#REF!,'Weekly Report'!AN316)),"")</f>
        <v/>
      </c>
    </row>
    <row r="317" spans="36:42">
      <c r="AJ317" s="12" t="str">
        <f ca="1">IFERROR(MATCH($B$114,OFFSET(#REF!,AJ316,0,1000000),0)+AJ316,"")</f>
        <v/>
      </c>
      <c r="AK317" s="17" t="str">
        <f ca="1">IFERROR(_xlfn.SINGLE(INDEX(#REF!,'Weekly Report'!AJ317)),"")</f>
        <v/>
      </c>
      <c r="AL317" s="12" t="str">
        <f ca="1">IFERROR(_xlfn.SINGLE(INDEX(#REF!,'Weekly Report'!AJ317)),"")</f>
        <v/>
      </c>
      <c r="AN317" s="12" t="str">
        <f ca="1">IFERROR(MATCH($G$115,OFFSET(#REF!,AN316,0,1000000),0)+AN316,"")</f>
        <v/>
      </c>
      <c r="AO317" s="17" t="str">
        <f ca="1">IFERROR(_xlfn.SINGLE(INDEX(#REF!,'Weekly Report'!AN317)),"")</f>
        <v/>
      </c>
      <c r="AP317" s="12" t="str">
        <f ca="1">IFERROR(_xlfn.SINGLE(INDEX(#REF!,'Weekly Report'!AN317)),"")</f>
        <v/>
      </c>
    </row>
    <row r="318" spans="36:42">
      <c r="AJ318" s="12" t="str">
        <f ca="1">IFERROR(MATCH($B$114,OFFSET(#REF!,AJ317,0,1000000),0)+AJ317,"")</f>
        <v/>
      </c>
      <c r="AK318" s="17" t="str">
        <f ca="1">IFERROR(_xlfn.SINGLE(INDEX(#REF!,'Weekly Report'!AJ318)),"")</f>
        <v/>
      </c>
      <c r="AL318" s="12" t="str">
        <f ca="1">IFERROR(_xlfn.SINGLE(INDEX(#REF!,'Weekly Report'!AJ318)),"")</f>
        <v/>
      </c>
      <c r="AN318" s="12" t="str">
        <f ca="1">IFERROR(MATCH($G$115,OFFSET(#REF!,AN317,0,1000000),0)+AN317,"")</f>
        <v/>
      </c>
      <c r="AO318" s="17" t="str">
        <f ca="1">IFERROR(_xlfn.SINGLE(INDEX(#REF!,'Weekly Report'!AN318)),"")</f>
        <v/>
      </c>
      <c r="AP318" s="12" t="str">
        <f ca="1">IFERROR(_xlfn.SINGLE(INDEX(#REF!,'Weekly Report'!AN318)),"")</f>
        <v/>
      </c>
    </row>
    <row r="319" spans="36:42">
      <c r="AJ319" s="12" t="str">
        <f ca="1">IFERROR(MATCH($B$114,OFFSET(#REF!,AJ318,0,1000000),0)+AJ318,"")</f>
        <v/>
      </c>
      <c r="AK319" s="17" t="str">
        <f ca="1">IFERROR(_xlfn.SINGLE(INDEX(#REF!,'Weekly Report'!AJ319)),"")</f>
        <v/>
      </c>
      <c r="AL319" s="12" t="str">
        <f ca="1">IFERROR(_xlfn.SINGLE(INDEX(#REF!,'Weekly Report'!AJ319)),"")</f>
        <v/>
      </c>
      <c r="AN319" s="12" t="str">
        <f ca="1">IFERROR(MATCH($G$115,OFFSET(#REF!,AN318,0,1000000),0)+AN318,"")</f>
        <v/>
      </c>
      <c r="AO319" s="17" t="str">
        <f ca="1">IFERROR(_xlfn.SINGLE(INDEX(#REF!,'Weekly Report'!AN319)),"")</f>
        <v/>
      </c>
      <c r="AP319" s="12" t="str">
        <f ca="1">IFERROR(_xlfn.SINGLE(INDEX(#REF!,'Weekly Report'!AN319)),"")</f>
        <v/>
      </c>
    </row>
    <row r="320" spans="36:42">
      <c r="AJ320" s="12" t="str">
        <f ca="1">IFERROR(MATCH($B$114,OFFSET(#REF!,AJ319,0,1000000),0)+AJ319,"")</f>
        <v/>
      </c>
      <c r="AK320" s="17" t="str">
        <f ca="1">IFERROR(_xlfn.SINGLE(INDEX(#REF!,'Weekly Report'!AJ320)),"")</f>
        <v/>
      </c>
      <c r="AL320" s="12" t="str">
        <f ca="1">IFERROR(_xlfn.SINGLE(INDEX(#REF!,'Weekly Report'!AJ320)),"")</f>
        <v/>
      </c>
      <c r="AN320" s="12" t="str">
        <f ca="1">IFERROR(MATCH($G$115,OFFSET(#REF!,AN319,0,1000000),0)+AN319,"")</f>
        <v/>
      </c>
      <c r="AO320" s="17" t="str">
        <f ca="1">IFERROR(_xlfn.SINGLE(INDEX(#REF!,'Weekly Report'!AN320)),"")</f>
        <v/>
      </c>
      <c r="AP320" s="12" t="str">
        <f ca="1">IFERROR(_xlfn.SINGLE(INDEX(#REF!,'Weekly Report'!AN320)),"")</f>
        <v/>
      </c>
    </row>
    <row r="321" spans="36:42">
      <c r="AJ321" s="12" t="str">
        <f ca="1">IFERROR(MATCH($B$114,OFFSET(#REF!,AJ320,0,1000000),0)+AJ320,"")</f>
        <v/>
      </c>
      <c r="AK321" s="17" t="str">
        <f ca="1">IFERROR(_xlfn.SINGLE(INDEX(#REF!,'Weekly Report'!AJ321)),"")</f>
        <v/>
      </c>
      <c r="AL321" s="12" t="str">
        <f ca="1">IFERROR(_xlfn.SINGLE(INDEX(#REF!,'Weekly Report'!AJ321)),"")</f>
        <v/>
      </c>
      <c r="AN321" s="12" t="str">
        <f ca="1">IFERROR(MATCH($G$115,OFFSET(#REF!,AN320,0,1000000),0)+AN320,"")</f>
        <v/>
      </c>
      <c r="AO321" s="17" t="str">
        <f ca="1">IFERROR(_xlfn.SINGLE(INDEX(#REF!,'Weekly Report'!AN321)),"")</f>
        <v/>
      </c>
      <c r="AP321" s="12" t="str">
        <f ca="1">IFERROR(_xlfn.SINGLE(INDEX(#REF!,'Weekly Report'!AN321)),"")</f>
        <v/>
      </c>
    </row>
    <row r="322" spans="36:42">
      <c r="AJ322" s="12" t="str">
        <f ca="1">IFERROR(MATCH($B$114,OFFSET(#REF!,AJ321,0,1000000),0)+AJ321,"")</f>
        <v/>
      </c>
      <c r="AK322" s="17" t="str">
        <f ca="1">IFERROR(_xlfn.SINGLE(INDEX(#REF!,'Weekly Report'!AJ322)),"")</f>
        <v/>
      </c>
      <c r="AL322" s="12" t="str">
        <f ca="1">IFERROR(_xlfn.SINGLE(INDEX(#REF!,'Weekly Report'!AJ322)),"")</f>
        <v/>
      </c>
      <c r="AN322" s="12" t="str">
        <f ca="1">IFERROR(MATCH($G$115,OFFSET(#REF!,AN321,0,1000000),0)+AN321,"")</f>
        <v/>
      </c>
      <c r="AO322" s="17" t="str">
        <f ca="1">IFERROR(_xlfn.SINGLE(INDEX(#REF!,'Weekly Report'!AN322)),"")</f>
        <v/>
      </c>
      <c r="AP322" s="12" t="str">
        <f ca="1">IFERROR(_xlfn.SINGLE(INDEX(#REF!,'Weekly Report'!AN322)),"")</f>
        <v/>
      </c>
    </row>
    <row r="323" spans="36:42">
      <c r="AJ323" s="12" t="str">
        <f ca="1">IFERROR(MATCH($B$114,OFFSET(#REF!,AJ322,0,1000000),0)+AJ322,"")</f>
        <v/>
      </c>
      <c r="AK323" s="17" t="str">
        <f ca="1">IFERROR(_xlfn.SINGLE(INDEX(#REF!,'Weekly Report'!AJ323)),"")</f>
        <v/>
      </c>
      <c r="AL323" s="12" t="str">
        <f ca="1">IFERROR(_xlfn.SINGLE(INDEX(#REF!,'Weekly Report'!AJ323)),"")</f>
        <v/>
      </c>
      <c r="AN323" s="12" t="str">
        <f ca="1">IFERROR(MATCH($G$115,OFFSET(#REF!,AN322,0,1000000),0)+AN322,"")</f>
        <v/>
      </c>
      <c r="AO323" s="17" t="str">
        <f ca="1">IFERROR(_xlfn.SINGLE(INDEX(#REF!,'Weekly Report'!AN323)),"")</f>
        <v/>
      </c>
      <c r="AP323" s="12" t="str">
        <f ca="1">IFERROR(_xlfn.SINGLE(INDEX(#REF!,'Weekly Report'!AN323)),"")</f>
        <v/>
      </c>
    </row>
    <row r="324" spans="36:42">
      <c r="AJ324" s="12" t="str">
        <f ca="1">IFERROR(MATCH($B$114,OFFSET(#REF!,AJ323,0,1000000),0)+AJ323,"")</f>
        <v/>
      </c>
      <c r="AK324" s="17" t="str">
        <f ca="1">IFERROR(_xlfn.SINGLE(INDEX(#REF!,'Weekly Report'!AJ324)),"")</f>
        <v/>
      </c>
      <c r="AL324" s="12" t="str">
        <f ca="1">IFERROR(_xlfn.SINGLE(INDEX(#REF!,'Weekly Report'!AJ324)),"")</f>
        <v/>
      </c>
      <c r="AN324" s="12" t="str">
        <f ca="1">IFERROR(MATCH($G$115,OFFSET(#REF!,AN323,0,1000000),0)+AN323,"")</f>
        <v/>
      </c>
      <c r="AO324" s="17" t="str">
        <f ca="1">IFERROR(_xlfn.SINGLE(INDEX(#REF!,'Weekly Report'!AN324)),"")</f>
        <v/>
      </c>
      <c r="AP324" s="12" t="str">
        <f ca="1">IFERROR(_xlfn.SINGLE(INDEX(#REF!,'Weekly Report'!AN324)),"")</f>
        <v/>
      </c>
    </row>
    <row r="325" spans="36:42">
      <c r="AJ325" s="12" t="str">
        <f ca="1">IFERROR(MATCH($B$114,OFFSET(#REF!,AJ324,0,1000000),0)+AJ324,"")</f>
        <v/>
      </c>
      <c r="AK325" s="17" t="str">
        <f ca="1">IFERROR(_xlfn.SINGLE(INDEX(#REF!,'Weekly Report'!AJ325)),"")</f>
        <v/>
      </c>
      <c r="AL325" s="12" t="str">
        <f ca="1">IFERROR(_xlfn.SINGLE(INDEX(#REF!,'Weekly Report'!AJ325)),"")</f>
        <v/>
      </c>
      <c r="AN325" s="12" t="str">
        <f ca="1">IFERROR(MATCH($G$115,OFFSET(#REF!,AN324,0,1000000),0)+AN324,"")</f>
        <v/>
      </c>
      <c r="AO325" s="17" t="str">
        <f ca="1">IFERROR(_xlfn.SINGLE(INDEX(#REF!,'Weekly Report'!AN325)),"")</f>
        <v/>
      </c>
      <c r="AP325" s="12" t="str">
        <f ca="1">IFERROR(_xlfn.SINGLE(INDEX(#REF!,'Weekly Report'!AN325)),"")</f>
        <v/>
      </c>
    </row>
    <row r="326" spans="36:42">
      <c r="AJ326" s="12" t="str">
        <f ca="1">IFERROR(MATCH($B$114,OFFSET(#REF!,AJ325,0,1000000),0)+AJ325,"")</f>
        <v/>
      </c>
      <c r="AK326" s="17" t="str">
        <f ca="1">IFERROR(_xlfn.SINGLE(INDEX(#REF!,'Weekly Report'!AJ326)),"")</f>
        <v/>
      </c>
      <c r="AL326" s="12" t="str">
        <f ca="1">IFERROR(_xlfn.SINGLE(INDEX(#REF!,'Weekly Report'!AJ326)),"")</f>
        <v/>
      </c>
      <c r="AN326" s="12" t="str">
        <f ca="1">IFERROR(MATCH($G$115,OFFSET(#REF!,AN325,0,1000000),0)+AN325,"")</f>
        <v/>
      </c>
      <c r="AO326" s="17" t="str">
        <f ca="1">IFERROR(_xlfn.SINGLE(INDEX(#REF!,'Weekly Report'!AN326)),"")</f>
        <v/>
      </c>
      <c r="AP326" s="12" t="str">
        <f ca="1">IFERROR(_xlfn.SINGLE(INDEX(#REF!,'Weekly Report'!AN326)),"")</f>
        <v/>
      </c>
    </row>
    <row r="327" spans="36:42">
      <c r="AJ327" s="12" t="str">
        <f ca="1">IFERROR(MATCH($B$114,OFFSET(#REF!,AJ326,0,1000000),0)+AJ326,"")</f>
        <v/>
      </c>
      <c r="AK327" s="17" t="str">
        <f ca="1">IFERROR(_xlfn.SINGLE(INDEX(#REF!,'Weekly Report'!AJ327)),"")</f>
        <v/>
      </c>
      <c r="AL327" s="12" t="str">
        <f ca="1">IFERROR(_xlfn.SINGLE(INDEX(#REF!,'Weekly Report'!AJ327)),"")</f>
        <v/>
      </c>
      <c r="AN327" s="12" t="str">
        <f ca="1">IFERROR(MATCH($G$115,OFFSET(#REF!,AN326,0,1000000),0)+AN326,"")</f>
        <v/>
      </c>
      <c r="AO327" s="17" t="str">
        <f ca="1">IFERROR(_xlfn.SINGLE(INDEX(#REF!,'Weekly Report'!AN327)),"")</f>
        <v/>
      </c>
      <c r="AP327" s="12" t="str">
        <f ca="1">IFERROR(_xlfn.SINGLE(INDEX(#REF!,'Weekly Report'!AN327)),"")</f>
        <v/>
      </c>
    </row>
    <row r="328" spans="36:42">
      <c r="AJ328" s="12" t="str">
        <f ca="1">IFERROR(MATCH($B$114,OFFSET(#REF!,AJ327,0,1000000),0)+AJ327,"")</f>
        <v/>
      </c>
      <c r="AK328" s="17" t="str">
        <f ca="1">IFERROR(_xlfn.SINGLE(INDEX(#REF!,'Weekly Report'!AJ328)),"")</f>
        <v/>
      </c>
      <c r="AL328" s="12" t="str">
        <f ca="1">IFERROR(_xlfn.SINGLE(INDEX(#REF!,'Weekly Report'!AJ328)),"")</f>
        <v/>
      </c>
      <c r="AN328" s="12" t="str">
        <f ca="1">IFERROR(MATCH($G$115,OFFSET(#REF!,AN327,0,1000000),0)+AN327,"")</f>
        <v/>
      </c>
      <c r="AO328" s="17" t="str">
        <f ca="1">IFERROR(_xlfn.SINGLE(INDEX(#REF!,'Weekly Report'!AN328)),"")</f>
        <v/>
      </c>
      <c r="AP328" s="12" t="str">
        <f ca="1">IFERROR(_xlfn.SINGLE(INDEX(#REF!,'Weekly Report'!AN328)),"")</f>
        <v/>
      </c>
    </row>
    <row r="329" spans="36:42">
      <c r="AJ329" s="12" t="str">
        <f ca="1">IFERROR(MATCH($B$114,OFFSET(#REF!,AJ328,0,1000000),0)+AJ328,"")</f>
        <v/>
      </c>
      <c r="AK329" s="17" t="str">
        <f ca="1">IFERROR(_xlfn.SINGLE(INDEX(#REF!,'Weekly Report'!AJ329)),"")</f>
        <v/>
      </c>
      <c r="AL329" s="12" t="str">
        <f ca="1">IFERROR(_xlfn.SINGLE(INDEX(#REF!,'Weekly Report'!AJ329)),"")</f>
        <v/>
      </c>
      <c r="AN329" s="12" t="str">
        <f ca="1">IFERROR(MATCH($G$115,OFFSET(#REF!,AN328,0,1000000),0)+AN328,"")</f>
        <v/>
      </c>
      <c r="AO329" s="17" t="str">
        <f ca="1">IFERROR(_xlfn.SINGLE(INDEX(#REF!,'Weekly Report'!AN329)),"")</f>
        <v/>
      </c>
      <c r="AP329" s="12" t="str">
        <f ca="1">IFERROR(_xlfn.SINGLE(INDEX(#REF!,'Weekly Report'!AN329)),"")</f>
        <v/>
      </c>
    </row>
    <row r="330" spans="36:42">
      <c r="AJ330" s="12" t="str">
        <f ca="1">IFERROR(MATCH($B$114,OFFSET(#REF!,AJ329,0,1000000),0)+AJ329,"")</f>
        <v/>
      </c>
      <c r="AK330" s="17" t="str">
        <f ca="1">IFERROR(_xlfn.SINGLE(INDEX(#REF!,'Weekly Report'!AJ330)),"")</f>
        <v/>
      </c>
      <c r="AL330" s="12" t="str">
        <f ca="1">IFERROR(_xlfn.SINGLE(INDEX(#REF!,'Weekly Report'!AJ330)),"")</f>
        <v/>
      </c>
      <c r="AN330" s="12" t="str">
        <f ca="1">IFERROR(MATCH($G$115,OFFSET(#REF!,AN329,0,1000000),0)+AN329,"")</f>
        <v/>
      </c>
      <c r="AO330" s="17" t="str">
        <f ca="1">IFERROR(_xlfn.SINGLE(INDEX(#REF!,'Weekly Report'!AN330)),"")</f>
        <v/>
      </c>
      <c r="AP330" s="12" t="str">
        <f ca="1">IFERROR(_xlfn.SINGLE(INDEX(#REF!,'Weekly Report'!AN330)),"")</f>
        <v/>
      </c>
    </row>
    <row r="331" spans="36:42">
      <c r="AJ331" s="12" t="str">
        <f ca="1">IFERROR(MATCH($B$114,OFFSET(#REF!,AJ330,0,1000000),0)+AJ330,"")</f>
        <v/>
      </c>
      <c r="AK331" s="17" t="str">
        <f ca="1">IFERROR(_xlfn.SINGLE(INDEX(#REF!,'Weekly Report'!AJ331)),"")</f>
        <v/>
      </c>
      <c r="AL331" s="12" t="str">
        <f ca="1">IFERROR(_xlfn.SINGLE(INDEX(#REF!,'Weekly Report'!AJ331)),"")</f>
        <v/>
      </c>
      <c r="AN331" s="12" t="str">
        <f ca="1">IFERROR(MATCH($G$115,OFFSET(#REF!,AN330,0,1000000),0)+AN330,"")</f>
        <v/>
      </c>
      <c r="AO331" s="17" t="str">
        <f ca="1">IFERROR(_xlfn.SINGLE(INDEX(#REF!,'Weekly Report'!AN331)),"")</f>
        <v/>
      </c>
      <c r="AP331" s="12" t="str">
        <f ca="1">IFERROR(_xlfn.SINGLE(INDEX(#REF!,'Weekly Report'!AN331)),"")</f>
        <v/>
      </c>
    </row>
    <row r="332" spans="36:42">
      <c r="AJ332" s="12" t="str">
        <f ca="1">IFERROR(MATCH($B$114,OFFSET(#REF!,AJ331,0,1000000),0)+AJ331,"")</f>
        <v/>
      </c>
      <c r="AK332" s="17" t="str">
        <f ca="1">IFERROR(_xlfn.SINGLE(INDEX(#REF!,'Weekly Report'!AJ332)),"")</f>
        <v/>
      </c>
      <c r="AL332" s="12" t="str">
        <f ca="1">IFERROR(_xlfn.SINGLE(INDEX(#REF!,'Weekly Report'!AJ332)),"")</f>
        <v/>
      </c>
      <c r="AN332" s="12" t="str">
        <f ca="1">IFERROR(MATCH($G$115,OFFSET(#REF!,AN331,0,1000000),0)+AN331,"")</f>
        <v/>
      </c>
      <c r="AO332" s="17" t="str">
        <f ca="1">IFERROR(_xlfn.SINGLE(INDEX(#REF!,'Weekly Report'!AN332)),"")</f>
        <v/>
      </c>
      <c r="AP332" s="12" t="str">
        <f ca="1">IFERROR(_xlfn.SINGLE(INDEX(#REF!,'Weekly Report'!AN332)),"")</f>
        <v/>
      </c>
    </row>
    <row r="333" spans="36:42">
      <c r="AJ333" s="12" t="str">
        <f ca="1">IFERROR(MATCH($B$114,OFFSET(#REF!,AJ332,0,1000000),0)+AJ332,"")</f>
        <v/>
      </c>
      <c r="AK333" s="17" t="str">
        <f ca="1">IFERROR(_xlfn.SINGLE(INDEX(#REF!,'Weekly Report'!AJ333)),"")</f>
        <v/>
      </c>
      <c r="AL333" s="12" t="str">
        <f ca="1">IFERROR(_xlfn.SINGLE(INDEX(#REF!,'Weekly Report'!AJ333)),"")</f>
        <v/>
      </c>
      <c r="AN333" s="12" t="str">
        <f ca="1">IFERROR(MATCH($G$115,OFFSET(#REF!,AN332,0,1000000),0)+AN332,"")</f>
        <v/>
      </c>
      <c r="AO333" s="17" t="str">
        <f ca="1">IFERROR(_xlfn.SINGLE(INDEX(#REF!,'Weekly Report'!AN333)),"")</f>
        <v/>
      </c>
      <c r="AP333" s="12" t="str">
        <f ca="1">IFERROR(_xlfn.SINGLE(INDEX(#REF!,'Weekly Report'!AN333)),"")</f>
        <v/>
      </c>
    </row>
    <row r="334" spans="36:42">
      <c r="AJ334" s="12" t="str">
        <f ca="1">IFERROR(MATCH($B$114,OFFSET(#REF!,AJ333,0,1000000),0)+AJ333,"")</f>
        <v/>
      </c>
      <c r="AK334" s="17" t="str">
        <f ca="1">IFERROR(_xlfn.SINGLE(INDEX(#REF!,'Weekly Report'!AJ334)),"")</f>
        <v/>
      </c>
      <c r="AL334" s="12" t="str">
        <f ca="1">IFERROR(_xlfn.SINGLE(INDEX(#REF!,'Weekly Report'!AJ334)),"")</f>
        <v/>
      </c>
      <c r="AN334" s="12" t="str">
        <f ca="1">IFERROR(MATCH($G$115,OFFSET(#REF!,AN333,0,1000000),0)+AN333,"")</f>
        <v/>
      </c>
      <c r="AO334" s="17" t="str">
        <f ca="1">IFERROR(_xlfn.SINGLE(INDEX(#REF!,'Weekly Report'!AN334)),"")</f>
        <v/>
      </c>
      <c r="AP334" s="12" t="str">
        <f ca="1">IFERROR(_xlfn.SINGLE(INDEX(#REF!,'Weekly Report'!AN334)),"")</f>
        <v/>
      </c>
    </row>
    <row r="335" spans="36:42">
      <c r="AJ335" s="12" t="str">
        <f ca="1">IFERROR(MATCH($B$114,OFFSET(#REF!,AJ334,0,1000000),0)+AJ334,"")</f>
        <v/>
      </c>
      <c r="AK335" s="17" t="str">
        <f ca="1">IFERROR(_xlfn.SINGLE(INDEX(#REF!,'Weekly Report'!AJ335)),"")</f>
        <v/>
      </c>
      <c r="AL335" s="12" t="str">
        <f ca="1">IFERROR(_xlfn.SINGLE(INDEX(#REF!,'Weekly Report'!AJ335)),"")</f>
        <v/>
      </c>
      <c r="AN335" s="12" t="str">
        <f ca="1">IFERROR(MATCH($G$115,OFFSET(#REF!,AN334,0,1000000),0)+AN334,"")</f>
        <v/>
      </c>
      <c r="AO335" s="17" t="str">
        <f ca="1">IFERROR(_xlfn.SINGLE(INDEX(#REF!,'Weekly Report'!AN335)),"")</f>
        <v/>
      </c>
      <c r="AP335" s="12" t="str">
        <f ca="1">IFERROR(_xlfn.SINGLE(INDEX(#REF!,'Weekly Report'!AN335)),"")</f>
        <v/>
      </c>
    </row>
    <row r="336" spans="36:42">
      <c r="AJ336" s="12" t="str">
        <f ca="1">IFERROR(MATCH($B$114,OFFSET(#REF!,AJ335,0,1000000),0)+AJ335,"")</f>
        <v/>
      </c>
      <c r="AK336" s="17" t="str">
        <f ca="1">IFERROR(_xlfn.SINGLE(INDEX(#REF!,'Weekly Report'!AJ336)),"")</f>
        <v/>
      </c>
      <c r="AL336" s="12" t="str">
        <f ca="1">IFERROR(_xlfn.SINGLE(INDEX(#REF!,'Weekly Report'!AJ336)),"")</f>
        <v/>
      </c>
      <c r="AN336" s="12" t="str">
        <f ca="1">IFERROR(MATCH($G$115,OFFSET(#REF!,AN335,0,1000000),0)+AN335,"")</f>
        <v/>
      </c>
      <c r="AO336" s="17" t="str">
        <f ca="1">IFERROR(_xlfn.SINGLE(INDEX(#REF!,'Weekly Report'!AN336)),"")</f>
        <v/>
      </c>
      <c r="AP336" s="12" t="str">
        <f ca="1">IFERROR(_xlfn.SINGLE(INDEX(#REF!,'Weekly Report'!AN336)),"")</f>
        <v/>
      </c>
    </row>
    <row r="337" spans="36:42">
      <c r="AJ337" s="12" t="str">
        <f ca="1">IFERROR(MATCH($B$114,OFFSET(#REF!,AJ336,0,1000000),0)+AJ336,"")</f>
        <v/>
      </c>
      <c r="AK337" s="17" t="str">
        <f ca="1">IFERROR(_xlfn.SINGLE(INDEX(#REF!,'Weekly Report'!AJ337)),"")</f>
        <v/>
      </c>
      <c r="AL337" s="12" t="str">
        <f ca="1">IFERROR(_xlfn.SINGLE(INDEX(#REF!,'Weekly Report'!AJ337)),"")</f>
        <v/>
      </c>
      <c r="AN337" s="12" t="str">
        <f ca="1">IFERROR(MATCH($G$115,OFFSET(#REF!,AN336,0,1000000),0)+AN336,"")</f>
        <v/>
      </c>
      <c r="AO337" s="17" t="str">
        <f ca="1">IFERROR(_xlfn.SINGLE(INDEX(#REF!,'Weekly Report'!AN337)),"")</f>
        <v/>
      </c>
      <c r="AP337" s="12" t="str">
        <f ca="1">IFERROR(_xlfn.SINGLE(INDEX(#REF!,'Weekly Report'!AN337)),"")</f>
        <v/>
      </c>
    </row>
    <row r="338" spans="36:42">
      <c r="AJ338" s="12" t="str">
        <f ca="1">IFERROR(MATCH($B$114,OFFSET(#REF!,AJ337,0,1000000),0)+AJ337,"")</f>
        <v/>
      </c>
      <c r="AK338" s="17" t="str">
        <f ca="1">IFERROR(_xlfn.SINGLE(INDEX(#REF!,'Weekly Report'!AJ338)),"")</f>
        <v/>
      </c>
      <c r="AL338" s="12" t="str">
        <f ca="1">IFERROR(_xlfn.SINGLE(INDEX(#REF!,'Weekly Report'!AJ338)),"")</f>
        <v/>
      </c>
      <c r="AN338" s="12" t="str">
        <f ca="1">IFERROR(MATCH($G$115,OFFSET(#REF!,AN337,0,1000000),0)+AN337,"")</f>
        <v/>
      </c>
      <c r="AO338" s="17" t="str">
        <f ca="1">IFERROR(_xlfn.SINGLE(INDEX(#REF!,'Weekly Report'!AN338)),"")</f>
        <v/>
      </c>
      <c r="AP338" s="12" t="str">
        <f ca="1">IFERROR(_xlfn.SINGLE(INDEX(#REF!,'Weekly Report'!AN338)),"")</f>
        <v/>
      </c>
    </row>
    <row r="339" spans="36:42">
      <c r="AJ339" s="12" t="str">
        <f ca="1">IFERROR(MATCH($B$114,OFFSET(#REF!,AJ338,0,1000000),0)+AJ338,"")</f>
        <v/>
      </c>
      <c r="AK339" s="17" t="str">
        <f ca="1">IFERROR(_xlfn.SINGLE(INDEX(#REF!,'Weekly Report'!AJ339)),"")</f>
        <v/>
      </c>
      <c r="AL339" s="12" t="str">
        <f ca="1">IFERROR(_xlfn.SINGLE(INDEX(#REF!,'Weekly Report'!AJ339)),"")</f>
        <v/>
      </c>
      <c r="AN339" s="12" t="str">
        <f ca="1">IFERROR(MATCH($G$115,OFFSET(#REF!,AN338,0,1000000),0)+AN338,"")</f>
        <v/>
      </c>
      <c r="AO339" s="17" t="str">
        <f ca="1">IFERROR(_xlfn.SINGLE(INDEX(#REF!,'Weekly Report'!AN339)),"")</f>
        <v/>
      </c>
      <c r="AP339" s="12" t="str">
        <f ca="1">IFERROR(_xlfn.SINGLE(INDEX(#REF!,'Weekly Report'!AN339)),"")</f>
        <v/>
      </c>
    </row>
    <row r="340" spans="36:42">
      <c r="AJ340" s="12" t="str">
        <f ca="1">IFERROR(MATCH($B$114,OFFSET(#REF!,AJ339,0,1000000),0)+AJ339,"")</f>
        <v/>
      </c>
      <c r="AK340" s="17" t="str">
        <f ca="1">IFERROR(_xlfn.SINGLE(INDEX(#REF!,'Weekly Report'!AJ340)),"")</f>
        <v/>
      </c>
      <c r="AL340" s="12" t="str">
        <f ca="1">IFERROR(_xlfn.SINGLE(INDEX(#REF!,'Weekly Report'!AJ340)),"")</f>
        <v/>
      </c>
      <c r="AN340" s="12" t="str">
        <f ca="1">IFERROR(MATCH($G$115,OFFSET(#REF!,AN339,0,1000000),0)+AN339,"")</f>
        <v/>
      </c>
      <c r="AO340" s="17" t="str">
        <f ca="1">IFERROR(_xlfn.SINGLE(INDEX(#REF!,'Weekly Report'!AN340)),"")</f>
        <v/>
      </c>
      <c r="AP340" s="12" t="str">
        <f ca="1">IFERROR(_xlfn.SINGLE(INDEX(#REF!,'Weekly Report'!AN340)),"")</f>
        <v/>
      </c>
    </row>
    <row r="341" spans="36:42">
      <c r="AJ341" s="12" t="str">
        <f ca="1">IFERROR(MATCH($B$114,OFFSET(#REF!,AJ340,0,1000000),0)+AJ340,"")</f>
        <v/>
      </c>
      <c r="AK341" s="17" t="str">
        <f ca="1">IFERROR(_xlfn.SINGLE(INDEX(#REF!,'Weekly Report'!AJ341)),"")</f>
        <v/>
      </c>
      <c r="AL341" s="12" t="str">
        <f ca="1">IFERROR(_xlfn.SINGLE(INDEX(#REF!,'Weekly Report'!AJ341)),"")</f>
        <v/>
      </c>
      <c r="AN341" s="12" t="str">
        <f ca="1">IFERROR(MATCH($G$115,OFFSET(#REF!,AN340,0,1000000),0)+AN340,"")</f>
        <v/>
      </c>
      <c r="AO341" s="17" t="str">
        <f ca="1">IFERROR(_xlfn.SINGLE(INDEX(#REF!,'Weekly Report'!AN341)),"")</f>
        <v/>
      </c>
      <c r="AP341" s="12" t="str">
        <f ca="1">IFERROR(_xlfn.SINGLE(INDEX(#REF!,'Weekly Report'!AN341)),"")</f>
        <v/>
      </c>
    </row>
    <row r="342" spans="36:42">
      <c r="AJ342" s="12" t="str">
        <f ca="1">IFERROR(MATCH($B$114,OFFSET(#REF!,AJ341,0,1000000),0)+AJ341,"")</f>
        <v/>
      </c>
      <c r="AK342" s="17" t="str">
        <f ca="1">IFERROR(_xlfn.SINGLE(INDEX(#REF!,'Weekly Report'!AJ342)),"")</f>
        <v/>
      </c>
      <c r="AL342" s="12" t="str">
        <f ca="1">IFERROR(_xlfn.SINGLE(INDEX(#REF!,'Weekly Report'!AJ342)),"")</f>
        <v/>
      </c>
      <c r="AN342" s="12" t="str">
        <f ca="1">IFERROR(MATCH($G$115,OFFSET(#REF!,AN341,0,1000000),0)+AN341,"")</f>
        <v/>
      </c>
      <c r="AO342" s="17" t="str">
        <f ca="1">IFERROR(_xlfn.SINGLE(INDEX(#REF!,'Weekly Report'!AN342)),"")</f>
        <v/>
      </c>
      <c r="AP342" s="12" t="str">
        <f ca="1">IFERROR(_xlfn.SINGLE(INDEX(#REF!,'Weekly Report'!AN342)),"")</f>
        <v/>
      </c>
    </row>
    <row r="343" spans="36:42">
      <c r="AJ343" s="12" t="str">
        <f ca="1">IFERROR(MATCH($B$114,OFFSET(#REF!,AJ342,0,1000000),0)+AJ342,"")</f>
        <v/>
      </c>
      <c r="AK343" s="17" t="str">
        <f ca="1">IFERROR(_xlfn.SINGLE(INDEX(#REF!,'Weekly Report'!AJ343)),"")</f>
        <v/>
      </c>
      <c r="AL343" s="12" t="str">
        <f ca="1">IFERROR(_xlfn.SINGLE(INDEX(#REF!,'Weekly Report'!AJ343)),"")</f>
        <v/>
      </c>
      <c r="AN343" s="12" t="str">
        <f ca="1">IFERROR(MATCH($G$115,OFFSET(#REF!,AN342,0,1000000),0)+AN342,"")</f>
        <v/>
      </c>
      <c r="AO343" s="17" t="str">
        <f ca="1">IFERROR(_xlfn.SINGLE(INDEX(#REF!,'Weekly Report'!AN343)),"")</f>
        <v/>
      </c>
      <c r="AP343" s="12" t="str">
        <f ca="1">IFERROR(_xlfn.SINGLE(INDEX(#REF!,'Weekly Report'!AN343)),"")</f>
        <v/>
      </c>
    </row>
    <row r="344" spans="36:42">
      <c r="AJ344" s="12" t="str">
        <f ca="1">IFERROR(MATCH($B$114,OFFSET(#REF!,AJ343,0,1000000),0)+AJ343,"")</f>
        <v/>
      </c>
      <c r="AK344" s="17" t="str">
        <f ca="1">IFERROR(_xlfn.SINGLE(INDEX(#REF!,'Weekly Report'!AJ344)),"")</f>
        <v/>
      </c>
      <c r="AL344" s="12" t="str">
        <f ca="1">IFERROR(_xlfn.SINGLE(INDEX(#REF!,'Weekly Report'!AJ344)),"")</f>
        <v/>
      </c>
      <c r="AN344" s="12" t="str">
        <f ca="1">IFERROR(MATCH($G$115,OFFSET(#REF!,AN343,0,1000000),0)+AN343,"")</f>
        <v/>
      </c>
      <c r="AO344" s="17" t="str">
        <f ca="1">IFERROR(_xlfn.SINGLE(INDEX(#REF!,'Weekly Report'!AN344)),"")</f>
        <v/>
      </c>
      <c r="AP344" s="12" t="str">
        <f ca="1">IFERROR(_xlfn.SINGLE(INDEX(#REF!,'Weekly Report'!AN344)),"")</f>
        <v/>
      </c>
    </row>
    <row r="345" spans="36:42">
      <c r="AJ345" s="12" t="str">
        <f ca="1">IFERROR(MATCH($B$114,OFFSET(#REF!,AJ344,0,1000000),0)+AJ344,"")</f>
        <v/>
      </c>
      <c r="AK345" s="17" t="str">
        <f ca="1">IFERROR(_xlfn.SINGLE(INDEX(#REF!,'Weekly Report'!AJ345)),"")</f>
        <v/>
      </c>
      <c r="AL345" s="12" t="str">
        <f ca="1">IFERROR(_xlfn.SINGLE(INDEX(#REF!,'Weekly Report'!AJ345)),"")</f>
        <v/>
      </c>
      <c r="AN345" s="12" t="str">
        <f ca="1">IFERROR(MATCH($G$115,OFFSET(#REF!,AN344,0,1000000),0)+AN344,"")</f>
        <v/>
      </c>
      <c r="AO345" s="17" t="str">
        <f ca="1">IFERROR(_xlfn.SINGLE(INDEX(#REF!,'Weekly Report'!AN345)),"")</f>
        <v/>
      </c>
      <c r="AP345" s="12" t="str">
        <f ca="1">IFERROR(_xlfn.SINGLE(INDEX(#REF!,'Weekly Report'!AN345)),"")</f>
        <v/>
      </c>
    </row>
    <row r="346" spans="36:42">
      <c r="AJ346" s="12" t="str">
        <f ca="1">IFERROR(MATCH($B$114,OFFSET(#REF!,AJ345,0,1000000),0)+AJ345,"")</f>
        <v/>
      </c>
      <c r="AK346" s="17" t="str">
        <f ca="1">IFERROR(_xlfn.SINGLE(INDEX(#REF!,'Weekly Report'!AJ346)),"")</f>
        <v/>
      </c>
      <c r="AL346" s="12" t="str">
        <f ca="1">IFERROR(_xlfn.SINGLE(INDEX(#REF!,'Weekly Report'!AJ346)),"")</f>
        <v/>
      </c>
      <c r="AN346" s="12" t="str">
        <f ca="1">IFERROR(MATCH($G$115,OFFSET(#REF!,AN345,0,1000000),0)+AN345,"")</f>
        <v/>
      </c>
      <c r="AO346" s="17" t="str">
        <f ca="1">IFERROR(_xlfn.SINGLE(INDEX(#REF!,'Weekly Report'!AN346)),"")</f>
        <v/>
      </c>
      <c r="AP346" s="12" t="str">
        <f ca="1">IFERROR(_xlfn.SINGLE(INDEX(#REF!,'Weekly Report'!AN346)),"")</f>
        <v/>
      </c>
    </row>
    <row r="347" spans="36:42">
      <c r="AJ347" s="12" t="str">
        <f ca="1">IFERROR(MATCH($B$114,OFFSET(#REF!,AJ346,0,1000000),0)+AJ346,"")</f>
        <v/>
      </c>
      <c r="AK347" s="17" t="str">
        <f ca="1">IFERROR(_xlfn.SINGLE(INDEX(#REF!,'Weekly Report'!AJ347)),"")</f>
        <v/>
      </c>
      <c r="AL347" s="12" t="str">
        <f ca="1">IFERROR(_xlfn.SINGLE(INDEX(#REF!,'Weekly Report'!AJ347)),"")</f>
        <v/>
      </c>
      <c r="AN347" s="12" t="str">
        <f ca="1">IFERROR(MATCH($G$115,OFFSET(#REF!,AN346,0,1000000),0)+AN346,"")</f>
        <v/>
      </c>
      <c r="AO347" s="17" t="str">
        <f ca="1">IFERROR(_xlfn.SINGLE(INDEX(#REF!,'Weekly Report'!AN347)),"")</f>
        <v/>
      </c>
      <c r="AP347" s="12" t="str">
        <f ca="1">IFERROR(_xlfn.SINGLE(INDEX(#REF!,'Weekly Report'!AN347)),"")</f>
        <v/>
      </c>
    </row>
    <row r="348" spans="36:42">
      <c r="AJ348" s="12" t="str">
        <f ca="1">IFERROR(MATCH($B$114,OFFSET(#REF!,AJ347,0,1000000),0)+AJ347,"")</f>
        <v/>
      </c>
      <c r="AK348" s="17" t="str">
        <f ca="1">IFERROR(_xlfn.SINGLE(INDEX(#REF!,'Weekly Report'!AJ348)),"")</f>
        <v/>
      </c>
      <c r="AL348" s="12" t="str">
        <f ca="1">IFERROR(_xlfn.SINGLE(INDEX(#REF!,'Weekly Report'!AJ348)),"")</f>
        <v/>
      </c>
      <c r="AN348" s="12" t="str">
        <f ca="1">IFERROR(MATCH($G$115,OFFSET(#REF!,AN347,0,1000000),0)+AN347,"")</f>
        <v/>
      </c>
      <c r="AO348" s="17" t="str">
        <f ca="1">IFERROR(_xlfn.SINGLE(INDEX(#REF!,'Weekly Report'!AN348)),"")</f>
        <v/>
      </c>
      <c r="AP348" s="12" t="str">
        <f ca="1">IFERROR(_xlfn.SINGLE(INDEX(#REF!,'Weekly Report'!AN348)),"")</f>
        <v/>
      </c>
    </row>
    <row r="349" spans="36:42">
      <c r="AJ349" s="12" t="str">
        <f ca="1">IFERROR(MATCH($B$114,OFFSET(#REF!,AJ348,0,1000000),0)+AJ348,"")</f>
        <v/>
      </c>
      <c r="AK349" s="17" t="str">
        <f ca="1">IFERROR(_xlfn.SINGLE(INDEX(#REF!,'Weekly Report'!AJ349)),"")</f>
        <v/>
      </c>
      <c r="AL349" s="12" t="str">
        <f ca="1">IFERROR(_xlfn.SINGLE(INDEX(#REF!,'Weekly Report'!AJ349)),"")</f>
        <v/>
      </c>
      <c r="AN349" s="12" t="str">
        <f ca="1">IFERROR(MATCH($G$115,OFFSET(#REF!,AN348,0,1000000),0)+AN348,"")</f>
        <v/>
      </c>
      <c r="AO349" s="17" t="str">
        <f ca="1">IFERROR(_xlfn.SINGLE(INDEX(#REF!,'Weekly Report'!AN349)),"")</f>
        <v/>
      </c>
      <c r="AP349" s="12" t="str">
        <f ca="1">IFERROR(_xlfn.SINGLE(INDEX(#REF!,'Weekly Report'!AN349)),"")</f>
        <v/>
      </c>
    </row>
    <row r="350" spans="36:42">
      <c r="AJ350" s="12" t="str">
        <f ca="1">IFERROR(MATCH($B$114,OFFSET(#REF!,AJ349,0,1000000),0)+AJ349,"")</f>
        <v/>
      </c>
      <c r="AK350" s="17" t="str">
        <f ca="1">IFERROR(_xlfn.SINGLE(INDEX(#REF!,'Weekly Report'!AJ350)),"")</f>
        <v/>
      </c>
      <c r="AL350" s="12" t="str">
        <f ca="1">IFERROR(_xlfn.SINGLE(INDEX(#REF!,'Weekly Report'!AJ350)),"")</f>
        <v/>
      </c>
      <c r="AN350" s="12" t="str">
        <f ca="1">IFERROR(MATCH($G$115,OFFSET(#REF!,AN349,0,1000000),0)+AN349,"")</f>
        <v/>
      </c>
      <c r="AO350" s="17" t="str">
        <f ca="1">IFERROR(_xlfn.SINGLE(INDEX(#REF!,'Weekly Report'!AN350)),"")</f>
        <v/>
      </c>
      <c r="AP350" s="12" t="str">
        <f ca="1">IFERROR(_xlfn.SINGLE(INDEX(#REF!,'Weekly Report'!AN350)),"")</f>
        <v/>
      </c>
    </row>
    <row r="351" spans="36:42">
      <c r="AJ351" s="12" t="str">
        <f ca="1">IFERROR(MATCH($B$114,OFFSET(#REF!,AJ350,0,1000000),0)+AJ350,"")</f>
        <v/>
      </c>
      <c r="AK351" s="17" t="str">
        <f ca="1">IFERROR(_xlfn.SINGLE(INDEX(#REF!,'Weekly Report'!AJ351)),"")</f>
        <v/>
      </c>
      <c r="AL351" s="12" t="str">
        <f ca="1">IFERROR(_xlfn.SINGLE(INDEX(#REF!,'Weekly Report'!AJ351)),"")</f>
        <v/>
      </c>
      <c r="AN351" s="12" t="str">
        <f ca="1">IFERROR(MATCH($G$115,OFFSET(#REF!,AN350,0,1000000),0)+AN350,"")</f>
        <v/>
      </c>
      <c r="AO351" s="17" t="str">
        <f ca="1">IFERROR(_xlfn.SINGLE(INDEX(#REF!,'Weekly Report'!AN351)),"")</f>
        <v/>
      </c>
      <c r="AP351" s="12" t="str">
        <f ca="1">IFERROR(_xlfn.SINGLE(INDEX(#REF!,'Weekly Report'!AN351)),"")</f>
        <v/>
      </c>
    </row>
    <row r="352" spans="36:42">
      <c r="AJ352" s="12" t="str">
        <f ca="1">IFERROR(MATCH($B$114,OFFSET(#REF!,AJ351,0,1000000),0)+AJ351,"")</f>
        <v/>
      </c>
      <c r="AK352" s="17" t="str">
        <f ca="1">IFERROR(_xlfn.SINGLE(INDEX(#REF!,'Weekly Report'!AJ352)),"")</f>
        <v/>
      </c>
      <c r="AL352" s="12" t="str">
        <f ca="1">IFERROR(_xlfn.SINGLE(INDEX(#REF!,'Weekly Report'!AJ352)),"")</f>
        <v/>
      </c>
      <c r="AN352" s="12" t="str">
        <f ca="1">IFERROR(MATCH($G$115,OFFSET(#REF!,AN351,0,1000000),0)+AN351,"")</f>
        <v/>
      </c>
      <c r="AO352" s="17" t="str">
        <f ca="1">IFERROR(_xlfn.SINGLE(INDEX(#REF!,'Weekly Report'!AN352)),"")</f>
        <v/>
      </c>
      <c r="AP352" s="12" t="str">
        <f ca="1">IFERROR(_xlfn.SINGLE(INDEX(#REF!,'Weekly Report'!AN352)),"")</f>
        <v/>
      </c>
    </row>
    <row r="353" spans="36:42">
      <c r="AJ353" s="12" t="str">
        <f ca="1">IFERROR(MATCH($B$114,OFFSET(#REF!,AJ352,0,1000000),0)+AJ352,"")</f>
        <v/>
      </c>
      <c r="AK353" s="17" t="str">
        <f ca="1">IFERROR(_xlfn.SINGLE(INDEX(#REF!,'Weekly Report'!AJ353)),"")</f>
        <v/>
      </c>
      <c r="AL353" s="12" t="str">
        <f ca="1">IFERROR(_xlfn.SINGLE(INDEX(#REF!,'Weekly Report'!AJ353)),"")</f>
        <v/>
      </c>
      <c r="AN353" s="12" t="str">
        <f ca="1">IFERROR(MATCH($G$115,OFFSET(#REF!,AN352,0,1000000),0)+AN352,"")</f>
        <v/>
      </c>
      <c r="AO353" s="17" t="str">
        <f ca="1">IFERROR(_xlfn.SINGLE(INDEX(#REF!,'Weekly Report'!AN353)),"")</f>
        <v/>
      </c>
      <c r="AP353" s="12" t="str">
        <f ca="1">IFERROR(_xlfn.SINGLE(INDEX(#REF!,'Weekly Report'!AN353)),"")</f>
        <v/>
      </c>
    </row>
    <row r="354" spans="36:42">
      <c r="AJ354" s="12" t="str">
        <f ca="1">IFERROR(MATCH($B$114,OFFSET(#REF!,AJ353,0,1000000),0)+AJ353,"")</f>
        <v/>
      </c>
      <c r="AK354" s="17" t="str">
        <f ca="1">IFERROR(_xlfn.SINGLE(INDEX(#REF!,'Weekly Report'!AJ354)),"")</f>
        <v/>
      </c>
      <c r="AL354" s="12" t="str">
        <f ca="1">IFERROR(_xlfn.SINGLE(INDEX(#REF!,'Weekly Report'!AJ354)),"")</f>
        <v/>
      </c>
      <c r="AN354" s="12" t="str">
        <f ca="1">IFERROR(MATCH($G$115,OFFSET(#REF!,AN353,0,1000000),0)+AN353,"")</f>
        <v/>
      </c>
      <c r="AO354" s="17" t="str">
        <f ca="1">IFERROR(_xlfn.SINGLE(INDEX(#REF!,'Weekly Report'!AN354)),"")</f>
        <v/>
      </c>
      <c r="AP354" s="12" t="str">
        <f ca="1">IFERROR(_xlfn.SINGLE(INDEX(#REF!,'Weekly Report'!AN354)),"")</f>
        <v/>
      </c>
    </row>
    <row r="355" spans="36:42">
      <c r="AJ355" s="12" t="str">
        <f ca="1">IFERROR(MATCH($B$114,OFFSET(#REF!,AJ354,0,1000000),0)+AJ354,"")</f>
        <v/>
      </c>
      <c r="AK355" s="17" t="str">
        <f ca="1">IFERROR(_xlfn.SINGLE(INDEX(#REF!,'Weekly Report'!AJ355)),"")</f>
        <v/>
      </c>
      <c r="AL355" s="12" t="str">
        <f ca="1">IFERROR(_xlfn.SINGLE(INDEX(#REF!,'Weekly Report'!AJ355)),"")</f>
        <v/>
      </c>
      <c r="AN355" s="12" t="str">
        <f ca="1">IFERROR(MATCH($G$115,OFFSET(#REF!,AN354,0,1000000),0)+AN354,"")</f>
        <v/>
      </c>
      <c r="AO355" s="17" t="str">
        <f ca="1">IFERROR(_xlfn.SINGLE(INDEX(#REF!,'Weekly Report'!AN355)),"")</f>
        <v/>
      </c>
      <c r="AP355" s="12" t="str">
        <f ca="1">IFERROR(_xlfn.SINGLE(INDEX(#REF!,'Weekly Report'!AN355)),"")</f>
        <v/>
      </c>
    </row>
    <row r="356" spans="36:42">
      <c r="AJ356" s="12" t="str">
        <f ca="1">IFERROR(MATCH($B$114,OFFSET(#REF!,AJ355,0,1000000),0)+AJ355,"")</f>
        <v/>
      </c>
      <c r="AK356" s="17" t="str">
        <f ca="1">IFERROR(_xlfn.SINGLE(INDEX(#REF!,'Weekly Report'!AJ356)),"")</f>
        <v/>
      </c>
      <c r="AL356" s="12" t="str">
        <f ca="1">IFERROR(_xlfn.SINGLE(INDEX(#REF!,'Weekly Report'!AJ356)),"")</f>
        <v/>
      </c>
      <c r="AN356" s="12" t="str">
        <f ca="1">IFERROR(MATCH($G$115,OFFSET(#REF!,AN355,0,1000000),0)+AN355,"")</f>
        <v/>
      </c>
      <c r="AO356" s="17" t="str">
        <f ca="1">IFERROR(_xlfn.SINGLE(INDEX(#REF!,'Weekly Report'!AN356)),"")</f>
        <v/>
      </c>
      <c r="AP356" s="12" t="str">
        <f ca="1">IFERROR(_xlfn.SINGLE(INDEX(#REF!,'Weekly Report'!AN356)),"")</f>
        <v/>
      </c>
    </row>
    <row r="357" spans="36:42">
      <c r="AJ357" s="12" t="str">
        <f ca="1">IFERROR(MATCH($B$114,OFFSET(#REF!,AJ356,0,1000000),0)+AJ356,"")</f>
        <v/>
      </c>
      <c r="AK357" s="17" t="str">
        <f ca="1">IFERROR(_xlfn.SINGLE(INDEX(#REF!,'Weekly Report'!AJ357)),"")</f>
        <v/>
      </c>
      <c r="AL357" s="12" t="str">
        <f ca="1">IFERROR(_xlfn.SINGLE(INDEX(#REF!,'Weekly Report'!AJ357)),"")</f>
        <v/>
      </c>
      <c r="AN357" s="12" t="str">
        <f ca="1">IFERROR(MATCH($G$115,OFFSET(#REF!,AN356,0,1000000),0)+AN356,"")</f>
        <v/>
      </c>
      <c r="AO357" s="17" t="str">
        <f ca="1">IFERROR(_xlfn.SINGLE(INDEX(#REF!,'Weekly Report'!AN357)),"")</f>
        <v/>
      </c>
      <c r="AP357" s="12" t="str">
        <f ca="1">IFERROR(_xlfn.SINGLE(INDEX(#REF!,'Weekly Report'!AN357)),"")</f>
        <v/>
      </c>
    </row>
    <row r="358" spans="36:42">
      <c r="AJ358" s="12" t="str">
        <f ca="1">IFERROR(MATCH($B$114,OFFSET(#REF!,AJ357,0,1000000),0)+AJ357,"")</f>
        <v/>
      </c>
      <c r="AK358" s="17" t="str">
        <f ca="1">IFERROR(_xlfn.SINGLE(INDEX(#REF!,'Weekly Report'!AJ358)),"")</f>
        <v/>
      </c>
      <c r="AL358" s="12" t="str">
        <f ca="1">IFERROR(_xlfn.SINGLE(INDEX(#REF!,'Weekly Report'!AJ358)),"")</f>
        <v/>
      </c>
      <c r="AN358" s="12" t="str">
        <f ca="1">IFERROR(MATCH($G$115,OFFSET(#REF!,AN357,0,1000000),0)+AN357,"")</f>
        <v/>
      </c>
      <c r="AO358" s="17" t="str">
        <f ca="1">IFERROR(_xlfn.SINGLE(INDEX(#REF!,'Weekly Report'!AN358)),"")</f>
        <v/>
      </c>
      <c r="AP358" s="12" t="str">
        <f ca="1">IFERROR(_xlfn.SINGLE(INDEX(#REF!,'Weekly Report'!AN358)),"")</f>
        <v/>
      </c>
    </row>
    <row r="359" spans="36:42">
      <c r="AJ359" s="12" t="str">
        <f ca="1">IFERROR(MATCH($B$114,OFFSET(#REF!,AJ358,0,1000000),0)+AJ358,"")</f>
        <v/>
      </c>
      <c r="AK359" s="17" t="str">
        <f ca="1">IFERROR(_xlfn.SINGLE(INDEX(#REF!,'Weekly Report'!AJ359)),"")</f>
        <v/>
      </c>
      <c r="AL359" s="12" t="str">
        <f ca="1">IFERROR(_xlfn.SINGLE(INDEX(#REF!,'Weekly Report'!AJ359)),"")</f>
        <v/>
      </c>
      <c r="AN359" s="12" t="str">
        <f ca="1">IFERROR(MATCH($G$115,OFFSET(#REF!,AN358,0,1000000),0)+AN358,"")</f>
        <v/>
      </c>
      <c r="AO359" s="17" t="str">
        <f ca="1">IFERROR(_xlfn.SINGLE(INDEX(#REF!,'Weekly Report'!AN359)),"")</f>
        <v/>
      </c>
      <c r="AP359" s="12" t="str">
        <f ca="1">IFERROR(_xlfn.SINGLE(INDEX(#REF!,'Weekly Report'!AN359)),"")</f>
        <v/>
      </c>
    </row>
    <row r="360" spans="36:42">
      <c r="AJ360" s="12" t="str">
        <f ca="1">IFERROR(MATCH($B$114,OFFSET(#REF!,AJ359,0,1000000),0)+AJ359,"")</f>
        <v/>
      </c>
      <c r="AK360" s="17" t="str">
        <f ca="1">IFERROR(_xlfn.SINGLE(INDEX(#REF!,'Weekly Report'!AJ360)),"")</f>
        <v/>
      </c>
      <c r="AL360" s="12" t="str">
        <f ca="1">IFERROR(_xlfn.SINGLE(INDEX(#REF!,'Weekly Report'!AJ360)),"")</f>
        <v/>
      </c>
      <c r="AN360" s="12" t="str">
        <f ca="1">IFERROR(MATCH($G$115,OFFSET(#REF!,AN359,0,1000000),0)+AN359,"")</f>
        <v/>
      </c>
      <c r="AO360" s="17" t="str">
        <f ca="1">IFERROR(_xlfn.SINGLE(INDEX(#REF!,'Weekly Report'!AN360)),"")</f>
        <v/>
      </c>
      <c r="AP360" s="12" t="str">
        <f ca="1">IFERROR(_xlfn.SINGLE(INDEX(#REF!,'Weekly Report'!AN360)),"")</f>
        <v/>
      </c>
    </row>
    <row r="361" spans="36:42">
      <c r="AJ361" s="12" t="str">
        <f ca="1">IFERROR(MATCH($B$114,OFFSET(#REF!,AJ360,0,1000000),0)+AJ360,"")</f>
        <v/>
      </c>
      <c r="AK361" s="17" t="str">
        <f ca="1">IFERROR(_xlfn.SINGLE(INDEX(#REF!,'Weekly Report'!AJ361)),"")</f>
        <v/>
      </c>
      <c r="AL361" s="12" t="str">
        <f ca="1">IFERROR(_xlfn.SINGLE(INDEX(#REF!,'Weekly Report'!AJ361)),"")</f>
        <v/>
      </c>
      <c r="AN361" s="12" t="str">
        <f ca="1">IFERROR(MATCH($G$115,OFFSET(#REF!,AN360,0,1000000),0)+AN360,"")</f>
        <v/>
      </c>
      <c r="AO361" s="17" t="str">
        <f ca="1">IFERROR(_xlfn.SINGLE(INDEX(#REF!,'Weekly Report'!AN361)),"")</f>
        <v/>
      </c>
      <c r="AP361" s="12" t="str">
        <f ca="1">IFERROR(_xlfn.SINGLE(INDEX(#REF!,'Weekly Report'!AN361)),"")</f>
        <v/>
      </c>
    </row>
    <row r="362" spans="36:42">
      <c r="AJ362" s="12" t="str">
        <f ca="1">IFERROR(MATCH($B$114,OFFSET(#REF!,AJ361,0,1000000),0)+AJ361,"")</f>
        <v/>
      </c>
      <c r="AK362" s="17" t="str">
        <f ca="1">IFERROR(_xlfn.SINGLE(INDEX(#REF!,'Weekly Report'!AJ362)),"")</f>
        <v/>
      </c>
      <c r="AL362" s="12" t="str">
        <f ca="1">IFERROR(_xlfn.SINGLE(INDEX(#REF!,'Weekly Report'!AJ362)),"")</f>
        <v/>
      </c>
      <c r="AN362" s="12" t="str">
        <f ca="1">IFERROR(MATCH($G$115,OFFSET(#REF!,AN361,0,1000000),0)+AN361,"")</f>
        <v/>
      </c>
      <c r="AO362" s="17" t="str">
        <f ca="1">IFERROR(_xlfn.SINGLE(INDEX(#REF!,'Weekly Report'!AN362)),"")</f>
        <v/>
      </c>
      <c r="AP362" s="12" t="str">
        <f ca="1">IFERROR(_xlfn.SINGLE(INDEX(#REF!,'Weekly Report'!AN362)),"")</f>
        <v/>
      </c>
    </row>
    <row r="363" spans="36:42">
      <c r="AJ363" s="12" t="str">
        <f ca="1">IFERROR(MATCH($B$114,OFFSET(#REF!,AJ362,0,1000000),0)+AJ362,"")</f>
        <v/>
      </c>
      <c r="AK363" s="17" t="str">
        <f ca="1">IFERROR(_xlfn.SINGLE(INDEX(#REF!,'Weekly Report'!AJ363)),"")</f>
        <v/>
      </c>
      <c r="AL363" s="12" t="str">
        <f ca="1">IFERROR(_xlfn.SINGLE(INDEX(#REF!,'Weekly Report'!AJ363)),"")</f>
        <v/>
      </c>
      <c r="AN363" s="12" t="str">
        <f ca="1">IFERROR(MATCH($G$115,OFFSET(#REF!,AN362,0,1000000),0)+AN362,"")</f>
        <v/>
      </c>
      <c r="AO363" s="17" t="str">
        <f ca="1">IFERROR(_xlfn.SINGLE(INDEX(#REF!,'Weekly Report'!AN363)),"")</f>
        <v/>
      </c>
      <c r="AP363" s="12" t="str">
        <f ca="1">IFERROR(_xlfn.SINGLE(INDEX(#REF!,'Weekly Report'!AN363)),"")</f>
        <v/>
      </c>
    </row>
    <row r="364" spans="36:42">
      <c r="AJ364" s="12" t="str">
        <f ca="1">IFERROR(MATCH($B$114,OFFSET(#REF!,AJ363,0,1000000),0)+AJ363,"")</f>
        <v/>
      </c>
      <c r="AK364" s="17" t="str">
        <f ca="1">IFERROR(_xlfn.SINGLE(INDEX(#REF!,'Weekly Report'!AJ364)),"")</f>
        <v/>
      </c>
      <c r="AL364" s="12" t="str">
        <f ca="1">IFERROR(_xlfn.SINGLE(INDEX(#REF!,'Weekly Report'!AJ364)),"")</f>
        <v/>
      </c>
      <c r="AN364" s="12" t="str">
        <f ca="1">IFERROR(MATCH($G$115,OFFSET(#REF!,AN363,0,1000000),0)+AN363,"")</f>
        <v/>
      </c>
      <c r="AO364" s="17" t="str">
        <f ca="1">IFERROR(_xlfn.SINGLE(INDEX(#REF!,'Weekly Report'!AN364)),"")</f>
        <v/>
      </c>
      <c r="AP364" s="12" t="str">
        <f ca="1">IFERROR(_xlfn.SINGLE(INDEX(#REF!,'Weekly Report'!AN364)),"")</f>
        <v/>
      </c>
    </row>
    <row r="365" spans="36:42">
      <c r="AJ365" s="12" t="str">
        <f ca="1">IFERROR(MATCH($B$114,OFFSET(#REF!,AJ364,0,1000000),0)+AJ364,"")</f>
        <v/>
      </c>
      <c r="AK365" s="17" t="str">
        <f ca="1">IFERROR(_xlfn.SINGLE(INDEX(#REF!,'Weekly Report'!AJ365)),"")</f>
        <v/>
      </c>
      <c r="AL365" s="12" t="str">
        <f ca="1">IFERROR(_xlfn.SINGLE(INDEX(#REF!,'Weekly Report'!AJ365)),"")</f>
        <v/>
      </c>
      <c r="AN365" s="12" t="str">
        <f ca="1">IFERROR(MATCH($G$115,OFFSET(#REF!,AN364,0,1000000),0)+AN364,"")</f>
        <v/>
      </c>
      <c r="AO365" s="17" t="str">
        <f ca="1">IFERROR(_xlfn.SINGLE(INDEX(#REF!,'Weekly Report'!AN365)),"")</f>
        <v/>
      </c>
      <c r="AP365" s="12" t="str">
        <f ca="1">IFERROR(_xlfn.SINGLE(INDEX(#REF!,'Weekly Report'!AN365)),"")</f>
        <v/>
      </c>
    </row>
    <row r="366" spans="36:42">
      <c r="AJ366" s="12" t="str">
        <f ca="1">IFERROR(MATCH($B$114,OFFSET(#REF!,AJ365,0,1000000),0)+AJ365,"")</f>
        <v/>
      </c>
      <c r="AK366" s="17" t="str">
        <f ca="1">IFERROR(_xlfn.SINGLE(INDEX(#REF!,'Weekly Report'!AJ366)),"")</f>
        <v/>
      </c>
      <c r="AL366" s="12" t="str">
        <f ca="1">IFERROR(_xlfn.SINGLE(INDEX(#REF!,'Weekly Report'!AJ366)),"")</f>
        <v/>
      </c>
      <c r="AN366" s="12" t="str">
        <f ca="1">IFERROR(MATCH($G$115,OFFSET(#REF!,AN365,0,1000000),0)+AN365,"")</f>
        <v/>
      </c>
      <c r="AO366" s="17" t="str">
        <f ca="1">IFERROR(_xlfn.SINGLE(INDEX(#REF!,'Weekly Report'!AN366)),"")</f>
        <v/>
      </c>
      <c r="AP366" s="12" t="str">
        <f ca="1">IFERROR(_xlfn.SINGLE(INDEX(#REF!,'Weekly Report'!AN366)),"")</f>
        <v/>
      </c>
    </row>
    <row r="367" spans="36:42">
      <c r="AJ367" s="12" t="str">
        <f ca="1">IFERROR(MATCH($B$114,OFFSET(#REF!,AJ366,0,1000000),0)+AJ366,"")</f>
        <v/>
      </c>
      <c r="AK367" s="17" t="str">
        <f ca="1">IFERROR(_xlfn.SINGLE(INDEX(#REF!,'Weekly Report'!AJ367)),"")</f>
        <v/>
      </c>
      <c r="AL367" s="12" t="str">
        <f ca="1">IFERROR(_xlfn.SINGLE(INDEX(#REF!,'Weekly Report'!AJ367)),"")</f>
        <v/>
      </c>
      <c r="AN367" s="12" t="str">
        <f ca="1">IFERROR(MATCH($G$115,OFFSET(#REF!,AN366,0,1000000),0)+AN366,"")</f>
        <v/>
      </c>
      <c r="AO367" s="17" t="str">
        <f ca="1">IFERROR(_xlfn.SINGLE(INDEX(#REF!,'Weekly Report'!AN367)),"")</f>
        <v/>
      </c>
      <c r="AP367" s="12" t="str">
        <f ca="1">IFERROR(_xlfn.SINGLE(INDEX(#REF!,'Weekly Report'!AN367)),"")</f>
        <v/>
      </c>
    </row>
    <row r="368" spans="36:42">
      <c r="AJ368" s="12" t="str">
        <f ca="1">IFERROR(MATCH($B$114,OFFSET(#REF!,AJ367,0,1000000),0)+AJ367,"")</f>
        <v/>
      </c>
      <c r="AK368" s="17" t="str">
        <f ca="1">IFERROR(_xlfn.SINGLE(INDEX(#REF!,'Weekly Report'!AJ368)),"")</f>
        <v/>
      </c>
      <c r="AL368" s="12" t="str">
        <f ca="1">IFERROR(_xlfn.SINGLE(INDEX(#REF!,'Weekly Report'!AJ368)),"")</f>
        <v/>
      </c>
      <c r="AN368" s="12" t="str">
        <f ca="1">IFERROR(MATCH($G$115,OFFSET(#REF!,AN367,0,1000000),0)+AN367,"")</f>
        <v/>
      </c>
      <c r="AO368" s="17" t="str">
        <f ca="1">IFERROR(_xlfn.SINGLE(INDEX(#REF!,'Weekly Report'!AN368)),"")</f>
        <v/>
      </c>
      <c r="AP368" s="12" t="str">
        <f ca="1">IFERROR(_xlfn.SINGLE(INDEX(#REF!,'Weekly Report'!AN368)),"")</f>
        <v/>
      </c>
    </row>
    <row r="369" spans="36:42">
      <c r="AJ369" s="12" t="str">
        <f ca="1">IFERROR(MATCH($B$114,OFFSET(#REF!,AJ368,0,1000000),0)+AJ368,"")</f>
        <v/>
      </c>
      <c r="AK369" s="17" t="str">
        <f ca="1">IFERROR(_xlfn.SINGLE(INDEX(#REF!,'Weekly Report'!AJ369)),"")</f>
        <v/>
      </c>
      <c r="AL369" s="12" t="str">
        <f ca="1">IFERROR(_xlfn.SINGLE(INDEX(#REF!,'Weekly Report'!AJ369)),"")</f>
        <v/>
      </c>
      <c r="AN369" s="12" t="str">
        <f ca="1">IFERROR(MATCH($G$115,OFFSET(#REF!,AN368,0,1000000),0)+AN368,"")</f>
        <v/>
      </c>
      <c r="AO369" s="17" t="str">
        <f ca="1">IFERROR(_xlfn.SINGLE(INDEX(#REF!,'Weekly Report'!AN369)),"")</f>
        <v/>
      </c>
      <c r="AP369" s="12" t="str">
        <f ca="1">IFERROR(_xlfn.SINGLE(INDEX(#REF!,'Weekly Report'!AN369)),"")</f>
        <v/>
      </c>
    </row>
    <row r="370" spans="36:42">
      <c r="AJ370" s="12" t="str">
        <f ca="1">IFERROR(MATCH($B$114,OFFSET(#REF!,AJ369,0,1000000),0)+AJ369,"")</f>
        <v/>
      </c>
      <c r="AK370" s="17" t="str">
        <f ca="1">IFERROR(_xlfn.SINGLE(INDEX(#REF!,'Weekly Report'!AJ370)),"")</f>
        <v/>
      </c>
      <c r="AL370" s="12" t="str">
        <f ca="1">IFERROR(_xlfn.SINGLE(INDEX(#REF!,'Weekly Report'!AJ370)),"")</f>
        <v/>
      </c>
      <c r="AN370" s="12" t="str">
        <f ca="1">IFERROR(MATCH($G$115,OFFSET(#REF!,AN369,0,1000000),0)+AN369,"")</f>
        <v/>
      </c>
      <c r="AO370" s="17" t="str">
        <f ca="1">IFERROR(_xlfn.SINGLE(INDEX(#REF!,'Weekly Report'!AN370)),"")</f>
        <v/>
      </c>
      <c r="AP370" s="12" t="str">
        <f ca="1">IFERROR(_xlfn.SINGLE(INDEX(#REF!,'Weekly Report'!AN370)),"")</f>
        <v/>
      </c>
    </row>
    <row r="371" spans="36:42">
      <c r="AJ371" s="12" t="str">
        <f ca="1">IFERROR(MATCH($B$114,OFFSET(#REF!,AJ370,0,1000000),0)+AJ370,"")</f>
        <v/>
      </c>
      <c r="AK371" s="17" t="str">
        <f ca="1">IFERROR(_xlfn.SINGLE(INDEX(#REF!,'Weekly Report'!AJ371)),"")</f>
        <v/>
      </c>
      <c r="AL371" s="12" t="str">
        <f ca="1">IFERROR(_xlfn.SINGLE(INDEX(#REF!,'Weekly Report'!AJ371)),"")</f>
        <v/>
      </c>
      <c r="AN371" s="12" t="str">
        <f ca="1">IFERROR(MATCH($G$115,OFFSET(#REF!,AN370,0,1000000),0)+AN370,"")</f>
        <v/>
      </c>
      <c r="AO371" s="17" t="str">
        <f ca="1">IFERROR(_xlfn.SINGLE(INDEX(#REF!,'Weekly Report'!AN371)),"")</f>
        <v/>
      </c>
      <c r="AP371" s="12" t="str">
        <f ca="1">IFERROR(_xlfn.SINGLE(INDEX(#REF!,'Weekly Report'!AN371)),"")</f>
        <v/>
      </c>
    </row>
    <row r="372" spans="36:42">
      <c r="AJ372" s="12" t="str">
        <f ca="1">IFERROR(MATCH($B$114,OFFSET(#REF!,AJ371,0,1000000),0)+AJ371,"")</f>
        <v/>
      </c>
      <c r="AK372" s="17" t="str">
        <f ca="1">IFERROR(_xlfn.SINGLE(INDEX(#REF!,'Weekly Report'!AJ372)),"")</f>
        <v/>
      </c>
      <c r="AL372" s="12" t="str">
        <f ca="1">IFERROR(_xlfn.SINGLE(INDEX(#REF!,'Weekly Report'!AJ372)),"")</f>
        <v/>
      </c>
      <c r="AN372" s="12" t="str">
        <f ca="1">IFERROR(MATCH($G$115,OFFSET(#REF!,AN371,0,1000000),0)+AN371,"")</f>
        <v/>
      </c>
      <c r="AO372" s="17" t="str">
        <f ca="1">IFERROR(_xlfn.SINGLE(INDEX(#REF!,'Weekly Report'!AN372)),"")</f>
        <v/>
      </c>
      <c r="AP372" s="12" t="str">
        <f ca="1">IFERROR(_xlfn.SINGLE(INDEX(#REF!,'Weekly Report'!AN372)),"")</f>
        <v/>
      </c>
    </row>
    <row r="373" spans="36:42">
      <c r="AJ373" s="12" t="str">
        <f ca="1">IFERROR(MATCH($B$114,OFFSET(#REF!,AJ372,0,1000000),0)+AJ372,"")</f>
        <v/>
      </c>
      <c r="AK373" s="17" t="str">
        <f ca="1">IFERROR(_xlfn.SINGLE(INDEX(#REF!,'Weekly Report'!AJ373)),"")</f>
        <v/>
      </c>
      <c r="AL373" s="12" t="str">
        <f ca="1">IFERROR(_xlfn.SINGLE(INDEX(#REF!,'Weekly Report'!AJ373)),"")</f>
        <v/>
      </c>
      <c r="AN373" s="12" t="str">
        <f ca="1">IFERROR(MATCH($G$115,OFFSET(#REF!,AN372,0,1000000),0)+AN372,"")</f>
        <v/>
      </c>
      <c r="AO373" s="17" t="str">
        <f ca="1">IFERROR(_xlfn.SINGLE(INDEX(#REF!,'Weekly Report'!AN373)),"")</f>
        <v/>
      </c>
      <c r="AP373" s="12" t="str">
        <f ca="1">IFERROR(_xlfn.SINGLE(INDEX(#REF!,'Weekly Report'!AN373)),"")</f>
        <v/>
      </c>
    </row>
    <row r="374" spans="36:42">
      <c r="AJ374" s="12" t="str">
        <f ca="1">IFERROR(MATCH($B$114,OFFSET(#REF!,AJ373,0,1000000),0)+AJ373,"")</f>
        <v/>
      </c>
      <c r="AK374" s="17" t="str">
        <f ca="1">IFERROR(_xlfn.SINGLE(INDEX(#REF!,'Weekly Report'!AJ374)),"")</f>
        <v/>
      </c>
      <c r="AL374" s="12" t="str">
        <f ca="1">IFERROR(_xlfn.SINGLE(INDEX(#REF!,'Weekly Report'!AJ374)),"")</f>
        <v/>
      </c>
      <c r="AN374" s="12" t="str">
        <f ca="1">IFERROR(MATCH($G$115,OFFSET(#REF!,AN373,0,1000000),0)+AN373,"")</f>
        <v/>
      </c>
      <c r="AO374" s="17" t="str">
        <f ca="1">IFERROR(_xlfn.SINGLE(INDEX(#REF!,'Weekly Report'!AN374)),"")</f>
        <v/>
      </c>
      <c r="AP374" s="12" t="str">
        <f ca="1">IFERROR(_xlfn.SINGLE(INDEX(#REF!,'Weekly Report'!AN374)),"")</f>
        <v/>
      </c>
    </row>
    <row r="375" spans="36:42">
      <c r="AJ375" s="12" t="str">
        <f ca="1">IFERROR(MATCH($B$114,OFFSET(#REF!,AJ374,0,1000000),0)+AJ374,"")</f>
        <v/>
      </c>
      <c r="AK375" s="17" t="str">
        <f ca="1">IFERROR(_xlfn.SINGLE(INDEX(#REF!,'Weekly Report'!AJ375)),"")</f>
        <v/>
      </c>
      <c r="AL375" s="12" t="str">
        <f ca="1">IFERROR(_xlfn.SINGLE(INDEX(#REF!,'Weekly Report'!AJ375)),"")</f>
        <v/>
      </c>
      <c r="AN375" s="12" t="str">
        <f ca="1">IFERROR(MATCH($G$115,OFFSET(#REF!,AN374,0,1000000),0)+AN374,"")</f>
        <v/>
      </c>
      <c r="AO375" s="17" t="str">
        <f ca="1">IFERROR(_xlfn.SINGLE(INDEX(#REF!,'Weekly Report'!AN375)),"")</f>
        <v/>
      </c>
      <c r="AP375" s="12" t="str">
        <f ca="1">IFERROR(_xlfn.SINGLE(INDEX(#REF!,'Weekly Report'!AN375)),"")</f>
        <v/>
      </c>
    </row>
    <row r="376" spans="36:42">
      <c r="AJ376" s="12" t="str">
        <f ca="1">IFERROR(MATCH($B$114,OFFSET(#REF!,AJ375,0,1000000),0)+AJ375,"")</f>
        <v/>
      </c>
      <c r="AK376" s="17" t="str">
        <f ca="1">IFERROR(_xlfn.SINGLE(INDEX(#REF!,'Weekly Report'!AJ376)),"")</f>
        <v/>
      </c>
      <c r="AL376" s="12" t="str">
        <f ca="1">IFERROR(_xlfn.SINGLE(INDEX(#REF!,'Weekly Report'!AJ376)),"")</f>
        <v/>
      </c>
      <c r="AN376" s="12" t="str">
        <f ca="1">IFERROR(MATCH($G$115,OFFSET(#REF!,AN375,0,1000000),0)+AN375,"")</f>
        <v/>
      </c>
      <c r="AO376" s="17" t="str">
        <f ca="1">IFERROR(_xlfn.SINGLE(INDEX(#REF!,'Weekly Report'!AN376)),"")</f>
        <v/>
      </c>
      <c r="AP376" s="12" t="str">
        <f ca="1">IFERROR(_xlfn.SINGLE(INDEX(#REF!,'Weekly Report'!AN376)),"")</f>
        <v/>
      </c>
    </row>
    <row r="377" spans="36:42">
      <c r="AJ377" s="12" t="str">
        <f ca="1">IFERROR(MATCH($B$114,OFFSET(#REF!,AJ376,0,1000000),0)+AJ376,"")</f>
        <v/>
      </c>
      <c r="AK377" s="17" t="str">
        <f ca="1">IFERROR(_xlfn.SINGLE(INDEX(#REF!,'Weekly Report'!AJ377)),"")</f>
        <v/>
      </c>
      <c r="AL377" s="12" t="str">
        <f ca="1">IFERROR(_xlfn.SINGLE(INDEX(#REF!,'Weekly Report'!AJ377)),"")</f>
        <v/>
      </c>
      <c r="AN377" s="12" t="str">
        <f ca="1">IFERROR(MATCH($G$115,OFFSET(#REF!,AN376,0,1000000),0)+AN376,"")</f>
        <v/>
      </c>
      <c r="AO377" s="17" t="str">
        <f ca="1">IFERROR(_xlfn.SINGLE(INDEX(#REF!,'Weekly Report'!AN377)),"")</f>
        <v/>
      </c>
      <c r="AP377" s="12" t="str">
        <f ca="1">IFERROR(_xlfn.SINGLE(INDEX(#REF!,'Weekly Report'!AN377)),"")</f>
        <v/>
      </c>
    </row>
    <row r="378" spans="36:42">
      <c r="AJ378" s="12" t="str">
        <f ca="1">IFERROR(MATCH($B$114,OFFSET(#REF!,AJ377,0,1000000),0)+AJ377,"")</f>
        <v/>
      </c>
      <c r="AK378" s="17" t="str">
        <f ca="1">IFERROR(_xlfn.SINGLE(INDEX(#REF!,'Weekly Report'!AJ378)),"")</f>
        <v/>
      </c>
      <c r="AL378" s="12" t="str">
        <f ca="1">IFERROR(_xlfn.SINGLE(INDEX(#REF!,'Weekly Report'!AJ378)),"")</f>
        <v/>
      </c>
      <c r="AN378" s="12" t="str">
        <f ca="1">IFERROR(MATCH($G$115,OFFSET(#REF!,AN377,0,1000000),0)+AN377,"")</f>
        <v/>
      </c>
      <c r="AO378" s="17" t="str">
        <f ca="1">IFERROR(_xlfn.SINGLE(INDEX(#REF!,'Weekly Report'!AN378)),"")</f>
        <v/>
      </c>
      <c r="AP378" s="12" t="str">
        <f ca="1">IFERROR(_xlfn.SINGLE(INDEX(#REF!,'Weekly Report'!AN378)),"")</f>
        <v/>
      </c>
    </row>
    <row r="379" spans="36:42">
      <c r="AJ379" s="12" t="str">
        <f ca="1">IFERROR(MATCH($B$114,OFFSET(#REF!,AJ378,0,1000000),0)+AJ378,"")</f>
        <v/>
      </c>
      <c r="AK379" s="17" t="str">
        <f ca="1">IFERROR(_xlfn.SINGLE(INDEX(#REF!,'Weekly Report'!AJ379)),"")</f>
        <v/>
      </c>
      <c r="AL379" s="12" t="str">
        <f ca="1">IFERROR(_xlfn.SINGLE(INDEX(#REF!,'Weekly Report'!AJ379)),"")</f>
        <v/>
      </c>
      <c r="AN379" s="12" t="str">
        <f ca="1">IFERROR(MATCH($G$115,OFFSET(#REF!,AN378,0,1000000),0)+AN378,"")</f>
        <v/>
      </c>
      <c r="AO379" s="17" t="str">
        <f ca="1">IFERROR(_xlfn.SINGLE(INDEX(#REF!,'Weekly Report'!AN379)),"")</f>
        <v/>
      </c>
      <c r="AP379" s="12" t="str">
        <f ca="1">IFERROR(_xlfn.SINGLE(INDEX(#REF!,'Weekly Report'!AN379)),"")</f>
        <v/>
      </c>
    </row>
    <row r="380" spans="36:42">
      <c r="AJ380" s="12" t="str">
        <f ca="1">IFERROR(MATCH($B$114,OFFSET(#REF!,AJ379,0,1000000),0)+AJ379,"")</f>
        <v/>
      </c>
      <c r="AK380" s="17" t="str">
        <f ca="1">IFERROR(_xlfn.SINGLE(INDEX(#REF!,'Weekly Report'!AJ380)),"")</f>
        <v/>
      </c>
      <c r="AL380" s="12" t="str">
        <f ca="1">IFERROR(_xlfn.SINGLE(INDEX(#REF!,'Weekly Report'!AJ380)),"")</f>
        <v/>
      </c>
      <c r="AN380" s="12" t="str">
        <f ca="1">IFERROR(MATCH($G$115,OFFSET(#REF!,AN379,0,1000000),0)+AN379,"")</f>
        <v/>
      </c>
      <c r="AO380" s="17" t="str">
        <f ca="1">IFERROR(_xlfn.SINGLE(INDEX(#REF!,'Weekly Report'!AN380)),"")</f>
        <v/>
      </c>
      <c r="AP380" s="12" t="str">
        <f ca="1">IFERROR(_xlfn.SINGLE(INDEX(#REF!,'Weekly Report'!AN380)),"")</f>
        <v/>
      </c>
    </row>
    <row r="381" spans="36:42">
      <c r="AJ381" s="12" t="str">
        <f ca="1">IFERROR(MATCH($B$114,OFFSET(#REF!,AJ380,0,1000000),0)+AJ380,"")</f>
        <v/>
      </c>
      <c r="AK381" s="17" t="str">
        <f ca="1">IFERROR(_xlfn.SINGLE(INDEX(#REF!,'Weekly Report'!AJ381)),"")</f>
        <v/>
      </c>
      <c r="AL381" s="12" t="str">
        <f ca="1">IFERROR(_xlfn.SINGLE(INDEX(#REF!,'Weekly Report'!AJ381)),"")</f>
        <v/>
      </c>
      <c r="AN381" s="12" t="str">
        <f ca="1">IFERROR(MATCH($G$115,OFFSET(#REF!,AN380,0,1000000),0)+AN380,"")</f>
        <v/>
      </c>
      <c r="AO381" s="17" t="str">
        <f ca="1">IFERROR(_xlfn.SINGLE(INDEX(#REF!,'Weekly Report'!AN381)),"")</f>
        <v/>
      </c>
      <c r="AP381" s="12" t="str">
        <f ca="1">IFERROR(_xlfn.SINGLE(INDEX(#REF!,'Weekly Report'!AN381)),"")</f>
        <v/>
      </c>
    </row>
    <row r="382" spans="36:42">
      <c r="AJ382" s="12" t="str">
        <f ca="1">IFERROR(MATCH($B$114,OFFSET(#REF!,AJ381,0,1000000),0)+AJ381,"")</f>
        <v/>
      </c>
      <c r="AK382" s="17" t="str">
        <f ca="1">IFERROR(_xlfn.SINGLE(INDEX(#REF!,'Weekly Report'!AJ382)),"")</f>
        <v/>
      </c>
      <c r="AL382" s="12" t="str">
        <f ca="1">IFERROR(_xlfn.SINGLE(INDEX(#REF!,'Weekly Report'!AJ382)),"")</f>
        <v/>
      </c>
      <c r="AN382" s="12" t="str">
        <f ca="1">IFERROR(MATCH($G$115,OFFSET(#REF!,AN381,0,1000000),0)+AN381,"")</f>
        <v/>
      </c>
      <c r="AO382" s="17" t="str">
        <f ca="1">IFERROR(_xlfn.SINGLE(INDEX(#REF!,'Weekly Report'!AN382)),"")</f>
        <v/>
      </c>
      <c r="AP382" s="12" t="str">
        <f ca="1">IFERROR(_xlfn.SINGLE(INDEX(#REF!,'Weekly Report'!AN382)),"")</f>
        <v/>
      </c>
    </row>
    <row r="383" spans="36:42">
      <c r="AJ383" s="12" t="str">
        <f ca="1">IFERROR(MATCH($B$114,OFFSET(#REF!,AJ382,0,1000000),0)+AJ382,"")</f>
        <v/>
      </c>
      <c r="AK383" s="17" t="str">
        <f ca="1">IFERROR(_xlfn.SINGLE(INDEX(#REF!,'Weekly Report'!AJ383)),"")</f>
        <v/>
      </c>
      <c r="AL383" s="12" t="str">
        <f ca="1">IFERROR(_xlfn.SINGLE(INDEX(#REF!,'Weekly Report'!AJ383)),"")</f>
        <v/>
      </c>
      <c r="AN383" s="12" t="str">
        <f ca="1">IFERROR(MATCH($G$115,OFFSET(#REF!,AN382,0,1000000),0)+AN382,"")</f>
        <v/>
      </c>
      <c r="AO383" s="17" t="str">
        <f ca="1">IFERROR(_xlfn.SINGLE(INDEX(#REF!,'Weekly Report'!AN383)),"")</f>
        <v/>
      </c>
      <c r="AP383" s="12" t="str">
        <f ca="1">IFERROR(_xlfn.SINGLE(INDEX(#REF!,'Weekly Report'!AN383)),"")</f>
        <v/>
      </c>
    </row>
    <row r="384" spans="36:42">
      <c r="AJ384" s="12" t="str">
        <f ca="1">IFERROR(MATCH($B$114,OFFSET(#REF!,AJ383,0,1000000),0)+AJ383,"")</f>
        <v/>
      </c>
      <c r="AK384" s="17" t="str">
        <f ca="1">IFERROR(_xlfn.SINGLE(INDEX(#REF!,'Weekly Report'!AJ384)),"")</f>
        <v/>
      </c>
      <c r="AL384" s="12" t="str">
        <f ca="1">IFERROR(_xlfn.SINGLE(INDEX(#REF!,'Weekly Report'!AJ384)),"")</f>
        <v/>
      </c>
      <c r="AN384" s="12" t="str">
        <f ca="1">IFERROR(MATCH($G$115,OFFSET(#REF!,AN383,0,1000000),0)+AN383,"")</f>
        <v/>
      </c>
      <c r="AO384" s="17" t="str">
        <f ca="1">IFERROR(_xlfn.SINGLE(INDEX(#REF!,'Weekly Report'!AN384)),"")</f>
        <v/>
      </c>
      <c r="AP384" s="12" t="str">
        <f ca="1">IFERROR(_xlfn.SINGLE(INDEX(#REF!,'Weekly Report'!AN384)),"")</f>
        <v/>
      </c>
    </row>
    <row r="385" spans="36:42">
      <c r="AJ385" s="12" t="str">
        <f ca="1">IFERROR(MATCH($B$114,OFFSET(#REF!,AJ384,0,1000000),0)+AJ384,"")</f>
        <v/>
      </c>
      <c r="AK385" s="17" t="str">
        <f ca="1">IFERROR(_xlfn.SINGLE(INDEX(#REF!,'Weekly Report'!AJ385)),"")</f>
        <v/>
      </c>
      <c r="AL385" s="12" t="str">
        <f ca="1">IFERROR(_xlfn.SINGLE(INDEX(#REF!,'Weekly Report'!AJ385)),"")</f>
        <v/>
      </c>
      <c r="AN385" s="12" t="str">
        <f ca="1">IFERROR(MATCH($G$115,OFFSET(#REF!,AN384,0,1000000),0)+AN384,"")</f>
        <v/>
      </c>
      <c r="AO385" s="17" t="str">
        <f ca="1">IFERROR(_xlfn.SINGLE(INDEX(#REF!,'Weekly Report'!AN385)),"")</f>
        <v/>
      </c>
      <c r="AP385" s="12" t="str">
        <f ca="1">IFERROR(_xlfn.SINGLE(INDEX(#REF!,'Weekly Report'!AN385)),"")</f>
        <v/>
      </c>
    </row>
    <row r="386" spans="36:42">
      <c r="AJ386" s="12" t="str">
        <f ca="1">IFERROR(MATCH($B$114,OFFSET(#REF!,AJ385,0,1000000),0)+AJ385,"")</f>
        <v/>
      </c>
      <c r="AK386" s="17" t="str">
        <f ca="1">IFERROR(_xlfn.SINGLE(INDEX(#REF!,'Weekly Report'!AJ386)),"")</f>
        <v/>
      </c>
      <c r="AL386" s="12" t="str">
        <f ca="1">IFERROR(_xlfn.SINGLE(INDEX(#REF!,'Weekly Report'!AJ386)),"")</f>
        <v/>
      </c>
      <c r="AN386" s="12" t="str">
        <f ca="1">IFERROR(MATCH($G$115,OFFSET(#REF!,AN385,0,1000000),0)+AN385,"")</f>
        <v/>
      </c>
      <c r="AO386" s="17" t="str">
        <f ca="1">IFERROR(_xlfn.SINGLE(INDEX(#REF!,'Weekly Report'!AN386)),"")</f>
        <v/>
      </c>
      <c r="AP386" s="12" t="str">
        <f ca="1">IFERROR(_xlfn.SINGLE(INDEX(#REF!,'Weekly Report'!AN386)),"")</f>
        <v/>
      </c>
    </row>
    <row r="387" spans="36:42">
      <c r="AJ387" s="12" t="str">
        <f ca="1">IFERROR(MATCH($B$114,OFFSET(#REF!,AJ386,0,1000000),0)+AJ386,"")</f>
        <v/>
      </c>
      <c r="AK387" s="17" t="str">
        <f ca="1">IFERROR(_xlfn.SINGLE(INDEX(#REF!,'Weekly Report'!AJ387)),"")</f>
        <v/>
      </c>
      <c r="AL387" s="12" t="str">
        <f ca="1">IFERROR(_xlfn.SINGLE(INDEX(#REF!,'Weekly Report'!AJ387)),"")</f>
        <v/>
      </c>
      <c r="AN387" s="12" t="str">
        <f ca="1">IFERROR(MATCH($G$115,OFFSET(#REF!,AN386,0,1000000),0)+AN386,"")</f>
        <v/>
      </c>
      <c r="AO387" s="17" t="str">
        <f ca="1">IFERROR(_xlfn.SINGLE(INDEX(#REF!,'Weekly Report'!AN387)),"")</f>
        <v/>
      </c>
      <c r="AP387" s="12" t="str">
        <f ca="1">IFERROR(_xlfn.SINGLE(INDEX(#REF!,'Weekly Report'!AN387)),"")</f>
        <v/>
      </c>
    </row>
    <row r="388" spans="36:42">
      <c r="AJ388" s="12" t="str">
        <f ca="1">IFERROR(MATCH($B$114,OFFSET(#REF!,AJ387,0,1000000),0)+AJ387,"")</f>
        <v/>
      </c>
      <c r="AK388" s="17" t="str">
        <f ca="1">IFERROR(_xlfn.SINGLE(INDEX(#REF!,'Weekly Report'!AJ388)),"")</f>
        <v/>
      </c>
      <c r="AL388" s="12" t="str">
        <f ca="1">IFERROR(_xlfn.SINGLE(INDEX(#REF!,'Weekly Report'!AJ388)),"")</f>
        <v/>
      </c>
      <c r="AN388" s="12" t="str">
        <f ca="1">IFERROR(MATCH($G$115,OFFSET(#REF!,AN387,0,1000000),0)+AN387,"")</f>
        <v/>
      </c>
      <c r="AO388" s="17" t="str">
        <f ca="1">IFERROR(_xlfn.SINGLE(INDEX(#REF!,'Weekly Report'!AN388)),"")</f>
        <v/>
      </c>
      <c r="AP388" s="12" t="str">
        <f ca="1">IFERROR(_xlfn.SINGLE(INDEX(#REF!,'Weekly Report'!AN388)),"")</f>
        <v/>
      </c>
    </row>
    <row r="389" spans="36:42">
      <c r="AJ389" s="12" t="str">
        <f ca="1">IFERROR(MATCH($B$114,OFFSET(#REF!,AJ388,0,1000000),0)+AJ388,"")</f>
        <v/>
      </c>
      <c r="AK389" s="17" t="str">
        <f ca="1">IFERROR(_xlfn.SINGLE(INDEX(#REF!,'Weekly Report'!AJ389)),"")</f>
        <v/>
      </c>
      <c r="AL389" s="12" t="str">
        <f ca="1">IFERROR(_xlfn.SINGLE(INDEX(#REF!,'Weekly Report'!AJ389)),"")</f>
        <v/>
      </c>
      <c r="AN389" s="12" t="str">
        <f ca="1">IFERROR(MATCH($G$115,OFFSET(#REF!,AN388,0,1000000),0)+AN388,"")</f>
        <v/>
      </c>
      <c r="AO389" s="17" t="str">
        <f ca="1">IFERROR(_xlfn.SINGLE(INDEX(#REF!,'Weekly Report'!AN389)),"")</f>
        <v/>
      </c>
      <c r="AP389" s="12" t="str">
        <f ca="1">IFERROR(_xlfn.SINGLE(INDEX(#REF!,'Weekly Report'!AN389)),"")</f>
        <v/>
      </c>
    </row>
    <row r="390" spans="36:42">
      <c r="AJ390" s="12" t="str">
        <f ca="1">IFERROR(MATCH($B$114,OFFSET(#REF!,AJ389,0,1000000),0)+AJ389,"")</f>
        <v/>
      </c>
      <c r="AK390" s="17" t="str">
        <f ca="1">IFERROR(_xlfn.SINGLE(INDEX(#REF!,'Weekly Report'!AJ390)),"")</f>
        <v/>
      </c>
      <c r="AL390" s="12" t="str">
        <f ca="1">IFERROR(_xlfn.SINGLE(INDEX(#REF!,'Weekly Report'!AJ390)),"")</f>
        <v/>
      </c>
      <c r="AN390" s="12" t="str">
        <f ca="1">IFERROR(MATCH($G$115,OFFSET(#REF!,AN389,0,1000000),0)+AN389,"")</f>
        <v/>
      </c>
      <c r="AO390" s="17" t="str">
        <f ca="1">IFERROR(_xlfn.SINGLE(INDEX(#REF!,'Weekly Report'!AN390)),"")</f>
        <v/>
      </c>
      <c r="AP390" s="12" t="str">
        <f ca="1">IFERROR(_xlfn.SINGLE(INDEX(#REF!,'Weekly Report'!AN390)),"")</f>
        <v/>
      </c>
    </row>
    <row r="391" spans="36:42">
      <c r="AJ391" s="12" t="str">
        <f ca="1">IFERROR(MATCH($B$114,OFFSET(#REF!,AJ390,0,1000000),0)+AJ390,"")</f>
        <v/>
      </c>
      <c r="AK391" s="17" t="str">
        <f ca="1">IFERROR(_xlfn.SINGLE(INDEX(#REF!,'Weekly Report'!AJ391)),"")</f>
        <v/>
      </c>
      <c r="AL391" s="12" t="str">
        <f ca="1">IFERROR(_xlfn.SINGLE(INDEX(#REF!,'Weekly Report'!AJ391)),"")</f>
        <v/>
      </c>
      <c r="AN391" s="12" t="str">
        <f ca="1">IFERROR(MATCH($G$115,OFFSET(#REF!,AN390,0,1000000),0)+AN390,"")</f>
        <v/>
      </c>
      <c r="AO391" s="17" t="str">
        <f ca="1">IFERROR(_xlfn.SINGLE(INDEX(#REF!,'Weekly Report'!AN391)),"")</f>
        <v/>
      </c>
      <c r="AP391" s="12" t="str">
        <f ca="1">IFERROR(_xlfn.SINGLE(INDEX(#REF!,'Weekly Report'!AN391)),"")</f>
        <v/>
      </c>
    </row>
    <row r="392" spans="36:42">
      <c r="AJ392" s="12" t="str">
        <f ca="1">IFERROR(MATCH($B$114,OFFSET(#REF!,AJ391,0,1000000),0)+AJ391,"")</f>
        <v/>
      </c>
      <c r="AK392" s="17" t="str">
        <f ca="1">IFERROR(_xlfn.SINGLE(INDEX(#REF!,'Weekly Report'!AJ392)),"")</f>
        <v/>
      </c>
      <c r="AL392" s="12" t="str">
        <f ca="1">IFERROR(_xlfn.SINGLE(INDEX(#REF!,'Weekly Report'!AJ392)),"")</f>
        <v/>
      </c>
      <c r="AN392" s="12" t="str">
        <f ca="1">IFERROR(MATCH($G$115,OFFSET(#REF!,AN391,0,1000000),0)+AN391,"")</f>
        <v/>
      </c>
      <c r="AO392" s="17" t="str">
        <f ca="1">IFERROR(_xlfn.SINGLE(INDEX(#REF!,'Weekly Report'!AN392)),"")</f>
        <v/>
      </c>
      <c r="AP392" s="12" t="str">
        <f ca="1">IFERROR(_xlfn.SINGLE(INDEX(#REF!,'Weekly Report'!AN392)),"")</f>
        <v/>
      </c>
    </row>
    <row r="393" spans="36:42">
      <c r="AJ393" s="12" t="str">
        <f ca="1">IFERROR(MATCH($B$114,OFFSET(#REF!,AJ392,0,1000000),0)+AJ392,"")</f>
        <v/>
      </c>
      <c r="AK393" s="17" t="str">
        <f ca="1">IFERROR(_xlfn.SINGLE(INDEX(#REF!,'Weekly Report'!AJ393)),"")</f>
        <v/>
      </c>
      <c r="AL393" s="12" t="str">
        <f ca="1">IFERROR(_xlfn.SINGLE(INDEX(#REF!,'Weekly Report'!AJ393)),"")</f>
        <v/>
      </c>
      <c r="AN393" s="12" t="str">
        <f ca="1">IFERROR(MATCH($G$115,OFFSET(#REF!,AN392,0,1000000),0)+AN392,"")</f>
        <v/>
      </c>
      <c r="AO393" s="17" t="str">
        <f ca="1">IFERROR(_xlfn.SINGLE(INDEX(#REF!,'Weekly Report'!AN393)),"")</f>
        <v/>
      </c>
      <c r="AP393" s="12" t="str">
        <f ca="1">IFERROR(_xlfn.SINGLE(INDEX(#REF!,'Weekly Report'!AN393)),"")</f>
        <v/>
      </c>
    </row>
    <row r="394" spans="36:42">
      <c r="AJ394" s="12" t="str">
        <f ca="1">IFERROR(MATCH($B$114,OFFSET(#REF!,AJ393,0,1000000),0)+AJ393,"")</f>
        <v/>
      </c>
      <c r="AK394" s="17" t="str">
        <f ca="1">IFERROR(_xlfn.SINGLE(INDEX(#REF!,'Weekly Report'!AJ394)),"")</f>
        <v/>
      </c>
      <c r="AL394" s="12" t="str">
        <f ca="1">IFERROR(_xlfn.SINGLE(INDEX(#REF!,'Weekly Report'!AJ394)),"")</f>
        <v/>
      </c>
      <c r="AN394" s="12" t="str">
        <f ca="1">IFERROR(MATCH($G$115,OFFSET(#REF!,AN393,0,1000000),0)+AN393,"")</f>
        <v/>
      </c>
      <c r="AO394" s="17" t="str">
        <f ca="1">IFERROR(_xlfn.SINGLE(INDEX(#REF!,'Weekly Report'!AN394)),"")</f>
        <v/>
      </c>
      <c r="AP394" s="12" t="str">
        <f ca="1">IFERROR(_xlfn.SINGLE(INDEX(#REF!,'Weekly Report'!AN394)),"")</f>
        <v/>
      </c>
    </row>
    <row r="395" spans="36:42">
      <c r="AJ395" s="12" t="str">
        <f ca="1">IFERROR(MATCH($B$114,OFFSET(#REF!,AJ394,0,1000000),0)+AJ394,"")</f>
        <v/>
      </c>
      <c r="AK395" s="17" t="str">
        <f ca="1">IFERROR(_xlfn.SINGLE(INDEX(#REF!,'Weekly Report'!AJ395)),"")</f>
        <v/>
      </c>
      <c r="AL395" s="12" t="str">
        <f ca="1">IFERROR(_xlfn.SINGLE(INDEX(#REF!,'Weekly Report'!AJ395)),"")</f>
        <v/>
      </c>
      <c r="AN395" s="12" t="str">
        <f ca="1">IFERROR(MATCH($G$115,OFFSET(#REF!,AN394,0,1000000),0)+AN394,"")</f>
        <v/>
      </c>
      <c r="AO395" s="17" t="str">
        <f ca="1">IFERROR(_xlfn.SINGLE(INDEX(#REF!,'Weekly Report'!AN395)),"")</f>
        <v/>
      </c>
      <c r="AP395" s="12" t="str">
        <f ca="1">IFERROR(_xlfn.SINGLE(INDEX(#REF!,'Weekly Report'!AN395)),"")</f>
        <v/>
      </c>
    </row>
    <row r="396" spans="36:42">
      <c r="AJ396" s="12" t="str">
        <f ca="1">IFERROR(MATCH($B$114,OFFSET(#REF!,AJ395,0,1000000),0)+AJ395,"")</f>
        <v/>
      </c>
      <c r="AK396" s="17" t="str">
        <f ca="1">IFERROR(_xlfn.SINGLE(INDEX(#REF!,'Weekly Report'!AJ396)),"")</f>
        <v/>
      </c>
      <c r="AL396" s="12" t="str">
        <f ca="1">IFERROR(_xlfn.SINGLE(INDEX(#REF!,'Weekly Report'!AJ396)),"")</f>
        <v/>
      </c>
      <c r="AN396" s="12" t="str">
        <f ca="1">IFERROR(MATCH($G$115,OFFSET(#REF!,AN395,0,1000000),0)+AN395,"")</f>
        <v/>
      </c>
      <c r="AO396" s="17" t="str">
        <f ca="1">IFERROR(_xlfn.SINGLE(INDEX(#REF!,'Weekly Report'!AN396)),"")</f>
        <v/>
      </c>
      <c r="AP396" s="12" t="str">
        <f ca="1">IFERROR(_xlfn.SINGLE(INDEX(#REF!,'Weekly Report'!AN396)),"")</f>
        <v/>
      </c>
    </row>
    <row r="397" spans="36:42">
      <c r="AJ397" s="12" t="str">
        <f ca="1">IFERROR(MATCH($B$114,OFFSET(#REF!,AJ396,0,1000000),0)+AJ396,"")</f>
        <v/>
      </c>
      <c r="AK397" s="17" t="str">
        <f ca="1">IFERROR(_xlfn.SINGLE(INDEX(#REF!,'Weekly Report'!AJ397)),"")</f>
        <v/>
      </c>
      <c r="AL397" s="12" t="str">
        <f ca="1">IFERROR(_xlfn.SINGLE(INDEX(#REF!,'Weekly Report'!AJ397)),"")</f>
        <v/>
      </c>
      <c r="AN397" s="12" t="str">
        <f ca="1">IFERROR(MATCH($G$115,OFFSET(#REF!,AN396,0,1000000),0)+AN396,"")</f>
        <v/>
      </c>
      <c r="AO397" s="17" t="str">
        <f ca="1">IFERROR(_xlfn.SINGLE(INDEX(#REF!,'Weekly Report'!AN397)),"")</f>
        <v/>
      </c>
      <c r="AP397" s="12" t="str">
        <f ca="1">IFERROR(_xlfn.SINGLE(INDEX(#REF!,'Weekly Report'!AN397)),"")</f>
        <v/>
      </c>
    </row>
    <row r="398" spans="36:42">
      <c r="AJ398" s="12" t="str">
        <f ca="1">IFERROR(MATCH($B$114,OFFSET(#REF!,AJ397,0,1000000),0)+AJ397,"")</f>
        <v/>
      </c>
      <c r="AK398" s="17" t="str">
        <f ca="1">IFERROR(_xlfn.SINGLE(INDEX(#REF!,'Weekly Report'!AJ398)),"")</f>
        <v/>
      </c>
      <c r="AL398" s="12" t="str">
        <f ca="1">IFERROR(_xlfn.SINGLE(INDEX(#REF!,'Weekly Report'!AJ398)),"")</f>
        <v/>
      </c>
      <c r="AN398" s="12" t="str">
        <f ca="1">IFERROR(MATCH($G$115,OFFSET(#REF!,AN397,0,1000000),0)+AN397,"")</f>
        <v/>
      </c>
      <c r="AO398" s="17" t="str">
        <f ca="1">IFERROR(_xlfn.SINGLE(INDEX(#REF!,'Weekly Report'!AN398)),"")</f>
        <v/>
      </c>
      <c r="AP398" s="12" t="str">
        <f ca="1">IFERROR(_xlfn.SINGLE(INDEX(#REF!,'Weekly Report'!AN398)),"")</f>
        <v/>
      </c>
    </row>
    <row r="399" spans="36:42">
      <c r="AJ399" s="12" t="str">
        <f ca="1">IFERROR(MATCH($B$114,OFFSET(#REF!,AJ398,0,1000000),0)+AJ398,"")</f>
        <v/>
      </c>
      <c r="AK399" s="17" t="str">
        <f ca="1">IFERROR(_xlfn.SINGLE(INDEX(#REF!,'Weekly Report'!AJ399)),"")</f>
        <v/>
      </c>
      <c r="AL399" s="12" t="str">
        <f ca="1">IFERROR(_xlfn.SINGLE(INDEX(#REF!,'Weekly Report'!AJ399)),"")</f>
        <v/>
      </c>
      <c r="AN399" s="12" t="str">
        <f ca="1">IFERROR(MATCH($G$115,OFFSET(#REF!,AN398,0,1000000),0)+AN398,"")</f>
        <v/>
      </c>
      <c r="AO399" s="17" t="str">
        <f ca="1">IFERROR(_xlfn.SINGLE(INDEX(#REF!,'Weekly Report'!AN399)),"")</f>
        <v/>
      </c>
      <c r="AP399" s="12" t="str">
        <f ca="1">IFERROR(_xlfn.SINGLE(INDEX(#REF!,'Weekly Report'!AN399)),"")</f>
        <v/>
      </c>
    </row>
    <row r="400" spans="36:42">
      <c r="AJ400" s="12" t="str">
        <f ca="1">IFERROR(MATCH($B$114,OFFSET(#REF!,AJ399,0,1000000),0)+AJ399,"")</f>
        <v/>
      </c>
      <c r="AK400" s="17" t="str">
        <f ca="1">IFERROR(_xlfn.SINGLE(INDEX(#REF!,'Weekly Report'!AJ400)),"")</f>
        <v/>
      </c>
      <c r="AL400" s="12" t="str">
        <f ca="1">IFERROR(_xlfn.SINGLE(INDEX(#REF!,'Weekly Report'!AJ400)),"")</f>
        <v/>
      </c>
      <c r="AN400" s="12" t="str">
        <f ca="1">IFERROR(MATCH($G$115,OFFSET(#REF!,AN399,0,1000000),0)+AN399,"")</f>
        <v/>
      </c>
      <c r="AO400" s="17" t="str">
        <f ca="1">IFERROR(_xlfn.SINGLE(INDEX(#REF!,'Weekly Report'!AN400)),"")</f>
        <v/>
      </c>
      <c r="AP400" s="12" t="str">
        <f ca="1">IFERROR(_xlfn.SINGLE(INDEX(#REF!,'Weekly Report'!AN400)),"")</f>
        <v/>
      </c>
    </row>
    <row r="401" spans="36:42">
      <c r="AJ401" s="12" t="str">
        <f ca="1">IFERROR(MATCH($B$114,OFFSET(#REF!,AJ400,0,1000000),0)+AJ400,"")</f>
        <v/>
      </c>
      <c r="AK401" s="17" t="str">
        <f ca="1">IFERROR(_xlfn.SINGLE(INDEX(#REF!,'Weekly Report'!AJ401)),"")</f>
        <v/>
      </c>
      <c r="AL401" s="12" t="str">
        <f ca="1">IFERROR(_xlfn.SINGLE(INDEX(#REF!,'Weekly Report'!AJ401)),"")</f>
        <v/>
      </c>
      <c r="AN401" s="12" t="str">
        <f ca="1">IFERROR(MATCH($G$115,OFFSET(#REF!,AN400,0,1000000),0)+AN400,"")</f>
        <v/>
      </c>
      <c r="AO401" s="17" t="str">
        <f ca="1">IFERROR(_xlfn.SINGLE(INDEX(#REF!,'Weekly Report'!AN401)),"")</f>
        <v/>
      </c>
      <c r="AP401" s="12" t="str">
        <f ca="1">IFERROR(_xlfn.SINGLE(INDEX(#REF!,'Weekly Report'!AN401)),"")</f>
        <v/>
      </c>
    </row>
    <row r="402" spans="36:42">
      <c r="AJ402" s="12" t="str">
        <f ca="1">IFERROR(MATCH($B$114,OFFSET(#REF!,AJ401,0,1000000),0)+AJ401,"")</f>
        <v/>
      </c>
      <c r="AK402" s="17" t="str">
        <f ca="1">IFERROR(_xlfn.SINGLE(INDEX(#REF!,'Weekly Report'!AJ402)),"")</f>
        <v/>
      </c>
      <c r="AL402" s="12" t="str">
        <f ca="1">IFERROR(_xlfn.SINGLE(INDEX(#REF!,'Weekly Report'!AJ402)),"")</f>
        <v/>
      </c>
      <c r="AN402" s="12" t="str">
        <f ca="1">IFERROR(MATCH($G$115,OFFSET(#REF!,AN401,0,1000000),0)+AN401,"")</f>
        <v/>
      </c>
      <c r="AO402" s="17" t="str">
        <f ca="1">IFERROR(_xlfn.SINGLE(INDEX(#REF!,'Weekly Report'!AN402)),"")</f>
        <v/>
      </c>
      <c r="AP402" s="12" t="str">
        <f ca="1">IFERROR(_xlfn.SINGLE(INDEX(#REF!,'Weekly Report'!AN402)),"")</f>
        <v/>
      </c>
    </row>
    <row r="403" spans="36:42">
      <c r="AJ403" s="12" t="str">
        <f ca="1">IFERROR(MATCH($B$114,OFFSET(#REF!,AJ402,0,1000000),0)+AJ402,"")</f>
        <v/>
      </c>
      <c r="AK403" s="17" t="str">
        <f ca="1">IFERROR(_xlfn.SINGLE(INDEX(#REF!,'Weekly Report'!AJ403)),"")</f>
        <v/>
      </c>
      <c r="AL403" s="12" t="str">
        <f ca="1">IFERROR(_xlfn.SINGLE(INDEX(#REF!,'Weekly Report'!AJ403)),"")</f>
        <v/>
      </c>
      <c r="AN403" s="12" t="str">
        <f ca="1">IFERROR(MATCH($G$115,OFFSET(#REF!,AN402,0,1000000),0)+AN402,"")</f>
        <v/>
      </c>
      <c r="AO403" s="17" t="str">
        <f ca="1">IFERROR(_xlfn.SINGLE(INDEX(#REF!,'Weekly Report'!AN403)),"")</f>
        <v/>
      </c>
      <c r="AP403" s="12" t="str">
        <f ca="1">IFERROR(_xlfn.SINGLE(INDEX(#REF!,'Weekly Report'!AN403)),"")</f>
        <v/>
      </c>
    </row>
    <row r="404" spans="36:42">
      <c r="AJ404" s="12" t="str">
        <f ca="1">IFERROR(MATCH($B$114,OFFSET(#REF!,AJ403,0,1000000),0)+AJ403,"")</f>
        <v/>
      </c>
      <c r="AK404" s="17" t="str">
        <f ca="1">IFERROR(_xlfn.SINGLE(INDEX(#REF!,'Weekly Report'!AJ404)),"")</f>
        <v/>
      </c>
      <c r="AL404" s="12" t="str">
        <f ca="1">IFERROR(_xlfn.SINGLE(INDEX(#REF!,'Weekly Report'!AJ404)),"")</f>
        <v/>
      </c>
      <c r="AN404" s="12" t="str">
        <f ca="1">IFERROR(MATCH($G$115,OFFSET(#REF!,AN403,0,1000000),0)+AN403,"")</f>
        <v/>
      </c>
      <c r="AO404" s="17" t="str">
        <f ca="1">IFERROR(_xlfn.SINGLE(INDEX(#REF!,'Weekly Report'!AN404)),"")</f>
        <v/>
      </c>
      <c r="AP404" s="12" t="str">
        <f ca="1">IFERROR(_xlfn.SINGLE(INDEX(#REF!,'Weekly Report'!AN404)),"")</f>
        <v/>
      </c>
    </row>
    <row r="405" spans="36:42">
      <c r="AJ405" s="12" t="str">
        <f ca="1">IFERROR(MATCH($B$114,OFFSET(#REF!,AJ404,0,1000000),0)+AJ404,"")</f>
        <v/>
      </c>
      <c r="AK405" s="17" t="str">
        <f ca="1">IFERROR(_xlfn.SINGLE(INDEX(#REF!,'Weekly Report'!AJ405)),"")</f>
        <v/>
      </c>
      <c r="AL405" s="12" t="str">
        <f ca="1">IFERROR(_xlfn.SINGLE(INDEX(#REF!,'Weekly Report'!AJ405)),"")</f>
        <v/>
      </c>
      <c r="AN405" s="12" t="str">
        <f ca="1">IFERROR(MATCH($G$115,OFFSET(#REF!,AN404,0,1000000),0)+AN404,"")</f>
        <v/>
      </c>
      <c r="AO405" s="17" t="str">
        <f ca="1">IFERROR(_xlfn.SINGLE(INDEX(#REF!,'Weekly Report'!AN405)),"")</f>
        <v/>
      </c>
      <c r="AP405" s="12" t="str">
        <f ca="1">IFERROR(_xlfn.SINGLE(INDEX(#REF!,'Weekly Report'!AN405)),"")</f>
        <v/>
      </c>
    </row>
    <row r="406" spans="36:42">
      <c r="AJ406" s="12" t="str">
        <f ca="1">IFERROR(MATCH($B$114,OFFSET(#REF!,AJ405,0,1000000),0)+AJ405,"")</f>
        <v/>
      </c>
      <c r="AK406" s="17" t="str">
        <f ca="1">IFERROR(_xlfn.SINGLE(INDEX(#REF!,'Weekly Report'!AJ406)),"")</f>
        <v/>
      </c>
      <c r="AL406" s="12" t="str">
        <f ca="1">IFERROR(_xlfn.SINGLE(INDEX(#REF!,'Weekly Report'!AJ406)),"")</f>
        <v/>
      </c>
      <c r="AN406" s="12" t="str">
        <f ca="1">IFERROR(MATCH($G$115,OFFSET(#REF!,AN405,0,1000000),0)+AN405,"")</f>
        <v/>
      </c>
      <c r="AO406" s="17" t="str">
        <f ca="1">IFERROR(_xlfn.SINGLE(INDEX(#REF!,'Weekly Report'!AN406)),"")</f>
        <v/>
      </c>
      <c r="AP406" s="12" t="str">
        <f ca="1">IFERROR(_xlfn.SINGLE(INDEX(#REF!,'Weekly Report'!AN406)),"")</f>
        <v/>
      </c>
    </row>
    <row r="407" spans="36:42">
      <c r="AJ407" s="12" t="str">
        <f ca="1">IFERROR(MATCH($B$114,OFFSET(#REF!,AJ406,0,1000000),0)+AJ406,"")</f>
        <v/>
      </c>
      <c r="AK407" s="17" t="str">
        <f ca="1">IFERROR(_xlfn.SINGLE(INDEX(#REF!,'Weekly Report'!AJ407)),"")</f>
        <v/>
      </c>
      <c r="AL407" s="12" t="str">
        <f ca="1">IFERROR(_xlfn.SINGLE(INDEX(#REF!,'Weekly Report'!AJ407)),"")</f>
        <v/>
      </c>
      <c r="AN407" s="12" t="str">
        <f ca="1">IFERROR(MATCH($G$115,OFFSET(#REF!,AN406,0,1000000),0)+AN406,"")</f>
        <v/>
      </c>
      <c r="AO407" s="17" t="str">
        <f ca="1">IFERROR(_xlfn.SINGLE(INDEX(#REF!,'Weekly Report'!AN407)),"")</f>
        <v/>
      </c>
      <c r="AP407" s="12" t="str">
        <f ca="1">IFERROR(_xlfn.SINGLE(INDEX(#REF!,'Weekly Report'!AN407)),"")</f>
        <v/>
      </c>
    </row>
    <row r="408" spans="36:42">
      <c r="AJ408" s="12" t="str">
        <f ca="1">IFERROR(MATCH($B$114,OFFSET(#REF!,AJ407,0,1000000),0)+AJ407,"")</f>
        <v/>
      </c>
      <c r="AK408" s="17" t="str">
        <f ca="1">IFERROR(_xlfn.SINGLE(INDEX(#REF!,'Weekly Report'!AJ408)),"")</f>
        <v/>
      </c>
      <c r="AL408" s="12" t="str">
        <f ca="1">IFERROR(_xlfn.SINGLE(INDEX(#REF!,'Weekly Report'!AJ408)),"")</f>
        <v/>
      </c>
      <c r="AN408" s="12" t="str">
        <f ca="1">IFERROR(MATCH($G$115,OFFSET(#REF!,AN407,0,1000000),0)+AN407,"")</f>
        <v/>
      </c>
      <c r="AO408" s="17" t="str">
        <f ca="1">IFERROR(_xlfn.SINGLE(INDEX(#REF!,'Weekly Report'!AN408)),"")</f>
        <v/>
      </c>
      <c r="AP408" s="12" t="str">
        <f ca="1">IFERROR(_xlfn.SINGLE(INDEX(#REF!,'Weekly Report'!AN408)),"")</f>
        <v/>
      </c>
    </row>
    <row r="409" spans="36:42">
      <c r="AJ409" s="12" t="str">
        <f ca="1">IFERROR(MATCH($B$114,OFFSET(#REF!,AJ408,0,1000000),0)+AJ408,"")</f>
        <v/>
      </c>
      <c r="AK409" s="17" t="str">
        <f ca="1">IFERROR(_xlfn.SINGLE(INDEX(#REF!,'Weekly Report'!AJ409)),"")</f>
        <v/>
      </c>
      <c r="AL409" s="12" t="str">
        <f ca="1">IFERROR(_xlfn.SINGLE(INDEX(#REF!,'Weekly Report'!AJ409)),"")</f>
        <v/>
      </c>
      <c r="AN409" s="12" t="str">
        <f ca="1">IFERROR(MATCH($G$115,OFFSET(#REF!,AN408,0,1000000),0)+AN408,"")</f>
        <v/>
      </c>
      <c r="AO409" s="17" t="str">
        <f ca="1">IFERROR(_xlfn.SINGLE(INDEX(#REF!,'Weekly Report'!AN409)),"")</f>
        <v/>
      </c>
      <c r="AP409" s="12" t="str">
        <f ca="1">IFERROR(_xlfn.SINGLE(INDEX(#REF!,'Weekly Report'!AN409)),"")</f>
        <v/>
      </c>
    </row>
    <row r="410" spans="36:42">
      <c r="AJ410" s="12" t="str">
        <f ca="1">IFERROR(MATCH($B$114,OFFSET(#REF!,AJ409,0,1000000),0)+AJ409,"")</f>
        <v/>
      </c>
      <c r="AK410" s="17" t="str">
        <f ca="1">IFERROR(_xlfn.SINGLE(INDEX(#REF!,'Weekly Report'!AJ410)),"")</f>
        <v/>
      </c>
      <c r="AL410" s="12" t="str">
        <f ca="1">IFERROR(_xlfn.SINGLE(INDEX(#REF!,'Weekly Report'!AJ410)),"")</f>
        <v/>
      </c>
      <c r="AN410" s="12" t="str">
        <f ca="1">IFERROR(MATCH($G$115,OFFSET(#REF!,AN409,0,1000000),0)+AN409,"")</f>
        <v/>
      </c>
      <c r="AO410" s="17" t="str">
        <f ca="1">IFERROR(_xlfn.SINGLE(INDEX(#REF!,'Weekly Report'!AN410)),"")</f>
        <v/>
      </c>
      <c r="AP410" s="12" t="str">
        <f ca="1">IFERROR(_xlfn.SINGLE(INDEX(#REF!,'Weekly Report'!AN410)),"")</f>
        <v/>
      </c>
    </row>
    <row r="411" spans="36:42">
      <c r="AJ411" s="12" t="str">
        <f ca="1">IFERROR(MATCH($B$114,OFFSET(#REF!,AJ410,0,1000000),0)+AJ410,"")</f>
        <v/>
      </c>
      <c r="AK411" s="17" t="str">
        <f ca="1">IFERROR(_xlfn.SINGLE(INDEX(#REF!,'Weekly Report'!AJ411)),"")</f>
        <v/>
      </c>
      <c r="AL411" s="12" t="str">
        <f ca="1">IFERROR(_xlfn.SINGLE(INDEX(#REF!,'Weekly Report'!AJ411)),"")</f>
        <v/>
      </c>
      <c r="AN411" s="12" t="str">
        <f ca="1">IFERROR(MATCH($G$115,OFFSET(#REF!,AN410,0,1000000),0)+AN410,"")</f>
        <v/>
      </c>
      <c r="AO411" s="17" t="str">
        <f ca="1">IFERROR(_xlfn.SINGLE(INDEX(#REF!,'Weekly Report'!AN411)),"")</f>
        <v/>
      </c>
      <c r="AP411" s="12" t="str">
        <f ca="1">IFERROR(_xlfn.SINGLE(INDEX(#REF!,'Weekly Report'!AN411)),"")</f>
        <v/>
      </c>
    </row>
    <row r="412" spans="36:42">
      <c r="AJ412" s="12" t="str">
        <f ca="1">IFERROR(MATCH($B$114,OFFSET(#REF!,AJ411,0,1000000),0)+AJ411,"")</f>
        <v/>
      </c>
      <c r="AK412" s="17" t="str">
        <f ca="1">IFERROR(_xlfn.SINGLE(INDEX(#REF!,'Weekly Report'!AJ412)),"")</f>
        <v/>
      </c>
      <c r="AL412" s="12" t="str">
        <f ca="1">IFERROR(_xlfn.SINGLE(INDEX(#REF!,'Weekly Report'!AJ412)),"")</f>
        <v/>
      </c>
      <c r="AN412" s="12" t="str">
        <f ca="1">IFERROR(MATCH($G$115,OFFSET(#REF!,AN411,0,1000000),0)+AN411,"")</f>
        <v/>
      </c>
      <c r="AO412" s="17" t="str">
        <f ca="1">IFERROR(_xlfn.SINGLE(INDEX(#REF!,'Weekly Report'!AN412)),"")</f>
        <v/>
      </c>
      <c r="AP412" s="12" t="str">
        <f ca="1">IFERROR(_xlfn.SINGLE(INDEX(#REF!,'Weekly Report'!AN412)),"")</f>
        <v/>
      </c>
    </row>
    <row r="413" spans="36:42">
      <c r="AJ413" s="12" t="str">
        <f ca="1">IFERROR(MATCH($B$114,OFFSET(#REF!,AJ412,0,1000000),0)+AJ412,"")</f>
        <v/>
      </c>
      <c r="AK413" s="17" t="str">
        <f ca="1">IFERROR(_xlfn.SINGLE(INDEX(#REF!,'Weekly Report'!AJ413)),"")</f>
        <v/>
      </c>
      <c r="AL413" s="12" t="str">
        <f ca="1">IFERROR(_xlfn.SINGLE(INDEX(#REF!,'Weekly Report'!AJ413)),"")</f>
        <v/>
      </c>
      <c r="AN413" s="12" t="str">
        <f ca="1">IFERROR(MATCH($G$115,OFFSET(#REF!,AN412,0,1000000),0)+AN412,"")</f>
        <v/>
      </c>
      <c r="AO413" s="17" t="str">
        <f ca="1">IFERROR(_xlfn.SINGLE(INDEX(#REF!,'Weekly Report'!AN413)),"")</f>
        <v/>
      </c>
      <c r="AP413" s="12" t="str">
        <f ca="1">IFERROR(_xlfn.SINGLE(INDEX(#REF!,'Weekly Report'!AN413)),"")</f>
        <v/>
      </c>
    </row>
    <row r="414" spans="36:42">
      <c r="AJ414" s="12" t="str">
        <f ca="1">IFERROR(MATCH($B$114,OFFSET(#REF!,AJ413,0,1000000),0)+AJ413,"")</f>
        <v/>
      </c>
      <c r="AK414" s="17" t="str">
        <f ca="1">IFERROR(_xlfn.SINGLE(INDEX(#REF!,'Weekly Report'!AJ414)),"")</f>
        <v/>
      </c>
      <c r="AL414" s="12" t="str">
        <f ca="1">IFERROR(_xlfn.SINGLE(INDEX(#REF!,'Weekly Report'!AJ414)),"")</f>
        <v/>
      </c>
      <c r="AN414" s="12" t="str">
        <f ca="1">IFERROR(MATCH($G$115,OFFSET(#REF!,AN413,0,1000000),0)+AN413,"")</f>
        <v/>
      </c>
      <c r="AO414" s="17" t="str">
        <f ca="1">IFERROR(_xlfn.SINGLE(INDEX(#REF!,'Weekly Report'!AN414)),"")</f>
        <v/>
      </c>
      <c r="AP414" s="12" t="str">
        <f ca="1">IFERROR(_xlfn.SINGLE(INDEX(#REF!,'Weekly Report'!AN414)),"")</f>
        <v/>
      </c>
    </row>
    <row r="415" spans="36:42">
      <c r="AJ415" s="12" t="str">
        <f ca="1">IFERROR(MATCH($B$114,OFFSET(#REF!,AJ414,0,1000000),0)+AJ414,"")</f>
        <v/>
      </c>
      <c r="AK415" s="17" t="str">
        <f ca="1">IFERROR(_xlfn.SINGLE(INDEX(#REF!,'Weekly Report'!AJ415)),"")</f>
        <v/>
      </c>
      <c r="AL415" s="12" t="str">
        <f ca="1">IFERROR(_xlfn.SINGLE(INDEX(#REF!,'Weekly Report'!AJ415)),"")</f>
        <v/>
      </c>
      <c r="AN415" s="12" t="str">
        <f ca="1">IFERROR(MATCH($G$115,OFFSET(#REF!,AN414,0,1000000),0)+AN414,"")</f>
        <v/>
      </c>
      <c r="AO415" s="17" t="str">
        <f ca="1">IFERROR(_xlfn.SINGLE(INDEX(#REF!,'Weekly Report'!AN415)),"")</f>
        <v/>
      </c>
      <c r="AP415" s="12" t="str">
        <f ca="1">IFERROR(_xlfn.SINGLE(INDEX(#REF!,'Weekly Report'!AN415)),"")</f>
        <v/>
      </c>
    </row>
    <row r="416" spans="36:42">
      <c r="AJ416" s="12" t="str">
        <f ca="1">IFERROR(MATCH($B$114,OFFSET(#REF!,AJ415,0,1000000),0)+AJ415,"")</f>
        <v/>
      </c>
      <c r="AK416" s="17" t="str">
        <f ca="1">IFERROR(_xlfn.SINGLE(INDEX(#REF!,'Weekly Report'!AJ416)),"")</f>
        <v/>
      </c>
      <c r="AL416" s="12" t="str">
        <f ca="1">IFERROR(_xlfn.SINGLE(INDEX(#REF!,'Weekly Report'!AJ416)),"")</f>
        <v/>
      </c>
      <c r="AN416" s="12" t="str">
        <f ca="1">IFERROR(MATCH($G$115,OFFSET(#REF!,AN415,0,1000000),0)+AN415,"")</f>
        <v/>
      </c>
      <c r="AO416" s="17" t="str">
        <f ca="1">IFERROR(_xlfn.SINGLE(INDEX(#REF!,'Weekly Report'!AN416)),"")</f>
        <v/>
      </c>
      <c r="AP416" s="12" t="str">
        <f ca="1">IFERROR(_xlfn.SINGLE(INDEX(#REF!,'Weekly Report'!AN416)),"")</f>
        <v/>
      </c>
    </row>
    <row r="417" spans="36:42">
      <c r="AJ417" s="12" t="str">
        <f ca="1">IFERROR(MATCH($B$114,OFFSET(#REF!,AJ416,0,1000000),0)+AJ416,"")</f>
        <v/>
      </c>
      <c r="AK417" s="17" t="str">
        <f ca="1">IFERROR(_xlfn.SINGLE(INDEX(#REF!,'Weekly Report'!AJ417)),"")</f>
        <v/>
      </c>
      <c r="AL417" s="12" t="str">
        <f ca="1">IFERROR(_xlfn.SINGLE(INDEX(#REF!,'Weekly Report'!AJ417)),"")</f>
        <v/>
      </c>
      <c r="AN417" s="12" t="str">
        <f ca="1">IFERROR(MATCH($G$115,OFFSET(#REF!,AN416,0,1000000),0)+AN416,"")</f>
        <v/>
      </c>
      <c r="AO417" s="17" t="str">
        <f ca="1">IFERROR(_xlfn.SINGLE(INDEX(#REF!,'Weekly Report'!AN417)),"")</f>
        <v/>
      </c>
      <c r="AP417" s="12" t="str">
        <f ca="1">IFERROR(_xlfn.SINGLE(INDEX(#REF!,'Weekly Report'!AN417)),"")</f>
        <v/>
      </c>
    </row>
    <row r="418" spans="36:42">
      <c r="AJ418" s="12" t="str">
        <f ca="1">IFERROR(MATCH($B$114,OFFSET(#REF!,AJ417,0,1000000),0)+AJ417,"")</f>
        <v/>
      </c>
      <c r="AK418" s="17" t="str">
        <f ca="1">IFERROR(_xlfn.SINGLE(INDEX(#REF!,'Weekly Report'!AJ418)),"")</f>
        <v/>
      </c>
      <c r="AL418" s="12" t="str">
        <f ca="1">IFERROR(_xlfn.SINGLE(INDEX(#REF!,'Weekly Report'!AJ418)),"")</f>
        <v/>
      </c>
      <c r="AN418" s="12" t="str">
        <f ca="1">IFERROR(MATCH($G$115,OFFSET(#REF!,AN417,0,1000000),0)+AN417,"")</f>
        <v/>
      </c>
      <c r="AO418" s="17" t="str">
        <f ca="1">IFERROR(_xlfn.SINGLE(INDEX(#REF!,'Weekly Report'!AN418)),"")</f>
        <v/>
      </c>
      <c r="AP418" s="12" t="str">
        <f ca="1">IFERROR(_xlfn.SINGLE(INDEX(#REF!,'Weekly Report'!AN418)),"")</f>
        <v/>
      </c>
    </row>
    <row r="419" spans="36:42">
      <c r="AJ419" s="12" t="str">
        <f ca="1">IFERROR(MATCH($B$114,OFFSET(#REF!,AJ418,0,1000000),0)+AJ418,"")</f>
        <v/>
      </c>
      <c r="AK419" s="17" t="str">
        <f ca="1">IFERROR(_xlfn.SINGLE(INDEX(#REF!,'Weekly Report'!AJ419)),"")</f>
        <v/>
      </c>
      <c r="AL419" s="12" t="str">
        <f ca="1">IFERROR(_xlfn.SINGLE(INDEX(#REF!,'Weekly Report'!AJ419)),"")</f>
        <v/>
      </c>
      <c r="AN419" s="12" t="str">
        <f ca="1">IFERROR(MATCH($G$115,OFFSET(#REF!,AN418,0,1000000),0)+AN418,"")</f>
        <v/>
      </c>
      <c r="AO419" s="17" t="str">
        <f ca="1">IFERROR(_xlfn.SINGLE(INDEX(#REF!,'Weekly Report'!AN419)),"")</f>
        <v/>
      </c>
      <c r="AP419" s="12" t="str">
        <f ca="1">IFERROR(_xlfn.SINGLE(INDEX(#REF!,'Weekly Report'!AN419)),"")</f>
        <v/>
      </c>
    </row>
    <row r="420" spans="36:42">
      <c r="AJ420" s="12" t="str">
        <f ca="1">IFERROR(MATCH($B$114,OFFSET(#REF!,AJ419,0,1000000),0)+AJ419,"")</f>
        <v/>
      </c>
      <c r="AK420" s="17" t="str">
        <f ca="1">IFERROR(_xlfn.SINGLE(INDEX(#REF!,'Weekly Report'!AJ420)),"")</f>
        <v/>
      </c>
      <c r="AL420" s="12" t="str">
        <f ca="1">IFERROR(_xlfn.SINGLE(INDEX(#REF!,'Weekly Report'!AJ420)),"")</f>
        <v/>
      </c>
      <c r="AN420" s="12" t="str">
        <f ca="1">IFERROR(MATCH($G$115,OFFSET(#REF!,AN419,0,1000000),0)+AN419,"")</f>
        <v/>
      </c>
      <c r="AO420" s="17" t="str">
        <f ca="1">IFERROR(_xlfn.SINGLE(INDEX(#REF!,'Weekly Report'!AN420)),"")</f>
        <v/>
      </c>
      <c r="AP420" s="12" t="str">
        <f ca="1">IFERROR(_xlfn.SINGLE(INDEX(#REF!,'Weekly Report'!AN420)),"")</f>
        <v/>
      </c>
    </row>
    <row r="421" spans="36:42">
      <c r="AJ421" s="12" t="str">
        <f ca="1">IFERROR(MATCH($B$114,OFFSET(#REF!,AJ420,0,1000000),0)+AJ420,"")</f>
        <v/>
      </c>
      <c r="AK421" s="17" t="str">
        <f ca="1">IFERROR(_xlfn.SINGLE(INDEX(#REF!,'Weekly Report'!AJ421)),"")</f>
        <v/>
      </c>
      <c r="AL421" s="12" t="str">
        <f ca="1">IFERROR(_xlfn.SINGLE(INDEX(#REF!,'Weekly Report'!AJ421)),"")</f>
        <v/>
      </c>
      <c r="AN421" s="12" t="str">
        <f ca="1">IFERROR(MATCH($G$115,OFFSET(#REF!,AN420,0,1000000),0)+AN420,"")</f>
        <v/>
      </c>
      <c r="AO421" s="17" t="str">
        <f ca="1">IFERROR(_xlfn.SINGLE(INDEX(#REF!,'Weekly Report'!AN421)),"")</f>
        <v/>
      </c>
      <c r="AP421" s="12" t="str">
        <f ca="1">IFERROR(_xlfn.SINGLE(INDEX(#REF!,'Weekly Report'!AN421)),"")</f>
        <v/>
      </c>
    </row>
    <row r="422" spans="36:42">
      <c r="AJ422" s="12" t="str">
        <f ca="1">IFERROR(MATCH($B$114,OFFSET(#REF!,AJ421,0,1000000),0)+AJ421,"")</f>
        <v/>
      </c>
      <c r="AK422" s="17" t="str">
        <f ca="1">IFERROR(_xlfn.SINGLE(INDEX(#REF!,'Weekly Report'!AJ422)),"")</f>
        <v/>
      </c>
      <c r="AL422" s="12" t="str">
        <f ca="1">IFERROR(_xlfn.SINGLE(INDEX(#REF!,'Weekly Report'!AJ422)),"")</f>
        <v/>
      </c>
      <c r="AN422" s="12" t="str">
        <f ca="1">IFERROR(MATCH($G$115,OFFSET(#REF!,AN421,0,1000000),0)+AN421,"")</f>
        <v/>
      </c>
      <c r="AO422" s="17" t="str">
        <f ca="1">IFERROR(_xlfn.SINGLE(INDEX(#REF!,'Weekly Report'!AN422)),"")</f>
        <v/>
      </c>
      <c r="AP422" s="12" t="str">
        <f ca="1">IFERROR(_xlfn.SINGLE(INDEX(#REF!,'Weekly Report'!AN422)),"")</f>
        <v/>
      </c>
    </row>
    <row r="423" spans="36:42">
      <c r="AJ423" s="12" t="str">
        <f ca="1">IFERROR(MATCH($B$114,OFFSET(#REF!,AJ422,0,1000000),0)+AJ422,"")</f>
        <v/>
      </c>
      <c r="AK423" s="17" t="str">
        <f ca="1">IFERROR(_xlfn.SINGLE(INDEX(#REF!,'Weekly Report'!AJ423)),"")</f>
        <v/>
      </c>
      <c r="AL423" s="12" t="str">
        <f ca="1">IFERROR(_xlfn.SINGLE(INDEX(#REF!,'Weekly Report'!AJ423)),"")</f>
        <v/>
      </c>
      <c r="AN423" s="12" t="str">
        <f ca="1">IFERROR(MATCH($G$115,OFFSET(#REF!,AN422,0,1000000),0)+AN422,"")</f>
        <v/>
      </c>
      <c r="AO423" s="17" t="str">
        <f ca="1">IFERROR(_xlfn.SINGLE(INDEX(#REF!,'Weekly Report'!AN423)),"")</f>
        <v/>
      </c>
      <c r="AP423" s="12" t="str">
        <f ca="1">IFERROR(_xlfn.SINGLE(INDEX(#REF!,'Weekly Report'!AN423)),"")</f>
        <v/>
      </c>
    </row>
    <row r="424" spans="36:42">
      <c r="AJ424" s="12" t="str">
        <f ca="1">IFERROR(MATCH($B$114,OFFSET(#REF!,AJ423,0,1000000),0)+AJ423,"")</f>
        <v/>
      </c>
      <c r="AK424" s="17" t="str">
        <f ca="1">IFERROR(_xlfn.SINGLE(INDEX(#REF!,'Weekly Report'!AJ424)),"")</f>
        <v/>
      </c>
      <c r="AL424" s="12" t="str">
        <f ca="1">IFERROR(_xlfn.SINGLE(INDEX(#REF!,'Weekly Report'!AJ424)),"")</f>
        <v/>
      </c>
      <c r="AN424" s="12" t="str">
        <f ca="1">IFERROR(MATCH($G$115,OFFSET(#REF!,AN423,0,1000000),0)+AN423,"")</f>
        <v/>
      </c>
      <c r="AO424" s="17" t="str">
        <f ca="1">IFERROR(_xlfn.SINGLE(INDEX(#REF!,'Weekly Report'!AN424)),"")</f>
        <v/>
      </c>
      <c r="AP424" s="12" t="str">
        <f ca="1">IFERROR(_xlfn.SINGLE(INDEX(#REF!,'Weekly Report'!AN424)),"")</f>
        <v/>
      </c>
    </row>
    <row r="425" spans="36:42">
      <c r="AJ425" s="12" t="str">
        <f ca="1">IFERROR(MATCH($B$114,OFFSET(#REF!,AJ424,0,1000000),0)+AJ424,"")</f>
        <v/>
      </c>
      <c r="AK425" s="17" t="str">
        <f ca="1">IFERROR(_xlfn.SINGLE(INDEX(#REF!,'Weekly Report'!AJ425)),"")</f>
        <v/>
      </c>
      <c r="AL425" s="12" t="str">
        <f ca="1">IFERROR(_xlfn.SINGLE(INDEX(#REF!,'Weekly Report'!AJ425)),"")</f>
        <v/>
      </c>
      <c r="AN425" s="12" t="str">
        <f ca="1">IFERROR(MATCH($G$115,OFFSET(#REF!,AN424,0,1000000),0)+AN424,"")</f>
        <v/>
      </c>
      <c r="AO425" s="17" t="str">
        <f ca="1">IFERROR(_xlfn.SINGLE(INDEX(#REF!,'Weekly Report'!AN425)),"")</f>
        <v/>
      </c>
      <c r="AP425" s="12" t="str">
        <f ca="1">IFERROR(_xlfn.SINGLE(INDEX(#REF!,'Weekly Report'!AN425)),"")</f>
        <v/>
      </c>
    </row>
    <row r="426" spans="36:42">
      <c r="AJ426" s="12" t="str">
        <f ca="1">IFERROR(MATCH($B$114,OFFSET(#REF!,AJ425,0,1000000),0)+AJ425,"")</f>
        <v/>
      </c>
      <c r="AK426" s="17" t="str">
        <f ca="1">IFERROR(_xlfn.SINGLE(INDEX(#REF!,'Weekly Report'!AJ426)),"")</f>
        <v/>
      </c>
      <c r="AL426" s="12" t="str">
        <f ca="1">IFERROR(_xlfn.SINGLE(INDEX(#REF!,'Weekly Report'!AJ426)),"")</f>
        <v/>
      </c>
      <c r="AN426" s="12" t="str">
        <f ca="1">IFERROR(MATCH($G$115,OFFSET(#REF!,AN425,0,1000000),0)+AN425,"")</f>
        <v/>
      </c>
      <c r="AO426" s="17" t="str">
        <f ca="1">IFERROR(_xlfn.SINGLE(INDEX(#REF!,'Weekly Report'!AN426)),"")</f>
        <v/>
      </c>
      <c r="AP426" s="12" t="str">
        <f ca="1">IFERROR(_xlfn.SINGLE(INDEX(#REF!,'Weekly Report'!AN426)),"")</f>
        <v/>
      </c>
    </row>
    <row r="427" spans="36:42">
      <c r="AJ427" s="12" t="str">
        <f ca="1">IFERROR(MATCH($B$114,OFFSET(#REF!,AJ426,0,1000000),0)+AJ426,"")</f>
        <v/>
      </c>
      <c r="AK427" s="17" t="str">
        <f ca="1">IFERROR(_xlfn.SINGLE(INDEX(#REF!,'Weekly Report'!AJ427)),"")</f>
        <v/>
      </c>
      <c r="AL427" s="12" t="str">
        <f ca="1">IFERROR(_xlfn.SINGLE(INDEX(#REF!,'Weekly Report'!AJ427)),"")</f>
        <v/>
      </c>
      <c r="AN427" s="12" t="str">
        <f ca="1">IFERROR(MATCH($G$115,OFFSET(#REF!,AN426,0,1000000),0)+AN426,"")</f>
        <v/>
      </c>
      <c r="AO427" s="17" t="str">
        <f ca="1">IFERROR(_xlfn.SINGLE(INDEX(#REF!,'Weekly Report'!AN427)),"")</f>
        <v/>
      </c>
      <c r="AP427" s="12" t="str">
        <f ca="1">IFERROR(_xlfn.SINGLE(INDEX(#REF!,'Weekly Report'!AN427)),"")</f>
        <v/>
      </c>
    </row>
    <row r="428" spans="36:42">
      <c r="AJ428" s="12" t="str">
        <f ca="1">IFERROR(MATCH($B$114,OFFSET(#REF!,AJ427,0,1000000),0)+AJ427,"")</f>
        <v/>
      </c>
      <c r="AK428" s="17" t="str">
        <f ca="1">IFERROR(_xlfn.SINGLE(INDEX(#REF!,'Weekly Report'!AJ428)),"")</f>
        <v/>
      </c>
      <c r="AL428" s="12" t="str">
        <f ca="1">IFERROR(_xlfn.SINGLE(INDEX(#REF!,'Weekly Report'!AJ428)),"")</f>
        <v/>
      </c>
      <c r="AN428" s="12" t="str">
        <f ca="1">IFERROR(MATCH($G$115,OFFSET(#REF!,AN427,0,1000000),0)+AN427,"")</f>
        <v/>
      </c>
      <c r="AO428" s="17" t="str">
        <f ca="1">IFERROR(_xlfn.SINGLE(INDEX(#REF!,'Weekly Report'!AN428)),"")</f>
        <v/>
      </c>
      <c r="AP428" s="12" t="str">
        <f ca="1">IFERROR(_xlfn.SINGLE(INDEX(#REF!,'Weekly Report'!AN428)),"")</f>
        <v/>
      </c>
    </row>
    <row r="429" spans="36:42">
      <c r="AJ429" s="12" t="str">
        <f ca="1">IFERROR(MATCH($B$114,OFFSET(#REF!,AJ428,0,1000000),0)+AJ428,"")</f>
        <v/>
      </c>
      <c r="AK429" s="17" t="str">
        <f ca="1">IFERROR(_xlfn.SINGLE(INDEX(#REF!,'Weekly Report'!AJ429)),"")</f>
        <v/>
      </c>
      <c r="AL429" s="12" t="str">
        <f ca="1">IFERROR(_xlfn.SINGLE(INDEX(#REF!,'Weekly Report'!AJ429)),"")</f>
        <v/>
      </c>
      <c r="AN429" s="12" t="str">
        <f ca="1">IFERROR(MATCH($G$115,OFFSET(#REF!,AN428,0,1000000),0)+AN428,"")</f>
        <v/>
      </c>
      <c r="AO429" s="17" t="str">
        <f ca="1">IFERROR(_xlfn.SINGLE(INDEX(#REF!,'Weekly Report'!AN429)),"")</f>
        <v/>
      </c>
      <c r="AP429" s="12" t="str">
        <f ca="1">IFERROR(_xlfn.SINGLE(INDEX(#REF!,'Weekly Report'!AN429)),"")</f>
        <v/>
      </c>
    </row>
    <row r="430" spans="36:42">
      <c r="AJ430" s="12" t="str">
        <f ca="1">IFERROR(MATCH($B$114,OFFSET(#REF!,AJ429,0,1000000),0)+AJ429,"")</f>
        <v/>
      </c>
      <c r="AK430" s="17" t="str">
        <f ca="1">IFERROR(_xlfn.SINGLE(INDEX(#REF!,'Weekly Report'!AJ430)),"")</f>
        <v/>
      </c>
      <c r="AL430" s="12" t="str">
        <f ca="1">IFERROR(_xlfn.SINGLE(INDEX(#REF!,'Weekly Report'!AJ430)),"")</f>
        <v/>
      </c>
      <c r="AN430" s="12" t="str">
        <f ca="1">IFERROR(MATCH($G$115,OFFSET(#REF!,AN429,0,1000000),0)+AN429,"")</f>
        <v/>
      </c>
      <c r="AO430" s="17" t="str">
        <f ca="1">IFERROR(_xlfn.SINGLE(INDEX(#REF!,'Weekly Report'!AN430)),"")</f>
        <v/>
      </c>
      <c r="AP430" s="12" t="str">
        <f ca="1">IFERROR(_xlfn.SINGLE(INDEX(#REF!,'Weekly Report'!AN430)),"")</f>
        <v/>
      </c>
    </row>
    <row r="431" spans="36:42">
      <c r="AJ431" s="12" t="str">
        <f ca="1">IFERROR(MATCH($B$114,OFFSET(#REF!,AJ430,0,1000000),0)+AJ430,"")</f>
        <v/>
      </c>
      <c r="AK431" s="17" t="str">
        <f ca="1">IFERROR(_xlfn.SINGLE(INDEX(#REF!,'Weekly Report'!AJ431)),"")</f>
        <v/>
      </c>
      <c r="AL431" s="12" t="str">
        <f ca="1">IFERROR(_xlfn.SINGLE(INDEX(#REF!,'Weekly Report'!AJ431)),"")</f>
        <v/>
      </c>
      <c r="AN431" s="12" t="str">
        <f ca="1">IFERROR(MATCH($G$115,OFFSET(#REF!,AN430,0,1000000),0)+AN430,"")</f>
        <v/>
      </c>
      <c r="AO431" s="17" t="str">
        <f ca="1">IFERROR(_xlfn.SINGLE(INDEX(#REF!,'Weekly Report'!AN431)),"")</f>
        <v/>
      </c>
      <c r="AP431" s="12" t="str">
        <f ca="1">IFERROR(_xlfn.SINGLE(INDEX(#REF!,'Weekly Report'!AN431)),"")</f>
        <v/>
      </c>
    </row>
    <row r="432" spans="36:42">
      <c r="AJ432" s="12" t="str">
        <f ca="1">IFERROR(MATCH($B$114,OFFSET(#REF!,AJ431,0,1000000),0)+AJ431,"")</f>
        <v/>
      </c>
      <c r="AK432" s="17" t="str">
        <f ca="1">IFERROR(_xlfn.SINGLE(INDEX(#REF!,'Weekly Report'!AJ432)),"")</f>
        <v/>
      </c>
      <c r="AL432" s="12" t="str">
        <f ca="1">IFERROR(_xlfn.SINGLE(INDEX(#REF!,'Weekly Report'!AJ432)),"")</f>
        <v/>
      </c>
      <c r="AN432" s="12" t="str">
        <f ca="1">IFERROR(MATCH($G$115,OFFSET(#REF!,AN431,0,1000000),0)+AN431,"")</f>
        <v/>
      </c>
      <c r="AO432" s="17" t="str">
        <f ca="1">IFERROR(_xlfn.SINGLE(INDEX(#REF!,'Weekly Report'!AN432)),"")</f>
        <v/>
      </c>
      <c r="AP432" s="12" t="str">
        <f ca="1">IFERROR(_xlfn.SINGLE(INDEX(#REF!,'Weekly Report'!AN432)),"")</f>
        <v/>
      </c>
    </row>
    <row r="433" spans="36:42">
      <c r="AJ433" s="12" t="str">
        <f ca="1">IFERROR(MATCH($B$114,OFFSET(#REF!,AJ432,0,1000000),0)+AJ432,"")</f>
        <v/>
      </c>
      <c r="AK433" s="17" t="str">
        <f ca="1">IFERROR(_xlfn.SINGLE(INDEX(#REF!,'Weekly Report'!AJ433)),"")</f>
        <v/>
      </c>
      <c r="AL433" s="12" t="str">
        <f ca="1">IFERROR(_xlfn.SINGLE(INDEX(#REF!,'Weekly Report'!AJ433)),"")</f>
        <v/>
      </c>
      <c r="AN433" s="12" t="str">
        <f ca="1">IFERROR(MATCH($G$115,OFFSET(#REF!,AN432,0,1000000),0)+AN432,"")</f>
        <v/>
      </c>
      <c r="AO433" s="17" t="str">
        <f ca="1">IFERROR(_xlfn.SINGLE(INDEX(#REF!,'Weekly Report'!AN433)),"")</f>
        <v/>
      </c>
      <c r="AP433" s="12" t="str">
        <f ca="1">IFERROR(_xlfn.SINGLE(INDEX(#REF!,'Weekly Report'!AN433)),"")</f>
        <v/>
      </c>
    </row>
    <row r="434" spans="36:42">
      <c r="AJ434" s="12" t="str">
        <f ca="1">IFERROR(MATCH($B$114,OFFSET(#REF!,AJ433,0,1000000),0)+AJ433,"")</f>
        <v/>
      </c>
      <c r="AK434" s="17" t="str">
        <f ca="1">IFERROR(_xlfn.SINGLE(INDEX(#REF!,'Weekly Report'!AJ434)),"")</f>
        <v/>
      </c>
      <c r="AL434" s="12" t="str">
        <f ca="1">IFERROR(_xlfn.SINGLE(INDEX(#REF!,'Weekly Report'!AJ434)),"")</f>
        <v/>
      </c>
      <c r="AN434" s="12" t="str">
        <f ca="1">IFERROR(MATCH($G$115,OFFSET(#REF!,AN433,0,1000000),0)+AN433,"")</f>
        <v/>
      </c>
      <c r="AO434" s="17" t="str">
        <f ca="1">IFERROR(_xlfn.SINGLE(INDEX(#REF!,'Weekly Report'!AN434)),"")</f>
        <v/>
      </c>
      <c r="AP434" s="12" t="str">
        <f ca="1">IFERROR(_xlfn.SINGLE(INDEX(#REF!,'Weekly Report'!AN434)),"")</f>
        <v/>
      </c>
    </row>
    <row r="435" spans="36:42">
      <c r="AJ435" s="12" t="str">
        <f ca="1">IFERROR(MATCH($B$114,OFFSET(#REF!,AJ434,0,1000000),0)+AJ434,"")</f>
        <v/>
      </c>
      <c r="AK435" s="17" t="str">
        <f ca="1">IFERROR(_xlfn.SINGLE(INDEX(#REF!,'Weekly Report'!AJ435)),"")</f>
        <v/>
      </c>
      <c r="AL435" s="12" t="str">
        <f ca="1">IFERROR(_xlfn.SINGLE(INDEX(#REF!,'Weekly Report'!AJ435)),"")</f>
        <v/>
      </c>
      <c r="AN435" s="12" t="str">
        <f ca="1">IFERROR(MATCH($G$115,OFFSET(#REF!,AN434,0,1000000),0)+AN434,"")</f>
        <v/>
      </c>
      <c r="AO435" s="17" t="str">
        <f ca="1">IFERROR(_xlfn.SINGLE(INDEX(#REF!,'Weekly Report'!AN435)),"")</f>
        <v/>
      </c>
      <c r="AP435" s="12" t="str">
        <f ca="1">IFERROR(_xlfn.SINGLE(INDEX(#REF!,'Weekly Report'!AN435)),"")</f>
        <v/>
      </c>
    </row>
    <row r="436" spans="36:42">
      <c r="AJ436" s="12" t="str">
        <f ca="1">IFERROR(MATCH($B$114,OFFSET(#REF!,AJ435,0,1000000),0)+AJ435,"")</f>
        <v/>
      </c>
      <c r="AK436" s="17" t="str">
        <f ca="1">IFERROR(_xlfn.SINGLE(INDEX(#REF!,'Weekly Report'!AJ436)),"")</f>
        <v/>
      </c>
      <c r="AL436" s="12" t="str">
        <f ca="1">IFERROR(_xlfn.SINGLE(INDEX(#REF!,'Weekly Report'!AJ436)),"")</f>
        <v/>
      </c>
      <c r="AN436" s="12" t="str">
        <f ca="1">IFERROR(MATCH($G$115,OFFSET(#REF!,AN435,0,1000000),0)+AN435,"")</f>
        <v/>
      </c>
      <c r="AO436" s="17" t="str">
        <f ca="1">IFERROR(_xlfn.SINGLE(INDEX(#REF!,'Weekly Report'!AN436)),"")</f>
        <v/>
      </c>
      <c r="AP436" s="12" t="str">
        <f ca="1">IFERROR(_xlfn.SINGLE(INDEX(#REF!,'Weekly Report'!AN436)),"")</f>
        <v/>
      </c>
    </row>
    <row r="437" spans="36:42">
      <c r="AJ437" s="12" t="str">
        <f ca="1">IFERROR(MATCH($B$114,OFFSET(#REF!,AJ436,0,1000000),0)+AJ436,"")</f>
        <v/>
      </c>
      <c r="AK437" s="17" t="str">
        <f ca="1">IFERROR(_xlfn.SINGLE(INDEX(#REF!,'Weekly Report'!AJ437)),"")</f>
        <v/>
      </c>
      <c r="AL437" s="12" t="str">
        <f ca="1">IFERROR(_xlfn.SINGLE(INDEX(#REF!,'Weekly Report'!AJ437)),"")</f>
        <v/>
      </c>
      <c r="AN437" s="12" t="str">
        <f ca="1">IFERROR(MATCH($G$115,OFFSET(#REF!,AN436,0,1000000),0)+AN436,"")</f>
        <v/>
      </c>
      <c r="AO437" s="17" t="str">
        <f ca="1">IFERROR(_xlfn.SINGLE(INDEX(#REF!,'Weekly Report'!AN437)),"")</f>
        <v/>
      </c>
      <c r="AP437" s="12" t="str">
        <f ca="1">IFERROR(_xlfn.SINGLE(INDEX(#REF!,'Weekly Report'!AN437)),"")</f>
        <v/>
      </c>
    </row>
    <row r="438" spans="36:42">
      <c r="AJ438" s="12" t="str">
        <f ca="1">IFERROR(MATCH($B$114,OFFSET(#REF!,AJ437,0,1000000),0)+AJ437,"")</f>
        <v/>
      </c>
      <c r="AK438" s="17" t="str">
        <f ca="1">IFERROR(_xlfn.SINGLE(INDEX(#REF!,'Weekly Report'!AJ438)),"")</f>
        <v/>
      </c>
      <c r="AL438" s="12" t="str">
        <f ca="1">IFERROR(_xlfn.SINGLE(INDEX(#REF!,'Weekly Report'!AJ438)),"")</f>
        <v/>
      </c>
      <c r="AN438" s="12" t="str">
        <f ca="1">IFERROR(MATCH($G$115,OFFSET(#REF!,AN437,0,1000000),0)+AN437,"")</f>
        <v/>
      </c>
      <c r="AO438" s="17" t="str">
        <f ca="1">IFERROR(_xlfn.SINGLE(INDEX(#REF!,'Weekly Report'!AN438)),"")</f>
        <v/>
      </c>
      <c r="AP438" s="12" t="str">
        <f ca="1">IFERROR(_xlfn.SINGLE(INDEX(#REF!,'Weekly Report'!AN438)),"")</f>
        <v/>
      </c>
    </row>
    <row r="439" spans="36:42">
      <c r="AJ439" s="12" t="str">
        <f ca="1">IFERROR(MATCH($B$114,OFFSET(#REF!,AJ438,0,1000000),0)+AJ438,"")</f>
        <v/>
      </c>
      <c r="AK439" s="17" t="str">
        <f ca="1">IFERROR(_xlfn.SINGLE(INDEX(#REF!,'Weekly Report'!AJ439)),"")</f>
        <v/>
      </c>
      <c r="AL439" s="12" t="str">
        <f ca="1">IFERROR(_xlfn.SINGLE(INDEX(#REF!,'Weekly Report'!AJ439)),"")</f>
        <v/>
      </c>
      <c r="AN439" s="12" t="str">
        <f ca="1">IFERROR(MATCH($G$115,OFFSET(#REF!,AN438,0,1000000),0)+AN438,"")</f>
        <v/>
      </c>
      <c r="AO439" s="17" t="str">
        <f ca="1">IFERROR(_xlfn.SINGLE(INDEX(#REF!,'Weekly Report'!AN439)),"")</f>
        <v/>
      </c>
      <c r="AP439" s="12" t="str">
        <f ca="1">IFERROR(_xlfn.SINGLE(INDEX(#REF!,'Weekly Report'!AN439)),"")</f>
        <v/>
      </c>
    </row>
    <row r="440" spans="36:42">
      <c r="AJ440" s="12" t="str">
        <f ca="1">IFERROR(MATCH($B$114,OFFSET(#REF!,AJ439,0,1000000),0)+AJ439,"")</f>
        <v/>
      </c>
      <c r="AK440" s="17" t="str">
        <f ca="1">IFERROR(_xlfn.SINGLE(INDEX(#REF!,'Weekly Report'!AJ440)),"")</f>
        <v/>
      </c>
      <c r="AL440" s="12" t="str">
        <f ca="1">IFERROR(_xlfn.SINGLE(INDEX(#REF!,'Weekly Report'!AJ440)),"")</f>
        <v/>
      </c>
      <c r="AN440" s="12" t="str">
        <f ca="1">IFERROR(MATCH($G$115,OFFSET(#REF!,AN439,0,1000000),0)+AN439,"")</f>
        <v/>
      </c>
      <c r="AO440" s="17" t="str">
        <f ca="1">IFERROR(_xlfn.SINGLE(INDEX(#REF!,'Weekly Report'!AN440)),"")</f>
        <v/>
      </c>
      <c r="AP440" s="12" t="str">
        <f ca="1">IFERROR(_xlfn.SINGLE(INDEX(#REF!,'Weekly Report'!AN440)),"")</f>
        <v/>
      </c>
    </row>
    <row r="441" spans="36:42">
      <c r="AJ441" s="12" t="str">
        <f ca="1">IFERROR(MATCH($B$114,OFFSET(#REF!,AJ440,0,1000000),0)+AJ440,"")</f>
        <v/>
      </c>
      <c r="AK441" s="17" t="str">
        <f ca="1">IFERROR(_xlfn.SINGLE(INDEX(#REF!,'Weekly Report'!AJ441)),"")</f>
        <v/>
      </c>
      <c r="AL441" s="12" t="str">
        <f ca="1">IFERROR(_xlfn.SINGLE(INDEX(#REF!,'Weekly Report'!AJ441)),"")</f>
        <v/>
      </c>
      <c r="AN441" s="12" t="str">
        <f ca="1">IFERROR(MATCH($G$115,OFFSET(#REF!,AN440,0,1000000),0)+AN440,"")</f>
        <v/>
      </c>
      <c r="AO441" s="17" t="str">
        <f ca="1">IFERROR(_xlfn.SINGLE(INDEX(#REF!,'Weekly Report'!AN441)),"")</f>
        <v/>
      </c>
      <c r="AP441" s="12" t="str">
        <f ca="1">IFERROR(_xlfn.SINGLE(INDEX(#REF!,'Weekly Report'!AN441)),"")</f>
        <v/>
      </c>
    </row>
    <row r="442" spans="36:42">
      <c r="AJ442" s="12" t="str">
        <f ca="1">IFERROR(MATCH($B$114,OFFSET(#REF!,AJ441,0,1000000),0)+AJ441,"")</f>
        <v/>
      </c>
      <c r="AK442" s="17" t="str">
        <f ca="1">IFERROR(_xlfn.SINGLE(INDEX(#REF!,'Weekly Report'!AJ442)),"")</f>
        <v/>
      </c>
      <c r="AL442" s="12" t="str">
        <f ca="1">IFERROR(_xlfn.SINGLE(INDEX(#REF!,'Weekly Report'!AJ442)),"")</f>
        <v/>
      </c>
      <c r="AN442" s="12" t="str">
        <f ca="1">IFERROR(MATCH($G$115,OFFSET(#REF!,AN441,0,1000000),0)+AN441,"")</f>
        <v/>
      </c>
      <c r="AO442" s="17" t="str">
        <f ca="1">IFERROR(_xlfn.SINGLE(INDEX(#REF!,'Weekly Report'!AN442)),"")</f>
        <v/>
      </c>
      <c r="AP442" s="12" t="str">
        <f ca="1">IFERROR(_xlfn.SINGLE(INDEX(#REF!,'Weekly Report'!AN442)),"")</f>
        <v/>
      </c>
    </row>
    <row r="443" spans="36:42">
      <c r="AJ443" s="12" t="str">
        <f ca="1">IFERROR(MATCH($B$114,OFFSET(#REF!,AJ442,0,1000000),0)+AJ442,"")</f>
        <v/>
      </c>
      <c r="AK443" s="17" t="str">
        <f ca="1">IFERROR(_xlfn.SINGLE(INDEX(#REF!,'Weekly Report'!AJ443)),"")</f>
        <v/>
      </c>
      <c r="AL443" s="12" t="str">
        <f ca="1">IFERROR(_xlfn.SINGLE(INDEX(#REF!,'Weekly Report'!AJ443)),"")</f>
        <v/>
      </c>
      <c r="AN443" s="12" t="str">
        <f ca="1">IFERROR(MATCH($G$115,OFFSET(#REF!,AN442,0,1000000),0)+AN442,"")</f>
        <v/>
      </c>
      <c r="AO443" s="17" t="str">
        <f ca="1">IFERROR(_xlfn.SINGLE(INDEX(#REF!,'Weekly Report'!AN443)),"")</f>
        <v/>
      </c>
      <c r="AP443" s="12" t="str">
        <f ca="1">IFERROR(_xlfn.SINGLE(INDEX(#REF!,'Weekly Report'!AN443)),"")</f>
        <v/>
      </c>
    </row>
    <row r="444" spans="36:42">
      <c r="AJ444" s="12" t="str">
        <f ca="1">IFERROR(MATCH($B$114,OFFSET(#REF!,AJ443,0,1000000),0)+AJ443,"")</f>
        <v/>
      </c>
      <c r="AK444" s="17" t="str">
        <f ca="1">IFERROR(_xlfn.SINGLE(INDEX(#REF!,'Weekly Report'!AJ444)),"")</f>
        <v/>
      </c>
      <c r="AL444" s="12" t="str">
        <f ca="1">IFERROR(_xlfn.SINGLE(INDEX(#REF!,'Weekly Report'!AJ444)),"")</f>
        <v/>
      </c>
      <c r="AN444" s="12" t="str">
        <f ca="1">IFERROR(MATCH($G$115,OFFSET(#REF!,AN443,0,1000000),0)+AN443,"")</f>
        <v/>
      </c>
      <c r="AO444" s="17" t="str">
        <f ca="1">IFERROR(_xlfn.SINGLE(INDEX(#REF!,'Weekly Report'!AN444)),"")</f>
        <v/>
      </c>
      <c r="AP444" s="12" t="str">
        <f ca="1">IFERROR(_xlfn.SINGLE(INDEX(#REF!,'Weekly Report'!AN444)),"")</f>
        <v/>
      </c>
    </row>
    <row r="445" spans="36:42">
      <c r="AJ445" s="12" t="str">
        <f ca="1">IFERROR(MATCH($B$114,OFFSET(#REF!,AJ444,0,1000000),0)+AJ444,"")</f>
        <v/>
      </c>
      <c r="AK445" s="17" t="str">
        <f ca="1">IFERROR(_xlfn.SINGLE(INDEX(#REF!,'Weekly Report'!AJ445)),"")</f>
        <v/>
      </c>
      <c r="AL445" s="12" t="str">
        <f ca="1">IFERROR(_xlfn.SINGLE(INDEX(#REF!,'Weekly Report'!AJ445)),"")</f>
        <v/>
      </c>
      <c r="AN445" s="12" t="str">
        <f ca="1">IFERROR(MATCH($G$115,OFFSET(#REF!,AN444,0,1000000),0)+AN444,"")</f>
        <v/>
      </c>
      <c r="AO445" s="17" t="str">
        <f ca="1">IFERROR(_xlfn.SINGLE(INDEX(#REF!,'Weekly Report'!AN445)),"")</f>
        <v/>
      </c>
      <c r="AP445" s="12" t="str">
        <f ca="1">IFERROR(_xlfn.SINGLE(INDEX(#REF!,'Weekly Report'!AN445)),"")</f>
        <v/>
      </c>
    </row>
    <row r="446" spans="36:42">
      <c r="AJ446" s="12" t="str">
        <f ca="1">IFERROR(MATCH($B$114,OFFSET(#REF!,AJ445,0,1000000),0)+AJ445,"")</f>
        <v/>
      </c>
      <c r="AK446" s="17" t="str">
        <f ca="1">IFERROR(_xlfn.SINGLE(INDEX(#REF!,'Weekly Report'!AJ446)),"")</f>
        <v/>
      </c>
      <c r="AL446" s="12" t="str">
        <f ca="1">IFERROR(_xlfn.SINGLE(INDEX(#REF!,'Weekly Report'!AJ446)),"")</f>
        <v/>
      </c>
      <c r="AN446" s="12" t="str">
        <f ca="1">IFERROR(MATCH($G$115,OFFSET(#REF!,AN445,0,1000000),0)+AN445,"")</f>
        <v/>
      </c>
      <c r="AO446" s="17" t="str">
        <f ca="1">IFERROR(_xlfn.SINGLE(INDEX(#REF!,'Weekly Report'!AN446)),"")</f>
        <v/>
      </c>
      <c r="AP446" s="12" t="str">
        <f ca="1">IFERROR(_xlfn.SINGLE(INDEX(#REF!,'Weekly Report'!AN446)),"")</f>
        <v/>
      </c>
    </row>
    <row r="447" spans="36:42">
      <c r="AJ447" s="12" t="str">
        <f ca="1">IFERROR(MATCH($B$114,OFFSET(#REF!,AJ446,0,1000000),0)+AJ446,"")</f>
        <v/>
      </c>
      <c r="AK447" s="17" t="str">
        <f ca="1">IFERROR(_xlfn.SINGLE(INDEX(#REF!,'Weekly Report'!AJ447)),"")</f>
        <v/>
      </c>
      <c r="AL447" s="12" t="str">
        <f ca="1">IFERROR(_xlfn.SINGLE(INDEX(#REF!,'Weekly Report'!AJ447)),"")</f>
        <v/>
      </c>
      <c r="AN447" s="12" t="str">
        <f ca="1">IFERROR(MATCH($G$115,OFFSET(#REF!,AN446,0,1000000),0)+AN446,"")</f>
        <v/>
      </c>
      <c r="AO447" s="17" t="str">
        <f ca="1">IFERROR(_xlfn.SINGLE(INDEX(#REF!,'Weekly Report'!AN447)),"")</f>
        <v/>
      </c>
      <c r="AP447" s="12" t="str">
        <f ca="1">IFERROR(_xlfn.SINGLE(INDEX(#REF!,'Weekly Report'!AN447)),"")</f>
        <v/>
      </c>
    </row>
    <row r="448" spans="36:42">
      <c r="AJ448" s="12" t="str">
        <f ca="1">IFERROR(MATCH($B$114,OFFSET(#REF!,AJ447,0,1000000),0)+AJ447,"")</f>
        <v/>
      </c>
      <c r="AK448" s="17" t="str">
        <f ca="1">IFERROR(_xlfn.SINGLE(INDEX(#REF!,'Weekly Report'!AJ448)),"")</f>
        <v/>
      </c>
      <c r="AL448" s="12" t="str">
        <f ca="1">IFERROR(_xlfn.SINGLE(INDEX(#REF!,'Weekly Report'!AJ448)),"")</f>
        <v/>
      </c>
      <c r="AN448" s="12" t="str">
        <f ca="1">IFERROR(MATCH($G$115,OFFSET(#REF!,AN447,0,1000000),0)+AN447,"")</f>
        <v/>
      </c>
      <c r="AO448" s="17" t="str">
        <f ca="1">IFERROR(_xlfn.SINGLE(INDEX(#REF!,'Weekly Report'!AN448)),"")</f>
        <v/>
      </c>
      <c r="AP448" s="12" t="str">
        <f ca="1">IFERROR(_xlfn.SINGLE(INDEX(#REF!,'Weekly Report'!AN448)),"")</f>
        <v/>
      </c>
    </row>
    <row r="449" spans="36:42">
      <c r="AJ449" s="12" t="str">
        <f ca="1">IFERROR(MATCH($B$114,OFFSET(#REF!,AJ448,0,1000000),0)+AJ448,"")</f>
        <v/>
      </c>
      <c r="AK449" s="17" t="str">
        <f ca="1">IFERROR(_xlfn.SINGLE(INDEX(#REF!,'Weekly Report'!AJ449)),"")</f>
        <v/>
      </c>
      <c r="AL449" s="12" t="str">
        <f ca="1">IFERROR(_xlfn.SINGLE(INDEX(#REF!,'Weekly Report'!AJ449)),"")</f>
        <v/>
      </c>
      <c r="AN449" s="12" t="str">
        <f ca="1">IFERROR(MATCH($G$115,OFFSET(#REF!,AN448,0,1000000),0)+AN448,"")</f>
        <v/>
      </c>
      <c r="AO449" s="17" t="str">
        <f ca="1">IFERROR(_xlfn.SINGLE(INDEX(#REF!,'Weekly Report'!AN449)),"")</f>
        <v/>
      </c>
      <c r="AP449" s="12" t="str">
        <f ca="1">IFERROR(_xlfn.SINGLE(INDEX(#REF!,'Weekly Report'!AN449)),"")</f>
        <v/>
      </c>
    </row>
    <row r="450" spans="36:42">
      <c r="AJ450" s="12" t="str">
        <f ca="1">IFERROR(MATCH($B$114,OFFSET(#REF!,AJ449,0,1000000),0)+AJ449,"")</f>
        <v/>
      </c>
      <c r="AK450" s="17" t="str">
        <f ca="1">IFERROR(_xlfn.SINGLE(INDEX(#REF!,'Weekly Report'!AJ450)),"")</f>
        <v/>
      </c>
      <c r="AL450" s="12" t="str">
        <f ca="1">IFERROR(_xlfn.SINGLE(INDEX(#REF!,'Weekly Report'!AJ450)),"")</f>
        <v/>
      </c>
      <c r="AN450" s="12" t="str">
        <f ca="1">IFERROR(MATCH($G$115,OFFSET(#REF!,AN449,0,1000000),0)+AN449,"")</f>
        <v/>
      </c>
      <c r="AO450" s="17" t="str">
        <f ca="1">IFERROR(_xlfn.SINGLE(INDEX(#REF!,'Weekly Report'!AN450)),"")</f>
        <v/>
      </c>
      <c r="AP450" s="12" t="str">
        <f ca="1">IFERROR(_xlfn.SINGLE(INDEX(#REF!,'Weekly Report'!AN450)),"")</f>
        <v/>
      </c>
    </row>
    <row r="451" spans="36:42">
      <c r="AJ451" s="12" t="str">
        <f ca="1">IFERROR(MATCH($B$114,OFFSET(#REF!,AJ450,0,1000000),0)+AJ450,"")</f>
        <v/>
      </c>
      <c r="AK451" s="17" t="str">
        <f ca="1">IFERROR(_xlfn.SINGLE(INDEX(#REF!,'Weekly Report'!AJ451)),"")</f>
        <v/>
      </c>
      <c r="AL451" s="12" t="str">
        <f ca="1">IFERROR(_xlfn.SINGLE(INDEX(#REF!,'Weekly Report'!AJ451)),"")</f>
        <v/>
      </c>
      <c r="AN451" s="12" t="str">
        <f ca="1">IFERROR(MATCH($G$115,OFFSET(#REF!,AN450,0,1000000),0)+AN450,"")</f>
        <v/>
      </c>
      <c r="AO451" s="17" t="str">
        <f ca="1">IFERROR(_xlfn.SINGLE(INDEX(#REF!,'Weekly Report'!AN451)),"")</f>
        <v/>
      </c>
      <c r="AP451" s="12" t="str">
        <f ca="1">IFERROR(_xlfn.SINGLE(INDEX(#REF!,'Weekly Report'!AN451)),"")</f>
        <v/>
      </c>
    </row>
    <row r="452" spans="36:42">
      <c r="AJ452" s="12" t="str">
        <f ca="1">IFERROR(MATCH($B$114,OFFSET(#REF!,AJ451,0,1000000),0)+AJ451,"")</f>
        <v/>
      </c>
      <c r="AK452" s="17" t="str">
        <f ca="1">IFERROR(_xlfn.SINGLE(INDEX(#REF!,'Weekly Report'!AJ452)),"")</f>
        <v/>
      </c>
      <c r="AL452" s="12" t="str">
        <f ca="1">IFERROR(_xlfn.SINGLE(INDEX(#REF!,'Weekly Report'!AJ452)),"")</f>
        <v/>
      </c>
      <c r="AN452" s="12" t="str">
        <f ca="1">IFERROR(MATCH($G$115,OFFSET(#REF!,AN451,0,1000000),0)+AN451,"")</f>
        <v/>
      </c>
      <c r="AO452" s="17" t="str">
        <f ca="1">IFERROR(_xlfn.SINGLE(INDEX(#REF!,'Weekly Report'!AN452)),"")</f>
        <v/>
      </c>
      <c r="AP452" s="12" t="str">
        <f ca="1">IFERROR(_xlfn.SINGLE(INDEX(#REF!,'Weekly Report'!AN452)),"")</f>
        <v/>
      </c>
    </row>
    <row r="453" spans="36:42">
      <c r="AJ453" s="12" t="str">
        <f ca="1">IFERROR(MATCH($B$114,OFFSET(#REF!,AJ452,0,1000000),0)+AJ452,"")</f>
        <v/>
      </c>
      <c r="AK453" s="17" t="str">
        <f ca="1">IFERROR(_xlfn.SINGLE(INDEX(#REF!,'Weekly Report'!AJ453)),"")</f>
        <v/>
      </c>
      <c r="AL453" s="12" t="str">
        <f ca="1">IFERROR(_xlfn.SINGLE(INDEX(#REF!,'Weekly Report'!AJ453)),"")</f>
        <v/>
      </c>
      <c r="AN453" s="12" t="str">
        <f ca="1">IFERROR(MATCH($G$115,OFFSET(#REF!,AN452,0,1000000),0)+AN452,"")</f>
        <v/>
      </c>
      <c r="AO453" s="17" t="str">
        <f ca="1">IFERROR(_xlfn.SINGLE(INDEX(#REF!,'Weekly Report'!AN453)),"")</f>
        <v/>
      </c>
      <c r="AP453" s="12" t="str">
        <f ca="1">IFERROR(_xlfn.SINGLE(INDEX(#REF!,'Weekly Report'!AN453)),"")</f>
        <v/>
      </c>
    </row>
    <row r="454" spans="36:42">
      <c r="AJ454" s="12" t="str">
        <f ca="1">IFERROR(MATCH($B$114,OFFSET(#REF!,AJ453,0,1000000),0)+AJ453,"")</f>
        <v/>
      </c>
      <c r="AK454" s="17" t="str">
        <f ca="1">IFERROR(_xlfn.SINGLE(INDEX(#REF!,'Weekly Report'!AJ454)),"")</f>
        <v/>
      </c>
      <c r="AL454" s="12" t="str">
        <f ca="1">IFERROR(_xlfn.SINGLE(INDEX(#REF!,'Weekly Report'!AJ454)),"")</f>
        <v/>
      </c>
      <c r="AN454" s="12" t="str">
        <f ca="1">IFERROR(MATCH($G$115,OFFSET(#REF!,AN453,0,1000000),0)+AN453,"")</f>
        <v/>
      </c>
      <c r="AO454" s="17" t="str">
        <f ca="1">IFERROR(_xlfn.SINGLE(INDEX(#REF!,'Weekly Report'!AN454)),"")</f>
        <v/>
      </c>
      <c r="AP454" s="12" t="str">
        <f ca="1">IFERROR(_xlfn.SINGLE(INDEX(#REF!,'Weekly Report'!AN454)),"")</f>
        <v/>
      </c>
    </row>
    <row r="455" spans="36:42">
      <c r="AJ455" s="12" t="str">
        <f ca="1">IFERROR(MATCH($B$114,OFFSET(#REF!,AJ454,0,1000000),0)+AJ454,"")</f>
        <v/>
      </c>
      <c r="AK455" s="17" t="str">
        <f ca="1">IFERROR(_xlfn.SINGLE(INDEX(#REF!,'Weekly Report'!AJ455)),"")</f>
        <v/>
      </c>
      <c r="AL455" s="12" t="str">
        <f ca="1">IFERROR(_xlfn.SINGLE(INDEX(#REF!,'Weekly Report'!AJ455)),"")</f>
        <v/>
      </c>
      <c r="AN455" s="12" t="str">
        <f ca="1">IFERROR(MATCH($G$115,OFFSET(#REF!,AN454,0,1000000),0)+AN454,"")</f>
        <v/>
      </c>
      <c r="AO455" s="17" t="str">
        <f ca="1">IFERROR(_xlfn.SINGLE(INDEX(#REF!,'Weekly Report'!AN455)),"")</f>
        <v/>
      </c>
      <c r="AP455" s="12" t="str">
        <f ca="1">IFERROR(_xlfn.SINGLE(INDEX(#REF!,'Weekly Report'!AN455)),"")</f>
        <v/>
      </c>
    </row>
    <row r="456" spans="36:42">
      <c r="AJ456" s="12" t="str">
        <f ca="1">IFERROR(MATCH($B$114,OFFSET(#REF!,AJ455,0,1000000),0)+AJ455,"")</f>
        <v/>
      </c>
      <c r="AK456" s="17" t="str">
        <f ca="1">IFERROR(_xlfn.SINGLE(INDEX(#REF!,'Weekly Report'!AJ456)),"")</f>
        <v/>
      </c>
      <c r="AL456" s="12" t="str">
        <f ca="1">IFERROR(_xlfn.SINGLE(INDEX(#REF!,'Weekly Report'!AJ456)),"")</f>
        <v/>
      </c>
      <c r="AN456" s="12" t="str">
        <f ca="1">IFERROR(MATCH($G$115,OFFSET(#REF!,AN455,0,1000000),0)+AN455,"")</f>
        <v/>
      </c>
      <c r="AO456" s="17" t="str">
        <f ca="1">IFERROR(_xlfn.SINGLE(INDEX(#REF!,'Weekly Report'!AN456)),"")</f>
        <v/>
      </c>
      <c r="AP456" s="12" t="str">
        <f ca="1">IFERROR(_xlfn.SINGLE(INDEX(#REF!,'Weekly Report'!AN456)),"")</f>
        <v/>
      </c>
    </row>
    <row r="457" spans="36:42">
      <c r="AJ457" s="12" t="str">
        <f ca="1">IFERROR(MATCH($B$114,OFFSET(#REF!,AJ456,0,1000000),0)+AJ456,"")</f>
        <v/>
      </c>
      <c r="AK457" s="17" t="str">
        <f ca="1">IFERROR(_xlfn.SINGLE(INDEX(#REF!,'Weekly Report'!AJ457)),"")</f>
        <v/>
      </c>
      <c r="AL457" s="12" t="str">
        <f ca="1">IFERROR(_xlfn.SINGLE(INDEX(#REF!,'Weekly Report'!AJ457)),"")</f>
        <v/>
      </c>
      <c r="AN457" s="12" t="str">
        <f ca="1">IFERROR(MATCH($G$115,OFFSET(#REF!,AN456,0,1000000),0)+AN456,"")</f>
        <v/>
      </c>
      <c r="AO457" s="17" t="str">
        <f ca="1">IFERROR(_xlfn.SINGLE(INDEX(#REF!,'Weekly Report'!AN457)),"")</f>
        <v/>
      </c>
      <c r="AP457" s="12" t="str">
        <f ca="1">IFERROR(_xlfn.SINGLE(INDEX(#REF!,'Weekly Report'!AN457)),"")</f>
        <v/>
      </c>
    </row>
    <row r="458" spans="36:42">
      <c r="AJ458" s="12" t="str">
        <f ca="1">IFERROR(MATCH($B$114,OFFSET(#REF!,AJ457,0,1000000),0)+AJ457,"")</f>
        <v/>
      </c>
      <c r="AK458" s="17" t="str">
        <f ca="1">IFERROR(_xlfn.SINGLE(INDEX(#REF!,'Weekly Report'!AJ458)),"")</f>
        <v/>
      </c>
      <c r="AL458" s="12" t="str">
        <f ca="1">IFERROR(_xlfn.SINGLE(INDEX(#REF!,'Weekly Report'!AJ458)),"")</f>
        <v/>
      </c>
      <c r="AN458" s="12" t="str">
        <f ca="1">IFERROR(MATCH($G$115,OFFSET(#REF!,AN457,0,1000000),0)+AN457,"")</f>
        <v/>
      </c>
      <c r="AO458" s="17" t="str">
        <f ca="1">IFERROR(_xlfn.SINGLE(INDEX(#REF!,'Weekly Report'!AN458)),"")</f>
        <v/>
      </c>
      <c r="AP458" s="12" t="str">
        <f ca="1">IFERROR(_xlfn.SINGLE(INDEX(#REF!,'Weekly Report'!AN458)),"")</f>
        <v/>
      </c>
    </row>
    <row r="459" spans="36:42">
      <c r="AJ459" s="12" t="str">
        <f ca="1">IFERROR(MATCH($B$114,OFFSET(#REF!,AJ458,0,1000000),0)+AJ458,"")</f>
        <v/>
      </c>
      <c r="AK459" s="17" t="str">
        <f ca="1">IFERROR(_xlfn.SINGLE(INDEX(#REF!,'Weekly Report'!AJ459)),"")</f>
        <v/>
      </c>
      <c r="AL459" s="12" t="str">
        <f ca="1">IFERROR(_xlfn.SINGLE(INDEX(#REF!,'Weekly Report'!AJ459)),"")</f>
        <v/>
      </c>
      <c r="AN459" s="12" t="str">
        <f ca="1">IFERROR(MATCH($G$115,OFFSET(#REF!,AN458,0,1000000),0)+AN458,"")</f>
        <v/>
      </c>
      <c r="AO459" s="17" t="str">
        <f ca="1">IFERROR(_xlfn.SINGLE(INDEX(#REF!,'Weekly Report'!AN459)),"")</f>
        <v/>
      </c>
      <c r="AP459" s="12" t="str">
        <f ca="1">IFERROR(_xlfn.SINGLE(INDEX(#REF!,'Weekly Report'!AN459)),"")</f>
        <v/>
      </c>
    </row>
    <row r="460" spans="36:42">
      <c r="AJ460" s="12" t="str">
        <f ca="1">IFERROR(MATCH($B$114,OFFSET(#REF!,AJ459,0,1000000),0)+AJ459,"")</f>
        <v/>
      </c>
      <c r="AK460" s="17" t="str">
        <f ca="1">IFERROR(_xlfn.SINGLE(INDEX(#REF!,'Weekly Report'!AJ460)),"")</f>
        <v/>
      </c>
      <c r="AL460" s="12" t="str">
        <f ca="1">IFERROR(_xlfn.SINGLE(INDEX(#REF!,'Weekly Report'!AJ460)),"")</f>
        <v/>
      </c>
      <c r="AN460" s="12" t="str">
        <f ca="1">IFERROR(MATCH($G$115,OFFSET(#REF!,AN459,0,1000000),0)+AN459,"")</f>
        <v/>
      </c>
      <c r="AO460" s="17" t="str">
        <f ca="1">IFERROR(_xlfn.SINGLE(INDEX(#REF!,'Weekly Report'!AN460)),"")</f>
        <v/>
      </c>
      <c r="AP460" s="12" t="str">
        <f ca="1">IFERROR(_xlfn.SINGLE(INDEX(#REF!,'Weekly Report'!AN460)),"")</f>
        <v/>
      </c>
    </row>
    <row r="461" spans="36:42">
      <c r="AJ461" s="12" t="str">
        <f ca="1">IFERROR(MATCH($B$114,OFFSET(#REF!,AJ460,0,1000000),0)+AJ460,"")</f>
        <v/>
      </c>
      <c r="AK461" s="17" t="str">
        <f ca="1">IFERROR(_xlfn.SINGLE(INDEX(#REF!,'Weekly Report'!AJ461)),"")</f>
        <v/>
      </c>
      <c r="AL461" s="12" t="str">
        <f ca="1">IFERROR(_xlfn.SINGLE(INDEX(#REF!,'Weekly Report'!AJ461)),"")</f>
        <v/>
      </c>
      <c r="AN461" s="12" t="str">
        <f ca="1">IFERROR(MATCH($G$115,OFFSET(#REF!,AN460,0,1000000),0)+AN460,"")</f>
        <v/>
      </c>
      <c r="AO461" s="17" t="str">
        <f ca="1">IFERROR(_xlfn.SINGLE(INDEX(#REF!,'Weekly Report'!AN461)),"")</f>
        <v/>
      </c>
      <c r="AP461" s="12" t="str">
        <f ca="1">IFERROR(_xlfn.SINGLE(INDEX(#REF!,'Weekly Report'!AN461)),"")</f>
        <v/>
      </c>
    </row>
    <row r="462" spans="36:42">
      <c r="AJ462" s="12" t="str">
        <f ca="1">IFERROR(MATCH($B$114,OFFSET(#REF!,AJ461,0,1000000),0)+AJ461,"")</f>
        <v/>
      </c>
      <c r="AK462" s="17" t="str">
        <f ca="1">IFERROR(_xlfn.SINGLE(INDEX(#REF!,'Weekly Report'!AJ462)),"")</f>
        <v/>
      </c>
      <c r="AL462" s="12" t="str">
        <f ca="1">IFERROR(_xlfn.SINGLE(INDEX(#REF!,'Weekly Report'!AJ462)),"")</f>
        <v/>
      </c>
      <c r="AN462" s="12" t="str">
        <f ca="1">IFERROR(MATCH($G$115,OFFSET(#REF!,AN461,0,1000000),0)+AN461,"")</f>
        <v/>
      </c>
      <c r="AO462" s="17" t="str">
        <f ca="1">IFERROR(_xlfn.SINGLE(INDEX(#REF!,'Weekly Report'!AN462)),"")</f>
        <v/>
      </c>
      <c r="AP462" s="12" t="str">
        <f ca="1">IFERROR(_xlfn.SINGLE(INDEX(#REF!,'Weekly Report'!AN462)),"")</f>
        <v/>
      </c>
    </row>
    <row r="463" spans="36:42">
      <c r="AJ463" s="12" t="str">
        <f ca="1">IFERROR(MATCH($B$114,OFFSET(#REF!,AJ462,0,1000000),0)+AJ462,"")</f>
        <v/>
      </c>
      <c r="AK463" s="17" t="str">
        <f ca="1">IFERROR(_xlfn.SINGLE(INDEX(#REF!,'Weekly Report'!AJ463)),"")</f>
        <v/>
      </c>
      <c r="AL463" s="12" t="str">
        <f ca="1">IFERROR(_xlfn.SINGLE(INDEX(#REF!,'Weekly Report'!AJ463)),"")</f>
        <v/>
      </c>
      <c r="AN463" s="12" t="str">
        <f ca="1">IFERROR(MATCH($G$115,OFFSET(#REF!,AN462,0,1000000),0)+AN462,"")</f>
        <v/>
      </c>
      <c r="AO463" s="17" t="str">
        <f ca="1">IFERROR(_xlfn.SINGLE(INDEX(#REF!,'Weekly Report'!AN463)),"")</f>
        <v/>
      </c>
      <c r="AP463" s="12" t="str">
        <f ca="1">IFERROR(_xlfn.SINGLE(INDEX(#REF!,'Weekly Report'!AN463)),"")</f>
        <v/>
      </c>
    </row>
    <row r="464" spans="36:42">
      <c r="AJ464" s="12" t="str">
        <f ca="1">IFERROR(MATCH($B$114,OFFSET(#REF!,AJ463,0,1000000),0)+AJ463,"")</f>
        <v/>
      </c>
      <c r="AK464" s="17" t="str">
        <f ca="1">IFERROR(_xlfn.SINGLE(INDEX(#REF!,'Weekly Report'!AJ464)),"")</f>
        <v/>
      </c>
      <c r="AL464" s="12" t="str">
        <f ca="1">IFERROR(_xlfn.SINGLE(INDEX(#REF!,'Weekly Report'!AJ464)),"")</f>
        <v/>
      </c>
      <c r="AN464" s="12" t="str">
        <f ca="1">IFERROR(MATCH($G$115,OFFSET(#REF!,AN463,0,1000000),0)+AN463,"")</f>
        <v/>
      </c>
      <c r="AO464" s="17" t="str">
        <f ca="1">IFERROR(_xlfn.SINGLE(INDEX(#REF!,'Weekly Report'!AN464)),"")</f>
        <v/>
      </c>
      <c r="AP464" s="12" t="str">
        <f ca="1">IFERROR(_xlfn.SINGLE(INDEX(#REF!,'Weekly Report'!AN464)),"")</f>
        <v/>
      </c>
    </row>
    <row r="465" spans="36:42">
      <c r="AJ465" s="12" t="str">
        <f ca="1">IFERROR(MATCH($B$114,OFFSET(#REF!,AJ464,0,1000000),0)+AJ464,"")</f>
        <v/>
      </c>
      <c r="AK465" s="17" t="str">
        <f ca="1">IFERROR(_xlfn.SINGLE(INDEX(#REF!,'Weekly Report'!AJ465)),"")</f>
        <v/>
      </c>
      <c r="AL465" s="12" t="str">
        <f ca="1">IFERROR(_xlfn.SINGLE(INDEX(#REF!,'Weekly Report'!AJ465)),"")</f>
        <v/>
      </c>
      <c r="AN465" s="12" t="str">
        <f ca="1">IFERROR(MATCH($G$115,OFFSET(#REF!,AN464,0,1000000),0)+AN464,"")</f>
        <v/>
      </c>
      <c r="AO465" s="17" t="str">
        <f ca="1">IFERROR(_xlfn.SINGLE(INDEX(#REF!,'Weekly Report'!AN465)),"")</f>
        <v/>
      </c>
      <c r="AP465" s="12" t="str">
        <f ca="1">IFERROR(_xlfn.SINGLE(INDEX(#REF!,'Weekly Report'!AN465)),"")</f>
        <v/>
      </c>
    </row>
    <row r="466" spans="36:42">
      <c r="AJ466" s="12" t="str">
        <f ca="1">IFERROR(MATCH($B$114,OFFSET(#REF!,AJ465,0,1000000),0)+AJ465,"")</f>
        <v/>
      </c>
      <c r="AK466" s="17" t="str">
        <f ca="1">IFERROR(_xlfn.SINGLE(INDEX(#REF!,'Weekly Report'!AJ466)),"")</f>
        <v/>
      </c>
      <c r="AL466" s="12" t="str">
        <f ca="1">IFERROR(_xlfn.SINGLE(INDEX(#REF!,'Weekly Report'!AJ466)),"")</f>
        <v/>
      </c>
      <c r="AN466" s="12" t="str">
        <f ca="1">IFERROR(MATCH($G$115,OFFSET(#REF!,AN465,0,1000000),0)+AN465,"")</f>
        <v/>
      </c>
      <c r="AO466" s="17" t="str">
        <f ca="1">IFERROR(_xlfn.SINGLE(INDEX(#REF!,'Weekly Report'!AN466)),"")</f>
        <v/>
      </c>
      <c r="AP466" s="12" t="str">
        <f ca="1">IFERROR(_xlfn.SINGLE(INDEX(#REF!,'Weekly Report'!AN466)),"")</f>
        <v/>
      </c>
    </row>
    <row r="467" spans="36:42">
      <c r="AJ467" s="12" t="str">
        <f ca="1">IFERROR(MATCH($B$114,OFFSET(#REF!,AJ466,0,1000000),0)+AJ466,"")</f>
        <v/>
      </c>
      <c r="AK467" s="17" t="str">
        <f ca="1">IFERROR(_xlfn.SINGLE(INDEX(#REF!,'Weekly Report'!AJ467)),"")</f>
        <v/>
      </c>
      <c r="AL467" s="12" t="str">
        <f ca="1">IFERROR(_xlfn.SINGLE(INDEX(#REF!,'Weekly Report'!AJ467)),"")</f>
        <v/>
      </c>
      <c r="AN467" s="12" t="str">
        <f ca="1">IFERROR(MATCH($G$115,OFFSET(#REF!,AN466,0,1000000),0)+AN466,"")</f>
        <v/>
      </c>
      <c r="AO467" s="17" t="str">
        <f ca="1">IFERROR(_xlfn.SINGLE(INDEX(#REF!,'Weekly Report'!AN467)),"")</f>
        <v/>
      </c>
      <c r="AP467" s="12" t="str">
        <f ca="1">IFERROR(_xlfn.SINGLE(INDEX(#REF!,'Weekly Report'!AN467)),"")</f>
        <v/>
      </c>
    </row>
    <row r="468" spans="36:42">
      <c r="AJ468" s="12" t="str">
        <f ca="1">IFERROR(MATCH($B$114,OFFSET(#REF!,AJ467,0,1000000),0)+AJ467,"")</f>
        <v/>
      </c>
      <c r="AK468" s="17" t="str">
        <f ca="1">IFERROR(_xlfn.SINGLE(INDEX(#REF!,'Weekly Report'!AJ468)),"")</f>
        <v/>
      </c>
      <c r="AL468" s="12" t="str">
        <f ca="1">IFERROR(_xlfn.SINGLE(INDEX(#REF!,'Weekly Report'!AJ468)),"")</f>
        <v/>
      </c>
      <c r="AN468" s="12" t="str">
        <f ca="1">IFERROR(MATCH($G$115,OFFSET(#REF!,AN467,0,1000000),0)+AN467,"")</f>
        <v/>
      </c>
      <c r="AO468" s="17" t="str">
        <f ca="1">IFERROR(_xlfn.SINGLE(INDEX(#REF!,'Weekly Report'!AN468)),"")</f>
        <v/>
      </c>
      <c r="AP468" s="12" t="str">
        <f ca="1">IFERROR(_xlfn.SINGLE(INDEX(#REF!,'Weekly Report'!AN468)),"")</f>
        <v/>
      </c>
    </row>
    <row r="469" spans="36:42">
      <c r="AJ469" s="12" t="str">
        <f ca="1">IFERROR(MATCH($B$114,OFFSET(#REF!,AJ468,0,1000000),0)+AJ468,"")</f>
        <v/>
      </c>
      <c r="AK469" s="17" t="str">
        <f ca="1">IFERROR(_xlfn.SINGLE(INDEX(#REF!,'Weekly Report'!AJ469)),"")</f>
        <v/>
      </c>
      <c r="AL469" s="12" t="str">
        <f ca="1">IFERROR(_xlfn.SINGLE(INDEX(#REF!,'Weekly Report'!AJ469)),"")</f>
        <v/>
      </c>
      <c r="AN469" s="12" t="str">
        <f ca="1">IFERROR(MATCH($G$115,OFFSET(#REF!,AN468,0,1000000),0)+AN468,"")</f>
        <v/>
      </c>
      <c r="AO469" s="17" t="str">
        <f ca="1">IFERROR(_xlfn.SINGLE(INDEX(#REF!,'Weekly Report'!AN469)),"")</f>
        <v/>
      </c>
      <c r="AP469" s="12" t="str">
        <f ca="1">IFERROR(_xlfn.SINGLE(INDEX(#REF!,'Weekly Report'!AN469)),"")</f>
        <v/>
      </c>
    </row>
    <row r="470" spans="36:42">
      <c r="AJ470" s="12" t="str">
        <f ca="1">IFERROR(MATCH($B$114,OFFSET(#REF!,AJ469,0,1000000),0)+AJ469,"")</f>
        <v/>
      </c>
      <c r="AK470" s="17" t="str">
        <f ca="1">IFERROR(_xlfn.SINGLE(INDEX(#REF!,'Weekly Report'!AJ470)),"")</f>
        <v/>
      </c>
      <c r="AL470" s="12" t="str">
        <f ca="1">IFERROR(_xlfn.SINGLE(INDEX(#REF!,'Weekly Report'!AJ470)),"")</f>
        <v/>
      </c>
      <c r="AN470" s="12" t="str">
        <f ca="1">IFERROR(MATCH($G$115,OFFSET(#REF!,AN469,0,1000000),0)+AN469,"")</f>
        <v/>
      </c>
      <c r="AO470" s="17" t="str">
        <f ca="1">IFERROR(_xlfn.SINGLE(INDEX(#REF!,'Weekly Report'!AN470)),"")</f>
        <v/>
      </c>
      <c r="AP470" s="12" t="str">
        <f ca="1">IFERROR(_xlfn.SINGLE(INDEX(#REF!,'Weekly Report'!AN470)),"")</f>
        <v/>
      </c>
    </row>
    <row r="471" spans="36:42">
      <c r="AJ471" s="12" t="str">
        <f ca="1">IFERROR(MATCH($B$114,OFFSET(#REF!,AJ470,0,1000000),0)+AJ470,"")</f>
        <v/>
      </c>
      <c r="AK471" s="17" t="str">
        <f ca="1">IFERROR(_xlfn.SINGLE(INDEX(#REF!,'Weekly Report'!AJ471)),"")</f>
        <v/>
      </c>
      <c r="AL471" s="12" t="str">
        <f ca="1">IFERROR(_xlfn.SINGLE(INDEX(#REF!,'Weekly Report'!AJ471)),"")</f>
        <v/>
      </c>
      <c r="AN471" s="12" t="str">
        <f ca="1">IFERROR(MATCH($G$115,OFFSET(#REF!,AN470,0,1000000),0)+AN470,"")</f>
        <v/>
      </c>
      <c r="AO471" s="17" t="str">
        <f ca="1">IFERROR(_xlfn.SINGLE(INDEX(#REF!,'Weekly Report'!AN471)),"")</f>
        <v/>
      </c>
      <c r="AP471" s="12" t="str">
        <f ca="1">IFERROR(_xlfn.SINGLE(INDEX(#REF!,'Weekly Report'!AN471)),"")</f>
        <v/>
      </c>
    </row>
    <row r="472" spans="36:42">
      <c r="AJ472" s="12" t="str">
        <f ca="1">IFERROR(MATCH($B$114,OFFSET(#REF!,AJ471,0,1000000),0)+AJ471,"")</f>
        <v/>
      </c>
      <c r="AK472" s="17" t="str">
        <f ca="1">IFERROR(_xlfn.SINGLE(INDEX(#REF!,'Weekly Report'!AJ472)),"")</f>
        <v/>
      </c>
      <c r="AL472" s="12" t="str">
        <f ca="1">IFERROR(_xlfn.SINGLE(INDEX(#REF!,'Weekly Report'!AJ472)),"")</f>
        <v/>
      </c>
      <c r="AN472" s="12" t="str">
        <f ca="1">IFERROR(MATCH($G$115,OFFSET(#REF!,AN471,0,1000000),0)+AN471,"")</f>
        <v/>
      </c>
      <c r="AO472" s="17" t="str">
        <f ca="1">IFERROR(_xlfn.SINGLE(INDEX(#REF!,'Weekly Report'!AN472)),"")</f>
        <v/>
      </c>
      <c r="AP472" s="12" t="str">
        <f ca="1">IFERROR(_xlfn.SINGLE(INDEX(#REF!,'Weekly Report'!AN472)),"")</f>
        <v/>
      </c>
    </row>
    <row r="473" spans="36:42">
      <c r="AJ473" s="12" t="str">
        <f ca="1">IFERROR(MATCH($B$114,OFFSET(#REF!,AJ472,0,1000000),0)+AJ472,"")</f>
        <v/>
      </c>
      <c r="AK473" s="17" t="str">
        <f ca="1">IFERROR(_xlfn.SINGLE(INDEX(#REF!,'Weekly Report'!AJ473)),"")</f>
        <v/>
      </c>
      <c r="AL473" s="12" t="str">
        <f ca="1">IFERROR(_xlfn.SINGLE(INDEX(#REF!,'Weekly Report'!AJ473)),"")</f>
        <v/>
      </c>
      <c r="AN473" s="12" t="str">
        <f ca="1">IFERROR(MATCH($G$115,OFFSET(#REF!,AN472,0,1000000),0)+AN472,"")</f>
        <v/>
      </c>
      <c r="AO473" s="17" t="str">
        <f ca="1">IFERROR(_xlfn.SINGLE(INDEX(#REF!,'Weekly Report'!AN473)),"")</f>
        <v/>
      </c>
      <c r="AP473" s="12" t="str">
        <f ca="1">IFERROR(_xlfn.SINGLE(INDEX(#REF!,'Weekly Report'!AN473)),"")</f>
        <v/>
      </c>
    </row>
    <row r="474" spans="36:42">
      <c r="AJ474" s="12" t="str">
        <f ca="1">IFERROR(MATCH($B$114,OFFSET(#REF!,AJ473,0,1000000),0)+AJ473,"")</f>
        <v/>
      </c>
      <c r="AK474" s="17" t="str">
        <f ca="1">IFERROR(_xlfn.SINGLE(INDEX(#REF!,'Weekly Report'!AJ474)),"")</f>
        <v/>
      </c>
      <c r="AL474" s="12" t="str">
        <f ca="1">IFERROR(_xlfn.SINGLE(INDEX(#REF!,'Weekly Report'!AJ474)),"")</f>
        <v/>
      </c>
      <c r="AN474" s="12" t="str">
        <f ca="1">IFERROR(MATCH($G$115,OFFSET(#REF!,AN473,0,1000000),0)+AN473,"")</f>
        <v/>
      </c>
      <c r="AO474" s="17" t="str">
        <f ca="1">IFERROR(_xlfn.SINGLE(INDEX(#REF!,'Weekly Report'!AN474)),"")</f>
        <v/>
      </c>
      <c r="AP474" s="12" t="str">
        <f ca="1">IFERROR(_xlfn.SINGLE(INDEX(#REF!,'Weekly Report'!AN474)),"")</f>
        <v/>
      </c>
    </row>
    <row r="475" spans="36:42">
      <c r="AJ475" s="12" t="str">
        <f ca="1">IFERROR(MATCH($B$114,OFFSET(#REF!,AJ474,0,1000000),0)+AJ474,"")</f>
        <v/>
      </c>
      <c r="AK475" s="17" t="str">
        <f ca="1">IFERROR(_xlfn.SINGLE(INDEX(#REF!,'Weekly Report'!AJ475)),"")</f>
        <v/>
      </c>
      <c r="AL475" s="12" t="str">
        <f ca="1">IFERROR(_xlfn.SINGLE(INDEX(#REF!,'Weekly Report'!AJ475)),"")</f>
        <v/>
      </c>
      <c r="AN475" s="12" t="str">
        <f ca="1">IFERROR(MATCH($G$115,OFFSET(#REF!,AN474,0,1000000),0)+AN474,"")</f>
        <v/>
      </c>
      <c r="AO475" s="17" t="str">
        <f ca="1">IFERROR(_xlfn.SINGLE(INDEX(#REF!,'Weekly Report'!AN475)),"")</f>
        <v/>
      </c>
      <c r="AP475" s="12" t="str">
        <f ca="1">IFERROR(_xlfn.SINGLE(INDEX(#REF!,'Weekly Report'!AN475)),"")</f>
        <v/>
      </c>
    </row>
    <row r="476" spans="36:42">
      <c r="AJ476" s="12" t="str">
        <f ca="1">IFERROR(MATCH($B$114,OFFSET(#REF!,AJ475,0,1000000),0)+AJ475,"")</f>
        <v/>
      </c>
      <c r="AK476" s="17" t="str">
        <f ca="1">IFERROR(_xlfn.SINGLE(INDEX(#REF!,'Weekly Report'!AJ476)),"")</f>
        <v/>
      </c>
      <c r="AL476" s="12" t="str">
        <f ca="1">IFERROR(_xlfn.SINGLE(INDEX(#REF!,'Weekly Report'!AJ476)),"")</f>
        <v/>
      </c>
      <c r="AN476" s="12" t="str">
        <f ca="1">IFERROR(MATCH($G$115,OFFSET(#REF!,AN475,0,1000000),0)+AN475,"")</f>
        <v/>
      </c>
      <c r="AO476" s="17" t="str">
        <f ca="1">IFERROR(_xlfn.SINGLE(INDEX(#REF!,'Weekly Report'!AN476)),"")</f>
        <v/>
      </c>
      <c r="AP476" s="12" t="str">
        <f ca="1">IFERROR(_xlfn.SINGLE(INDEX(#REF!,'Weekly Report'!AN476)),"")</f>
        <v/>
      </c>
    </row>
    <row r="477" spans="36:42">
      <c r="AJ477" s="12" t="str">
        <f ca="1">IFERROR(MATCH($B$114,OFFSET(#REF!,AJ476,0,1000000),0)+AJ476,"")</f>
        <v/>
      </c>
      <c r="AK477" s="17" t="str">
        <f ca="1">IFERROR(_xlfn.SINGLE(INDEX(#REF!,'Weekly Report'!AJ477)),"")</f>
        <v/>
      </c>
      <c r="AL477" s="12" t="str">
        <f ca="1">IFERROR(_xlfn.SINGLE(INDEX(#REF!,'Weekly Report'!AJ477)),"")</f>
        <v/>
      </c>
      <c r="AN477" s="12" t="str">
        <f ca="1">IFERROR(MATCH($G$115,OFFSET(#REF!,AN476,0,1000000),0)+AN476,"")</f>
        <v/>
      </c>
      <c r="AO477" s="17" t="str">
        <f ca="1">IFERROR(_xlfn.SINGLE(INDEX(#REF!,'Weekly Report'!AN477)),"")</f>
        <v/>
      </c>
      <c r="AP477" s="12" t="str">
        <f ca="1">IFERROR(_xlfn.SINGLE(INDEX(#REF!,'Weekly Report'!AN477)),"")</f>
        <v/>
      </c>
    </row>
    <row r="478" spans="36:42">
      <c r="AJ478" s="12" t="str">
        <f ca="1">IFERROR(MATCH($B$114,OFFSET(#REF!,AJ477,0,1000000),0)+AJ477,"")</f>
        <v/>
      </c>
      <c r="AK478" s="17" t="str">
        <f ca="1">IFERROR(_xlfn.SINGLE(INDEX(#REF!,'Weekly Report'!AJ478)),"")</f>
        <v/>
      </c>
      <c r="AL478" s="12" t="str">
        <f ca="1">IFERROR(_xlfn.SINGLE(INDEX(#REF!,'Weekly Report'!AJ478)),"")</f>
        <v/>
      </c>
      <c r="AN478" s="12" t="str">
        <f ca="1">IFERROR(MATCH($G$115,OFFSET(#REF!,AN477,0,1000000),0)+AN477,"")</f>
        <v/>
      </c>
      <c r="AO478" s="17" t="str">
        <f ca="1">IFERROR(_xlfn.SINGLE(INDEX(#REF!,'Weekly Report'!AN478)),"")</f>
        <v/>
      </c>
      <c r="AP478" s="12" t="str">
        <f ca="1">IFERROR(_xlfn.SINGLE(INDEX(#REF!,'Weekly Report'!AN478)),"")</f>
        <v/>
      </c>
    </row>
    <row r="479" spans="36:42">
      <c r="AJ479" s="12" t="str">
        <f ca="1">IFERROR(MATCH($B$114,OFFSET(#REF!,AJ478,0,1000000),0)+AJ478,"")</f>
        <v/>
      </c>
      <c r="AK479" s="17" t="str">
        <f ca="1">IFERROR(_xlfn.SINGLE(INDEX(#REF!,'Weekly Report'!AJ479)),"")</f>
        <v/>
      </c>
      <c r="AL479" s="12" t="str">
        <f ca="1">IFERROR(_xlfn.SINGLE(INDEX(#REF!,'Weekly Report'!AJ479)),"")</f>
        <v/>
      </c>
      <c r="AN479" s="12" t="str">
        <f ca="1">IFERROR(MATCH($G$115,OFFSET(#REF!,AN478,0,1000000),0)+AN478,"")</f>
        <v/>
      </c>
      <c r="AO479" s="17" t="str">
        <f ca="1">IFERROR(_xlfn.SINGLE(INDEX(#REF!,'Weekly Report'!AN479)),"")</f>
        <v/>
      </c>
      <c r="AP479" s="12" t="str">
        <f ca="1">IFERROR(_xlfn.SINGLE(INDEX(#REF!,'Weekly Report'!AN479)),"")</f>
        <v/>
      </c>
    </row>
    <row r="480" spans="36:42">
      <c r="AJ480" s="12" t="str">
        <f ca="1">IFERROR(MATCH($B$114,OFFSET(#REF!,AJ479,0,1000000),0)+AJ479,"")</f>
        <v/>
      </c>
      <c r="AK480" s="17" t="str">
        <f ca="1">IFERROR(_xlfn.SINGLE(INDEX(#REF!,'Weekly Report'!AJ480)),"")</f>
        <v/>
      </c>
      <c r="AL480" s="12" t="str">
        <f ca="1">IFERROR(_xlfn.SINGLE(INDEX(#REF!,'Weekly Report'!AJ480)),"")</f>
        <v/>
      </c>
      <c r="AN480" s="12" t="str">
        <f ca="1">IFERROR(MATCH($G$115,OFFSET(#REF!,AN479,0,1000000),0)+AN479,"")</f>
        <v/>
      </c>
      <c r="AO480" s="17" t="str">
        <f ca="1">IFERROR(_xlfn.SINGLE(INDEX(#REF!,'Weekly Report'!AN480)),"")</f>
        <v/>
      </c>
      <c r="AP480" s="12" t="str">
        <f ca="1">IFERROR(_xlfn.SINGLE(INDEX(#REF!,'Weekly Report'!AN480)),"")</f>
        <v/>
      </c>
    </row>
    <row r="481" spans="36:42">
      <c r="AJ481" s="12" t="str">
        <f ca="1">IFERROR(MATCH($B$114,OFFSET(#REF!,AJ480,0,1000000),0)+AJ480,"")</f>
        <v/>
      </c>
      <c r="AK481" s="17" t="str">
        <f ca="1">IFERROR(_xlfn.SINGLE(INDEX(#REF!,'Weekly Report'!AJ481)),"")</f>
        <v/>
      </c>
      <c r="AL481" s="12" t="str">
        <f ca="1">IFERROR(_xlfn.SINGLE(INDEX(#REF!,'Weekly Report'!AJ481)),"")</f>
        <v/>
      </c>
      <c r="AN481" s="12" t="str">
        <f ca="1">IFERROR(MATCH($G$115,OFFSET(#REF!,AN480,0,1000000),0)+AN480,"")</f>
        <v/>
      </c>
      <c r="AO481" s="17" t="str">
        <f ca="1">IFERROR(_xlfn.SINGLE(INDEX(#REF!,'Weekly Report'!AN481)),"")</f>
        <v/>
      </c>
      <c r="AP481" s="12" t="str">
        <f ca="1">IFERROR(_xlfn.SINGLE(INDEX(#REF!,'Weekly Report'!AN481)),"")</f>
        <v/>
      </c>
    </row>
    <row r="482" spans="36:42">
      <c r="AJ482" s="12" t="str">
        <f ca="1">IFERROR(MATCH($B$114,OFFSET(#REF!,AJ481,0,1000000),0)+AJ481,"")</f>
        <v/>
      </c>
      <c r="AK482" s="17" t="str">
        <f ca="1">IFERROR(_xlfn.SINGLE(INDEX(#REF!,'Weekly Report'!AJ482)),"")</f>
        <v/>
      </c>
      <c r="AL482" s="12" t="str">
        <f ca="1">IFERROR(_xlfn.SINGLE(INDEX(#REF!,'Weekly Report'!AJ482)),"")</f>
        <v/>
      </c>
      <c r="AN482" s="12" t="str">
        <f ca="1">IFERROR(MATCH($G$115,OFFSET(#REF!,AN481,0,1000000),0)+AN481,"")</f>
        <v/>
      </c>
      <c r="AO482" s="17" t="str">
        <f ca="1">IFERROR(_xlfn.SINGLE(INDEX(#REF!,'Weekly Report'!AN482)),"")</f>
        <v/>
      </c>
      <c r="AP482" s="12" t="str">
        <f ca="1">IFERROR(_xlfn.SINGLE(INDEX(#REF!,'Weekly Report'!AN482)),"")</f>
        <v/>
      </c>
    </row>
    <row r="483" spans="36:42">
      <c r="AJ483" s="12" t="str">
        <f ca="1">IFERROR(MATCH($B$114,OFFSET(#REF!,AJ482,0,1000000),0)+AJ482,"")</f>
        <v/>
      </c>
      <c r="AK483" s="17" t="str">
        <f ca="1">IFERROR(_xlfn.SINGLE(INDEX(#REF!,'Weekly Report'!AJ483)),"")</f>
        <v/>
      </c>
      <c r="AL483" s="12" t="str">
        <f ca="1">IFERROR(_xlfn.SINGLE(INDEX(#REF!,'Weekly Report'!AJ483)),"")</f>
        <v/>
      </c>
      <c r="AN483" s="12" t="str">
        <f ca="1">IFERROR(MATCH($G$115,OFFSET(#REF!,AN482,0,1000000),0)+AN482,"")</f>
        <v/>
      </c>
      <c r="AO483" s="17" t="str">
        <f ca="1">IFERROR(_xlfn.SINGLE(INDEX(#REF!,'Weekly Report'!AN483)),"")</f>
        <v/>
      </c>
      <c r="AP483" s="12" t="str">
        <f ca="1">IFERROR(_xlfn.SINGLE(INDEX(#REF!,'Weekly Report'!AN483)),"")</f>
        <v/>
      </c>
    </row>
    <row r="484" spans="36:42">
      <c r="AJ484" s="12" t="str">
        <f ca="1">IFERROR(MATCH($B$114,OFFSET(#REF!,AJ483,0,1000000),0)+AJ483,"")</f>
        <v/>
      </c>
      <c r="AK484" s="17" t="str">
        <f ca="1">IFERROR(_xlfn.SINGLE(INDEX(#REF!,'Weekly Report'!AJ484)),"")</f>
        <v/>
      </c>
      <c r="AL484" s="12" t="str">
        <f ca="1">IFERROR(_xlfn.SINGLE(INDEX(#REF!,'Weekly Report'!AJ484)),"")</f>
        <v/>
      </c>
      <c r="AN484" s="12" t="str">
        <f ca="1">IFERROR(MATCH($G$115,OFFSET(#REF!,AN483,0,1000000),0)+AN483,"")</f>
        <v/>
      </c>
      <c r="AO484" s="17" t="str">
        <f ca="1">IFERROR(_xlfn.SINGLE(INDEX(#REF!,'Weekly Report'!AN484)),"")</f>
        <v/>
      </c>
      <c r="AP484" s="12" t="str">
        <f ca="1">IFERROR(_xlfn.SINGLE(INDEX(#REF!,'Weekly Report'!AN484)),"")</f>
        <v/>
      </c>
    </row>
    <row r="485" spans="36:42">
      <c r="AJ485" s="12" t="str">
        <f ca="1">IFERROR(MATCH($B$114,OFFSET(#REF!,AJ484,0,1000000),0)+AJ484,"")</f>
        <v/>
      </c>
      <c r="AK485" s="17" t="str">
        <f ca="1">IFERROR(_xlfn.SINGLE(INDEX(#REF!,'Weekly Report'!AJ485)),"")</f>
        <v/>
      </c>
      <c r="AL485" s="12" t="str">
        <f ca="1">IFERROR(_xlfn.SINGLE(INDEX(#REF!,'Weekly Report'!AJ485)),"")</f>
        <v/>
      </c>
      <c r="AN485" s="12" t="str">
        <f ca="1">IFERROR(MATCH($G$115,OFFSET(#REF!,AN484,0,1000000),0)+AN484,"")</f>
        <v/>
      </c>
      <c r="AO485" s="17" t="str">
        <f ca="1">IFERROR(_xlfn.SINGLE(INDEX(#REF!,'Weekly Report'!AN485)),"")</f>
        <v/>
      </c>
      <c r="AP485" s="12" t="str">
        <f ca="1">IFERROR(_xlfn.SINGLE(INDEX(#REF!,'Weekly Report'!AN485)),"")</f>
        <v/>
      </c>
    </row>
    <row r="486" spans="36:42">
      <c r="AJ486" s="12" t="str">
        <f ca="1">IFERROR(MATCH($B$114,OFFSET(#REF!,AJ485,0,1000000),0)+AJ485,"")</f>
        <v/>
      </c>
      <c r="AK486" s="17" t="str">
        <f ca="1">IFERROR(_xlfn.SINGLE(INDEX(#REF!,'Weekly Report'!AJ486)),"")</f>
        <v/>
      </c>
      <c r="AL486" s="12" t="str">
        <f ca="1">IFERROR(_xlfn.SINGLE(INDEX(#REF!,'Weekly Report'!AJ486)),"")</f>
        <v/>
      </c>
      <c r="AN486" s="12" t="str">
        <f ca="1">IFERROR(MATCH($G$115,OFFSET(#REF!,AN485,0,1000000),0)+AN485,"")</f>
        <v/>
      </c>
      <c r="AO486" s="17" t="str">
        <f ca="1">IFERROR(_xlfn.SINGLE(INDEX(#REF!,'Weekly Report'!AN486)),"")</f>
        <v/>
      </c>
      <c r="AP486" s="12" t="str">
        <f ca="1">IFERROR(_xlfn.SINGLE(INDEX(#REF!,'Weekly Report'!AN486)),"")</f>
        <v/>
      </c>
    </row>
    <row r="487" spans="36:42">
      <c r="AJ487" s="12" t="str">
        <f ca="1">IFERROR(MATCH($B$114,OFFSET(#REF!,AJ486,0,1000000),0)+AJ486,"")</f>
        <v/>
      </c>
      <c r="AK487" s="17" t="str">
        <f ca="1">IFERROR(_xlfn.SINGLE(INDEX(#REF!,'Weekly Report'!AJ487)),"")</f>
        <v/>
      </c>
      <c r="AL487" s="12" t="str">
        <f ca="1">IFERROR(_xlfn.SINGLE(INDEX(#REF!,'Weekly Report'!AJ487)),"")</f>
        <v/>
      </c>
      <c r="AN487" s="12" t="str">
        <f ca="1">IFERROR(MATCH($G$115,OFFSET(#REF!,AN486,0,1000000),0)+AN486,"")</f>
        <v/>
      </c>
      <c r="AO487" s="17" t="str">
        <f ca="1">IFERROR(_xlfn.SINGLE(INDEX(#REF!,'Weekly Report'!AN487)),"")</f>
        <v/>
      </c>
      <c r="AP487" s="12" t="str">
        <f ca="1">IFERROR(_xlfn.SINGLE(INDEX(#REF!,'Weekly Report'!AN487)),"")</f>
        <v/>
      </c>
    </row>
    <row r="488" spans="36:42">
      <c r="AJ488" s="12" t="str">
        <f ca="1">IFERROR(MATCH($B$114,OFFSET(#REF!,AJ487,0,1000000),0)+AJ487,"")</f>
        <v/>
      </c>
      <c r="AK488" s="17" t="str">
        <f ca="1">IFERROR(_xlfn.SINGLE(INDEX(#REF!,'Weekly Report'!AJ488)),"")</f>
        <v/>
      </c>
      <c r="AL488" s="12" t="str">
        <f ca="1">IFERROR(_xlfn.SINGLE(INDEX(#REF!,'Weekly Report'!AJ488)),"")</f>
        <v/>
      </c>
      <c r="AN488" s="12" t="str">
        <f ca="1">IFERROR(MATCH($G$115,OFFSET(#REF!,AN487,0,1000000),0)+AN487,"")</f>
        <v/>
      </c>
      <c r="AO488" s="17" t="str">
        <f ca="1">IFERROR(_xlfn.SINGLE(INDEX(#REF!,'Weekly Report'!AN488)),"")</f>
        <v/>
      </c>
      <c r="AP488" s="12" t="str">
        <f ca="1">IFERROR(_xlfn.SINGLE(INDEX(#REF!,'Weekly Report'!AN488)),"")</f>
        <v/>
      </c>
    </row>
    <row r="489" spans="36:42">
      <c r="AJ489" s="12" t="str">
        <f ca="1">IFERROR(MATCH($B$114,OFFSET(#REF!,AJ488,0,1000000),0)+AJ488,"")</f>
        <v/>
      </c>
      <c r="AK489" s="17" t="str">
        <f ca="1">IFERROR(_xlfn.SINGLE(INDEX(#REF!,'Weekly Report'!AJ489)),"")</f>
        <v/>
      </c>
      <c r="AL489" s="12" t="str">
        <f ca="1">IFERROR(_xlfn.SINGLE(INDEX(#REF!,'Weekly Report'!AJ489)),"")</f>
        <v/>
      </c>
      <c r="AN489" s="12" t="str">
        <f ca="1">IFERROR(MATCH($G$115,OFFSET(#REF!,AN488,0,1000000),0)+AN488,"")</f>
        <v/>
      </c>
      <c r="AO489" s="17" t="str">
        <f ca="1">IFERROR(_xlfn.SINGLE(INDEX(#REF!,'Weekly Report'!AN489)),"")</f>
        <v/>
      </c>
      <c r="AP489" s="12" t="str">
        <f ca="1">IFERROR(_xlfn.SINGLE(INDEX(#REF!,'Weekly Report'!AN489)),"")</f>
        <v/>
      </c>
    </row>
    <row r="490" spans="36:42">
      <c r="AJ490" s="12" t="str">
        <f ca="1">IFERROR(MATCH($B$114,OFFSET(#REF!,AJ489,0,1000000),0)+AJ489,"")</f>
        <v/>
      </c>
      <c r="AK490" s="17" t="str">
        <f ca="1">IFERROR(_xlfn.SINGLE(INDEX(#REF!,'Weekly Report'!AJ490)),"")</f>
        <v/>
      </c>
      <c r="AL490" s="12" t="str">
        <f ca="1">IFERROR(_xlfn.SINGLE(INDEX(#REF!,'Weekly Report'!AJ490)),"")</f>
        <v/>
      </c>
      <c r="AN490" s="12" t="str">
        <f ca="1">IFERROR(MATCH($G$115,OFFSET(#REF!,AN489,0,1000000),0)+AN489,"")</f>
        <v/>
      </c>
      <c r="AO490" s="17" t="str">
        <f ca="1">IFERROR(_xlfn.SINGLE(INDEX(#REF!,'Weekly Report'!AN490)),"")</f>
        <v/>
      </c>
      <c r="AP490" s="12" t="str">
        <f ca="1">IFERROR(_xlfn.SINGLE(INDEX(#REF!,'Weekly Report'!AN490)),"")</f>
        <v/>
      </c>
    </row>
    <row r="491" spans="36:42">
      <c r="AJ491" s="12" t="str">
        <f ca="1">IFERROR(MATCH($B$114,OFFSET(#REF!,AJ490,0,1000000),0)+AJ490,"")</f>
        <v/>
      </c>
      <c r="AK491" s="17" t="str">
        <f ca="1">IFERROR(_xlfn.SINGLE(INDEX(#REF!,'Weekly Report'!AJ491)),"")</f>
        <v/>
      </c>
      <c r="AL491" s="12" t="str">
        <f ca="1">IFERROR(_xlfn.SINGLE(INDEX(#REF!,'Weekly Report'!AJ491)),"")</f>
        <v/>
      </c>
      <c r="AN491" s="12" t="str">
        <f ca="1">IFERROR(MATCH($G$115,OFFSET(#REF!,AN490,0,1000000),0)+AN490,"")</f>
        <v/>
      </c>
      <c r="AO491" s="17" t="str">
        <f ca="1">IFERROR(_xlfn.SINGLE(INDEX(#REF!,'Weekly Report'!AN491)),"")</f>
        <v/>
      </c>
      <c r="AP491" s="12" t="str">
        <f ca="1">IFERROR(_xlfn.SINGLE(INDEX(#REF!,'Weekly Report'!AN491)),"")</f>
        <v/>
      </c>
    </row>
    <row r="492" spans="36:42">
      <c r="AJ492" s="12" t="str">
        <f ca="1">IFERROR(MATCH($B$114,OFFSET(#REF!,AJ491,0,1000000),0)+AJ491,"")</f>
        <v/>
      </c>
      <c r="AK492" s="17" t="str">
        <f ca="1">IFERROR(_xlfn.SINGLE(INDEX(#REF!,'Weekly Report'!AJ492)),"")</f>
        <v/>
      </c>
      <c r="AL492" s="12" t="str">
        <f ca="1">IFERROR(_xlfn.SINGLE(INDEX(#REF!,'Weekly Report'!AJ492)),"")</f>
        <v/>
      </c>
      <c r="AN492" s="12" t="str">
        <f ca="1">IFERROR(MATCH($G$115,OFFSET(#REF!,AN491,0,1000000),0)+AN491,"")</f>
        <v/>
      </c>
      <c r="AO492" s="17" t="str">
        <f ca="1">IFERROR(_xlfn.SINGLE(INDEX(#REF!,'Weekly Report'!AN492)),"")</f>
        <v/>
      </c>
      <c r="AP492" s="12" t="str">
        <f ca="1">IFERROR(_xlfn.SINGLE(INDEX(#REF!,'Weekly Report'!AN492)),"")</f>
        <v/>
      </c>
    </row>
    <row r="493" spans="36:42">
      <c r="AJ493" s="12" t="str">
        <f ca="1">IFERROR(MATCH($B$114,OFFSET(#REF!,AJ492,0,1000000),0)+AJ492,"")</f>
        <v/>
      </c>
      <c r="AK493" s="17" t="str">
        <f ca="1">IFERROR(_xlfn.SINGLE(INDEX(#REF!,'Weekly Report'!AJ493)),"")</f>
        <v/>
      </c>
      <c r="AL493" s="12" t="str">
        <f ca="1">IFERROR(_xlfn.SINGLE(INDEX(#REF!,'Weekly Report'!AJ493)),"")</f>
        <v/>
      </c>
      <c r="AN493" s="12" t="str">
        <f ca="1">IFERROR(MATCH($G$115,OFFSET(#REF!,AN492,0,1000000),0)+AN492,"")</f>
        <v/>
      </c>
      <c r="AO493" s="17" t="str">
        <f ca="1">IFERROR(_xlfn.SINGLE(INDEX(#REF!,'Weekly Report'!AN493)),"")</f>
        <v/>
      </c>
      <c r="AP493" s="12" t="str">
        <f ca="1">IFERROR(_xlfn.SINGLE(INDEX(#REF!,'Weekly Report'!AN493)),"")</f>
        <v/>
      </c>
    </row>
    <row r="494" spans="36:42">
      <c r="AJ494" s="12" t="str">
        <f ca="1">IFERROR(MATCH($B$114,OFFSET(#REF!,AJ493,0,1000000),0)+AJ493,"")</f>
        <v/>
      </c>
      <c r="AK494" s="17" t="str">
        <f ca="1">IFERROR(_xlfn.SINGLE(INDEX(#REF!,'Weekly Report'!AJ494)),"")</f>
        <v/>
      </c>
      <c r="AL494" s="12" t="str">
        <f ca="1">IFERROR(_xlfn.SINGLE(INDEX(#REF!,'Weekly Report'!AJ494)),"")</f>
        <v/>
      </c>
      <c r="AN494" s="12" t="str">
        <f ca="1">IFERROR(MATCH($G$115,OFFSET(#REF!,AN493,0,1000000),0)+AN493,"")</f>
        <v/>
      </c>
      <c r="AO494" s="17" t="str">
        <f ca="1">IFERROR(_xlfn.SINGLE(INDEX(#REF!,'Weekly Report'!AN494)),"")</f>
        <v/>
      </c>
      <c r="AP494" s="12" t="str">
        <f ca="1">IFERROR(_xlfn.SINGLE(INDEX(#REF!,'Weekly Report'!AN494)),"")</f>
        <v/>
      </c>
    </row>
    <row r="495" spans="36:42">
      <c r="AJ495" s="12" t="str">
        <f ca="1">IFERROR(MATCH($B$114,OFFSET(#REF!,AJ494,0,1000000),0)+AJ494,"")</f>
        <v/>
      </c>
      <c r="AK495" s="17" t="str">
        <f ca="1">IFERROR(_xlfn.SINGLE(INDEX(#REF!,'Weekly Report'!AJ495)),"")</f>
        <v/>
      </c>
      <c r="AL495" s="12" t="str">
        <f ca="1">IFERROR(_xlfn.SINGLE(INDEX(#REF!,'Weekly Report'!AJ495)),"")</f>
        <v/>
      </c>
      <c r="AN495" s="12" t="str">
        <f ca="1">IFERROR(MATCH($G$115,OFFSET(#REF!,AN494,0,1000000),0)+AN494,"")</f>
        <v/>
      </c>
      <c r="AO495" s="17" t="str">
        <f ca="1">IFERROR(_xlfn.SINGLE(INDEX(#REF!,'Weekly Report'!AN495)),"")</f>
        <v/>
      </c>
      <c r="AP495" s="12" t="str">
        <f ca="1">IFERROR(_xlfn.SINGLE(INDEX(#REF!,'Weekly Report'!AN495)),"")</f>
        <v/>
      </c>
    </row>
    <row r="496" spans="36:42">
      <c r="AJ496" s="12" t="str">
        <f ca="1">IFERROR(MATCH($B$114,OFFSET(#REF!,AJ495,0,1000000),0)+AJ495,"")</f>
        <v/>
      </c>
      <c r="AK496" s="17" t="str">
        <f ca="1">IFERROR(_xlfn.SINGLE(INDEX(#REF!,'Weekly Report'!AJ496)),"")</f>
        <v/>
      </c>
      <c r="AL496" s="12" t="str">
        <f ca="1">IFERROR(_xlfn.SINGLE(INDEX(#REF!,'Weekly Report'!AJ496)),"")</f>
        <v/>
      </c>
      <c r="AN496" s="12" t="str">
        <f ca="1">IFERROR(MATCH($G$115,OFFSET(#REF!,AN495,0,1000000),0)+AN495,"")</f>
        <v/>
      </c>
      <c r="AO496" s="17" t="str">
        <f ca="1">IFERROR(_xlfn.SINGLE(INDEX(#REF!,'Weekly Report'!AN496)),"")</f>
        <v/>
      </c>
      <c r="AP496" s="12" t="str">
        <f ca="1">IFERROR(_xlfn.SINGLE(INDEX(#REF!,'Weekly Report'!AN496)),"")</f>
        <v/>
      </c>
    </row>
    <row r="497" spans="36:42">
      <c r="AJ497" s="12" t="str">
        <f ca="1">IFERROR(MATCH($B$114,OFFSET(#REF!,AJ496,0,1000000),0)+AJ496,"")</f>
        <v/>
      </c>
      <c r="AK497" s="17" t="str">
        <f ca="1">IFERROR(_xlfn.SINGLE(INDEX(#REF!,'Weekly Report'!AJ497)),"")</f>
        <v/>
      </c>
      <c r="AL497" s="12" t="str">
        <f ca="1">IFERROR(_xlfn.SINGLE(INDEX(#REF!,'Weekly Report'!AJ497)),"")</f>
        <v/>
      </c>
      <c r="AN497" s="12" t="str">
        <f ca="1">IFERROR(MATCH($G$115,OFFSET(#REF!,AN496,0,1000000),0)+AN496,"")</f>
        <v/>
      </c>
      <c r="AO497" s="17" t="str">
        <f ca="1">IFERROR(_xlfn.SINGLE(INDEX(#REF!,'Weekly Report'!AN497)),"")</f>
        <v/>
      </c>
      <c r="AP497" s="12" t="str">
        <f ca="1">IFERROR(_xlfn.SINGLE(INDEX(#REF!,'Weekly Report'!AN497)),"")</f>
        <v/>
      </c>
    </row>
    <row r="498" spans="36:42">
      <c r="AJ498" s="12" t="str">
        <f ca="1">IFERROR(MATCH($B$114,OFFSET(#REF!,AJ497,0,1000000),0)+AJ497,"")</f>
        <v/>
      </c>
      <c r="AK498" s="17" t="str">
        <f ca="1">IFERROR(_xlfn.SINGLE(INDEX(#REF!,'Weekly Report'!AJ498)),"")</f>
        <v/>
      </c>
      <c r="AL498" s="12" t="str">
        <f ca="1">IFERROR(_xlfn.SINGLE(INDEX(#REF!,'Weekly Report'!AJ498)),"")</f>
        <v/>
      </c>
      <c r="AN498" s="12" t="str">
        <f ca="1">IFERROR(MATCH($G$115,OFFSET(#REF!,AN497,0,1000000),0)+AN497,"")</f>
        <v/>
      </c>
      <c r="AO498" s="17" t="str">
        <f ca="1">IFERROR(_xlfn.SINGLE(INDEX(#REF!,'Weekly Report'!AN498)),"")</f>
        <v/>
      </c>
      <c r="AP498" s="12" t="str">
        <f ca="1">IFERROR(_xlfn.SINGLE(INDEX(#REF!,'Weekly Report'!AN498)),"")</f>
        <v/>
      </c>
    </row>
    <row r="499" spans="36:42">
      <c r="AJ499" s="12" t="str">
        <f ca="1">IFERROR(MATCH($B$114,OFFSET(#REF!,AJ498,0,1000000),0)+AJ498,"")</f>
        <v/>
      </c>
      <c r="AK499" s="17" t="str">
        <f ca="1">IFERROR(_xlfn.SINGLE(INDEX(#REF!,'Weekly Report'!AJ499)),"")</f>
        <v/>
      </c>
      <c r="AL499" s="12" t="str">
        <f ca="1">IFERROR(_xlfn.SINGLE(INDEX(#REF!,'Weekly Report'!AJ499)),"")</f>
        <v/>
      </c>
      <c r="AN499" s="12" t="str">
        <f ca="1">IFERROR(MATCH($G$115,OFFSET(#REF!,AN498,0,1000000),0)+AN498,"")</f>
        <v/>
      </c>
      <c r="AO499" s="17" t="str">
        <f ca="1">IFERROR(_xlfn.SINGLE(INDEX(#REF!,'Weekly Report'!AN499)),"")</f>
        <v/>
      </c>
      <c r="AP499" s="12" t="str">
        <f ca="1">IFERROR(_xlfn.SINGLE(INDEX(#REF!,'Weekly Report'!AN499)),"")</f>
        <v/>
      </c>
    </row>
    <row r="500" spans="36:42">
      <c r="AJ500" s="12" t="str">
        <f ca="1">IFERROR(MATCH($B$114,OFFSET(#REF!,AJ499,0,1000000),0)+AJ499,"")</f>
        <v/>
      </c>
      <c r="AK500" s="17" t="str">
        <f ca="1">IFERROR(_xlfn.SINGLE(INDEX(#REF!,'Weekly Report'!AJ500)),"")</f>
        <v/>
      </c>
      <c r="AL500" s="12" t="str">
        <f ca="1">IFERROR(_xlfn.SINGLE(INDEX(#REF!,'Weekly Report'!AJ500)),"")</f>
        <v/>
      </c>
      <c r="AN500" s="12" t="str">
        <f ca="1">IFERROR(MATCH($G$115,OFFSET(#REF!,AN499,0,1000000),0)+AN499,"")</f>
        <v/>
      </c>
      <c r="AO500" s="17" t="str">
        <f ca="1">IFERROR(_xlfn.SINGLE(INDEX(#REF!,'Weekly Report'!AN500)),"")</f>
        <v/>
      </c>
      <c r="AP500" s="12" t="str">
        <f ca="1">IFERROR(_xlfn.SINGLE(INDEX(#REF!,'Weekly Report'!AN500)),"")</f>
        <v/>
      </c>
    </row>
    <row r="501" spans="36:42">
      <c r="AJ501" s="12" t="str">
        <f ca="1">IFERROR(MATCH($B$114,OFFSET(#REF!,AJ500,0,1000000),0)+AJ500,"")</f>
        <v/>
      </c>
      <c r="AK501" s="17" t="str">
        <f ca="1">IFERROR(_xlfn.SINGLE(INDEX(#REF!,'Weekly Report'!AJ501)),"")</f>
        <v/>
      </c>
      <c r="AL501" s="12" t="str">
        <f ca="1">IFERROR(_xlfn.SINGLE(INDEX(#REF!,'Weekly Report'!AJ501)),"")</f>
        <v/>
      </c>
      <c r="AN501" s="12" t="str">
        <f ca="1">IFERROR(MATCH($G$115,OFFSET(#REF!,AN500,0,1000000),0)+AN500,"")</f>
        <v/>
      </c>
      <c r="AO501" s="17" t="str">
        <f ca="1">IFERROR(_xlfn.SINGLE(INDEX(#REF!,'Weekly Report'!AN501)),"")</f>
        <v/>
      </c>
      <c r="AP501" s="12" t="str">
        <f ca="1">IFERROR(_xlfn.SINGLE(INDEX(#REF!,'Weekly Report'!AN501)),"")</f>
        <v/>
      </c>
    </row>
    <row r="502" spans="36:42">
      <c r="AJ502" s="12" t="str">
        <f ca="1">IFERROR(MATCH($B$114,OFFSET(#REF!,AJ501,0,1000000),0)+AJ501,"")</f>
        <v/>
      </c>
      <c r="AK502" s="17" t="str">
        <f ca="1">IFERROR(_xlfn.SINGLE(INDEX(#REF!,'Weekly Report'!AJ502)),"")</f>
        <v/>
      </c>
      <c r="AL502" s="12" t="str">
        <f ca="1">IFERROR(_xlfn.SINGLE(INDEX(#REF!,'Weekly Report'!AJ502)),"")</f>
        <v/>
      </c>
      <c r="AN502" s="12" t="str">
        <f ca="1">IFERROR(MATCH($G$115,OFFSET(#REF!,AN501,0,1000000),0)+AN501,"")</f>
        <v/>
      </c>
      <c r="AO502" s="17" t="str">
        <f ca="1">IFERROR(_xlfn.SINGLE(INDEX(#REF!,'Weekly Report'!AN502)),"")</f>
        <v/>
      </c>
      <c r="AP502" s="12" t="str">
        <f ca="1">IFERROR(_xlfn.SINGLE(INDEX(#REF!,'Weekly Report'!AN502)),"")</f>
        <v/>
      </c>
    </row>
    <row r="503" spans="36:42">
      <c r="AJ503" s="12" t="str">
        <f ca="1">IFERROR(MATCH($B$114,OFFSET(#REF!,AJ502,0,1000000),0)+AJ502,"")</f>
        <v/>
      </c>
      <c r="AK503" s="17" t="str">
        <f ca="1">IFERROR(_xlfn.SINGLE(INDEX(#REF!,'Weekly Report'!AJ503)),"")</f>
        <v/>
      </c>
      <c r="AL503" s="12" t="str">
        <f ca="1">IFERROR(_xlfn.SINGLE(INDEX(#REF!,'Weekly Report'!AJ503)),"")</f>
        <v/>
      </c>
      <c r="AN503" s="12" t="str">
        <f ca="1">IFERROR(MATCH($G$115,OFFSET(#REF!,AN502,0,1000000),0)+AN502,"")</f>
        <v/>
      </c>
      <c r="AO503" s="17" t="str">
        <f ca="1">IFERROR(_xlfn.SINGLE(INDEX(#REF!,'Weekly Report'!AN503)),"")</f>
        <v/>
      </c>
      <c r="AP503" s="12" t="str">
        <f ca="1">IFERROR(_xlfn.SINGLE(INDEX(#REF!,'Weekly Report'!AN503)),"")</f>
        <v/>
      </c>
    </row>
    <row r="504" spans="36:42">
      <c r="AJ504" s="12" t="str">
        <f ca="1">IFERROR(MATCH($B$114,OFFSET(#REF!,AJ503,0,1000000),0)+AJ503,"")</f>
        <v/>
      </c>
      <c r="AK504" s="17" t="str">
        <f ca="1">IFERROR(_xlfn.SINGLE(INDEX(#REF!,'Weekly Report'!AJ504)),"")</f>
        <v/>
      </c>
      <c r="AL504" s="12" t="str">
        <f ca="1">IFERROR(_xlfn.SINGLE(INDEX(#REF!,'Weekly Report'!AJ504)),"")</f>
        <v/>
      </c>
      <c r="AN504" s="12" t="str">
        <f ca="1">IFERROR(MATCH($G$115,OFFSET(#REF!,AN503,0,1000000),0)+AN503,"")</f>
        <v/>
      </c>
      <c r="AO504" s="17" t="str">
        <f ca="1">IFERROR(_xlfn.SINGLE(INDEX(#REF!,'Weekly Report'!AN504)),"")</f>
        <v/>
      </c>
      <c r="AP504" s="12" t="str">
        <f ca="1">IFERROR(_xlfn.SINGLE(INDEX(#REF!,'Weekly Report'!AN504)),"")</f>
        <v/>
      </c>
    </row>
    <row r="505" spans="36:42">
      <c r="AJ505" s="12" t="str">
        <f ca="1">IFERROR(MATCH($B$114,OFFSET(#REF!,AJ504,0,1000000),0)+AJ504,"")</f>
        <v/>
      </c>
      <c r="AK505" s="17" t="str">
        <f ca="1">IFERROR(_xlfn.SINGLE(INDEX(#REF!,'Weekly Report'!AJ505)),"")</f>
        <v/>
      </c>
      <c r="AL505" s="12" t="str">
        <f ca="1">IFERROR(_xlfn.SINGLE(INDEX(#REF!,'Weekly Report'!AJ505)),"")</f>
        <v/>
      </c>
      <c r="AN505" s="12" t="str">
        <f ca="1">IFERROR(MATCH($G$115,OFFSET(#REF!,AN504,0,1000000),0)+AN504,"")</f>
        <v/>
      </c>
      <c r="AO505" s="17" t="str">
        <f ca="1">IFERROR(_xlfn.SINGLE(INDEX(#REF!,'Weekly Report'!AN505)),"")</f>
        <v/>
      </c>
      <c r="AP505" s="12" t="str">
        <f ca="1">IFERROR(_xlfn.SINGLE(INDEX(#REF!,'Weekly Report'!AN505)),"")</f>
        <v/>
      </c>
    </row>
    <row r="506" spans="36:42">
      <c r="AJ506" s="12" t="str">
        <f ca="1">IFERROR(MATCH($B$114,OFFSET(#REF!,AJ505,0,1000000),0)+AJ505,"")</f>
        <v/>
      </c>
      <c r="AK506" s="17" t="str">
        <f ca="1">IFERROR(_xlfn.SINGLE(INDEX(#REF!,'Weekly Report'!AJ506)),"")</f>
        <v/>
      </c>
      <c r="AL506" s="12" t="str">
        <f ca="1">IFERROR(_xlfn.SINGLE(INDEX(#REF!,'Weekly Report'!AJ506)),"")</f>
        <v/>
      </c>
      <c r="AN506" s="12" t="str">
        <f ca="1">IFERROR(MATCH($G$115,OFFSET(#REF!,AN505,0,1000000),0)+AN505,"")</f>
        <v/>
      </c>
      <c r="AO506" s="17" t="str">
        <f ca="1">IFERROR(_xlfn.SINGLE(INDEX(#REF!,'Weekly Report'!AN506)),"")</f>
        <v/>
      </c>
      <c r="AP506" s="12" t="str">
        <f ca="1">IFERROR(_xlfn.SINGLE(INDEX(#REF!,'Weekly Report'!AN506)),"")</f>
        <v/>
      </c>
    </row>
    <row r="507" spans="36:42">
      <c r="AJ507" s="12" t="str">
        <f ca="1">IFERROR(MATCH($B$114,OFFSET(#REF!,AJ506,0,1000000),0)+AJ506,"")</f>
        <v/>
      </c>
      <c r="AK507" s="17" t="str">
        <f ca="1">IFERROR(_xlfn.SINGLE(INDEX(#REF!,'Weekly Report'!AJ507)),"")</f>
        <v/>
      </c>
      <c r="AL507" s="12" t="str">
        <f ca="1">IFERROR(_xlfn.SINGLE(INDEX(#REF!,'Weekly Report'!AJ507)),"")</f>
        <v/>
      </c>
      <c r="AN507" s="12" t="str">
        <f ca="1">IFERROR(MATCH($G$115,OFFSET(#REF!,AN506,0,1000000),0)+AN506,"")</f>
        <v/>
      </c>
      <c r="AO507" s="17" t="str">
        <f ca="1">IFERROR(_xlfn.SINGLE(INDEX(#REF!,'Weekly Report'!AN507)),"")</f>
        <v/>
      </c>
      <c r="AP507" s="12" t="str">
        <f ca="1">IFERROR(_xlfn.SINGLE(INDEX(#REF!,'Weekly Report'!AN507)),"")</f>
        <v/>
      </c>
    </row>
    <row r="508" spans="36:42">
      <c r="AJ508" s="12" t="str">
        <f ca="1">IFERROR(MATCH($B$114,OFFSET(#REF!,AJ507,0,1000000),0)+AJ507,"")</f>
        <v/>
      </c>
      <c r="AK508" s="17" t="str">
        <f ca="1">IFERROR(_xlfn.SINGLE(INDEX(#REF!,'Weekly Report'!AJ508)),"")</f>
        <v/>
      </c>
      <c r="AL508" s="12" t="str">
        <f ca="1">IFERROR(_xlfn.SINGLE(INDEX(#REF!,'Weekly Report'!AJ508)),"")</f>
        <v/>
      </c>
      <c r="AN508" s="12" t="str">
        <f ca="1">IFERROR(MATCH($G$115,OFFSET(#REF!,AN507,0,1000000),0)+AN507,"")</f>
        <v/>
      </c>
      <c r="AO508" s="17" t="str">
        <f ca="1">IFERROR(_xlfn.SINGLE(INDEX(#REF!,'Weekly Report'!AN508)),"")</f>
        <v/>
      </c>
      <c r="AP508" s="12" t="str">
        <f ca="1">IFERROR(_xlfn.SINGLE(INDEX(#REF!,'Weekly Report'!AN508)),"")</f>
        <v/>
      </c>
    </row>
    <row r="509" spans="36:42">
      <c r="AJ509" s="12" t="str">
        <f ca="1">IFERROR(MATCH($B$114,OFFSET(#REF!,AJ508,0,1000000),0)+AJ508,"")</f>
        <v/>
      </c>
      <c r="AK509" s="17" t="str">
        <f ca="1">IFERROR(_xlfn.SINGLE(INDEX(#REF!,'Weekly Report'!AJ509)),"")</f>
        <v/>
      </c>
      <c r="AL509" s="12" t="str">
        <f ca="1">IFERROR(_xlfn.SINGLE(INDEX(#REF!,'Weekly Report'!AJ509)),"")</f>
        <v/>
      </c>
      <c r="AN509" s="12" t="str">
        <f ca="1">IFERROR(MATCH($G$115,OFFSET(#REF!,AN508,0,1000000),0)+AN508,"")</f>
        <v/>
      </c>
      <c r="AO509" s="17" t="str">
        <f ca="1">IFERROR(_xlfn.SINGLE(INDEX(#REF!,'Weekly Report'!AN509)),"")</f>
        <v/>
      </c>
      <c r="AP509" s="12" t="str">
        <f ca="1">IFERROR(_xlfn.SINGLE(INDEX(#REF!,'Weekly Report'!AN509)),"")</f>
        <v/>
      </c>
    </row>
    <row r="510" spans="36:42">
      <c r="AJ510" s="12" t="str">
        <f ca="1">IFERROR(MATCH($B$114,OFFSET(#REF!,AJ509,0,1000000),0)+AJ509,"")</f>
        <v/>
      </c>
      <c r="AK510" s="17" t="str">
        <f ca="1">IFERROR(_xlfn.SINGLE(INDEX(#REF!,'Weekly Report'!AJ510)),"")</f>
        <v/>
      </c>
      <c r="AL510" s="12" t="str">
        <f ca="1">IFERROR(_xlfn.SINGLE(INDEX(#REF!,'Weekly Report'!AJ510)),"")</f>
        <v/>
      </c>
      <c r="AN510" s="12" t="str">
        <f ca="1">IFERROR(MATCH($G$115,OFFSET(#REF!,AN509,0,1000000),0)+AN509,"")</f>
        <v/>
      </c>
      <c r="AO510" s="17" t="str">
        <f ca="1">IFERROR(_xlfn.SINGLE(INDEX(#REF!,'Weekly Report'!AN510)),"")</f>
        <v/>
      </c>
      <c r="AP510" s="12" t="str">
        <f ca="1">IFERROR(_xlfn.SINGLE(INDEX(#REF!,'Weekly Report'!AN510)),"")</f>
        <v/>
      </c>
    </row>
    <row r="511" spans="36:42">
      <c r="AJ511" s="12" t="str">
        <f ca="1">IFERROR(MATCH($B$114,OFFSET(#REF!,AJ510,0,1000000),0)+AJ510,"")</f>
        <v/>
      </c>
      <c r="AK511" s="17" t="str">
        <f ca="1">IFERROR(_xlfn.SINGLE(INDEX(#REF!,'Weekly Report'!AJ511)),"")</f>
        <v/>
      </c>
      <c r="AL511" s="12" t="str">
        <f ca="1">IFERROR(_xlfn.SINGLE(INDEX(#REF!,'Weekly Report'!AJ511)),"")</f>
        <v/>
      </c>
      <c r="AN511" s="12" t="str">
        <f ca="1">IFERROR(MATCH($G$115,OFFSET(#REF!,AN510,0,1000000),0)+AN510,"")</f>
        <v/>
      </c>
      <c r="AO511" s="17" t="str">
        <f ca="1">IFERROR(_xlfn.SINGLE(INDEX(#REF!,'Weekly Report'!AN511)),"")</f>
        <v/>
      </c>
      <c r="AP511" s="12" t="str">
        <f ca="1">IFERROR(_xlfn.SINGLE(INDEX(#REF!,'Weekly Report'!AN511)),"")</f>
        <v/>
      </c>
    </row>
    <row r="512" spans="36:42">
      <c r="AJ512" s="12" t="str">
        <f ca="1">IFERROR(MATCH($B$114,OFFSET(#REF!,AJ511,0,1000000),0)+AJ511,"")</f>
        <v/>
      </c>
      <c r="AK512" s="17" t="str">
        <f ca="1">IFERROR(_xlfn.SINGLE(INDEX(#REF!,'Weekly Report'!AJ512)),"")</f>
        <v/>
      </c>
      <c r="AL512" s="12" t="str">
        <f ca="1">IFERROR(_xlfn.SINGLE(INDEX(#REF!,'Weekly Report'!AJ512)),"")</f>
        <v/>
      </c>
      <c r="AN512" s="12" t="str">
        <f ca="1">IFERROR(MATCH($G$115,OFFSET(#REF!,AN511,0,1000000),0)+AN511,"")</f>
        <v/>
      </c>
      <c r="AO512" s="17" t="str">
        <f ca="1">IFERROR(_xlfn.SINGLE(INDEX(#REF!,'Weekly Report'!AN512)),"")</f>
        <v/>
      </c>
      <c r="AP512" s="12" t="str">
        <f ca="1">IFERROR(_xlfn.SINGLE(INDEX(#REF!,'Weekly Report'!AN512)),"")</f>
        <v/>
      </c>
    </row>
    <row r="513" spans="36:42">
      <c r="AJ513" s="12" t="str">
        <f ca="1">IFERROR(MATCH($B$114,OFFSET(#REF!,AJ512,0,1000000),0)+AJ512,"")</f>
        <v/>
      </c>
      <c r="AK513" s="17" t="str">
        <f ca="1">IFERROR(_xlfn.SINGLE(INDEX(#REF!,'Weekly Report'!AJ513)),"")</f>
        <v/>
      </c>
      <c r="AL513" s="12" t="str">
        <f ca="1">IFERROR(_xlfn.SINGLE(INDEX(#REF!,'Weekly Report'!AJ513)),"")</f>
        <v/>
      </c>
      <c r="AN513" s="12" t="str">
        <f ca="1">IFERROR(MATCH($G$115,OFFSET(#REF!,AN512,0,1000000),0)+AN512,"")</f>
        <v/>
      </c>
      <c r="AO513" s="17" t="str">
        <f ca="1">IFERROR(_xlfn.SINGLE(INDEX(#REF!,'Weekly Report'!AN513)),"")</f>
        <v/>
      </c>
      <c r="AP513" s="12" t="str">
        <f ca="1">IFERROR(_xlfn.SINGLE(INDEX(#REF!,'Weekly Report'!AN513)),"")</f>
        <v/>
      </c>
    </row>
    <row r="514" spans="36:42">
      <c r="AJ514" s="12" t="str">
        <f ca="1">IFERROR(MATCH($B$114,OFFSET(#REF!,AJ513,0,1000000),0)+AJ513,"")</f>
        <v/>
      </c>
      <c r="AK514" s="17" t="str">
        <f ca="1">IFERROR(_xlfn.SINGLE(INDEX(#REF!,'Weekly Report'!AJ514)),"")</f>
        <v/>
      </c>
      <c r="AL514" s="12" t="str">
        <f ca="1">IFERROR(_xlfn.SINGLE(INDEX(#REF!,'Weekly Report'!AJ514)),"")</f>
        <v/>
      </c>
      <c r="AN514" s="12" t="str">
        <f ca="1">IFERROR(MATCH($G$115,OFFSET(#REF!,AN513,0,1000000),0)+AN513,"")</f>
        <v/>
      </c>
      <c r="AO514" s="17" t="str">
        <f ca="1">IFERROR(_xlfn.SINGLE(INDEX(#REF!,'Weekly Report'!AN514)),"")</f>
        <v/>
      </c>
      <c r="AP514" s="12" t="str">
        <f ca="1">IFERROR(_xlfn.SINGLE(INDEX(#REF!,'Weekly Report'!AN514)),"")</f>
        <v/>
      </c>
    </row>
    <row r="515" spans="36:42">
      <c r="AJ515" s="12" t="str">
        <f ca="1">IFERROR(MATCH($B$114,OFFSET(#REF!,AJ514,0,1000000),0)+AJ514,"")</f>
        <v/>
      </c>
      <c r="AK515" s="17" t="str">
        <f ca="1">IFERROR(_xlfn.SINGLE(INDEX(#REF!,'Weekly Report'!AJ515)),"")</f>
        <v/>
      </c>
      <c r="AL515" s="12" t="str">
        <f ca="1">IFERROR(_xlfn.SINGLE(INDEX(#REF!,'Weekly Report'!AJ515)),"")</f>
        <v/>
      </c>
      <c r="AN515" s="12" t="str">
        <f ca="1">IFERROR(MATCH($G$115,OFFSET(#REF!,AN514,0,1000000),0)+AN514,"")</f>
        <v/>
      </c>
      <c r="AO515" s="17" t="str">
        <f ca="1">IFERROR(_xlfn.SINGLE(INDEX(#REF!,'Weekly Report'!AN515)),"")</f>
        <v/>
      </c>
      <c r="AP515" s="12" t="str">
        <f ca="1">IFERROR(_xlfn.SINGLE(INDEX(#REF!,'Weekly Report'!AN515)),"")</f>
        <v/>
      </c>
    </row>
    <row r="516" spans="36:42">
      <c r="AJ516" s="12" t="str">
        <f ca="1">IFERROR(MATCH($B$114,OFFSET(#REF!,AJ515,0,1000000),0)+AJ515,"")</f>
        <v/>
      </c>
      <c r="AK516" s="17" t="str">
        <f ca="1">IFERROR(_xlfn.SINGLE(INDEX(#REF!,'Weekly Report'!AJ516)),"")</f>
        <v/>
      </c>
      <c r="AL516" s="12" t="str">
        <f ca="1">IFERROR(_xlfn.SINGLE(INDEX(#REF!,'Weekly Report'!AJ516)),"")</f>
        <v/>
      </c>
      <c r="AN516" s="12" t="str">
        <f ca="1">IFERROR(MATCH($G$115,OFFSET(#REF!,AN515,0,1000000),0)+AN515,"")</f>
        <v/>
      </c>
      <c r="AO516" s="17" t="str">
        <f ca="1">IFERROR(_xlfn.SINGLE(INDEX(#REF!,'Weekly Report'!AN516)),"")</f>
        <v/>
      </c>
      <c r="AP516" s="12" t="str">
        <f ca="1">IFERROR(_xlfn.SINGLE(INDEX(#REF!,'Weekly Report'!AN516)),"")</f>
        <v/>
      </c>
    </row>
    <row r="517" spans="36:42">
      <c r="AJ517" s="12" t="str">
        <f ca="1">IFERROR(MATCH($B$114,OFFSET(#REF!,AJ516,0,1000000),0)+AJ516,"")</f>
        <v/>
      </c>
      <c r="AK517" s="17" t="str">
        <f ca="1">IFERROR(_xlfn.SINGLE(INDEX(#REF!,'Weekly Report'!AJ517)),"")</f>
        <v/>
      </c>
      <c r="AL517" s="12" t="str">
        <f ca="1">IFERROR(_xlfn.SINGLE(INDEX(#REF!,'Weekly Report'!AJ517)),"")</f>
        <v/>
      </c>
      <c r="AN517" s="12" t="str">
        <f ca="1">IFERROR(MATCH($G$115,OFFSET(#REF!,AN516,0,1000000),0)+AN516,"")</f>
        <v/>
      </c>
      <c r="AO517" s="17" t="str">
        <f ca="1">IFERROR(_xlfn.SINGLE(INDEX(#REF!,'Weekly Report'!AN517)),"")</f>
        <v/>
      </c>
      <c r="AP517" s="12" t="str">
        <f ca="1">IFERROR(_xlfn.SINGLE(INDEX(#REF!,'Weekly Report'!AN517)),"")</f>
        <v/>
      </c>
    </row>
    <row r="518" spans="36:42">
      <c r="AJ518" s="12" t="str">
        <f ca="1">IFERROR(MATCH($B$114,OFFSET(#REF!,AJ517,0,1000000),0)+AJ517,"")</f>
        <v/>
      </c>
      <c r="AK518" s="17" t="str">
        <f ca="1">IFERROR(_xlfn.SINGLE(INDEX(#REF!,'Weekly Report'!AJ518)),"")</f>
        <v/>
      </c>
      <c r="AL518" s="12" t="str">
        <f ca="1">IFERROR(_xlfn.SINGLE(INDEX(#REF!,'Weekly Report'!AJ518)),"")</f>
        <v/>
      </c>
      <c r="AN518" s="12" t="str">
        <f ca="1">IFERROR(MATCH($G$115,OFFSET(#REF!,AN517,0,1000000),0)+AN517,"")</f>
        <v/>
      </c>
      <c r="AO518" s="17" t="str">
        <f ca="1">IFERROR(_xlfn.SINGLE(INDEX(#REF!,'Weekly Report'!AN518)),"")</f>
        <v/>
      </c>
      <c r="AP518" s="12" t="str">
        <f ca="1">IFERROR(_xlfn.SINGLE(INDEX(#REF!,'Weekly Report'!AN518)),"")</f>
        <v/>
      </c>
    </row>
    <row r="519" spans="36:42">
      <c r="AJ519" s="12" t="str">
        <f ca="1">IFERROR(MATCH($B$114,OFFSET(#REF!,AJ518,0,1000000),0)+AJ518,"")</f>
        <v/>
      </c>
      <c r="AK519" s="17" t="str">
        <f ca="1">IFERROR(_xlfn.SINGLE(INDEX(#REF!,'Weekly Report'!AJ519)),"")</f>
        <v/>
      </c>
      <c r="AL519" s="12" t="str">
        <f ca="1">IFERROR(_xlfn.SINGLE(INDEX(#REF!,'Weekly Report'!AJ519)),"")</f>
        <v/>
      </c>
      <c r="AN519" s="12" t="str">
        <f ca="1">IFERROR(MATCH($G$115,OFFSET(#REF!,AN518,0,1000000),0)+AN518,"")</f>
        <v/>
      </c>
      <c r="AO519" s="17" t="str">
        <f ca="1">IFERROR(_xlfn.SINGLE(INDEX(#REF!,'Weekly Report'!AN519)),"")</f>
        <v/>
      </c>
      <c r="AP519" s="12" t="str">
        <f ca="1">IFERROR(_xlfn.SINGLE(INDEX(#REF!,'Weekly Report'!AN519)),"")</f>
        <v/>
      </c>
    </row>
    <row r="520" spans="36:42">
      <c r="AJ520" s="12" t="str">
        <f ca="1">IFERROR(MATCH($B$114,OFFSET(#REF!,AJ519,0,1000000),0)+AJ519,"")</f>
        <v/>
      </c>
      <c r="AK520" s="17" t="str">
        <f ca="1">IFERROR(_xlfn.SINGLE(INDEX(#REF!,'Weekly Report'!AJ520)),"")</f>
        <v/>
      </c>
      <c r="AL520" s="12" t="str">
        <f ca="1">IFERROR(_xlfn.SINGLE(INDEX(#REF!,'Weekly Report'!AJ520)),"")</f>
        <v/>
      </c>
      <c r="AN520" s="12" t="str">
        <f ca="1">IFERROR(MATCH($G$115,OFFSET(#REF!,AN519,0,1000000),0)+AN519,"")</f>
        <v/>
      </c>
      <c r="AO520" s="17" t="str">
        <f ca="1">IFERROR(_xlfn.SINGLE(INDEX(#REF!,'Weekly Report'!AN520)),"")</f>
        <v/>
      </c>
      <c r="AP520" s="12" t="str">
        <f ca="1">IFERROR(_xlfn.SINGLE(INDEX(#REF!,'Weekly Report'!AN520)),"")</f>
        <v/>
      </c>
    </row>
    <row r="521" spans="36:42">
      <c r="AJ521" s="12" t="str">
        <f ca="1">IFERROR(MATCH($B$114,OFFSET(#REF!,AJ520,0,1000000),0)+AJ520,"")</f>
        <v/>
      </c>
      <c r="AK521" s="17" t="str">
        <f ca="1">IFERROR(_xlfn.SINGLE(INDEX(#REF!,'Weekly Report'!AJ521)),"")</f>
        <v/>
      </c>
      <c r="AL521" s="12" t="str">
        <f ca="1">IFERROR(_xlfn.SINGLE(INDEX(#REF!,'Weekly Report'!AJ521)),"")</f>
        <v/>
      </c>
      <c r="AN521" s="12" t="str">
        <f ca="1">IFERROR(MATCH($G$115,OFFSET(#REF!,AN520,0,1000000),0)+AN520,"")</f>
        <v/>
      </c>
      <c r="AO521" s="17" t="str">
        <f ca="1">IFERROR(_xlfn.SINGLE(INDEX(#REF!,'Weekly Report'!AN521)),"")</f>
        <v/>
      </c>
      <c r="AP521" s="12" t="str">
        <f ca="1">IFERROR(_xlfn.SINGLE(INDEX(#REF!,'Weekly Report'!AN521)),"")</f>
        <v/>
      </c>
    </row>
    <row r="522" spans="36:42">
      <c r="AJ522" s="12" t="str">
        <f ca="1">IFERROR(MATCH($B$114,OFFSET(#REF!,AJ521,0,1000000),0)+AJ521,"")</f>
        <v/>
      </c>
      <c r="AK522" s="17" t="str">
        <f ca="1">IFERROR(_xlfn.SINGLE(INDEX(#REF!,'Weekly Report'!AJ522)),"")</f>
        <v/>
      </c>
      <c r="AL522" s="12" t="str">
        <f ca="1">IFERROR(_xlfn.SINGLE(INDEX(#REF!,'Weekly Report'!AJ522)),"")</f>
        <v/>
      </c>
      <c r="AN522" s="12" t="str">
        <f ca="1">IFERROR(MATCH($G$115,OFFSET(#REF!,AN521,0,1000000),0)+AN521,"")</f>
        <v/>
      </c>
      <c r="AO522" s="17" t="str">
        <f ca="1">IFERROR(_xlfn.SINGLE(INDEX(#REF!,'Weekly Report'!AN522)),"")</f>
        <v/>
      </c>
      <c r="AP522" s="12" t="str">
        <f ca="1">IFERROR(_xlfn.SINGLE(INDEX(#REF!,'Weekly Report'!AN522)),"")</f>
        <v/>
      </c>
    </row>
    <row r="523" spans="36:42">
      <c r="AJ523" s="12" t="str">
        <f ca="1">IFERROR(MATCH($B$114,OFFSET(#REF!,AJ522,0,1000000),0)+AJ522,"")</f>
        <v/>
      </c>
      <c r="AK523" s="17" t="str">
        <f ca="1">IFERROR(_xlfn.SINGLE(INDEX(#REF!,'Weekly Report'!AJ523)),"")</f>
        <v/>
      </c>
      <c r="AL523" s="12" t="str">
        <f ca="1">IFERROR(_xlfn.SINGLE(INDEX(#REF!,'Weekly Report'!AJ523)),"")</f>
        <v/>
      </c>
      <c r="AN523" s="12" t="str">
        <f ca="1">IFERROR(MATCH($G$115,OFFSET(#REF!,AN522,0,1000000),0)+AN522,"")</f>
        <v/>
      </c>
      <c r="AO523" s="17" t="str">
        <f ca="1">IFERROR(_xlfn.SINGLE(INDEX(#REF!,'Weekly Report'!AN523)),"")</f>
        <v/>
      </c>
      <c r="AP523" s="12" t="str">
        <f ca="1">IFERROR(_xlfn.SINGLE(INDEX(#REF!,'Weekly Report'!AN523)),"")</f>
        <v/>
      </c>
    </row>
    <row r="524" spans="36:42">
      <c r="AJ524" s="12" t="str">
        <f ca="1">IFERROR(MATCH($B$114,OFFSET(#REF!,AJ523,0,1000000),0)+AJ523,"")</f>
        <v/>
      </c>
      <c r="AK524" s="17" t="str">
        <f ca="1">IFERROR(_xlfn.SINGLE(INDEX(#REF!,'Weekly Report'!AJ524)),"")</f>
        <v/>
      </c>
      <c r="AL524" s="12" t="str">
        <f ca="1">IFERROR(_xlfn.SINGLE(INDEX(#REF!,'Weekly Report'!AJ524)),"")</f>
        <v/>
      </c>
      <c r="AN524" s="12" t="str">
        <f ca="1">IFERROR(MATCH($G$115,OFFSET(#REF!,AN523,0,1000000),0)+AN523,"")</f>
        <v/>
      </c>
      <c r="AO524" s="17" t="str">
        <f ca="1">IFERROR(_xlfn.SINGLE(INDEX(#REF!,'Weekly Report'!AN524)),"")</f>
        <v/>
      </c>
      <c r="AP524" s="12" t="str">
        <f ca="1">IFERROR(_xlfn.SINGLE(INDEX(#REF!,'Weekly Report'!AN524)),"")</f>
        <v/>
      </c>
    </row>
    <row r="525" spans="36:42">
      <c r="AJ525" s="12" t="str">
        <f ca="1">IFERROR(MATCH($B$114,OFFSET(#REF!,AJ524,0,1000000),0)+AJ524,"")</f>
        <v/>
      </c>
      <c r="AK525" s="17" t="str">
        <f ca="1">IFERROR(_xlfn.SINGLE(INDEX(#REF!,'Weekly Report'!AJ525)),"")</f>
        <v/>
      </c>
      <c r="AL525" s="12" t="str">
        <f ca="1">IFERROR(_xlfn.SINGLE(INDEX(#REF!,'Weekly Report'!AJ525)),"")</f>
        <v/>
      </c>
      <c r="AN525" s="12" t="str">
        <f ca="1">IFERROR(MATCH($G$115,OFFSET(#REF!,AN524,0,1000000),0)+AN524,"")</f>
        <v/>
      </c>
      <c r="AO525" s="17" t="str">
        <f ca="1">IFERROR(_xlfn.SINGLE(INDEX(#REF!,'Weekly Report'!AN525)),"")</f>
        <v/>
      </c>
      <c r="AP525" s="12" t="str">
        <f ca="1">IFERROR(_xlfn.SINGLE(INDEX(#REF!,'Weekly Report'!AN525)),"")</f>
        <v/>
      </c>
    </row>
    <row r="526" spans="36:42">
      <c r="AJ526" s="12" t="str">
        <f ca="1">IFERROR(MATCH($B$114,OFFSET(#REF!,AJ525,0,1000000),0)+AJ525,"")</f>
        <v/>
      </c>
      <c r="AK526" s="17" t="str">
        <f ca="1">IFERROR(_xlfn.SINGLE(INDEX(#REF!,'Weekly Report'!AJ526)),"")</f>
        <v/>
      </c>
      <c r="AL526" s="12" t="str">
        <f ca="1">IFERROR(_xlfn.SINGLE(INDEX(#REF!,'Weekly Report'!AJ526)),"")</f>
        <v/>
      </c>
      <c r="AN526" s="12" t="str">
        <f ca="1">IFERROR(MATCH($G$115,OFFSET(#REF!,AN525,0,1000000),0)+AN525,"")</f>
        <v/>
      </c>
      <c r="AO526" s="17" t="str">
        <f ca="1">IFERROR(_xlfn.SINGLE(INDEX(#REF!,'Weekly Report'!AN526)),"")</f>
        <v/>
      </c>
      <c r="AP526" s="12" t="str">
        <f ca="1">IFERROR(_xlfn.SINGLE(INDEX(#REF!,'Weekly Report'!AN526)),"")</f>
        <v/>
      </c>
    </row>
    <row r="527" spans="36:42">
      <c r="AJ527" s="12" t="str">
        <f ca="1">IFERROR(MATCH($B$114,OFFSET(#REF!,AJ526,0,1000000),0)+AJ526,"")</f>
        <v/>
      </c>
      <c r="AK527" s="17" t="str">
        <f ca="1">IFERROR(_xlfn.SINGLE(INDEX(#REF!,'Weekly Report'!AJ527)),"")</f>
        <v/>
      </c>
      <c r="AL527" s="12" t="str">
        <f ca="1">IFERROR(_xlfn.SINGLE(INDEX(#REF!,'Weekly Report'!AJ527)),"")</f>
        <v/>
      </c>
      <c r="AN527" s="12" t="str">
        <f ca="1">IFERROR(MATCH($G$115,OFFSET(#REF!,AN526,0,1000000),0)+AN526,"")</f>
        <v/>
      </c>
      <c r="AO527" s="17" t="str">
        <f ca="1">IFERROR(_xlfn.SINGLE(INDEX(#REF!,'Weekly Report'!AN527)),"")</f>
        <v/>
      </c>
      <c r="AP527" s="12" t="str">
        <f ca="1">IFERROR(_xlfn.SINGLE(INDEX(#REF!,'Weekly Report'!AN527)),"")</f>
        <v/>
      </c>
    </row>
    <row r="528" spans="36:42">
      <c r="AJ528" s="12" t="str">
        <f ca="1">IFERROR(MATCH($B$114,OFFSET(#REF!,AJ527,0,1000000),0)+AJ527,"")</f>
        <v/>
      </c>
      <c r="AK528" s="17" t="str">
        <f ca="1">IFERROR(_xlfn.SINGLE(INDEX(#REF!,'Weekly Report'!AJ528)),"")</f>
        <v/>
      </c>
      <c r="AL528" s="12" t="str">
        <f ca="1">IFERROR(_xlfn.SINGLE(INDEX(#REF!,'Weekly Report'!AJ528)),"")</f>
        <v/>
      </c>
      <c r="AN528" s="12" t="str">
        <f ca="1">IFERROR(MATCH($G$115,OFFSET(#REF!,AN527,0,1000000),0)+AN527,"")</f>
        <v/>
      </c>
      <c r="AO528" s="17" t="str">
        <f ca="1">IFERROR(_xlfn.SINGLE(INDEX(#REF!,'Weekly Report'!AN528)),"")</f>
        <v/>
      </c>
      <c r="AP528" s="12" t="str">
        <f ca="1">IFERROR(_xlfn.SINGLE(INDEX(#REF!,'Weekly Report'!AN528)),"")</f>
        <v/>
      </c>
    </row>
    <row r="529" spans="36:42">
      <c r="AJ529" s="12" t="str">
        <f ca="1">IFERROR(MATCH($B$114,OFFSET(#REF!,AJ528,0,1000000),0)+AJ528,"")</f>
        <v/>
      </c>
      <c r="AK529" s="17" t="str">
        <f ca="1">IFERROR(_xlfn.SINGLE(INDEX(#REF!,'Weekly Report'!AJ529)),"")</f>
        <v/>
      </c>
      <c r="AL529" s="12" t="str">
        <f ca="1">IFERROR(_xlfn.SINGLE(INDEX(#REF!,'Weekly Report'!AJ529)),"")</f>
        <v/>
      </c>
      <c r="AN529" s="12" t="str">
        <f ca="1">IFERROR(MATCH($G$115,OFFSET(#REF!,AN528,0,1000000),0)+AN528,"")</f>
        <v/>
      </c>
      <c r="AO529" s="17" t="str">
        <f ca="1">IFERROR(_xlfn.SINGLE(INDEX(#REF!,'Weekly Report'!AN529)),"")</f>
        <v/>
      </c>
      <c r="AP529" s="12" t="str">
        <f ca="1">IFERROR(_xlfn.SINGLE(INDEX(#REF!,'Weekly Report'!AN529)),"")</f>
        <v/>
      </c>
    </row>
    <row r="530" spans="36:42">
      <c r="AJ530" s="12" t="str">
        <f ca="1">IFERROR(MATCH($B$114,OFFSET(#REF!,AJ529,0,1000000),0)+AJ529,"")</f>
        <v/>
      </c>
      <c r="AK530" s="17" t="str">
        <f ca="1">IFERROR(_xlfn.SINGLE(INDEX(#REF!,'Weekly Report'!AJ530)),"")</f>
        <v/>
      </c>
      <c r="AL530" s="12" t="str">
        <f ca="1">IFERROR(_xlfn.SINGLE(INDEX(#REF!,'Weekly Report'!AJ530)),"")</f>
        <v/>
      </c>
      <c r="AN530" s="12" t="str">
        <f ca="1">IFERROR(MATCH($G$115,OFFSET(#REF!,AN529,0,1000000),0)+AN529,"")</f>
        <v/>
      </c>
      <c r="AO530" s="17" t="str">
        <f ca="1">IFERROR(_xlfn.SINGLE(INDEX(#REF!,'Weekly Report'!AN530)),"")</f>
        <v/>
      </c>
      <c r="AP530" s="12" t="str">
        <f ca="1">IFERROR(_xlfn.SINGLE(INDEX(#REF!,'Weekly Report'!AN530)),"")</f>
        <v/>
      </c>
    </row>
    <row r="531" spans="36:42">
      <c r="AJ531" s="12" t="str">
        <f ca="1">IFERROR(MATCH($B$114,OFFSET(#REF!,AJ530,0,1000000),0)+AJ530,"")</f>
        <v/>
      </c>
      <c r="AK531" s="17" t="str">
        <f ca="1">IFERROR(_xlfn.SINGLE(INDEX(#REF!,'Weekly Report'!AJ531)),"")</f>
        <v/>
      </c>
      <c r="AL531" s="12" t="str">
        <f ca="1">IFERROR(_xlfn.SINGLE(INDEX(#REF!,'Weekly Report'!AJ531)),"")</f>
        <v/>
      </c>
      <c r="AN531" s="12" t="str">
        <f ca="1">IFERROR(MATCH($G$115,OFFSET(#REF!,AN530,0,1000000),0)+AN530,"")</f>
        <v/>
      </c>
      <c r="AO531" s="17" t="str">
        <f ca="1">IFERROR(_xlfn.SINGLE(INDEX(#REF!,'Weekly Report'!AN531)),"")</f>
        <v/>
      </c>
      <c r="AP531" s="12" t="str">
        <f ca="1">IFERROR(_xlfn.SINGLE(INDEX(#REF!,'Weekly Report'!AN531)),"")</f>
        <v/>
      </c>
    </row>
    <row r="532" spans="36:42">
      <c r="AJ532" s="12" t="str">
        <f ca="1">IFERROR(MATCH($B$114,OFFSET(#REF!,AJ531,0,1000000),0)+AJ531,"")</f>
        <v/>
      </c>
      <c r="AK532" s="17" t="str">
        <f ca="1">IFERROR(_xlfn.SINGLE(INDEX(#REF!,'Weekly Report'!AJ532)),"")</f>
        <v/>
      </c>
      <c r="AL532" s="12" t="str">
        <f ca="1">IFERROR(_xlfn.SINGLE(INDEX(#REF!,'Weekly Report'!AJ532)),"")</f>
        <v/>
      </c>
      <c r="AN532" s="12" t="str">
        <f ca="1">IFERROR(MATCH($G$115,OFFSET(#REF!,AN531,0,1000000),0)+AN531,"")</f>
        <v/>
      </c>
      <c r="AO532" s="17" t="str">
        <f ca="1">IFERROR(_xlfn.SINGLE(INDEX(#REF!,'Weekly Report'!AN532)),"")</f>
        <v/>
      </c>
      <c r="AP532" s="12" t="str">
        <f ca="1">IFERROR(_xlfn.SINGLE(INDEX(#REF!,'Weekly Report'!AN532)),"")</f>
        <v/>
      </c>
    </row>
    <row r="533" spans="36:42">
      <c r="AJ533" s="12" t="str">
        <f ca="1">IFERROR(MATCH($B$114,OFFSET(#REF!,AJ532,0,1000000),0)+AJ532,"")</f>
        <v/>
      </c>
      <c r="AK533" s="17" t="str">
        <f ca="1">IFERROR(_xlfn.SINGLE(INDEX(#REF!,'Weekly Report'!AJ533)),"")</f>
        <v/>
      </c>
      <c r="AL533" s="12" t="str">
        <f ca="1">IFERROR(_xlfn.SINGLE(INDEX(#REF!,'Weekly Report'!AJ533)),"")</f>
        <v/>
      </c>
      <c r="AN533" s="12" t="str">
        <f ca="1">IFERROR(MATCH($G$115,OFFSET(#REF!,AN532,0,1000000),0)+AN532,"")</f>
        <v/>
      </c>
      <c r="AO533" s="17" t="str">
        <f ca="1">IFERROR(_xlfn.SINGLE(INDEX(#REF!,'Weekly Report'!AN533)),"")</f>
        <v/>
      </c>
      <c r="AP533" s="12" t="str">
        <f ca="1">IFERROR(_xlfn.SINGLE(INDEX(#REF!,'Weekly Report'!AN533)),"")</f>
        <v/>
      </c>
    </row>
    <row r="534" spans="36:42">
      <c r="AJ534" s="12" t="str">
        <f ca="1">IFERROR(MATCH($B$114,OFFSET(#REF!,AJ533,0,1000000),0)+AJ533,"")</f>
        <v/>
      </c>
      <c r="AK534" s="17" t="str">
        <f ca="1">IFERROR(_xlfn.SINGLE(INDEX(#REF!,'Weekly Report'!AJ534)),"")</f>
        <v/>
      </c>
      <c r="AL534" s="12" t="str">
        <f ca="1">IFERROR(_xlfn.SINGLE(INDEX(#REF!,'Weekly Report'!AJ534)),"")</f>
        <v/>
      </c>
      <c r="AN534" s="12" t="str">
        <f ca="1">IFERROR(MATCH($G$115,OFFSET(#REF!,AN533,0,1000000),0)+AN533,"")</f>
        <v/>
      </c>
      <c r="AO534" s="17" t="str">
        <f ca="1">IFERROR(_xlfn.SINGLE(INDEX(#REF!,'Weekly Report'!AN534)),"")</f>
        <v/>
      </c>
      <c r="AP534" s="12" t="str">
        <f ca="1">IFERROR(_xlfn.SINGLE(INDEX(#REF!,'Weekly Report'!AN534)),"")</f>
        <v/>
      </c>
    </row>
    <row r="535" spans="36:42">
      <c r="AJ535" s="12" t="str">
        <f ca="1">IFERROR(MATCH($B$114,OFFSET(#REF!,AJ534,0,1000000),0)+AJ534,"")</f>
        <v/>
      </c>
      <c r="AK535" s="17" t="str">
        <f ca="1">IFERROR(_xlfn.SINGLE(INDEX(#REF!,'Weekly Report'!AJ535)),"")</f>
        <v/>
      </c>
      <c r="AL535" s="12" t="str">
        <f ca="1">IFERROR(_xlfn.SINGLE(INDEX(#REF!,'Weekly Report'!AJ535)),"")</f>
        <v/>
      </c>
      <c r="AN535" s="12" t="str">
        <f ca="1">IFERROR(MATCH($G$115,OFFSET(#REF!,AN534,0,1000000),0)+AN534,"")</f>
        <v/>
      </c>
      <c r="AO535" s="17" t="str">
        <f ca="1">IFERROR(_xlfn.SINGLE(INDEX(#REF!,'Weekly Report'!AN535)),"")</f>
        <v/>
      </c>
      <c r="AP535" s="12" t="str">
        <f ca="1">IFERROR(_xlfn.SINGLE(INDEX(#REF!,'Weekly Report'!AN535)),"")</f>
        <v/>
      </c>
    </row>
    <row r="536" spans="36:42">
      <c r="AJ536" s="12" t="str">
        <f ca="1">IFERROR(MATCH($B$114,OFFSET(#REF!,AJ535,0,1000000),0)+AJ535,"")</f>
        <v/>
      </c>
      <c r="AK536" s="17" t="str">
        <f ca="1">IFERROR(_xlfn.SINGLE(INDEX(#REF!,'Weekly Report'!AJ536)),"")</f>
        <v/>
      </c>
      <c r="AL536" s="12" t="str">
        <f ca="1">IFERROR(_xlfn.SINGLE(INDEX(#REF!,'Weekly Report'!AJ536)),"")</f>
        <v/>
      </c>
      <c r="AN536" s="12" t="str">
        <f ca="1">IFERROR(MATCH($G$115,OFFSET(#REF!,AN535,0,1000000),0)+AN535,"")</f>
        <v/>
      </c>
      <c r="AO536" s="17" t="str">
        <f ca="1">IFERROR(_xlfn.SINGLE(INDEX(#REF!,'Weekly Report'!AN536)),"")</f>
        <v/>
      </c>
      <c r="AP536" s="12" t="str">
        <f ca="1">IFERROR(_xlfn.SINGLE(INDEX(#REF!,'Weekly Report'!AN536)),"")</f>
        <v/>
      </c>
    </row>
    <row r="537" spans="36:42">
      <c r="AJ537" s="12" t="str">
        <f ca="1">IFERROR(MATCH($B$114,OFFSET(#REF!,AJ536,0,1000000),0)+AJ536,"")</f>
        <v/>
      </c>
      <c r="AK537" s="17" t="str">
        <f ca="1">IFERROR(_xlfn.SINGLE(INDEX(#REF!,'Weekly Report'!AJ537)),"")</f>
        <v/>
      </c>
      <c r="AL537" s="12" t="str">
        <f ca="1">IFERROR(_xlfn.SINGLE(INDEX(#REF!,'Weekly Report'!AJ537)),"")</f>
        <v/>
      </c>
      <c r="AN537" s="12" t="str">
        <f ca="1">IFERROR(MATCH($G$115,OFFSET(#REF!,AN536,0,1000000),0)+AN536,"")</f>
        <v/>
      </c>
      <c r="AO537" s="17" t="str">
        <f ca="1">IFERROR(_xlfn.SINGLE(INDEX(#REF!,'Weekly Report'!AN537)),"")</f>
        <v/>
      </c>
      <c r="AP537" s="12" t="str">
        <f ca="1">IFERROR(_xlfn.SINGLE(INDEX(#REF!,'Weekly Report'!AN537)),"")</f>
        <v/>
      </c>
    </row>
    <row r="538" spans="36:42">
      <c r="AJ538" s="12" t="str">
        <f ca="1">IFERROR(MATCH($B$114,OFFSET(#REF!,AJ537,0,1000000),0)+AJ537,"")</f>
        <v/>
      </c>
      <c r="AK538" s="17" t="str">
        <f ca="1">IFERROR(_xlfn.SINGLE(INDEX(#REF!,'Weekly Report'!AJ538)),"")</f>
        <v/>
      </c>
      <c r="AL538" s="12" t="str">
        <f ca="1">IFERROR(_xlfn.SINGLE(INDEX(#REF!,'Weekly Report'!AJ538)),"")</f>
        <v/>
      </c>
      <c r="AN538" s="12" t="str">
        <f ca="1">IFERROR(MATCH($G$115,OFFSET(#REF!,AN537,0,1000000),0)+AN537,"")</f>
        <v/>
      </c>
      <c r="AO538" s="17" t="str">
        <f ca="1">IFERROR(_xlfn.SINGLE(INDEX(#REF!,'Weekly Report'!AN538)),"")</f>
        <v/>
      </c>
      <c r="AP538" s="12" t="str">
        <f ca="1">IFERROR(_xlfn.SINGLE(INDEX(#REF!,'Weekly Report'!AN538)),"")</f>
        <v/>
      </c>
    </row>
    <row r="539" spans="36:42">
      <c r="AJ539" s="12" t="str">
        <f ca="1">IFERROR(MATCH($B$114,OFFSET(#REF!,AJ538,0,1000000),0)+AJ538,"")</f>
        <v/>
      </c>
      <c r="AK539" s="17" t="str">
        <f ca="1">IFERROR(_xlfn.SINGLE(INDEX(#REF!,'Weekly Report'!AJ539)),"")</f>
        <v/>
      </c>
      <c r="AL539" s="12" t="str">
        <f ca="1">IFERROR(_xlfn.SINGLE(INDEX(#REF!,'Weekly Report'!AJ539)),"")</f>
        <v/>
      </c>
      <c r="AN539" s="12" t="str">
        <f ca="1">IFERROR(MATCH($G$115,OFFSET(#REF!,AN538,0,1000000),0)+AN538,"")</f>
        <v/>
      </c>
      <c r="AO539" s="17" t="str">
        <f ca="1">IFERROR(_xlfn.SINGLE(INDEX(#REF!,'Weekly Report'!AN539)),"")</f>
        <v/>
      </c>
      <c r="AP539" s="12" t="str">
        <f ca="1">IFERROR(_xlfn.SINGLE(INDEX(#REF!,'Weekly Report'!AN539)),"")</f>
        <v/>
      </c>
    </row>
    <row r="540" spans="36:42">
      <c r="AJ540" s="12" t="str">
        <f ca="1">IFERROR(MATCH($B$114,OFFSET(#REF!,AJ539,0,1000000),0)+AJ539,"")</f>
        <v/>
      </c>
      <c r="AK540" s="17" t="str">
        <f ca="1">IFERROR(_xlfn.SINGLE(INDEX(#REF!,'Weekly Report'!AJ540)),"")</f>
        <v/>
      </c>
      <c r="AL540" s="12" t="str">
        <f ca="1">IFERROR(_xlfn.SINGLE(INDEX(#REF!,'Weekly Report'!AJ540)),"")</f>
        <v/>
      </c>
      <c r="AN540" s="12" t="str">
        <f ca="1">IFERROR(MATCH($G$115,OFFSET(#REF!,AN539,0,1000000),0)+AN539,"")</f>
        <v/>
      </c>
      <c r="AO540" s="17" t="str">
        <f ca="1">IFERROR(_xlfn.SINGLE(INDEX(#REF!,'Weekly Report'!AN540)),"")</f>
        <v/>
      </c>
      <c r="AP540" s="12" t="str">
        <f ca="1">IFERROR(_xlfn.SINGLE(INDEX(#REF!,'Weekly Report'!AN540)),"")</f>
        <v/>
      </c>
    </row>
    <row r="541" spans="36:42">
      <c r="AJ541" s="12" t="str">
        <f ca="1">IFERROR(MATCH($B$114,OFFSET(#REF!,AJ540,0,1000000),0)+AJ540,"")</f>
        <v/>
      </c>
      <c r="AK541" s="17" t="str">
        <f ca="1">IFERROR(_xlfn.SINGLE(INDEX(#REF!,'Weekly Report'!AJ541)),"")</f>
        <v/>
      </c>
      <c r="AL541" s="12" t="str">
        <f ca="1">IFERROR(_xlfn.SINGLE(INDEX(#REF!,'Weekly Report'!AJ541)),"")</f>
        <v/>
      </c>
      <c r="AN541" s="12" t="str">
        <f ca="1">IFERROR(MATCH($G$115,OFFSET(#REF!,AN540,0,1000000),0)+AN540,"")</f>
        <v/>
      </c>
      <c r="AO541" s="17" t="str">
        <f ca="1">IFERROR(_xlfn.SINGLE(INDEX(#REF!,'Weekly Report'!AN541)),"")</f>
        <v/>
      </c>
      <c r="AP541" s="12" t="str">
        <f ca="1">IFERROR(_xlfn.SINGLE(INDEX(#REF!,'Weekly Report'!AN541)),"")</f>
        <v/>
      </c>
    </row>
    <row r="542" spans="36:42">
      <c r="AJ542" s="12" t="str">
        <f ca="1">IFERROR(MATCH($B$114,OFFSET(#REF!,AJ541,0,1000000),0)+AJ541,"")</f>
        <v/>
      </c>
      <c r="AK542" s="17" t="str">
        <f ca="1">IFERROR(_xlfn.SINGLE(INDEX(#REF!,'Weekly Report'!AJ542)),"")</f>
        <v/>
      </c>
      <c r="AL542" s="12" t="str">
        <f ca="1">IFERROR(_xlfn.SINGLE(INDEX(#REF!,'Weekly Report'!AJ542)),"")</f>
        <v/>
      </c>
      <c r="AN542" s="12" t="str">
        <f ca="1">IFERROR(MATCH($G$115,OFFSET(#REF!,AN541,0,1000000),0)+AN541,"")</f>
        <v/>
      </c>
      <c r="AO542" s="17" t="str">
        <f ca="1">IFERROR(_xlfn.SINGLE(INDEX(#REF!,'Weekly Report'!AN542)),"")</f>
        <v/>
      </c>
      <c r="AP542" s="12" t="str">
        <f ca="1">IFERROR(_xlfn.SINGLE(INDEX(#REF!,'Weekly Report'!AN542)),"")</f>
        <v/>
      </c>
    </row>
    <row r="543" spans="36:42">
      <c r="AJ543" s="12" t="str">
        <f ca="1">IFERROR(MATCH($B$114,OFFSET(#REF!,AJ542,0,1000000),0)+AJ542,"")</f>
        <v/>
      </c>
      <c r="AK543" s="17" t="str">
        <f ca="1">IFERROR(_xlfn.SINGLE(INDEX(#REF!,'Weekly Report'!AJ543)),"")</f>
        <v/>
      </c>
      <c r="AL543" s="12" t="str">
        <f ca="1">IFERROR(_xlfn.SINGLE(INDEX(#REF!,'Weekly Report'!AJ543)),"")</f>
        <v/>
      </c>
      <c r="AN543" s="12" t="str">
        <f ca="1">IFERROR(MATCH($G$115,OFFSET(#REF!,AN542,0,1000000),0)+AN542,"")</f>
        <v/>
      </c>
      <c r="AO543" s="17" t="str">
        <f ca="1">IFERROR(_xlfn.SINGLE(INDEX(#REF!,'Weekly Report'!AN543)),"")</f>
        <v/>
      </c>
      <c r="AP543" s="12" t="str">
        <f ca="1">IFERROR(_xlfn.SINGLE(INDEX(#REF!,'Weekly Report'!AN543)),"")</f>
        <v/>
      </c>
    </row>
    <row r="544" spans="36:42">
      <c r="AJ544" s="12" t="str">
        <f ca="1">IFERROR(MATCH($B$114,OFFSET(#REF!,AJ543,0,1000000),0)+AJ543,"")</f>
        <v/>
      </c>
      <c r="AK544" s="17" t="str">
        <f ca="1">IFERROR(_xlfn.SINGLE(INDEX(#REF!,'Weekly Report'!AJ544)),"")</f>
        <v/>
      </c>
      <c r="AL544" s="12" t="str">
        <f ca="1">IFERROR(_xlfn.SINGLE(INDEX(#REF!,'Weekly Report'!AJ544)),"")</f>
        <v/>
      </c>
      <c r="AN544" s="12" t="str">
        <f ca="1">IFERROR(MATCH($G$115,OFFSET(#REF!,AN543,0,1000000),0)+AN543,"")</f>
        <v/>
      </c>
      <c r="AO544" s="17" t="str">
        <f ca="1">IFERROR(_xlfn.SINGLE(INDEX(#REF!,'Weekly Report'!AN544)),"")</f>
        <v/>
      </c>
      <c r="AP544" s="12" t="str">
        <f ca="1">IFERROR(_xlfn.SINGLE(INDEX(#REF!,'Weekly Report'!AN544)),"")</f>
        <v/>
      </c>
    </row>
    <row r="545" spans="36:42">
      <c r="AJ545" s="12" t="str">
        <f ca="1">IFERROR(MATCH($B$114,OFFSET(#REF!,AJ544,0,1000000),0)+AJ544,"")</f>
        <v/>
      </c>
      <c r="AK545" s="17" t="str">
        <f ca="1">IFERROR(_xlfn.SINGLE(INDEX(#REF!,'Weekly Report'!AJ545)),"")</f>
        <v/>
      </c>
      <c r="AL545" s="12" t="str">
        <f ca="1">IFERROR(_xlfn.SINGLE(INDEX(#REF!,'Weekly Report'!AJ545)),"")</f>
        <v/>
      </c>
      <c r="AN545" s="12" t="str">
        <f ca="1">IFERROR(MATCH($G$115,OFFSET(#REF!,AN544,0,1000000),0)+AN544,"")</f>
        <v/>
      </c>
      <c r="AO545" s="17" t="str">
        <f ca="1">IFERROR(_xlfn.SINGLE(INDEX(#REF!,'Weekly Report'!AN545)),"")</f>
        <v/>
      </c>
      <c r="AP545" s="12" t="str">
        <f ca="1">IFERROR(_xlfn.SINGLE(INDEX(#REF!,'Weekly Report'!AN545)),"")</f>
        <v/>
      </c>
    </row>
    <row r="546" spans="36:42">
      <c r="AJ546" s="12" t="str">
        <f ca="1">IFERROR(MATCH($B$114,OFFSET(#REF!,AJ545,0,1000000),0)+AJ545,"")</f>
        <v/>
      </c>
      <c r="AK546" s="17" t="str">
        <f ca="1">IFERROR(_xlfn.SINGLE(INDEX(#REF!,'Weekly Report'!AJ546)),"")</f>
        <v/>
      </c>
      <c r="AL546" s="12" t="str">
        <f ca="1">IFERROR(_xlfn.SINGLE(INDEX(#REF!,'Weekly Report'!AJ546)),"")</f>
        <v/>
      </c>
      <c r="AN546" s="12" t="str">
        <f ca="1">IFERROR(MATCH($G$115,OFFSET(#REF!,AN545,0,1000000),0)+AN545,"")</f>
        <v/>
      </c>
      <c r="AO546" s="17" t="str">
        <f ca="1">IFERROR(_xlfn.SINGLE(INDEX(#REF!,'Weekly Report'!AN546)),"")</f>
        <v/>
      </c>
      <c r="AP546" s="12" t="str">
        <f ca="1">IFERROR(_xlfn.SINGLE(INDEX(#REF!,'Weekly Report'!AN546)),"")</f>
        <v/>
      </c>
    </row>
    <row r="547" spans="36:42">
      <c r="AJ547" s="12" t="str">
        <f ca="1">IFERROR(MATCH($B$114,OFFSET(#REF!,AJ546,0,1000000),0)+AJ546,"")</f>
        <v/>
      </c>
      <c r="AK547" s="17" t="str">
        <f ca="1">IFERROR(_xlfn.SINGLE(INDEX(#REF!,'Weekly Report'!AJ547)),"")</f>
        <v/>
      </c>
      <c r="AL547" s="12" t="str">
        <f ca="1">IFERROR(_xlfn.SINGLE(INDEX(#REF!,'Weekly Report'!AJ547)),"")</f>
        <v/>
      </c>
      <c r="AN547" s="12" t="str">
        <f ca="1">IFERROR(MATCH($G$115,OFFSET(#REF!,AN546,0,1000000),0)+AN546,"")</f>
        <v/>
      </c>
      <c r="AO547" s="17" t="str">
        <f ca="1">IFERROR(_xlfn.SINGLE(INDEX(#REF!,'Weekly Report'!AN547)),"")</f>
        <v/>
      </c>
      <c r="AP547" s="12" t="str">
        <f ca="1">IFERROR(_xlfn.SINGLE(INDEX(#REF!,'Weekly Report'!AN547)),"")</f>
        <v/>
      </c>
    </row>
    <row r="548" spans="36:42">
      <c r="AJ548" s="12" t="str">
        <f ca="1">IFERROR(MATCH($B$114,OFFSET(#REF!,AJ547,0,1000000),0)+AJ547,"")</f>
        <v/>
      </c>
      <c r="AK548" s="17" t="str">
        <f ca="1">IFERROR(_xlfn.SINGLE(INDEX(#REF!,'Weekly Report'!AJ548)),"")</f>
        <v/>
      </c>
      <c r="AL548" s="12" t="str">
        <f ca="1">IFERROR(_xlfn.SINGLE(INDEX(#REF!,'Weekly Report'!AJ548)),"")</f>
        <v/>
      </c>
      <c r="AN548" s="12" t="str">
        <f ca="1">IFERROR(MATCH($G$115,OFFSET(#REF!,AN547,0,1000000),0)+AN547,"")</f>
        <v/>
      </c>
      <c r="AO548" s="17" t="str">
        <f ca="1">IFERROR(_xlfn.SINGLE(INDEX(#REF!,'Weekly Report'!AN548)),"")</f>
        <v/>
      </c>
      <c r="AP548" s="12" t="str">
        <f ca="1">IFERROR(_xlfn.SINGLE(INDEX(#REF!,'Weekly Report'!AN548)),"")</f>
        <v/>
      </c>
    </row>
    <row r="549" spans="36:42">
      <c r="AJ549" s="12" t="str">
        <f ca="1">IFERROR(MATCH($B$114,OFFSET(#REF!,AJ548,0,1000000),0)+AJ548,"")</f>
        <v/>
      </c>
      <c r="AK549" s="17" t="str">
        <f ca="1">IFERROR(_xlfn.SINGLE(INDEX(#REF!,'Weekly Report'!AJ549)),"")</f>
        <v/>
      </c>
      <c r="AL549" s="12" t="str">
        <f ca="1">IFERROR(_xlfn.SINGLE(INDEX(#REF!,'Weekly Report'!AJ549)),"")</f>
        <v/>
      </c>
      <c r="AN549" s="12" t="str">
        <f ca="1">IFERROR(MATCH($G$115,OFFSET(#REF!,AN548,0,1000000),0)+AN548,"")</f>
        <v/>
      </c>
      <c r="AO549" s="17" t="str">
        <f ca="1">IFERROR(_xlfn.SINGLE(INDEX(#REF!,'Weekly Report'!AN549)),"")</f>
        <v/>
      </c>
      <c r="AP549" s="12" t="str">
        <f ca="1">IFERROR(_xlfn.SINGLE(INDEX(#REF!,'Weekly Report'!AN549)),"")</f>
        <v/>
      </c>
    </row>
    <row r="550" spans="36:42">
      <c r="AJ550" s="12" t="str">
        <f ca="1">IFERROR(MATCH($B$114,OFFSET(#REF!,AJ549,0,1000000),0)+AJ549,"")</f>
        <v/>
      </c>
      <c r="AK550" s="17" t="str">
        <f ca="1">IFERROR(_xlfn.SINGLE(INDEX(#REF!,'Weekly Report'!AJ550)),"")</f>
        <v/>
      </c>
      <c r="AL550" s="12" t="str">
        <f ca="1">IFERROR(_xlfn.SINGLE(INDEX(#REF!,'Weekly Report'!AJ550)),"")</f>
        <v/>
      </c>
      <c r="AN550" s="12" t="str">
        <f ca="1">IFERROR(MATCH($G$115,OFFSET(#REF!,AN549,0,1000000),0)+AN549,"")</f>
        <v/>
      </c>
      <c r="AO550" s="17" t="str">
        <f ca="1">IFERROR(_xlfn.SINGLE(INDEX(#REF!,'Weekly Report'!AN550)),"")</f>
        <v/>
      </c>
      <c r="AP550" s="12" t="str">
        <f ca="1">IFERROR(_xlfn.SINGLE(INDEX(#REF!,'Weekly Report'!AN550)),"")</f>
        <v/>
      </c>
    </row>
    <row r="551" spans="36:42">
      <c r="AJ551" s="12" t="str">
        <f ca="1">IFERROR(MATCH($B$114,OFFSET(#REF!,AJ550,0,1000000),0)+AJ550,"")</f>
        <v/>
      </c>
      <c r="AK551" s="17" t="str">
        <f ca="1">IFERROR(_xlfn.SINGLE(INDEX(#REF!,'Weekly Report'!AJ551)),"")</f>
        <v/>
      </c>
      <c r="AL551" s="12" t="str">
        <f ca="1">IFERROR(_xlfn.SINGLE(INDEX(#REF!,'Weekly Report'!AJ551)),"")</f>
        <v/>
      </c>
      <c r="AN551" s="12" t="str">
        <f ca="1">IFERROR(MATCH($G$115,OFFSET(#REF!,AN550,0,1000000),0)+AN550,"")</f>
        <v/>
      </c>
      <c r="AO551" s="17" t="str">
        <f ca="1">IFERROR(_xlfn.SINGLE(INDEX(#REF!,'Weekly Report'!AN551)),"")</f>
        <v/>
      </c>
      <c r="AP551" s="12" t="str">
        <f ca="1">IFERROR(_xlfn.SINGLE(INDEX(#REF!,'Weekly Report'!AN551)),"")</f>
        <v/>
      </c>
    </row>
    <row r="552" spans="36:42">
      <c r="AJ552" s="12" t="str">
        <f ca="1">IFERROR(MATCH($B$114,OFFSET(#REF!,AJ551,0,1000000),0)+AJ551,"")</f>
        <v/>
      </c>
      <c r="AK552" s="17" t="str">
        <f ca="1">IFERROR(_xlfn.SINGLE(INDEX(#REF!,'Weekly Report'!AJ552)),"")</f>
        <v/>
      </c>
      <c r="AL552" s="12" t="str">
        <f ca="1">IFERROR(_xlfn.SINGLE(INDEX(#REF!,'Weekly Report'!AJ552)),"")</f>
        <v/>
      </c>
      <c r="AN552" s="12" t="str">
        <f ca="1">IFERROR(MATCH($G$115,OFFSET(#REF!,AN551,0,1000000),0)+AN551,"")</f>
        <v/>
      </c>
      <c r="AO552" s="17" t="str">
        <f ca="1">IFERROR(_xlfn.SINGLE(INDEX(#REF!,'Weekly Report'!AN552)),"")</f>
        <v/>
      </c>
      <c r="AP552" s="12" t="str">
        <f ca="1">IFERROR(_xlfn.SINGLE(INDEX(#REF!,'Weekly Report'!AN552)),"")</f>
        <v/>
      </c>
    </row>
    <row r="553" spans="36:42">
      <c r="AJ553" s="12" t="str">
        <f ca="1">IFERROR(MATCH($B$114,OFFSET(#REF!,AJ552,0,1000000),0)+AJ552,"")</f>
        <v/>
      </c>
      <c r="AK553" s="17" t="str">
        <f ca="1">IFERROR(_xlfn.SINGLE(INDEX(#REF!,'Weekly Report'!AJ553)),"")</f>
        <v/>
      </c>
      <c r="AL553" s="12" t="str">
        <f ca="1">IFERROR(_xlfn.SINGLE(INDEX(#REF!,'Weekly Report'!AJ553)),"")</f>
        <v/>
      </c>
      <c r="AN553" s="12" t="str">
        <f ca="1">IFERROR(MATCH($G$115,OFFSET(#REF!,AN552,0,1000000),0)+AN552,"")</f>
        <v/>
      </c>
      <c r="AO553" s="17" t="str">
        <f ca="1">IFERROR(_xlfn.SINGLE(INDEX(#REF!,'Weekly Report'!AN553)),"")</f>
        <v/>
      </c>
      <c r="AP553" s="12" t="str">
        <f ca="1">IFERROR(_xlfn.SINGLE(INDEX(#REF!,'Weekly Report'!AN553)),"")</f>
        <v/>
      </c>
    </row>
    <row r="554" spans="36:42">
      <c r="AJ554" s="12" t="str">
        <f ca="1">IFERROR(MATCH($B$114,OFFSET(#REF!,AJ553,0,1000000),0)+AJ553,"")</f>
        <v/>
      </c>
      <c r="AK554" s="17" t="str">
        <f ca="1">IFERROR(_xlfn.SINGLE(INDEX(#REF!,'Weekly Report'!AJ554)),"")</f>
        <v/>
      </c>
      <c r="AL554" s="12" t="str">
        <f ca="1">IFERROR(_xlfn.SINGLE(INDEX(#REF!,'Weekly Report'!AJ554)),"")</f>
        <v/>
      </c>
      <c r="AN554" s="12" t="str">
        <f ca="1">IFERROR(MATCH($G$115,OFFSET(#REF!,AN553,0,1000000),0)+AN553,"")</f>
        <v/>
      </c>
      <c r="AO554" s="17" t="str">
        <f ca="1">IFERROR(_xlfn.SINGLE(INDEX(#REF!,'Weekly Report'!AN554)),"")</f>
        <v/>
      </c>
      <c r="AP554" s="12" t="str">
        <f ca="1">IFERROR(_xlfn.SINGLE(INDEX(#REF!,'Weekly Report'!AN554)),"")</f>
        <v/>
      </c>
    </row>
    <row r="555" spans="36:42">
      <c r="AJ555" s="12" t="str">
        <f ca="1">IFERROR(MATCH($B$114,OFFSET(#REF!,AJ554,0,1000000),0)+AJ554,"")</f>
        <v/>
      </c>
      <c r="AK555" s="17" t="str">
        <f ca="1">IFERROR(_xlfn.SINGLE(INDEX(#REF!,'Weekly Report'!AJ555)),"")</f>
        <v/>
      </c>
      <c r="AL555" s="12" t="str">
        <f ca="1">IFERROR(_xlfn.SINGLE(INDEX(#REF!,'Weekly Report'!AJ555)),"")</f>
        <v/>
      </c>
      <c r="AN555" s="12" t="str">
        <f ca="1">IFERROR(MATCH($G$115,OFFSET(#REF!,AN554,0,1000000),0)+AN554,"")</f>
        <v/>
      </c>
      <c r="AO555" s="17" t="str">
        <f ca="1">IFERROR(_xlfn.SINGLE(INDEX(#REF!,'Weekly Report'!AN555)),"")</f>
        <v/>
      </c>
      <c r="AP555" s="12" t="str">
        <f ca="1">IFERROR(_xlfn.SINGLE(INDEX(#REF!,'Weekly Report'!AN555)),"")</f>
        <v/>
      </c>
    </row>
    <row r="556" spans="36:42">
      <c r="AJ556" s="12" t="str">
        <f ca="1">IFERROR(MATCH($B$114,OFFSET(#REF!,AJ555,0,1000000),0)+AJ555,"")</f>
        <v/>
      </c>
      <c r="AK556" s="17" t="str">
        <f ca="1">IFERROR(_xlfn.SINGLE(INDEX(#REF!,'Weekly Report'!AJ556)),"")</f>
        <v/>
      </c>
      <c r="AL556" s="12" t="str">
        <f ca="1">IFERROR(_xlfn.SINGLE(INDEX(#REF!,'Weekly Report'!AJ556)),"")</f>
        <v/>
      </c>
      <c r="AN556" s="12" t="str">
        <f ca="1">IFERROR(MATCH($G$115,OFFSET(#REF!,AN555,0,1000000),0)+AN555,"")</f>
        <v/>
      </c>
      <c r="AO556" s="17" t="str">
        <f ca="1">IFERROR(_xlfn.SINGLE(INDEX(#REF!,'Weekly Report'!AN556)),"")</f>
        <v/>
      </c>
      <c r="AP556" s="12" t="str">
        <f ca="1">IFERROR(_xlfn.SINGLE(INDEX(#REF!,'Weekly Report'!AN556)),"")</f>
        <v/>
      </c>
    </row>
    <row r="557" spans="36:42">
      <c r="AJ557" s="12" t="str">
        <f ca="1">IFERROR(MATCH($B$114,OFFSET(#REF!,AJ556,0,1000000),0)+AJ556,"")</f>
        <v/>
      </c>
      <c r="AK557" s="17" t="str">
        <f ca="1">IFERROR(_xlfn.SINGLE(INDEX(#REF!,'Weekly Report'!AJ557)),"")</f>
        <v/>
      </c>
      <c r="AL557" s="12" t="str">
        <f ca="1">IFERROR(_xlfn.SINGLE(INDEX(#REF!,'Weekly Report'!AJ557)),"")</f>
        <v/>
      </c>
      <c r="AN557" s="12" t="str">
        <f ca="1">IFERROR(MATCH($G$115,OFFSET(#REF!,AN556,0,1000000),0)+AN556,"")</f>
        <v/>
      </c>
      <c r="AO557" s="17" t="str">
        <f ca="1">IFERROR(_xlfn.SINGLE(INDEX(#REF!,'Weekly Report'!AN557)),"")</f>
        <v/>
      </c>
      <c r="AP557" s="12" t="str">
        <f ca="1">IFERROR(_xlfn.SINGLE(INDEX(#REF!,'Weekly Report'!AN557)),"")</f>
        <v/>
      </c>
    </row>
    <row r="558" spans="36:42">
      <c r="AJ558" s="12" t="str">
        <f ca="1">IFERROR(MATCH($B$114,OFFSET(#REF!,AJ557,0,1000000),0)+AJ557,"")</f>
        <v/>
      </c>
      <c r="AK558" s="17" t="str">
        <f ca="1">IFERROR(_xlfn.SINGLE(INDEX(#REF!,'Weekly Report'!AJ558)),"")</f>
        <v/>
      </c>
      <c r="AL558" s="12" t="str">
        <f ca="1">IFERROR(_xlfn.SINGLE(INDEX(#REF!,'Weekly Report'!AJ558)),"")</f>
        <v/>
      </c>
      <c r="AN558" s="12" t="str">
        <f ca="1">IFERROR(MATCH($G$115,OFFSET(#REF!,AN557,0,1000000),0)+AN557,"")</f>
        <v/>
      </c>
      <c r="AO558" s="17" t="str">
        <f ca="1">IFERROR(_xlfn.SINGLE(INDEX(#REF!,'Weekly Report'!AN558)),"")</f>
        <v/>
      </c>
      <c r="AP558" s="12" t="str">
        <f ca="1">IFERROR(_xlfn.SINGLE(INDEX(#REF!,'Weekly Report'!AN558)),"")</f>
        <v/>
      </c>
    </row>
    <row r="559" spans="36:42">
      <c r="AJ559" s="12" t="str">
        <f ca="1">IFERROR(MATCH($B$114,OFFSET(#REF!,AJ558,0,1000000),0)+AJ558,"")</f>
        <v/>
      </c>
      <c r="AK559" s="17" t="str">
        <f ca="1">IFERROR(_xlfn.SINGLE(INDEX(#REF!,'Weekly Report'!AJ559)),"")</f>
        <v/>
      </c>
      <c r="AL559" s="12" t="str">
        <f ca="1">IFERROR(_xlfn.SINGLE(INDEX(#REF!,'Weekly Report'!AJ559)),"")</f>
        <v/>
      </c>
      <c r="AN559" s="12" t="str">
        <f ca="1">IFERROR(MATCH($G$115,OFFSET(#REF!,AN558,0,1000000),0)+AN558,"")</f>
        <v/>
      </c>
      <c r="AO559" s="17" t="str">
        <f ca="1">IFERROR(_xlfn.SINGLE(INDEX(#REF!,'Weekly Report'!AN559)),"")</f>
        <v/>
      </c>
      <c r="AP559" s="12" t="str">
        <f ca="1">IFERROR(_xlfn.SINGLE(INDEX(#REF!,'Weekly Report'!AN559)),"")</f>
        <v/>
      </c>
    </row>
    <row r="560" spans="36:42">
      <c r="AJ560" s="12" t="str">
        <f ca="1">IFERROR(MATCH($B$114,OFFSET(#REF!,AJ559,0,1000000),0)+AJ559,"")</f>
        <v/>
      </c>
      <c r="AK560" s="17" t="str">
        <f ca="1">IFERROR(_xlfn.SINGLE(INDEX(#REF!,'Weekly Report'!AJ560)),"")</f>
        <v/>
      </c>
      <c r="AL560" s="12" t="str">
        <f ca="1">IFERROR(_xlfn.SINGLE(INDEX(#REF!,'Weekly Report'!AJ560)),"")</f>
        <v/>
      </c>
      <c r="AN560" s="12" t="str">
        <f ca="1">IFERROR(MATCH($G$115,OFFSET(#REF!,AN559,0,1000000),0)+AN559,"")</f>
        <v/>
      </c>
      <c r="AO560" s="17" t="str">
        <f ca="1">IFERROR(_xlfn.SINGLE(INDEX(#REF!,'Weekly Report'!AN560)),"")</f>
        <v/>
      </c>
      <c r="AP560" s="12" t="str">
        <f ca="1">IFERROR(_xlfn.SINGLE(INDEX(#REF!,'Weekly Report'!AN560)),"")</f>
        <v/>
      </c>
    </row>
    <row r="561" spans="36:42">
      <c r="AJ561" s="12" t="str">
        <f ca="1">IFERROR(MATCH($B$114,OFFSET(#REF!,AJ560,0,1000000),0)+AJ560,"")</f>
        <v/>
      </c>
      <c r="AK561" s="17" t="str">
        <f ca="1">IFERROR(_xlfn.SINGLE(INDEX(#REF!,'Weekly Report'!AJ561)),"")</f>
        <v/>
      </c>
      <c r="AL561" s="12" t="str">
        <f ca="1">IFERROR(_xlfn.SINGLE(INDEX(#REF!,'Weekly Report'!AJ561)),"")</f>
        <v/>
      </c>
      <c r="AN561" s="12" t="str">
        <f ca="1">IFERROR(MATCH($G$115,OFFSET(#REF!,AN560,0,1000000),0)+AN560,"")</f>
        <v/>
      </c>
      <c r="AO561" s="17" t="str">
        <f ca="1">IFERROR(_xlfn.SINGLE(INDEX(#REF!,'Weekly Report'!AN561)),"")</f>
        <v/>
      </c>
      <c r="AP561" s="12" t="str">
        <f ca="1">IFERROR(_xlfn.SINGLE(INDEX(#REF!,'Weekly Report'!AN561)),"")</f>
        <v/>
      </c>
    </row>
    <row r="562" spans="36:42">
      <c r="AJ562" s="12" t="str">
        <f ca="1">IFERROR(MATCH($B$114,OFFSET(#REF!,AJ561,0,1000000),0)+AJ561,"")</f>
        <v/>
      </c>
      <c r="AK562" s="17" t="str">
        <f ca="1">IFERROR(_xlfn.SINGLE(INDEX(#REF!,'Weekly Report'!AJ562)),"")</f>
        <v/>
      </c>
      <c r="AL562" s="12" t="str">
        <f ca="1">IFERROR(_xlfn.SINGLE(INDEX(#REF!,'Weekly Report'!AJ562)),"")</f>
        <v/>
      </c>
      <c r="AN562" s="12" t="str">
        <f ca="1">IFERROR(MATCH($G$115,OFFSET(#REF!,AN561,0,1000000),0)+AN561,"")</f>
        <v/>
      </c>
      <c r="AO562" s="17" t="str">
        <f ca="1">IFERROR(_xlfn.SINGLE(INDEX(#REF!,'Weekly Report'!AN562)),"")</f>
        <v/>
      </c>
      <c r="AP562" s="12" t="str">
        <f ca="1">IFERROR(_xlfn.SINGLE(INDEX(#REF!,'Weekly Report'!AN562)),"")</f>
        <v/>
      </c>
    </row>
    <row r="563" spans="36:42">
      <c r="AJ563" s="12" t="str">
        <f ca="1">IFERROR(MATCH($B$114,OFFSET(#REF!,AJ562,0,1000000),0)+AJ562,"")</f>
        <v/>
      </c>
      <c r="AK563" s="17" t="str">
        <f ca="1">IFERROR(_xlfn.SINGLE(INDEX(#REF!,'Weekly Report'!AJ563)),"")</f>
        <v/>
      </c>
      <c r="AL563" s="12" t="str">
        <f ca="1">IFERROR(_xlfn.SINGLE(INDEX(#REF!,'Weekly Report'!AJ563)),"")</f>
        <v/>
      </c>
      <c r="AN563" s="12" t="str">
        <f ca="1">IFERROR(MATCH($G$115,OFFSET(#REF!,AN562,0,1000000),0)+AN562,"")</f>
        <v/>
      </c>
      <c r="AO563" s="17" t="str">
        <f ca="1">IFERROR(_xlfn.SINGLE(INDEX(#REF!,'Weekly Report'!AN563)),"")</f>
        <v/>
      </c>
      <c r="AP563" s="12" t="str">
        <f ca="1">IFERROR(_xlfn.SINGLE(INDEX(#REF!,'Weekly Report'!AN563)),"")</f>
        <v/>
      </c>
    </row>
    <row r="564" spans="36:42">
      <c r="AJ564" s="12" t="str">
        <f ca="1">IFERROR(MATCH($B$114,OFFSET(#REF!,AJ563,0,1000000),0)+AJ563,"")</f>
        <v/>
      </c>
      <c r="AK564" s="17" t="str">
        <f ca="1">IFERROR(_xlfn.SINGLE(INDEX(#REF!,'Weekly Report'!AJ564)),"")</f>
        <v/>
      </c>
      <c r="AL564" s="12" t="str">
        <f ca="1">IFERROR(_xlfn.SINGLE(INDEX(#REF!,'Weekly Report'!AJ564)),"")</f>
        <v/>
      </c>
      <c r="AN564" s="12" t="str">
        <f ca="1">IFERROR(MATCH($G$115,OFFSET(#REF!,AN563,0,1000000),0)+AN563,"")</f>
        <v/>
      </c>
      <c r="AO564" s="17" t="str">
        <f ca="1">IFERROR(_xlfn.SINGLE(INDEX(#REF!,'Weekly Report'!AN564)),"")</f>
        <v/>
      </c>
      <c r="AP564" s="12" t="str">
        <f ca="1">IFERROR(_xlfn.SINGLE(INDEX(#REF!,'Weekly Report'!AN564)),"")</f>
        <v/>
      </c>
    </row>
    <row r="565" spans="36:42">
      <c r="AJ565" s="12" t="str">
        <f ca="1">IFERROR(MATCH($B$114,OFFSET(#REF!,AJ564,0,1000000),0)+AJ564,"")</f>
        <v/>
      </c>
      <c r="AK565" s="17" t="str">
        <f ca="1">IFERROR(_xlfn.SINGLE(INDEX(#REF!,'Weekly Report'!AJ565)),"")</f>
        <v/>
      </c>
      <c r="AL565" s="12" t="str">
        <f ca="1">IFERROR(_xlfn.SINGLE(INDEX(#REF!,'Weekly Report'!AJ565)),"")</f>
        <v/>
      </c>
      <c r="AN565" s="12" t="str">
        <f ca="1">IFERROR(MATCH($G$115,OFFSET(#REF!,AN564,0,1000000),0)+AN564,"")</f>
        <v/>
      </c>
      <c r="AO565" s="17" t="str">
        <f ca="1">IFERROR(_xlfn.SINGLE(INDEX(#REF!,'Weekly Report'!AN565)),"")</f>
        <v/>
      </c>
      <c r="AP565" s="12" t="str">
        <f ca="1">IFERROR(_xlfn.SINGLE(INDEX(#REF!,'Weekly Report'!AN565)),"")</f>
        <v/>
      </c>
    </row>
    <row r="566" spans="36:42">
      <c r="AJ566" s="12" t="str">
        <f ca="1">IFERROR(MATCH($B$114,OFFSET(#REF!,AJ565,0,1000000),0)+AJ565,"")</f>
        <v/>
      </c>
      <c r="AK566" s="17" t="str">
        <f ca="1">IFERROR(_xlfn.SINGLE(INDEX(#REF!,'Weekly Report'!AJ566)),"")</f>
        <v/>
      </c>
      <c r="AL566" s="12" t="str">
        <f ca="1">IFERROR(_xlfn.SINGLE(INDEX(#REF!,'Weekly Report'!AJ566)),"")</f>
        <v/>
      </c>
      <c r="AN566" s="12" t="str">
        <f ca="1">IFERROR(MATCH($G$115,OFFSET(#REF!,AN565,0,1000000),0)+AN565,"")</f>
        <v/>
      </c>
      <c r="AO566" s="17" t="str">
        <f ca="1">IFERROR(_xlfn.SINGLE(INDEX(#REF!,'Weekly Report'!AN566)),"")</f>
        <v/>
      </c>
      <c r="AP566" s="12" t="str">
        <f ca="1">IFERROR(_xlfn.SINGLE(INDEX(#REF!,'Weekly Report'!AN566)),"")</f>
        <v/>
      </c>
    </row>
    <row r="567" spans="36:42">
      <c r="AJ567" s="12" t="str">
        <f ca="1">IFERROR(MATCH($B$114,OFFSET(#REF!,AJ566,0,1000000),0)+AJ566,"")</f>
        <v/>
      </c>
      <c r="AK567" s="17" t="str">
        <f ca="1">IFERROR(_xlfn.SINGLE(INDEX(#REF!,'Weekly Report'!AJ567)),"")</f>
        <v/>
      </c>
      <c r="AL567" s="12" t="str">
        <f ca="1">IFERROR(_xlfn.SINGLE(INDEX(#REF!,'Weekly Report'!AJ567)),"")</f>
        <v/>
      </c>
      <c r="AN567" s="12" t="str">
        <f ca="1">IFERROR(MATCH($G$115,OFFSET(#REF!,AN566,0,1000000),0)+AN566,"")</f>
        <v/>
      </c>
      <c r="AO567" s="17" t="str">
        <f ca="1">IFERROR(_xlfn.SINGLE(INDEX(#REF!,'Weekly Report'!AN567)),"")</f>
        <v/>
      </c>
      <c r="AP567" s="12" t="str">
        <f ca="1">IFERROR(_xlfn.SINGLE(INDEX(#REF!,'Weekly Report'!AN567)),"")</f>
        <v/>
      </c>
    </row>
    <row r="568" spans="36:42">
      <c r="AJ568" s="12" t="str">
        <f ca="1">IFERROR(MATCH($B$114,OFFSET(#REF!,AJ567,0,1000000),0)+AJ567,"")</f>
        <v/>
      </c>
      <c r="AK568" s="17" t="str">
        <f ca="1">IFERROR(_xlfn.SINGLE(INDEX(#REF!,'Weekly Report'!AJ568)),"")</f>
        <v/>
      </c>
      <c r="AL568" s="12" t="str">
        <f ca="1">IFERROR(_xlfn.SINGLE(INDEX(#REF!,'Weekly Report'!AJ568)),"")</f>
        <v/>
      </c>
      <c r="AN568" s="12" t="str">
        <f ca="1">IFERROR(MATCH($G$115,OFFSET(#REF!,AN567,0,1000000),0)+AN567,"")</f>
        <v/>
      </c>
      <c r="AO568" s="17" t="str">
        <f ca="1">IFERROR(_xlfn.SINGLE(INDEX(#REF!,'Weekly Report'!AN568)),"")</f>
        <v/>
      </c>
      <c r="AP568" s="12" t="str">
        <f ca="1">IFERROR(_xlfn.SINGLE(INDEX(#REF!,'Weekly Report'!AN568)),"")</f>
        <v/>
      </c>
    </row>
    <row r="569" spans="36:42">
      <c r="AJ569" s="12" t="str">
        <f ca="1">IFERROR(MATCH($B$114,OFFSET(#REF!,AJ568,0,1000000),0)+AJ568,"")</f>
        <v/>
      </c>
      <c r="AK569" s="17" t="str">
        <f ca="1">IFERROR(_xlfn.SINGLE(INDEX(#REF!,'Weekly Report'!AJ569)),"")</f>
        <v/>
      </c>
      <c r="AL569" s="12" t="str">
        <f ca="1">IFERROR(_xlfn.SINGLE(INDEX(#REF!,'Weekly Report'!AJ569)),"")</f>
        <v/>
      </c>
      <c r="AN569" s="12" t="str">
        <f ca="1">IFERROR(MATCH($G$115,OFFSET(#REF!,AN568,0,1000000),0)+AN568,"")</f>
        <v/>
      </c>
      <c r="AO569" s="17" t="str">
        <f ca="1">IFERROR(_xlfn.SINGLE(INDEX(#REF!,'Weekly Report'!AN569)),"")</f>
        <v/>
      </c>
      <c r="AP569" s="12" t="str">
        <f ca="1">IFERROR(_xlfn.SINGLE(INDEX(#REF!,'Weekly Report'!AN569)),"")</f>
        <v/>
      </c>
    </row>
    <row r="570" spans="36:42">
      <c r="AJ570" s="12" t="str">
        <f ca="1">IFERROR(MATCH($B$114,OFFSET(#REF!,AJ569,0,1000000),0)+AJ569,"")</f>
        <v/>
      </c>
      <c r="AK570" s="17" t="str">
        <f ca="1">IFERROR(_xlfn.SINGLE(INDEX(#REF!,'Weekly Report'!AJ570)),"")</f>
        <v/>
      </c>
      <c r="AL570" s="12" t="str">
        <f ca="1">IFERROR(_xlfn.SINGLE(INDEX(#REF!,'Weekly Report'!AJ570)),"")</f>
        <v/>
      </c>
      <c r="AN570" s="12" t="str">
        <f ca="1">IFERROR(MATCH($G$115,OFFSET(#REF!,AN569,0,1000000),0)+AN569,"")</f>
        <v/>
      </c>
      <c r="AO570" s="17" t="str">
        <f ca="1">IFERROR(_xlfn.SINGLE(INDEX(#REF!,'Weekly Report'!AN570)),"")</f>
        <v/>
      </c>
      <c r="AP570" s="12" t="str">
        <f ca="1">IFERROR(_xlfn.SINGLE(INDEX(#REF!,'Weekly Report'!AN570)),"")</f>
        <v/>
      </c>
    </row>
    <row r="571" spans="36:42">
      <c r="AJ571" s="12" t="str">
        <f ca="1">IFERROR(MATCH($B$114,OFFSET(#REF!,AJ570,0,1000000),0)+AJ570,"")</f>
        <v/>
      </c>
      <c r="AK571" s="17" t="str">
        <f ca="1">IFERROR(_xlfn.SINGLE(INDEX(#REF!,'Weekly Report'!AJ571)),"")</f>
        <v/>
      </c>
      <c r="AL571" s="12" t="str">
        <f ca="1">IFERROR(_xlfn.SINGLE(INDEX(#REF!,'Weekly Report'!AJ571)),"")</f>
        <v/>
      </c>
      <c r="AN571" s="12" t="str">
        <f ca="1">IFERROR(MATCH($G$115,OFFSET(#REF!,AN570,0,1000000),0)+AN570,"")</f>
        <v/>
      </c>
      <c r="AO571" s="17" t="str">
        <f ca="1">IFERROR(_xlfn.SINGLE(INDEX(#REF!,'Weekly Report'!AN571)),"")</f>
        <v/>
      </c>
      <c r="AP571" s="12" t="str">
        <f ca="1">IFERROR(_xlfn.SINGLE(INDEX(#REF!,'Weekly Report'!AN571)),"")</f>
        <v/>
      </c>
    </row>
    <row r="572" spans="36:42">
      <c r="AJ572" s="12" t="str">
        <f ca="1">IFERROR(MATCH($B$114,OFFSET(#REF!,AJ571,0,1000000),0)+AJ571,"")</f>
        <v/>
      </c>
      <c r="AK572" s="17" t="str">
        <f ca="1">IFERROR(_xlfn.SINGLE(INDEX(#REF!,'Weekly Report'!AJ572)),"")</f>
        <v/>
      </c>
      <c r="AL572" s="12" t="str">
        <f ca="1">IFERROR(_xlfn.SINGLE(INDEX(#REF!,'Weekly Report'!AJ572)),"")</f>
        <v/>
      </c>
      <c r="AN572" s="12" t="str">
        <f ca="1">IFERROR(MATCH($G$115,OFFSET(#REF!,AN571,0,1000000),0)+AN571,"")</f>
        <v/>
      </c>
      <c r="AO572" s="17" t="str">
        <f ca="1">IFERROR(_xlfn.SINGLE(INDEX(#REF!,'Weekly Report'!AN572)),"")</f>
        <v/>
      </c>
      <c r="AP572" s="12" t="str">
        <f ca="1">IFERROR(_xlfn.SINGLE(INDEX(#REF!,'Weekly Report'!AN572)),"")</f>
        <v/>
      </c>
    </row>
    <row r="573" spans="36:42">
      <c r="AJ573" s="12" t="str">
        <f ca="1">IFERROR(MATCH($B$114,OFFSET(#REF!,AJ572,0,1000000),0)+AJ572,"")</f>
        <v/>
      </c>
      <c r="AK573" s="17" t="str">
        <f ca="1">IFERROR(_xlfn.SINGLE(INDEX(#REF!,'Weekly Report'!AJ573)),"")</f>
        <v/>
      </c>
      <c r="AL573" s="12" t="str">
        <f ca="1">IFERROR(_xlfn.SINGLE(INDEX(#REF!,'Weekly Report'!AJ573)),"")</f>
        <v/>
      </c>
      <c r="AN573" s="12" t="str">
        <f ca="1">IFERROR(MATCH($G$115,OFFSET(#REF!,AN572,0,1000000),0)+AN572,"")</f>
        <v/>
      </c>
      <c r="AO573" s="17" t="str">
        <f ca="1">IFERROR(_xlfn.SINGLE(INDEX(#REF!,'Weekly Report'!AN573)),"")</f>
        <v/>
      </c>
      <c r="AP573" s="12" t="str">
        <f ca="1">IFERROR(_xlfn.SINGLE(INDEX(#REF!,'Weekly Report'!AN573)),"")</f>
        <v/>
      </c>
    </row>
    <row r="574" spans="36:42">
      <c r="AJ574" s="12" t="str">
        <f ca="1">IFERROR(MATCH($B$114,OFFSET(#REF!,AJ573,0,1000000),0)+AJ573,"")</f>
        <v/>
      </c>
      <c r="AK574" s="17" t="str">
        <f ca="1">IFERROR(_xlfn.SINGLE(INDEX(#REF!,'Weekly Report'!AJ574)),"")</f>
        <v/>
      </c>
      <c r="AL574" s="12" t="str">
        <f ca="1">IFERROR(_xlfn.SINGLE(INDEX(#REF!,'Weekly Report'!AJ574)),"")</f>
        <v/>
      </c>
      <c r="AN574" s="12" t="str">
        <f ca="1">IFERROR(MATCH($G$115,OFFSET(#REF!,AN573,0,1000000),0)+AN573,"")</f>
        <v/>
      </c>
      <c r="AO574" s="17" t="str">
        <f ca="1">IFERROR(_xlfn.SINGLE(INDEX(#REF!,'Weekly Report'!AN574)),"")</f>
        <v/>
      </c>
      <c r="AP574" s="12" t="str">
        <f ca="1">IFERROR(_xlfn.SINGLE(INDEX(#REF!,'Weekly Report'!AN574)),"")</f>
        <v/>
      </c>
    </row>
    <row r="575" spans="36:42">
      <c r="AJ575" s="12" t="str">
        <f ca="1">IFERROR(MATCH($B$114,OFFSET(#REF!,AJ574,0,1000000),0)+AJ574,"")</f>
        <v/>
      </c>
      <c r="AK575" s="17" t="str">
        <f ca="1">IFERROR(_xlfn.SINGLE(INDEX(#REF!,'Weekly Report'!AJ575)),"")</f>
        <v/>
      </c>
      <c r="AL575" s="12" t="str">
        <f ca="1">IFERROR(_xlfn.SINGLE(INDEX(#REF!,'Weekly Report'!AJ575)),"")</f>
        <v/>
      </c>
      <c r="AN575" s="12" t="str">
        <f ca="1">IFERROR(MATCH($G$115,OFFSET(#REF!,AN574,0,1000000),0)+AN574,"")</f>
        <v/>
      </c>
      <c r="AO575" s="17" t="str">
        <f ca="1">IFERROR(_xlfn.SINGLE(INDEX(#REF!,'Weekly Report'!AN575)),"")</f>
        <v/>
      </c>
      <c r="AP575" s="12" t="str">
        <f ca="1">IFERROR(_xlfn.SINGLE(INDEX(#REF!,'Weekly Report'!AN575)),"")</f>
        <v/>
      </c>
    </row>
    <row r="576" spans="36:42">
      <c r="AJ576" s="12" t="str">
        <f ca="1">IFERROR(MATCH($B$114,OFFSET(#REF!,AJ575,0,1000000),0)+AJ575,"")</f>
        <v/>
      </c>
      <c r="AK576" s="17" t="str">
        <f ca="1">IFERROR(_xlfn.SINGLE(INDEX(#REF!,'Weekly Report'!AJ576)),"")</f>
        <v/>
      </c>
      <c r="AL576" s="12" t="str">
        <f ca="1">IFERROR(_xlfn.SINGLE(INDEX(#REF!,'Weekly Report'!AJ576)),"")</f>
        <v/>
      </c>
      <c r="AN576" s="12" t="str">
        <f ca="1">IFERROR(MATCH($G$115,OFFSET(#REF!,AN575,0,1000000),0)+AN575,"")</f>
        <v/>
      </c>
      <c r="AO576" s="17" t="str">
        <f ca="1">IFERROR(_xlfn.SINGLE(INDEX(#REF!,'Weekly Report'!AN576)),"")</f>
        <v/>
      </c>
      <c r="AP576" s="12" t="str">
        <f ca="1">IFERROR(_xlfn.SINGLE(INDEX(#REF!,'Weekly Report'!AN576)),"")</f>
        <v/>
      </c>
    </row>
    <row r="577" spans="36:42">
      <c r="AJ577" s="12" t="str">
        <f ca="1">IFERROR(MATCH($B$114,OFFSET(#REF!,AJ576,0,1000000),0)+AJ576,"")</f>
        <v/>
      </c>
      <c r="AK577" s="17" t="str">
        <f ca="1">IFERROR(_xlfn.SINGLE(INDEX(#REF!,'Weekly Report'!AJ577)),"")</f>
        <v/>
      </c>
      <c r="AL577" s="12" t="str">
        <f ca="1">IFERROR(_xlfn.SINGLE(INDEX(#REF!,'Weekly Report'!AJ577)),"")</f>
        <v/>
      </c>
      <c r="AN577" s="12" t="str">
        <f ca="1">IFERROR(MATCH($G$115,OFFSET(#REF!,AN576,0,1000000),0)+AN576,"")</f>
        <v/>
      </c>
      <c r="AO577" s="17" t="str">
        <f ca="1">IFERROR(_xlfn.SINGLE(INDEX(#REF!,'Weekly Report'!AN577)),"")</f>
        <v/>
      </c>
      <c r="AP577" s="12" t="str">
        <f ca="1">IFERROR(_xlfn.SINGLE(INDEX(#REF!,'Weekly Report'!AN577)),"")</f>
        <v/>
      </c>
    </row>
    <row r="578" spans="36:42">
      <c r="AJ578" s="12" t="str">
        <f ca="1">IFERROR(MATCH($B$114,OFFSET(#REF!,AJ577,0,1000000),0)+AJ577,"")</f>
        <v/>
      </c>
      <c r="AK578" s="17" t="str">
        <f ca="1">IFERROR(_xlfn.SINGLE(INDEX(#REF!,'Weekly Report'!AJ578)),"")</f>
        <v/>
      </c>
      <c r="AL578" s="12" t="str">
        <f ca="1">IFERROR(_xlfn.SINGLE(INDEX(#REF!,'Weekly Report'!AJ578)),"")</f>
        <v/>
      </c>
      <c r="AN578" s="12" t="str">
        <f ca="1">IFERROR(MATCH($G$115,OFFSET(#REF!,AN577,0,1000000),0)+AN577,"")</f>
        <v/>
      </c>
      <c r="AO578" s="17" t="str">
        <f ca="1">IFERROR(_xlfn.SINGLE(INDEX(#REF!,'Weekly Report'!AN578)),"")</f>
        <v/>
      </c>
      <c r="AP578" s="12" t="str">
        <f ca="1">IFERROR(_xlfn.SINGLE(INDEX(#REF!,'Weekly Report'!AN578)),"")</f>
        <v/>
      </c>
    </row>
    <row r="579" spans="36:42">
      <c r="AJ579" s="12" t="str">
        <f ca="1">IFERROR(MATCH($B$114,OFFSET(#REF!,AJ578,0,1000000),0)+AJ578,"")</f>
        <v/>
      </c>
      <c r="AK579" s="17" t="str">
        <f ca="1">IFERROR(_xlfn.SINGLE(INDEX(#REF!,'Weekly Report'!AJ579)),"")</f>
        <v/>
      </c>
      <c r="AL579" s="12" t="str">
        <f ca="1">IFERROR(_xlfn.SINGLE(INDEX(#REF!,'Weekly Report'!AJ579)),"")</f>
        <v/>
      </c>
      <c r="AN579" s="12" t="str">
        <f ca="1">IFERROR(MATCH($G$115,OFFSET(#REF!,AN578,0,1000000),0)+AN578,"")</f>
        <v/>
      </c>
      <c r="AO579" s="17" t="str">
        <f ca="1">IFERROR(_xlfn.SINGLE(INDEX(#REF!,'Weekly Report'!AN579)),"")</f>
        <v/>
      </c>
      <c r="AP579" s="12" t="str">
        <f ca="1">IFERROR(_xlfn.SINGLE(INDEX(#REF!,'Weekly Report'!AN579)),"")</f>
        <v/>
      </c>
    </row>
    <row r="580" spans="36:42">
      <c r="AJ580" s="12" t="str">
        <f ca="1">IFERROR(MATCH($B$114,OFFSET(#REF!,AJ579,0,1000000),0)+AJ579,"")</f>
        <v/>
      </c>
      <c r="AK580" s="17" t="str">
        <f ca="1">IFERROR(_xlfn.SINGLE(INDEX(#REF!,'Weekly Report'!AJ580)),"")</f>
        <v/>
      </c>
      <c r="AL580" s="12" t="str">
        <f ca="1">IFERROR(_xlfn.SINGLE(INDEX(#REF!,'Weekly Report'!AJ580)),"")</f>
        <v/>
      </c>
      <c r="AN580" s="12" t="str">
        <f ca="1">IFERROR(MATCH($G$115,OFFSET(#REF!,AN579,0,1000000),0)+AN579,"")</f>
        <v/>
      </c>
      <c r="AO580" s="17" t="str">
        <f ca="1">IFERROR(_xlfn.SINGLE(INDEX(#REF!,'Weekly Report'!AN580)),"")</f>
        <v/>
      </c>
      <c r="AP580" s="12" t="str">
        <f ca="1">IFERROR(_xlfn.SINGLE(INDEX(#REF!,'Weekly Report'!AN580)),"")</f>
        <v/>
      </c>
    </row>
    <row r="581" spans="36:42">
      <c r="AJ581" s="12" t="str">
        <f ca="1">IFERROR(MATCH($B$114,OFFSET(#REF!,AJ580,0,1000000),0)+AJ580,"")</f>
        <v/>
      </c>
      <c r="AK581" s="17" t="str">
        <f ca="1">IFERROR(_xlfn.SINGLE(INDEX(#REF!,'Weekly Report'!AJ581)),"")</f>
        <v/>
      </c>
      <c r="AL581" s="12" t="str">
        <f ca="1">IFERROR(_xlfn.SINGLE(INDEX(#REF!,'Weekly Report'!AJ581)),"")</f>
        <v/>
      </c>
      <c r="AN581" s="12" t="str">
        <f ca="1">IFERROR(MATCH($G$115,OFFSET(#REF!,AN580,0,1000000),0)+AN580,"")</f>
        <v/>
      </c>
      <c r="AO581" s="17" t="str">
        <f ca="1">IFERROR(_xlfn.SINGLE(INDEX(#REF!,'Weekly Report'!AN581)),"")</f>
        <v/>
      </c>
      <c r="AP581" s="12" t="str">
        <f ca="1">IFERROR(_xlfn.SINGLE(INDEX(#REF!,'Weekly Report'!AN581)),"")</f>
        <v/>
      </c>
    </row>
    <row r="582" spans="36:42">
      <c r="AJ582" s="12" t="str">
        <f ca="1">IFERROR(MATCH($B$114,OFFSET(#REF!,AJ581,0,1000000),0)+AJ581,"")</f>
        <v/>
      </c>
      <c r="AK582" s="17" t="str">
        <f ca="1">IFERROR(_xlfn.SINGLE(INDEX(#REF!,'Weekly Report'!AJ582)),"")</f>
        <v/>
      </c>
      <c r="AL582" s="12" t="str">
        <f ca="1">IFERROR(_xlfn.SINGLE(INDEX(#REF!,'Weekly Report'!AJ582)),"")</f>
        <v/>
      </c>
      <c r="AN582" s="12" t="str">
        <f ca="1">IFERROR(MATCH($G$115,OFFSET(#REF!,AN581,0,1000000),0)+AN581,"")</f>
        <v/>
      </c>
      <c r="AO582" s="17" t="str">
        <f ca="1">IFERROR(_xlfn.SINGLE(INDEX(#REF!,'Weekly Report'!AN582)),"")</f>
        <v/>
      </c>
      <c r="AP582" s="12" t="str">
        <f ca="1">IFERROR(_xlfn.SINGLE(INDEX(#REF!,'Weekly Report'!AN582)),"")</f>
        <v/>
      </c>
    </row>
    <row r="583" spans="36:42">
      <c r="AJ583" s="12" t="str">
        <f ca="1">IFERROR(MATCH($B$114,OFFSET(#REF!,AJ582,0,1000000),0)+AJ582,"")</f>
        <v/>
      </c>
      <c r="AK583" s="17" t="str">
        <f ca="1">IFERROR(_xlfn.SINGLE(INDEX(#REF!,'Weekly Report'!AJ583)),"")</f>
        <v/>
      </c>
      <c r="AL583" s="12" t="str">
        <f ca="1">IFERROR(_xlfn.SINGLE(INDEX(#REF!,'Weekly Report'!AJ583)),"")</f>
        <v/>
      </c>
      <c r="AN583" s="12" t="str">
        <f ca="1">IFERROR(MATCH($G$115,OFFSET(#REF!,AN582,0,1000000),0)+AN582,"")</f>
        <v/>
      </c>
      <c r="AO583" s="17" t="str">
        <f ca="1">IFERROR(_xlfn.SINGLE(INDEX(#REF!,'Weekly Report'!AN583)),"")</f>
        <v/>
      </c>
      <c r="AP583" s="12" t="str">
        <f ca="1">IFERROR(_xlfn.SINGLE(INDEX(#REF!,'Weekly Report'!AN583)),"")</f>
        <v/>
      </c>
    </row>
    <row r="584" spans="36:42">
      <c r="AJ584" s="12" t="str">
        <f ca="1">IFERROR(MATCH($B$114,OFFSET(#REF!,AJ583,0,1000000),0)+AJ583,"")</f>
        <v/>
      </c>
      <c r="AK584" s="17" t="str">
        <f ca="1">IFERROR(_xlfn.SINGLE(INDEX(#REF!,'Weekly Report'!AJ584)),"")</f>
        <v/>
      </c>
      <c r="AL584" s="12" t="str">
        <f ca="1">IFERROR(_xlfn.SINGLE(INDEX(#REF!,'Weekly Report'!AJ584)),"")</f>
        <v/>
      </c>
      <c r="AN584" s="12" t="str">
        <f ca="1">IFERROR(MATCH($G$115,OFFSET(#REF!,AN583,0,1000000),0)+AN583,"")</f>
        <v/>
      </c>
      <c r="AO584" s="17" t="str">
        <f ca="1">IFERROR(_xlfn.SINGLE(INDEX(#REF!,'Weekly Report'!AN584)),"")</f>
        <v/>
      </c>
      <c r="AP584" s="12" t="str">
        <f ca="1">IFERROR(_xlfn.SINGLE(INDEX(#REF!,'Weekly Report'!AN584)),"")</f>
        <v/>
      </c>
    </row>
    <row r="585" spans="36:42">
      <c r="AJ585" s="12" t="str">
        <f ca="1">IFERROR(MATCH($B$114,OFFSET(#REF!,AJ584,0,1000000),0)+AJ584,"")</f>
        <v/>
      </c>
      <c r="AK585" s="17" t="str">
        <f ca="1">IFERROR(_xlfn.SINGLE(INDEX(#REF!,'Weekly Report'!AJ585)),"")</f>
        <v/>
      </c>
      <c r="AL585" s="12" t="str">
        <f ca="1">IFERROR(_xlfn.SINGLE(INDEX(#REF!,'Weekly Report'!AJ585)),"")</f>
        <v/>
      </c>
      <c r="AN585" s="12" t="str">
        <f ca="1">IFERROR(MATCH($G$115,OFFSET(#REF!,AN584,0,1000000),0)+AN584,"")</f>
        <v/>
      </c>
      <c r="AO585" s="17" t="str">
        <f ca="1">IFERROR(_xlfn.SINGLE(INDEX(#REF!,'Weekly Report'!AN585)),"")</f>
        <v/>
      </c>
      <c r="AP585" s="12" t="str">
        <f ca="1">IFERROR(_xlfn.SINGLE(INDEX(#REF!,'Weekly Report'!AN585)),"")</f>
        <v/>
      </c>
    </row>
    <row r="586" spans="36:42">
      <c r="AJ586" s="12" t="str">
        <f ca="1">IFERROR(MATCH($B$114,OFFSET(#REF!,AJ585,0,1000000),0)+AJ585,"")</f>
        <v/>
      </c>
      <c r="AK586" s="17" t="str">
        <f ca="1">IFERROR(_xlfn.SINGLE(INDEX(#REF!,'Weekly Report'!AJ586)),"")</f>
        <v/>
      </c>
      <c r="AL586" s="12" t="str">
        <f ca="1">IFERROR(_xlfn.SINGLE(INDEX(#REF!,'Weekly Report'!AJ586)),"")</f>
        <v/>
      </c>
      <c r="AN586" s="12" t="str">
        <f ca="1">IFERROR(MATCH($G$115,OFFSET(#REF!,AN585,0,1000000),0)+AN585,"")</f>
        <v/>
      </c>
      <c r="AO586" s="17" t="str">
        <f ca="1">IFERROR(_xlfn.SINGLE(INDEX(#REF!,'Weekly Report'!AN586)),"")</f>
        <v/>
      </c>
      <c r="AP586" s="12" t="str">
        <f ca="1">IFERROR(_xlfn.SINGLE(INDEX(#REF!,'Weekly Report'!AN586)),"")</f>
        <v/>
      </c>
    </row>
    <row r="587" spans="36:42">
      <c r="AJ587" s="12" t="str">
        <f ca="1">IFERROR(MATCH($B$114,OFFSET(#REF!,AJ586,0,1000000),0)+AJ586,"")</f>
        <v/>
      </c>
      <c r="AK587" s="17" t="str">
        <f ca="1">IFERROR(_xlfn.SINGLE(INDEX(#REF!,'Weekly Report'!AJ587)),"")</f>
        <v/>
      </c>
      <c r="AL587" s="12" t="str">
        <f ca="1">IFERROR(_xlfn.SINGLE(INDEX(#REF!,'Weekly Report'!AJ587)),"")</f>
        <v/>
      </c>
      <c r="AN587" s="12" t="str">
        <f ca="1">IFERROR(MATCH($G$115,OFFSET(#REF!,AN586,0,1000000),0)+AN586,"")</f>
        <v/>
      </c>
      <c r="AO587" s="17" t="str">
        <f ca="1">IFERROR(_xlfn.SINGLE(INDEX(#REF!,'Weekly Report'!AN587)),"")</f>
        <v/>
      </c>
      <c r="AP587" s="12" t="str">
        <f ca="1">IFERROR(_xlfn.SINGLE(INDEX(#REF!,'Weekly Report'!AN587)),"")</f>
        <v/>
      </c>
    </row>
    <row r="588" spans="36:42">
      <c r="AJ588" s="12" t="str">
        <f ca="1">IFERROR(MATCH($B$114,OFFSET(#REF!,AJ587,0,1000000),0)+AJ587,"")</f>
        <v/>
      </c>
      <c r="AK588" s="17" t="str">
        <f ca="1">IFERROR(_xlfn.SINGLE(INDEX(#REF!,'Weekly Report'!AJ588)),"")</f>
        <v/>
      </c>
      <c r="AL588" s="12" t="str">
        <f ca="1">IFERROR(_xlfn.SINGLE(INDEX(#REF!,'Weekly Report'!AJ588)),"")</f>
        <v/>
      </c>
      <c r="AN588" s="12" t="str">
        <f ca="1">IFERROR(MATCH($G$115,OFFSET(#REF!,AN587,0,1000000),0)+AN587,"")</f>
        <v/>
      </c>
      <c r="AO588" s="17" t="str">
        <f ca="1">IFERROR(_xlfn.SINGLE(INDEX(#REF!,'Weekly Report'!AN588)),"")</f>
        <v/>
      </c>
      <c r="AP588" s="12" t="str">
        <f ca="1">IFERROR(_xlfn.SINGLE(INDEX(#REF!,'Weekly Report'!AN588)),"")</f>
        <v/>
      </c>
    </row>
    <row r="589" spans="36:42">
      <c r="AJ589" s="12" t="str">
        <f ca="1">IFERROR(MATCH($B$114,OFFSET(#REF!,AJ588,0,1000000),0)+AJ588,"")</f>
        <v/>
      </c>
      <c r="AK589" s="17" t="str">
        <f ca="1">IFERROR(_xlfn.SINGLE(INDEX(#REF!,'Weekly Report'!AJ589)),"")</f>
        <v/>
      </c>
      <c r="AL589" s="12" t="str">
        <f ca="1">IFERROR(_xlfn.SINGLE(INDEX(#REF!,'Weekly Report'!AJ589)),"")</f>
        <v/>
      </c>
      <c r="AN589" s="12" t="str">
        <f ca="1">IFERROR(MATCH($G$115,OFFSET(#REF!,AN588,0,1000000),0)+AN588,"")</f>
        <v/>
      </c>
      <c r="AO589" s="17" t="str">
        <f ca="1">IFERROR(_xlfn.SINGLE(INDEX(#REF!,'Weekly Report'!AN589)),"")</f>
        <v/>
      </c>
      <c r="AP589" s="12" t="str">
        <f ca="1">IFERROR(_xlfn.SINGLE(INDEX(#REF!,'Weekly Report'!AN589)),"")</f>
        <v/>
      </c>
    </row>
    <row r="590" spans="36:42">
      <c r="AJ590" s="12" t="str">
        <f ca="1">IFERROR(MATCH($B$114,OFFSET(#REF!,AJ589,0,1000000),0)+AJ589,"")</f>
        <v/>
      </c>
      <c r="AK590" s="17" t="str">
        <f ca="1">IFERROR(_xlfn.SINGLE(INDEX(#REF!,'Weekly Report'!AJ590)),"")</f>
        <v/>
      </c>
      <c r="AL590" s="12" t="str">
        <f ca="1">IFERROR(_xlfn.SINGLE(INDEX(#REF!,'Weekly Report'!AJ590)),"")</f>
        <v/>
      </c>
      <c r="AN590" s="12" t="str">
        <f ca="1">IFERROR(MATCH($G$115,OFFSET(#REF!,AN589,0,1000000),0)+AN589,"")</f>
        <v/>
      </c>
      <c r="AO590" s="17" t="str">
        <f ca="1">IFERROR(_xlfn.SINGLE(INDEX(#REF!,'Weekly Report'!AN590)),"")</f>
        <v/>
      </c>
      <c r="AP590" s="12" t="str">
        <f ca="1">IFERROR(_xlfn.SINGLE(INDEX(#REF!,'Weekly Report'!AN590)),"")</f>
        <v/>
      </c>
    </row>
    <row r="591" spans="36:42">
      <c r="AJ591" s="12" t="str">
        <f ca="1">IFERROR(MATCH($B$114,OFFSET(#REF!,AJ590,0,1000000),0)+AJ590,"")</f>
        <v/>
      </c>
      <c r="AK591" s="17" t="str">
        <f ca="1">IFERROR(_xlfn.SINGLE(INDEX(#REF!,'Weekly Report'!AJ591)),"")</f>
        <v/>
      </c>
      <c r="AL591" s="12" t="str">
        <f ca="1">IFERROR(_xlfn.SINGLE(INDEX(#REF!,'Weekly Report'!AJ591)),"")</f>
        <v/>
      </c>
      <c r="AN591" s="12" t="str">
        <f ca="1">IFERROR(MATCH($G$115,OFFSET(#REF!,AN590,0,1000000),0)+AN590,"")</f>
        <v/>
      </c>
      <c r="AO591" s="17" t="str">
        <f ca="1">IFERROR(_xlfn.SINGLE(INDEX(#REF!,'Weekly Report'!AN591)),"")</f>
        <v/>
      </c>
      <c r="AP591" s="12" t="str">
        <f ca="1">IFERROR(_xlfn.SINGLE(INDEX(#REF!,'Weekly Report'!AN591)),"")</f>
        <v/>
      </c>
    </row>
    <row r="592" spans="36:42">
      <c r="AJ592" s="12" t="str">
        <f ca="1">IFERROR(MATCH($B$114,OFFSET(#REF!,AJ591,0,1000000),0)+AJ591,"")</f>
        <v/>
      </c>
      <c r="AK592" s="17" t="str">
        <f ca="1">IFERROR(_xlfn.SINGLE(INDEX(#REF!,'Weekly Report'!AJ592)),"")</f>
        <v/>
      </c>
      <c r="AL592" s="12" t="str">
        <f ca="1">IFERROR(_xlfn.SINGLE(INDEX(#REF!,'Weekly Report'!AJ592)),"")</f>
        <v/>
      </c>
      <c r="AN592" s="12" t="str">
        <f ca="1">IFERROR(MATCH($G$115,OFFSET(#REF!,AN591,0,1000000),0)+AN591,"")</f>
        <v/>
      </c>
      <c r="AO592" s="17" t="str">
        <f ca="1">IFERROR(_xlfn.SINGLE(INDEX(#REF!,'Weekly Report'!AN592)),"")</f>
        <v/>
      </c>
      <c r="AP592" s="12" t="str">
        <f ca="1">IFERROR(_xlfn.SINGLE(INDEX(#REF!,'Weekly Report'!AN592)),"")</f>
        <v/>
      </c>
    </row>
    <row r="593" spans="36:42">
      <c r="AJ593" s="12" t="str">
        <f ca="1">IFERROR(MATCH($B$114,OFFSET(#REF!,AJ592,0,1000000),0)+AJ592,"")</f>
        <v/>
      </c>
      <c r="AK593" s="17" t="str">
        <f ca="1">IFERROR(_xlfn.SINGLE(INDEX(#REF!,'Weekly Report'!AJ593)),"")</f>
        <v/>
      </c>
      <c r="AL593" s="12" t="str">
        <f ca="1">IFERROR(_xlfn.SINGLE(INDEX(#REF!,'Weekly Report'!AJ593)),"")</f>
        <v/>
      </c>
      <c r="AN593" s="12" t="str">
        <f ca="1">IFERROR(MATCH($G$115,OFFSET(#REF!,AN592,0,1000000),0)+AN592,"")</f>
        <v/>
      </c>
      <c r="AO593" s="17" t="str">
        <f ca="1">IFERROR(_xlfn.SINGLE(INDEX(#REF!,'Weekly Report'!AN593)),"")</f>
        <v/>
      </c>
      <c r="AP593" s="12" t="str">
        <f ca="1">IFERROR(_xlfn.SINGLE(INDEX(#REF!,'Weekly Report'!AN593)),"")</f>
        <v/>
      </c>
    </row>
    <row r="594" spans="36:42">
      <c r="AJ594" s="12" t="str">
        <f ca="1">IFERROR(MATCH($B$114,OFFSET(#REF!,AJ593,0,1000000),0)+AJ593,"")</f>
        <v/>
      </c>
      <c r="AK594" s="17" t="str">
        <f ca="1">IFERROR(_xlfn.SINGLE(INDEX(#REF!,'Weekly Report'!AJ594)),"")</f>
        <v/>
      </c>
      <c r="AL594" s="12" t="str">
        <f ca="1">IFERROR(_xlfn.SINGLE(INDEX(#REF!,'Weekly Report'!AJ594)),"")</f>
        <v/>
      </c>
      <c r="AN594" s="12" t="str">
        <f ca="1">IFERROR(MATCH($G$115,OFFSET(#REF!,AN593,0,1000000),0)+AN593,"")</f>
        <v/>
      </c>
      <c r="AO594" s="17" t="str">
        <f ca="1">IFERROR(_xlfn.SINGLE(INDEX(#REF!,'Weekly Report'!AN594)),"")</f>
        <v/>
      </c>
      <c r="AP594" s="12" t="str">
        <f ca="1">IFERROR(_xlfn.SINGLE(INDEX(#REF!,'Weekly Report'!AN594)),"")</f>
        <v/>
      </c>
    </row>
    <row r="595" spans="36:42">
      <c r="AJ595" s="12" t="str">
        <f ca="1">IFERROR(MATCH($B$114,OFFSET(#REF!,AJ594,0,1000000),0)+AJ594,"")</f>
        <v/>
      </c>
      <c r="AK595" s="17" t="str">
        <f ca="1">IFERROR(_xlfn.SINGLE(INDEX(#REF!,'Weekly Report'!AJ595)),"")</f>
        <v/>
      </c>
      <c r="AL595" s="12" t="str">
        <f ca="1">IFERROR(_xlfn.SINGLE(INDEX(#REF!,'Weekly Report'!AJ595)),"")</f>
        <v/>
      </c>
      <c r="AN595" s="12" t="str">
        <f ca="1">IFERROR(MATCH($G$115,OFFSET(#REF!,AN594,0,1000000),0)+AN594,"")</f>
        <v/>
      </c>
      <c r="AO595" s="17" t="str">
        <f ca="1">IFERROR(_xlfn.SINGLE(INDEX(#REF!,'Weekly Report'!AN595)),"")</f>
        <v/>
      </c>
      <c r="AP595" s="12" t="str">
        <f ca="1">IFERROR(_xlfn.SINGLE(INDEX(#REF!,'Weekly Report'!AN595)),"")</f>
        <v/>
      </c>
    </row>
    <row r="596" spans="36:42">
      <c r="AJ596" s="12" t="str">
        <f ca="1">IFERROR(MATCH($B$114,OFFSET(#REF!,AJ595,0,1000000),0)+AJ595,"")</f>
        <v/>
      </c>
      <c r="AK596" s="17" t="str">
        <f ca="1">IFERROR(_xlfn.SINGLE(INDEX(#REF!,'Weekly Report'!AJ596)),"")</f>
        <v/>
      </c>
      <c r="AL596" s="12" t="str">
        <f ca="1">IFERROR(_xlfn.SINGLE(INDEX(#REF!,'Weekly Report'!AJ596)),"")</f>
        <v/>
      </c>
      <c r="AN596" s="12" t="str">
        <f ca="1">IFERROR(MATCH($G$115,OFFSET(#REF!,AN595,0,1000000),0)+AN595,"")</f>
        <v/>
      </c>
      <c r="AO596" s="17" t="str">
        <f ca="1">IFERROR(_xlfn.SINGLE(INDEX(#REF!,'Weekly Report'!AN596)),"")</f>
        <v/>
      </c>
      <c r="AP596" s="12" t="str">
        <f ca="1">IFERROR(_xlfn.SINGLE(INDEX(#REF!,'Weekly Report'!AN596)),"")</f>
        <v/>
      </c>
    </row>
    <row r="597" spans="36:42">
      <c r="AJ597" s="12" t="str">
        <f ca="1">IFERROR(MATCH($B$114,OFFSET(#REF!,AJ596,0,1000000),0)+AJ596,"")</f>
        <v/>
      </c>
      <c r="AK597" s="17" t="str">
        <f ca="1">IFERROR(_xlfn.SINGLE(INDEX(#REF!,'Weekly Report'!AJ597)),"")</f>
        <v/>
      </c>
      <c r="AL597" s="12" t="str">
        <f ca="1">IFERROR(_xlfn.SINGLE(INDEX(#REF!,'Weekly Report'!AJ597)),"")</f>
        <v/>
      </c>
      <c r="AN597" s="12" t="str">
        <f ca="1">IFERROR(MATCH($G$115,OFFSET(#REF!,AN596,0,1000000),0)+AN596,"")</f>
        <v/>
      </c>
      <c r="AO597" s="17" t="str">
        <f ca="1">IFERROR(_xlfn.SINGLE(INDEX(#REF!,'Weekly Report'!AN597)),"")</f>
        <v/>
      </c>
      <c r="AP597" s="12" t="str">
        <f ca="1">IFERROR(_xlfn.SINGLE(INDEX(#REF!,'Weekly Report'!AN597)),"")</f>
        <v/>
      </c>
    </row>
    <row r="598" spans="36:42">
      <c r="AJ598" s="12" t="str">
        <f ca="1">IFERROR(MATCH($B$114,OFFSET(#REF!,AJ597,0,1000000),0)+AJ597,"")</f>
        <v/>
      </c>
      <c r="AK598" s="17" t="str">
        <f ca="1">IFERROR(_xlfn.SINGLE(INDEX(#REF!,'Weekly Report'!AJ598)),"")</f>
        <v/>
      </c>
      <c r="AL598" s="12" t="str">
        <f ca="1">IFERROR(_xlfn.SINGLE(INDEX(#REF!,'Weekly Report'!AJ598)),"")</f>
        <v/>
      </c>
      <c r="AN598" s="12" t="str">
        <f ca="1">IFERROR(MATCH($G$115,OFFSET(#REF!,AN597,0,1000000),0)+AN597,"")</f>
        <v/>
      </c>
      <c r="AO598" s="17" t="str">
        <f ca="1">IFERROR(_xlfn.SINGLE(INDEX(#REF!,'Weekly Report'!AN598)),"")</f>
        <v/>
      </c>
      <c r="AP598" s="12" t="str">
        <f ca="1">IFERROR(_xlfn.SINGLE(INDEX(#REF!,'Weekly Report'!AN598)),"")</f>
        <v/>
      </c>
    </row>
    <row r="599" spans="36:42">
      <c r="AJ599" s="12" t="str">
        <f ca="1">IFERROR(MATCH($B$114,OFFSET(#REF!,AJ598,0,1000000),0)+AJ598,"")</f>
        <v/>
      </c>
      <c r="AK599" s="17" t="str">
        <f ca="1">IFERROR(_xlfn.SINGLE(INDEX(#REF!,'Weekly Report'!AJ599)),"")</f>
        <v/>
      </c>
      <c r="AL599" s="12" t="str">
        <f ca="1">IFERROR(_xlfn.SINGLE(INDEX(#REF!,'Weekly Report'!AJ599)),"")</f>
        <v/>
      </c>
      <c r="AN599" s="12" t="str">
        <f ca="1">IFERROR(MATCH($G$115,OFFSET(#REF!,AN598,0,1000000),0)+AN598,"")</f>
        <v/>
      </c>
      <c r="AO599" s="17" t="str">
        <f ca="1">IFERROR(_xlfn.SINGLE(INDEX(#REF!,'Weekly Report'!AN599)),"")</f>
        <v/>
      </c>
      <c r="AP599" s="12" t="str">
        <f ca="1">IFERROR(_xlfn.SINGLE(INDEX(#REF!,'Weekly Report'!AN599)),"")</f>
        <v/>
      </c>
    </row>
    <row r="600" spans="36:42">
      <c r="AJ600" s="12" t="str">
        <f ca="1">IFERROR(MATCH($B$114,OFFSET(#REF!,AJ599,0,1000000),0)+AJ599,"")</f>
        <v/>
      </c>
      <c r="AK600" s="17" t="str">
        <f ca="1">IFERROR(_xlfn.SINGLE(INDEX(#REF!,'Weekly Report'!AJ600)),"")</f>
        <v/>
      </c>
      <c r="AL600" s="12" t="str">
        <f ca="1">IFERROR(_xlfn.SINGLE(INDEX(#REF!,'Weekly Report'!AJ600)),"")</f>
        <v/>
      </c>
      <c r="AN600" s="12" t="str">
        <f ca="1">IFERROR(MATCH($G$115,OFFSET(#REF!,AN599,0,1000000),0)+AN599,"")</f>
        <v/>
      </c>
      <c r="AO600" s="17" t="str">
        <f ca="1">IFERROR(_xlfn.SINGLE(INDEX(#REF!,'Weekly Report'!AN600)),"")</f>
        <v/>
      </c>
      <c r="AP600" s="12" t="str">
        <f ca="1">IFERROR(_xlfn.SINGLE(INDEX(#REF!,'Weekly Report'!AN600)),"")</f>
        <v/>
      </c>
    </row>
    <row r="601" spans="36:42">
      <c r="AJ601" s="12" t="str">
        <f ca="1">IFERROR(MATCH($B$114,OFFSET(#REF!,AJ600,0,1000000),0)+AJ600,"")</f>
        <v/>
      </c>
      <c r="AK601" s="17" t="str">
        <f ca="1">IFERROR(_xlfn.SINGLE(INDEX(#REF!,'Weekly Report'!AJ601)),"")</f>
        <v/>
      </c>
      <c r="AL601" s="12" t="str">
        <f ca="1">IFERROR(_xlfn.SINGLE(INDEX(#REF!,'Weekly Report'!AJ601)),"")</f>
        <v/>
      </c>
      <c r="AN601" s="12" t="str">
        <f ca="1">IFERROR(MATCH($G$115,OFFSET(#REF!,AN600,0,1000000),0)+AN600,"")</f>
        <v/>
      </c>
      <c r="AO601" s="17" t="str">
        <f ca="1">IFERROR(_xlfn.SINGLE(INDEX(#REF!,'Weekly Report'!AN601)),"")</f>
        <v/>
      </c>
      <c r="AP601" s="12" t="str">
        <f ca="1">IFERROR(_xlfn.SINGLE(INDEX(#REF!,'Weekly Report'!AN601)),"")</f>
        <v/>
      </c>
    </row>
    <row r="602" spans="36:42">
      <c r="AJ602" s="12" t="str">
        <f ca="1">IFERROR(MATCH($B$114,OFFSET(#REF!,AJ601,0,1000000),0)+AJ601,"")</f>
        <v/>
      </c>
      <c r="AK602" s="17" t="str">
        <f ca="1">IFERROR(_xlfn.SINGLE(INDEX(#REF!,'Weekly Report'!AJ602)),"")</f>
        <v/>
      </c>
      <c r="AL602" s="12" t="str">
        <f ca="1">IFERROR(_xlfn.SINGLE(INDEX(#REF!,'Weekly Report'!AJ602)),"")</f>
        <v/>
      </c>
      <c r="AN602" s="12" t="str">
        <f ca="1">IFERROR(MATCH($G$115,OFFSET(#REF!,AN601,0,1000000),0)+AN601,"")</f>
        <v/>
      </c>
      <c r="AO602" s="17" t="str">
        <f ca="1">IFERROR(_xlfn.SINGLE(INDEX(#REF!,'Weekly Report'!AN602)),"")</f>
        <v/>
      </c>
      <c r="AP602" s="12" t="str">
        <f ca="1">IFERROR(_xlfn.SINGLE(INDEX(#REF!,'Weekly Report'!AN602)),"")</f>
        <v/>
      </c>
    </row>
    <row r="603" spans="36:42">
      <c r="AJ603" s="12" t="str">
        <f ca="1">IFERROR(MATCH($B$114,OFFSET(#REF!,AJ602,0,1000000),0)+AJ602,"")</f>
        <v/>
      </c>
      <c r="AK603" s="17" t="str">
        <f ca="1">IFERROR(_xlfn.SINGLE(INDEX(#REF!,'Weekly Report'!AJ603)),"")</f>
        <v/>
      </c>
      <c r="AL603" s="12" t="str">
        <f ca="1">IFERROR(_xlfn.SINGLE(INDEX(#REF!,'Weekly Report'!AJ603)),"")</f>
        <v/>
      </c>
      <c r="AN603" s="12" t="str">
        <f ca="1">IFERROR(MATCH($G$115,OFFSET(#REF!,AN602,0,1000000),0)+AN602,"")</f>
        <v/>
      </c>
      <c r="AO603" s="17" t="str">
        <f ca="1">IFERROR(_xlfn.SINGLE(INDEX(#REF!,'Weekly Report'!AN603)),"")</f>
        <v/>
      </c>
      <c r="AP603" s="12" t="str">
        <f ca="1">IFERROR(_xlfn.SINGLE(INDEX(#REF!,'Weekly Report'!AN603)),"")</f>
        <v/>
      </c>
    </row>
    <row r="604" spans="36:42">
      <c r="AJ604" s="12" t="str">
        <f ca="1">IFERROR(MATCH($B$114,OFFSET(#REF!,AJ603,0,1000000),0)+AJ603,"")</f>
        <v/>
      </c>
      <c r="AK604" s="17" t="str">
        <f ca="1">IFERROR(_xlfn.SINGLE(INDEX(#REF!,'Weekly Report'!AJ604)),"")</f>
        <v/>
      </c>
      <c r="AL604" s="12" t="str">
        <f ca="1">IFERROR(_xlfn.SINGLE(INDEX(#REF!,'Weekly Report'!AJ604)),"")</f>
        <v/>
      </c>
      <c r="AN604" s="12" t="str">
        <f ca="1">IFERROR(MATCH($G$115,OFFSET(#REF!,AN603,0,1000000),0)+AN603,"")</f>
        <v/>
      </c>
      <c r="AO604" s="17" t="str">
        <f ca="1">IFERROR(_xlfn.SINGLE(INDEX(#REF!,'Weekly Report'!AN604)),"")</f>
        <v/>
      </c>
      <c r="AP604" s="12" t="str">
        <f ca="1">IFERROR(_xlfn.SINGLE(INDEX(#REF!,'Weekly Report'!AN604)),"")</f>
        <v/>
      </c>
    </row>
    <row r="605" spans="36:42">
      <c r="AJ605" s="12" t="str">
        <f ca="1">IFERROR(MATCH($B$114,OFFSET(#REF!,AJ604,0,1000000),0)+AJ604,"")</f>
        <v/>
      </c>
      <c r="AK605" s="17" t="str">
        <f ca="1">IFERROR(_xlfn.SINGLE(INDEX(#REF!,'Weekly Report'!AJ605)),"")</f>
        <v/>
      </c>
      <c r="AL605" s="12" t="str">
        <f ca="1">IFERROR(_xlfn.SINGLE(INDEX(#REF!,'Weekly Report'!AJ605)),"")</f>
        <v/>
      </c>
      <c r="AN605" s="12" t="str">
        <f ca="1">IFERROR(MATCH($G$115,OFFSET(#REF!,AN604,0,1000000),0)+AN604,"")</f>
        <v/>
      </c>
      <c r="AO605" s="17" t="str">
        <f ca="1">IFERROR(_xlfn.SINGLE(INDEX(#REF!,'Weekly Report'!AN605)),"")</f>
        <v/>
      </c>
      <c r="AP605" s="12" t="str">
        <f ca="1">IFERROR(_xlfn.SINGLE(INDEX(#REF!,'Weekly Report'!AN605)),"")</f>
        <v/>
      </c>
    </row>
    <row r="606" spans="36:42">
      <c r="AJ606" s="12" t="str">
        <f ca="1">IFERROR(MATCH($B$114,OFFSET(#REF!,AJ605,0,1000000),0)+AJ605,"")</f>
        <v/>
      </c>
      <c r="AK606" s="17" t="str">
        <f ca="1">IFERROR(_xlfn.SINGLE(INDEX(#REF!,'Weekly Report'!AJ606)),"")</f>
        <v/>
      </c>
      <c r="AL606" s="12" t="str">
        <f ca="1">IFERROR(_xlfn.SINGLE(INDEX(#REF!,'Weekly Report'!AJ606)),"")</f>
        <v/>
      </c>
      <c r="AN606" s="12" t="str">
        <f ca="1">IFERROR(MATCH($G$115,OFFSET(#REF!,AN605,0,1000000),0)+AN605,"")</f>
        <v/>
      </c>
      <c r="AO606" s="17" t="str">
        <f ca="1">IFERROR(_xlfn.SINGLE(INDEX(#REF!,'Weekly Report'!AN606)),"")</f>
        <v/>
      </c>
      <c r="AP606" s="12" t="str">
        <f ca="1">IFERROR(_xlfn.SINGLE(INDEX(#REF!,'Weekly Report'!AN606)),"")</f>
        <v/>
      </c>
    </row>
    <row r="607" spans="36:42">
      <c r="AJ607" s="12" t="str">
        <f ca="1">IFERROR(MATCH($B$114,OFFSET(#REF!,AJ606,0,1000000),0)+AJ606,"")</f>
        <v/>
      </c>
      <c r="AK607" s="17" t="str">
        <f ca="1">IFERROR(_xlfn.SINGLE(INDEX(#REF!,'Weekly Report'!AJ607)),"")</f>
        <v/>
      </c>
      <c r="AL607" s="12" t="str">
        <f ca="1">IFERROR(_xlfn.SINGLE(INDEX(#REF!,'Weekly Report'!AJ607)),"")</f>
        <v/>
      </c>
      <c r="AN607" s="12" t="str">
        <f ca="1">IFERROR(MATCH($G$115,OFFSET(#REF!,AN606,0,1000000),0)+AN606,"")</f>
        <v/>
      </c>
      <c r="AO607" s="17" t="str">
        <f ca="1">IFERROR(_xlfn.SINGLE(INDEX(#REF!,'Weekly Report'!AN607)),"")</f>
        <v/>
      </c>
      <c r="AP607" s="12" t="str">
        <f ca="1">IFERROR(_xlfn.SINGLE(INDEX(#REF!,'Weekly Report'!AN607)),"")</f>
        <v/>
      </c>
    </row>
    <row r="608" spans="36:42">
      <c r="AJ608" s="12" t="str">
        <f ca="1">IFERROR(MATCH($B$114,OFFSET(#REF!,AJ607,0,1000000),0)+AJ607,"")</f>
        <v/>
      </c>
      <c r="AK608" s="17" t="str">
        <f ca="1">IFERROR(_xlfn.SINGLE(INDEX(#REF!,'Weekly Report'!AJ608)),"")</f>
        <v/>
      </c>
      <c r="AL608" s="12" t="str">
        <f ca="1">IFERROR(_xlfn.SINGLE(INDEX(#REF!,'Weekly Report'!AJ608)),"")</f>
        <v/>
      </c>
      <c r="AN608" s="12" t="str">
        <f ca="1">IFERROR(MATCH($G$115,OFFSET(#REF!,AN607,0,1000000),0)+AN607,"")</f>
        <v/>
      </c>
      <c r="AO608" s="17" t="str">
        <f ca="1">IFERROR(_xlfn.SINGLE(INDEX(#REF!,'Weekly Report'!AN608)),"")</f>
        <v/>
      </c>
      <c r="AP608" s="12" t="str">
        <f ca="1">IFERROR(_xlfn.SINGLE(INDEX(#REF!,'Weekly Report'!AN608)),"")</f>
        <v/>
      </c>
    </row>
    <row r="609" spans="36:42">
      <c r="AJ609" s="12" t="str">
        <f ca="1">IFERROR(MATCH($B$114,OFFSET(#REF!,AJ608,0,1000000),0)+AJ608,"")</f>
        <v/>
      </c>
      <c r="AK609" s="17" t="str">
        <f ca="1">IFERROR(_xlfn.SINGLE(INDEX(#REF!,'Weekly Report'!AJ609)),"")</f>
        <v/>
      </c>
      <c r="AL609" s="12" t="str">
        <f ca="1">IFERROR(_xlfn.SINGLE(INDEX(#REF!,'Weekly Report'!AJ609)),"")</f>
        <v/>
      </c>
      <c r="AN609" s="12" t="str">
        <f ca="1">IFERROR(MATCH($G$115,OFFSET(#REF!,AN608,0,1000000),0)+AN608,"")</f>
        <v/>
      </c>
      <c r="AO609" s="17" t="str">
        <f ca="1">IFERROR(_xlfn.SINGLE(INDEX(#REF!,'Weekly Report'!AN609)),"")</f>
        <v/>
      </c>
      <c r="AP609" s="12" t="str">
        <f ca="1">IFERROR(_xlfn.SINGLE(INDEX(#REF!,'Weekly Report'!AN609)),"")</f>
        <v/>
      </c>
    </row>
    <row r="610" spans="36:42">
      <c r="AJ610" s="12" t="str">
        <f ca="1">IFERROR(MATCH($B$114,OFFSET(#REF!,AJ609,0,1000000),0)+AJ609,"")</f>
        <v/>
      </c>
      <c r="AK610" s="17" t="str">
        <f ca="1">IFERROR(_xlfn.SINGLE(INDEX(#REF!,'Weekly Report'!AJ610)),"")</f>
        <v/>
      </c>
      <c r="AL610" s="12" t="str">
        <f ca="1">IFERROR(_xlfn.SINGLE(INDEX(#REF!,'Weekly Report'!AJ610)),"")</f>
        <v/>
      </c>
      <c r="AN610" s="12" t="str">
        <f ca="1">IFERROR(MATCH($G$115,OFFSET(#REF!,AN609,0,1000000),0)+AN609,"")</f>
        <v/>
      </c>
      <c r="AO610" s="17" t="str">
        <f ca="1">IFERROR(_xlfn.SINGLE(INDEX(#REF!,'Weekly Report'!AN610)),"")</f>
        <v/>
      </c>
      <c r="AP610" s="12" t="str">
        <f ca="1">IFERROR(_xlfn.SINGLE(INDEX(#REF!,'Weekly Report'!AN610)),"")</f>
        <v/>
      </c>
    </row>
    <row r="611" spans="36:42">
      <c r="AJ611" s="12" t="str">
        <f ca="1">IFERROR(MATCH($B$114,OFFSET(#REF!,AJ610,0,1000000),0)+AJ610,"")</f>
        <v/>
      </c>
      <c r="AK611" s="17" t="str">
        <f ca="1">IFERROR(_xlfn.SINGLE(INDEX(#REF!,'Weekly Report'!AJ611)),"")</f>
        <v/>
      </c>
      <c r="AL611" s="12" t="str">
        <f ca="1">IFERROR(_xlfn.SINGLE(INDEX(#REF!,'Weekly Report'!AJ611)),"")</f>
        <v/>
      </c>
      <c r="AN611" s="12" t="str">
        <f ca="1">IFERROR(MATCH($G$115,OFFSET(#REF!,AN610,0,1000000),0)+AN610,"")</f>
        <v/>
      </c>
      <c r="AO611" s="17" t="str">
        <f ca="1">IFERROR(_xlfn.SINGLE(INDEX(#REF!,'Weekly Report'!AN611)),"")</f>
        <v/>
      </c>
      <c r="AP611" s="12" t="str">
        <f ca="1">IFERROR(_xlfn.SINGLE(INDEX(#REF!,'Weekly Report'!AN611)),"")</f>
        <v/>
      </c>
    </row>
    <row r="612" spans="36:42">
      <c r="AJ612" s="12" t="str">
        <f ca="1">IFERROR(MATCH($B$114,OFFSET(#REF!,AJ611,0,1000000),0)+AJ611,"")</f>
        <v/>
      </c>
      <c r="AK612" s="17" t="str">
        <f ca="1">IFERROR(_xlfn.SINGLE(INDEX(#REF!,'Weekly Report'!AJ612)),"")</f>
        <v/>
      </c>
      <c r="AL612" s="12" t="str">
        <f ca="1">IFERROR(_xlfn.SINGLE(INDEX(#REF!,'Weekly Report'!AJ612)),"")</f>
        <v/>
      </c>
      <c r="AN612" s="12" t="str">
        <f ca="1">IFERROR(MATCH($G$115,OFFSET(#REF!,AN611,0,1000000),0)+AN611,"")</f>
        <v/>
      </c>
      <c r="AO612" s="17" t="str">
        <f ca="1">IFERROR(_xlfn.SINGLE(INDEX(#REF!,'Weekly Report'!AN612)),"")</f>
        <v/>
      </c>
      <c r="AP612" s="12" t="str">
        <f ca="1">IFERROR(_xlfn.SINGLE(INDEX(#REF!,'Weekly Report'!AN612)),"")</f>
        <v/>
      </c>
    </row>
    <row r="613" spans="36:42">
      <c r="AJ613" s="12" t="str">
        <f ca="1">IFERROR(MATCH($B$114,OFFSET(#REF!,AJ612,0,1000000),0)+AJ612,"")</f>
        <v/>
      </c>
      <c r="AK613" s="17" t="str">
        <f ca="1">IFERROR(_xlfn.SINGLE(INDEX(#REF!,'Weekly Report'!AJ613)),"")</f>
        <v/>
      </c>
      <c r="AL613" s="12" t="str">
        <f ca="1">IFERROR(_xlfn.SINGLE(INDEX(#REF!,'Weekly Report'!AJ613)),"")</f>
        <v/>
      </c>
      <c r="AN613" s="12" t="str">
        <f ca="1">IFERROR(MATCH($G$115,OFFSET(#REF!,AN612,0,1000000),0)+AN612,"")</f>
        <v/>
      </c>
      <c r="AO613" s="17" t="str">
        <f ca="1">IFERROR(_xlfn.SINGLE(INDEX(#REF!,'Weekly Report'!AN613)),"")</f>
        <v/>
      </c>
      <c r="AP613" s="12" t="str">
        <f ca="1">IFERROR(_xlfn.SINGLE(INDEX(#REF!,'Weekly Report'!AN613)),"")</f>
        <v/>
      </c>
    </row>
    <row r="614" spans="36:42">
      <c r="AJ614" s="12" t="str">
        <f ca="1">IFERROR(MATCH($B$114,OFFSET(#REF!,AJ613,0,1000000),0)+AJ613,"")</f>
        <v/>
      </c>
      <c r="AK614" s="17" t="str">
        <f ca="1">IFERROR(_xlfn.SINGLE(INDEX(#REF!,'Weekly Report'!AJ614)),"")</f>
        <v/>
      </c>
      <c r="AL614" s="12" t="str">
        <f ca="1">IFERROR(_xlfn.SINGLE(INDEX(#REF!,'Weekly Report'!AJ614)),"")</f>
        <v/>
      </c>
      <c r="AN614" s="12" t="str">
        <f ca="1">IFERROR(MATCH($G$115,OFFSET(#REF!,AN613,0,1000000),0)+AN613,"")</f>
        <v/>
      </c>
      <c r="AO614" s="17" t="str">
        <f ca="1">IFERROR(_xlfn.SINGLE(INDEX(#REF!,'Weekly Report'!AN614)),"")</f>
        <v/>
      </c>
      <c r="AP614" s="12" t="str">
        <f ca="1">IFERROR(_xlfn.SINGLE(INDEX(#REF!,'Weekly Report'!AN614)),"")</f>
        <v/>
      </c>
    </row>
    <row r="615" spans="36:42">
      <c r="AJ615" s="12" t="str">
        <f ca="1">IFERROR(MATCH($B$114,OFFSET(#REF!,AJ614,0,1000000),0)+AJ614,"")</f>
        <v/>
      </c>
      <c r="AK615" s="17" t="str">
        <f ca="1">IFERROR(_xlfn.SINGLE(INDEX(#REF!,'Weekly Report'!AJ615)),"")</f>
        <v/>
      </c>
      <c r="AL615" s="12" t="str">
        <f ca="1">IFERROR(_xlfn.SINGLE(INDEX(#REF!,'Weekly Report'!AJ615)),"")</f>
        <v/>
      </c>
      <c r="AN615" s="12" t="str">
        <f ca="1">IFERROR(MATCH($G$115,OFFSET(#REF!,AN614,0,1000000),0)+AN614,"")</f>
        <v/>
      </c>
      <c r="AO615" s="17" t="str">
        <f ca="1">IFERROR(_xlfn.SINGLE(INDEX(#REF!,'Weekly Report'!AN615)),"")</f>
        <v/>
      </c>
      <c r="AP615" s="12" t="str">
        <f ca="1">IFERROR(_xlfn.SINGLE(INDEX(#REF!,'Weekly Report'!AN615)),"")</f>
        <v/>
      </c>
    </row>
    <row r="616" spans="36:42">
      <c r="AJ616" s="12" t="str">
        <f ca="1">IFERROR(MATCH($B$114,OFFSET(#REF!,AJ615,0,1000000),0)+AJ615,"")</f>
        <v/>
      </c>
      <c r="AK616" s="17" t="str">
        <f ca="1">IFERROR(_xlfn.SINGLE(INDEX(#REF!,'Weekly Report'!AJ616)),"")</f>
        <v/>
      </c>
      <c r="AL616" s="12" t="str">
        <f ca="1">IFERROR(_xlfn.SINGLE(INDEX(#REF!,'Weekly Report'!AJ616)),"")</f>
        <v/>
      </c>
      <c r="AN616" s="12" t="str">
        <f ca="1">IFERROR(MATCH($G$115,OFFSET(#REF!,AN615,0,1000000),0)+AN615,"")</f>
        <v/>
      </c>
      <c r="AO616" s="17" t="str">
        <f ca="1">IFERROR(_xlfn.SINGLE(INDEX(#REF!,'Weekly Report'!AN616)),"")</f>
        <v/>
      </c>
      <c r="AP616" s="12" t="str">
        <f ca="1">IFERROR(_xlfn.SINGLE(INDEX(#REF!,'Weekly Report'!AN616)),"")</f>
        <v/>
      </c>
    </row>
    <row r="617" spans="36:42">
      <c r="AJ617" s="12" t="str">
        <f ca="1">IFERROR(MATCH($B$114,OFFSET(#REF!,AJ616,0,1000000),0)+AJ616,"")</f>
        <v/>
      </c>
      <c r="AK617" s="17" t="str">
        <f ca="1">IFERROR(_xlfn.SINGLE(INDEX(#REF!,'Weekly Report'!AJ617)),"")</f>
        <v/>
      </c>
      <c r="AL617" s="12" t="str">
        <f ca="1">IFERROR(_xlfn.SINGLE(INDEX(#REF!,'Weekly Report'!AJ617)),"")</f>
        <v/>
      </c>
      <c r="AN617" s="12" t="str">
        <f ca="1">IFERROR(MATCH($G$115,OFFSET(#REF!,AN616,0,1000000),0)+AN616,"")</f>
        <v/>
      </c>
      <c r="AO617" s="17" t="str">
        <f ca="1">IFERROR(_xlfn.SINGLE(INDEX(#REF!,'Weekly Report'!AN617)),"")</f>
        <v/>
      </c>
      <c r="AP617" s="12" t="str">
        <f ca="1">IFERROR(_xlfn.SINGLE(INDEX(#REF!,'Weekly Report'!AN617)),"")</f>
        <v/>
      </c>
    </row>
    <row r="618" spans="36:42">
      <c r="AJ618" s="12" t="str">
        <f ca="1">IFERROR(MATCH($B$114,OFFSET(#REF!,AJ617,0,1000000),0)+AJ617,"")</f>
        <v/>
      </c>
      <c r="AK618" s="17" t="str">
        <f ca="1">IFERROR(_xlfn.SINGLE(INDEX(#REF!,'Weekly Report'!AJ618)),"")</f>
        <v/>
      </c>
      <c r="AL618" s="12" t="str">
        <f ca="1">IFERROR(_xlfn.SINGLE(INDEX(#REF!,'Weekly Report'!AJ618)),"")</f>
        <v/>
      </c>
      <c r="AN618" s="12" t="str">
        <f ca="1">IFERROR(MATCH($G$115,OFFSET(#REF!,AN617,0,1000000),0)+AN617,"")</f>
        <v/>
      </c>
      <c r="AO618" s="17" t="str">
        <f ca="1">IFERROR(_xlfn.SINGLE(INDEX(#REF!,'Weekly Report'!AN618)),"")</f>
        <v/>
      </c>
      <c r="AP618" s="12" t="str">
        <f ca="1">IFERROR(_xlfn.SINGLE(INDEX(#REF!,'Weekly Report'!AN618)),"")</f>
        <v/>
      </c>
    </row>
    <row r="619" spans="36:42">
      <c r="AJ619" s="12" t="str">
        <f ca="1">IFERROR(MATCH($B$114,OFFSET(#REF!,AJ618,0,1000000),0)+AJ618,"")</f>
        <v/>
      </c>
      <c r="AK619" s="17" t="str">
        <f ca="1">IFERROR(_xlfn.SINGLE(INDEX(#REF!,'Weekly Report'!AJ619)),"")</f>
        <v/>
      </c>
      <c r="AL619" s="12" t="str">
        <f ca="1">IFERROR(_xlfn.SINGLE(INDEX(#REF!,'Weekly Report'!AJ619)),"")</f>
        <v/>
      </c>
      <c r="AN619" s="12" t="str">
        <f ca="1">IFERROR(MATCH($G$115,OFFSET(#REF!,AN618,0,1000000),0)+AN618,"")</f>
        <v/>
      </c>
      <c r="AO619" s="17" t="str">
        <f ca="1">IFERROR(_xlfn.SINGLE(INDEX(#REF!,'Weekly Report'!AN619)),"")</f>
        <v/>
      </c>
      <c r="AP619" s="12" t="str">
        <f ca="1">IFERROR(_xlfn.SINGLE(INDEX(#REF!,'Weekly Report'!AN619)),"")</f>
        <v/>
      </c>
    </row>
    <row r="620" spans="36:42">
      <c r="AJ620" s="12" t="str">
        <f ca="1">IFERROR(MATCH($B$114,OFFSET(#REF!,AJ619,0,1000000),0)+AJ619,"")</f>
        <v/>
      </c>
      <c r="AK620" s="17" t="str">
        <f ca="1">IFERROR(_xlfn.SINGLE(INDEX(#REF!,'Weekly Report'!AJ620)),"")</f>
        <v/>
      </c>
      <c r="AL620" s="12" t="str">
        <f ca="1">IFERROR(_xlfn.SINGLE(INDEX(#REF!,'Weekly Report'!AJ620)),"")</f>
        <v/>
      </c>
      <c r="AN620" s="12" t="str">
        <f ca="1">IFERROR(MATCH($G$115,OFFSET(#REF!,AN619,0,1000000),0)+AN619,"")</f>
        <v/>
      </c>
      <c r="AO620" s="17" t="str">
        <f ca="1">IFERROR(_xlfn.SINGLE(INDEX(#REF!,'Weekly Report'!AN620)),"")</f>
        <v/>
      </c>
      <c r="AP620" s="12" t="str">
        <f ca="1">IFERROR(_xlfn.SINGLE(INDEX(#REF!,'Weekly Report'!AN620)),"")</f>
        <v/>
      </c>
    </row>
    <row r="621" spans="36:42">
      <c r="AJ621" s="12" t="str">
        <f ca="1">IFERROR(MATCH($B$114,OFFSET(#REF!,AJ620,0,1000000),0)+AJ620,"")</f>
        <v/>
      </c>
      <c r="AK621" s="17" t="str">
        <f ca="1">IFERROR(_xlfn.SINGLE(INDEX(#REF!,'Weekly Report'!AJ621)),"")</f>
        <v/>
      </c>
      <c r="AL621" s="12" t="str">
        <f ca="1">IFERROR(_xlfn.SINGLE(INDEX(#REF!,'Weekly Report'!AJ621)),"")</f>
        <v/>
      </c>
      <c r="AN621" s="12" t="str">
        <f ca="1">IFERROR(MATCH($G$115,OFFSET(#REF!,AN620,0,1000000),0)+AN620,"")</f>
        <v/>
      </c>
      <c r="AO621" s="17" t="str">
        <f ca="1">IFERROR(_xlfn.SINGLE(INDEX(#REF!,'Weekly Report'!AN621)),"")</f>
        <v/>
      </c>
      <c r="AP621" s="12" t="str">
        <f ca="1">IFERROR(_xlfn.SINGLE(INDEX(#REF!,'Weekly Report'!AN621)),"")</f>
        <v/>
      </c>
    </row>
    <row r="622" spans="36:42">
      <c r="AJ622" s="12" t="str">
        <f ca="1">IFERROR(MATCH($B$114,OFFSET(#REF!,AJ621,0,1000000),0)+AJ621,"")</f>
        <v/>
      </c>
      <c r="AK622" s="17" t="str">
        <f ca="1">IFERROR(_xlfn.SINGLE(INDEX(#REF!,'Weekly Report'!AJ622)),"")</f>
        <v/>
      </c>
      <c r="AL622" s="12" t="str">
        <f ca="1">IFERROR(_xlfn.SINGLE(INDEX(#REF!,'Weekly Report'!AJ622)),"")</f>
        <v/>
      </c>
      <c r="AN622" s="12" t="str">
        <f ca="1">IFERROR(MATCH($G$115,OFFSET(#REF!,AN621,0,1000000),0)+AN621,"")</f>
        <v/>
      </c>
      <c r="AO622" s="17" t="str">
        <f ca="1">IFERROR(_xlfn.SINGLE(INDEX(#REF!,'Weekly Report'!AN622)),"")</f>
        <v/>
      </c>
      <c r="AP622" s="12" t="str">
        <f ca="1">IFERROR(_xlfn.SINGLE(INDEX(#REF!,'Weekly Report'!AN622)),"")</f>
        <v/>
      </c>
    </row>
    <row r="623" spans="36:42">
      <c r="AJ623" s="12" t="str">
        <f ca="1">IFERROR(MATCH($B$114,OFFSET(#REF!,AJ622,0,1000000),0)+AJ622,"")</f>
        <v/>
      </c>
      <c r="AK623" s="17" t="str">
        <f ca="1">IFERROR(_xlfn.SINGLE(INDEX(#REF!,'Weekly Report'!AJ623)),"")</f>
        <v/>
      </c>
      <c r="AL623" s="12" t="str">
        <f ca="1">IFERROR(_xlfn.SINGLE(INDEX(#REF!,'Weekly Report'!AJ623)),"")</f>
        <v/>
      </c>
      <c r="AN623" s="12" t="str">
        <f ca="1">IFERROR(MATCH($G$115,OFFSET(#REF!,AN622,0,1000000),0)+AN622,"")</f>
        <v/>
      </c>
      <c r="AO623" s="17" t="str">
        <f ca="1">IFERROR(_xlfn.SINGLE(INDEX(#REF!,'Weekly Report'!AN623)),"")</f>
        <v/>
      </c>
      <c r="AP623" s="12" t="str">
        <f ca="1">IFERROR(_xlfn.SINGLE(INDEX(#REF!,'Weekly Report'!AN623)),"")</f>
        <v/>
      </c>
    </row>
    <row r="624" spans="36:42">
      <c r="AJ624" s="12" t="str">
        <f ca="1">IFERROR(MATCH($B$114,OFFSET(#REF!,AJ623,0,1000000),0)+AJ623,"")</f>
        <v/>
      </c>
      <c r="AK624" s="17" t="str">
        <f ca="1">IFERROR(_xlfn.SINGLE(INDEX(#REF!,'Weekly Report'!AJ624)),"")</f>
        <v/>
      </c>
      <c r="AL624" s="12" t="str">
        <f ca="1">IFERROR(_xlfn.SINGLE(INDEX(#REF!,'Weekly Report'!AJ624)),"")</f>
        <v/>
      </c>
      <c r="AN624" s="12" t="str">
        <f ca="1">IFERROR(MATCH($G$115,OFFSET(#REF!,AN623,0,1000000),0)+AN623,"")</f>
        <v/>
      </c>
      <c r="AO624" s="17" t="str">
        <f ca="1">IFERROR(_xlfn.SINGLE(INDEX(#REF!,'Weekly Report'!AN624)),"")</f>
        <v/>
      </c>
      <c r="AP624" s="12" t="str">
        <f ca="1">IFERROR(_xlfn.SINGLE(INDEX(#REF!,'Weekly Report'!AN624)),"")</f>
        <v/>
      </c>
    </row>
    <row r="625" spans="36:42">
      <c r="AJ625" s="12" t="str">
        <f ca="1">IFERROR(MATCH($B$114,OFFSET(#REF!,AJ624,0,1000000),0)+AJ624,"")</f>
        <v/>
      </c>
      <c r="AK625" s="17" t="str">
        <f ca="1">IFERROR(_xlfn.SINGLE(INDEX(#REF!,'Weekly Report'!AJ625)),"")</f>
        <v/>
      </c>
      <c r="AL625" s="12" t="str">
        <f ca="1">IFERROR(_xlfn.SINGLE(INDEX(#REF!,'Weekly Report'!AJ625)),"")</f>
        <v/>
      </c>
      <c r="AN625" s="12" t="str">
        <f ca="1">IFERROR(MATCH($G$115,OFFSET(#REF!,AN624,0,1000000),0)+AN624,"")</f>
        <v/>
      </c>
      <c r="AO625" s="17" t="str">
        <f ca="1">IFERROR(_xlfn.SINGLE(INDEX(#REF!,'Weekly Report'!AN625)),"")</f>
        <v/>
      </c>
      <c r="AP625" s="12" t="str">
        <f ca="1">IFERROR(_xlfn.SINGLE(INDEX(#REF!,'Weekly Report'!AN625)),"")</f>
        <v/>
      </c>
    </row>
    <row r="626" spans="36:42">
      <c r="AJ626" s="12" t="str">
        <f ca="1">IFERROR(MATCH($B$114,OFFSET(#REF!,AJ625,0,1000000),0)+AJ625,"")</f>
        <v/>
      </c>
      <c r="AK626" s="17" t="str">
        <f ca="1">IFERROR(_xlfn.SINGLE(INDEX(#REF!,'Weekly Report'!AJ626)),"")</f>
        <v/>
      </c>
      <c r="AL626" s="12" t="str">
        <f ca="1">IFERROR(_xlfn.SINGLE(INDEX(#REF!,'Weekly Report'!AJ626)),"")</f>
        <v/>
      </c>
      <c r="AN626" s="12" t="str">
        <f ca="1">IFERROR(MATCH($G$115,OFFSET(#REF!,AN625,0,1000000),0)+AN625,"")</f>
        <v/>
      </c>
      <c r="AO626" s="17" t="str">
        <f ca="1">IFERROR(_xlfn.SINGLE(INDEX(#REF!,'Weekly Report'!AN626)),"")</f>
        <v/>
      </c>
      <c r="AP626" s="12" t="str">
        <f ca="1">IFERROR(_xlfn.SINGLE(INDEX(#REF!,'Weekly Report'!AN626)),"")</f>
        <v/>
      </c>
    </row>
    <row r="627" spans="36:42">
      <c r="AJ627" s="12" t="str">
        <f ca="1">IFERROR(MATCH($B$114,OFFSET(#REF!,AJ626,0,1000000),0)+AJ626,"")</f>
        <v/>
      </c>
      <c r="AK627" s="17" t="str">
        <f ca="1">IFERROR(_xlfn.SINGLE(INDEX(#REF!,'Weekly Report'!AJ627)),"")</f>
        <v/>
      </c>
      <c r="AL627" s="12" t="str">
        <f ca="1">IFERROR(_xlfn.SINGLE(INDEX(#REF!,'Weekly Report'!AJ627)),"")</f>
        <v/>
      </c>
      <c r="AN627" s="12" t="str">
        <f ca="1">IFERROR(MATCH($G$115,OFFSET(#REF!,AN626,0,1000000),0)+AN626,"")</f>
        <v/>
      </c>
      <c r="AO627" s="17" t="str">
        <f ca="1">IFERROR(_xlfn.SINGLE(INDEX(#REF!,'Weekly Report'!AN627)),"")</f>
        <v/>
      </c>
      <c r="AP627" s="12" t="str">
        <f ca="1">IFERROR(_xlfn.SINGLE(INDEX(#REF!,'Weekly Report'!AN627)),"")</f>
        <v/>
      </c>
    </row>
    <row r="628" spans="36:42">
      <c r="AJ628" s="12" t="str">
        <f ca="1">IFERROR(MATCH($B$114,OFFSET(#REF!,AJ627,0,1000000),0)+AJ627,"")</f>
        <v/>
      </c>
      <c r="AK628" s="17" t="str">
        <f ca="1">IFERROR(_xlfn.SINGLE(INDEX(#REF!,'Weekly Report'!AJ628)),"")</f>
        <v/>
      </c>
      <c r="AL628" s="12" t="str">
        <f ca="1">IFERROR(_xlfn.SINGLE(INDEX(#REF!,'Weekly Report'!AJ628)),"")</f>
        <v/>
      </c>
      <c r="AN628" s="12" t="str">
        <f ca="1">IFERROR(MATCH($G$115,OFFSET(#REF!,AN627,0,1000000),0)+AN627,"")</f>
        <v/>
      </c>
      <c r="AO628" s="17" t="str">
        <f ca="1">IFERROR(_xlfn.SINGLE(INDEX(#REF!,'Weekly Report'!AN628)),"")</f>
        <v/>
      </c>
      <c r="AP628" s="12" t="str">
        <f ca="1">IFERROR(_xlfn.SINGLE(INDEX(#REF!,'Weekly Report'!AN628)),"")</f>
        <v/>
      </c>
    </row>
    <row r="629" spans="36:42">
      <c r="AJ629" s="12" t="str">
        <f ca="1">IFERROR(MATCH($B$114,OFFSET(#REF!,AJ628,0,1000000),0)+AJ628,"")</f>
        <v/>
      </c>
      <c r="AK629" s="17" t="str">
        <f ca="1">IFERROR(_xlfn.SINGLE(INDEX(#REF!,'Weekly Report'!AJ629)),"")</f>
        <v/>
      </c>
      <c r="AL629" s="12" t="str">
        <f ca="1">IFERROR(_xlfn.SINGLE(INDEX(#REF!,'Weekly Report'!AJ629)),"")</f>
        <v/>
      </c>
      <c r="AN629" s="12" t="str">
        <f ca="1">IFERROR(MATCH($G$115,OFFSET(#REF!,AN628,0,1000000),0)+AN628,"")</f>
        <v/>
      </c>
      <c r="AO629" s="17" t="str">
        <f ca="1">IFERROR(_xlfn.SINGLE(INDEX(#REF!,'Weekly Report'!AN629)),"")</f>
        <v/>
      </c>
      <c r="AP629" s="12" t="str">
        <f ca="1">IFERROR(_xlfn.SINGLE(INDEX(#REF!,'Weekly Report'!AN629)),"")</f>
        <v/>
      </c>
    </row>
    <row r="630" spans="36:42">
      <c r="AJ630" s="12" t="str">
        <f ca="1">IFERROR(MATCH($B$114,OFFSET(#REF!,AJ629,0,1000000),0)+AJ629,"")</f>
        <v/>
      </c>
      <c r="AK630" s="17" t="str">
        <f ca="1">IFERROR(_xlfn.SINGLE(INDEX(#REF!,'Weekly Report'!AJ630)),"")</f>
        <v/>
      </c>
      <c r="AL630" s="12" t="str">
        <f ca="1">IFERROR(_xlfn.SINGLE(INDEX(#REF!,'Weekly Report'!AJ630)),"")</f>
        <v/>
      </c>
      <c r="AN630" s="12" t="str">
        <f ca="1">IFERROR(MATCH($G$115,OFFSET(#REF!,AN629,0,1000000),0)+AN629,"")</f>
        <v/>
      </c>
      <c r="AO630" s="17" t="str">
        <f ca="1">IFERROR(_xlfn.SINGLE(INDEX(#REF!,'Weekly Report'!AN630)),"")</f>
        <v/>
      </c>
      <c r="AP630" s="12" t="str">
        <f ca="1">IFERROR(_xlfn.SINGLE(INDEX(#REF!,'Weekly Report'!AN630)),"")</f>
        <v/>
      </c>
    </row>
    <row r="631" spans="36:42">
      <c r="AJ631" s="12" t="str">
        <f ca="1">IFERROR(MATCH($B$114,OFFSET(#REF!,AJ630,0,1000000),0)+AJ630,"")</f>
        <v/>
      </c>
      <c r="AK631" s="17" t="str">
        <f ca="1">IFERROR(_xlfn.SINGLE(INDEX(#REF!,'Weekly Report'!AJ631)),"")</f>
        <v/>
      </c>
      <c r="AL631" s="12" t="str">
        <f ca="1">IFERROR(_xlfn.SINGLE(INDEX(#REF!,'Weekly Report'!AJ631)),"")</f>
        <v/>
      </c>
      <c r="AN631" s="12" t="str">
        <f ca="1">IFERROR(MATCH($G$115,OFFSET(#REF!,AN630,0,1000000),0)+AN630,"")</f>
        <v/>
      </c>
      <c r="AO631" s="17" t="str">
        <f ca="1">IFERROR(_xlfn.SINGLE(INDEX(#REF!,'Weekly Report'!AN631)),"")</f>
        <v/>
      </c>
      <c r="AP631" s="12" t="str">
        <f ca="1">IFERROR(_xlfn.SINGLE(INDEX(#REF!,'Weekly Report'!AN631)),"")</f>
        <v/>
      </c>
    </row>
    <row r="632" spans="36:42">
      <c r="AJ632" s="12" t="str">
        <f ca="1">IFERROR(MATCH($B$114,OFFSET(#REF!,AJ631,0,1000000),0)+AJ631,"")</f>
        <v/>
      </c>
      <c r="AK632" s="17" t="str">
        <f ca="1">IFERROR(_xlfn.SINGLE(INDEX(#REF!,'Weekly Report'!AJ632)),"")</f>
        <v/>
      </c>
      <c r="AL632" s="12" t="str">
        <f ca="1">IFERROR(_xlfn.SINGLE(INDEX(#REF!,'Weekly Report'!AJ632)),"")</f>
        <v/>
      </c>
      <c r="AN632" s="12" t="str">
        <f ca="1">IFERROR(MATCH($G$115,OFFSET(#REF!,AN631,0,1000000),0)+AN631,"")</f>
        <v/>
      </c>
      <c r="AO632" s="17" t="str">
        <f ca="1">IFERROR(_xlfn.SINGLE(INDEX(#REF!,'Weekly Report'!AN632)),"")</f>
        <v/>
      </c>
      <c r="AP632" s="12" t="str">
        <f ca="1">IFERROR(_xlfn.SINGLE(INDEX(#REF!,'Weekly Report'!AN632)),"")</f>
        <v/>
      </c>
    </row>
    <row r="633" spans="36:42">
      <c r="AJ633" s="12" t="str">
        <f ca="1">IFERROR(MATCH($B$114,OFFSET(#REF!,AJ632,0,1000000),0)+AJ632,"")</f>
        <v/>
      </c>
      <c r="AK633" s="17" t="str">
        <f ca="1">IFERROR(_xlfn.SINGLE(INDEX(#REF!,'Weekly Report'!AJ633)),"")</f>
        <v/>
      </c>
      <c r="AL633" s="12" t="str">
        <f ca="1">IFERROR(_xlfn.SINGLE(INDEX(#REF!,'Weekly Report'!AJ633)),"")</f>
        <v/>
      </c>
      <c r="AN633" s="12" t="str">
        <f ca="1">IFERROR(MATCH($G$115,OFFSET(#REF!,AN632,0,1000000),0)+AN632,"")</f>
        <v/>
      </c>
      <c r="AO633" s="17" t="str">
        <f ca="1">IFERROR(_xlfn.SINGLE(INDEX(#REF!,'Weekly Report'!AN633)),"")</f>
        <v/>
      </c>
      <c r="AP633" s="12" t="str">
        <f ca="1">IFERROR(_xlfn.SINGLE(INDEX(#REF!,'Weekly Report'!AN633)),"")</f>
        <v/>
      </c>
    </row>
    <row r="634" spans="36:42">
      <c r="AJ634" s="12" t="str">
        <f ca="1">IFERROR(MATCH($B$114,OFFSET(#REF!,AJ633,0,1000000),0)+AJ633,"")</f>
        <v/>
      </c>
      <c r="AK634" s="17" t="str">
        <f ca="1">IFERROR(_xlfn.SINGLE(INDEX(#REF!,'Weekly Report'!AJ634)),"")</f>
        <v/>
      </c>
      <c r="AL634" s="12" t="str">
        <f ca="1">IFERROR(_xlfn.SINGLE(INDEX(#REF!,'Weekly Report'!AJ634)),"")</f>
        <v/>
      </c>
      <c r="AN634" s="12" t="str">
        <f ca="1">IFERROR(MATCH($G$115,OFFSET(#REF!,AN633,0,1000000),0)+AN633,"")</f>
        <v/>
      </c>
      <c r="AO634" s="17" t="str">
        <f ca="1">IFERROR(_xlfn.SINGLE(INDEX(#REF!,'Weekly Report'!AN634)),"")</f>
        <v/>
      </c>
      <c r="AP634" s="12" t="str">
        <f ca="1">IFERROR(_xlfn.SINGLE(INDEX(#REF!,'Weekly Report'!AN634)),"")</f>
        <v/>
      </c>
    </row>
    <row r="635" spans="36:42">
      <c r="AJ635" s="12" t="str">
        <f ca="1">IFERROR(MATCH($B$114,OFFSET(#REF!,AJ634,0,1000000),0)+AJ634,"")</f>
        <v/>
      </c>
      <c r="AK635" s="17" t="str">
        <f ca="1">IFERROR(_xlfn.SINGLE(INDEX(#REF!,'Weekly Report'!AJ635)),"")</f>
        <v/>
      </c>
      <c r="AL635" s="12" t="str">
        <f ca="1">IFERROR(_xlfn.SINGLE(INDEX(#REF!,'Weekly Report'!AJ635)),"")</f>
        <v/>
      </c>
      <c r="AN635" s="12" t="str">
        <f ca="1">IFERROR(MATCH($G$115,OFFSET(#REF!,AN634,0,1000000),0)+AN634,"")</f>
        <v/>
      </c>
      <c r="AO635" s="17" t="str">
        <f ca="1">IFERROR(_xlfn.SINGLE(INDEX(#REF!,'Weekly Report'!AN635)),"")</f>
        <v/>
      </c>
      <c r="AP635" s="12" t="str">
        <f ca="1">IFERROR(_xlfn.SINGLE(INDEX(#REF!,'Weekly Report'!AN635)),"")</f>
        <v/>
      </c>
    </row>
    <row r="636" spans="36:42">
      <c r="AJ636" s="12" t="str">
        <f ca="1">IFERROR(MATCH($B$114,OFFSET(#REF!,AJ635,0,1000000),0)+AJ635,"")</f>
        <v/>
      </c>
      <c r="AK636" s="17" t="str">
        <f ca="1">IFERROR(_xlfn.SINGLE(INDEX(#REF!,'Weekly Report'!AJ636)),"")</f>
        <v/>
      </c>
      <c r="AL636" s="12" t="str">
        <f ca="1">IFERROR(_xlfn.SINGLE(INDEX(#REF!,'Weekly Report'!AJ636)),"")</f>
        <v/>
      </c>
      <c r="AN636" s="12" t="str">
        <f ca="1">IFERROR(MATCH($G$115,OFFSET(#REF!,AN635,0,1000000),0)+AN635,"")</f>
        <v/>
      </c>
      <c r="AO636" s="17" t="str">
        <f ca="1">IFERROR(_xlfn.SINGLE(INDEX(#REF!,'Weekly Report'!AN636)),"")</f>
        <v/>
      </c>
      <c r="AP636" s="12" t="str">
        <f ca="1">IFERROR(_xlfn.SINGLE(INDEX(#REF!,'Weekly Report'!AN636)),"")</f>
        <v/>
      </c>
    </row>
    <row r="637" spans="36:42">
      <c r="AJ637" s="12" t="str">
        <f ca="1">IFERROR(MATCH($B$114,OFFSET(#REF!,AJ636,0,1000000),0)+AJ636,"")</f>
        <v/>
      </c>
      <c r="AK637" s="17" t="str">
        <f ca="1">IFERROR(_xlfn.SINGLE(INDEX(#REF!,'Weekly Report'!AJ637)),"")</f>
        <v/>
      </c>
      <c r="AL637" s="12" t="str">
        <f ca="1">IFERROR(_xlfn.SINGLE(INDEX(#REF!,'Weekly Report'!AJ637)),"")</f>
        <v/>
      </c>
      <c r="AN637" s="12" t="str">
        <f ca="1">IFERROR(MATCH($G$115,OFFSET(#REF!,AN636,0,1000000),0)+AN636,"")</f>
        <v/>
      </c>
      <c r="AO637" s="17" t="str">
        <f ca="1">IFERROR(_xlfn.SINGLE(INDEX(#REF!,'Weekly Report'!AN637)),"")</f>
        <v/>
      </c>
      <c r="AP637" s="12" t="str">
        <f ca="1">IFERROR(_xlfn.SINGLE(INDEX(#REF!,'Weekly Report'!AN637)),"")</f>
        <v/>
      </c>
    </row>
    <row r="638" spans="36:42">
      <c r="AJ638" s="12" t="str">
        <f ca="1">IFERROR(MATCH($B$114,OFFSET(#REF!,AJ637,0,1000000),0)+AJ637,"")</f>
        <v/>
      </c>
      <c r="AK638" s="17" t="str">
        <f ca="1">IFERROR(_xlfn.SINGLE(INDEX(#REF!,'Weekly Report'!AJ638)),"")</f>
        <v/>
      </c>
      <c r="AL638" s="12" t="str">
        <f ca="1">IFERROR(_xlfn.SINGLE(INDEX(#REF!,'Weekly Report'!AJ638)),"")</f>
        <v/>
      </c>
      <c r="AN638" s="12" t="str">
        <f ca="1">IFERROR(MATCH($G$115,OFFSET(#REF!,AN637,0,1000000),0)+AN637,"")</f>
        <v/>
      </c>
      <c r="AO638" s="17" t="str">
        <f ca="1">IFERROR(_xlfn.SINGLE(INDEX(#REF!,'Weekly Report'!AN638)),"")</f>
        <v/>
      </c>
      <c r="AP638" s="12" t="str">
        <f ca="1">IFERROR(_xlfn.SINGLE(INDEX(#REF!,'Weekly Report'!AN638)),"")</f>
        <v/>
      </c>
    </row>
    <row r="639" spans="36:42">
      <c r="AJ639" s="12" t="str">
        <f ca="1">IFERROR(MATCH($B$114,OFFSET(#REF!,AJ638,0,1000000),0)+AJ638,"")</f>
        <v/>
      </c>
      <c r="AK639" s="17" t="str">
        <f ca="1">IFERROR(_xlfn.SINGLE(INDEX(#REF!,'Weekly Report'!AJ639)),"")</f>
        <v/>
      </c>
      <c r="AL639" s="12" t="str">
        <f ca="1">IFERROR(_xlfn.SINGLE(INDEX(#REF!,'Weekly Report'!AJ639)),"")</f>
        <v/>
      </c>
      <c r="AN639" s="12" t="str">
        <f ca="1">IFERROR(MATCH($G$115,OFFSET(#REF!,AN638,0,1000000),0)+AN638,"")</f>
        <v/>
      </c>
      <c r="AO639" s="17" t="str">
        <f ca="1">IFERROR(_xlfn.SINGLE(INDEX(#REF!,'Weekly Report'!AN639)),"")</f>
        <v/>
      </c>
      <c r="AP639" s="12" t="str">
        <f ca="1">IFERROR(_xlfn.SINGLE(INDEX(#REF!,'Weekly Report'!AN639)),"")</f>
        <v/>
      </c>
    </row>
    <row r="640" spans="36:42">
      <c r="AJ640" s="12" t="str">
        <f ca="1">IFERROR(MATCH($B$114,OFFSET(#REF!,AJ639,0,1000000),0)+AJ639,"")</f>
        <v/>
      </c>
      <c r="AK640" s="17" t="str">
        <f ca="1">IFERROR(_xlfn.SINGLE(INDEX(#REF!,'Weekly Report'!AJ640)),"")</f>
        <v/>
      </c>
      <c r="AL640" s="12" t="str">
        <f ca="1">IFERROR(_xlfn.SINGLE(INDEX(#REF!,'Weekly Report'!AJ640)),"")</f>
        <v/>
      </c>
      <c r="AN640" s="12" t="str">
        <f ca="1">IFERROR(MATCH($G$115,OFFSET(#REF!,AN639,0,1000000),0)+AN639,"")</f>
        <v/>
      </c>
      <c r="AO640" s="17" t="str">
        <f ca="1">IFERROR(_xlfn.SINGLE(INDEX(#REF!,'Weekly Report'!AN640)),"")</f>
        <v/>
      </c>
      <c r="AP640" s="12" t="str">
        <f ca="1">IFERROR(_xlfn.SINGLE(INDEX(#REF!,'Weekly Report'!AN640)),"")</f>
        <v/>
      </c>
    </row>
    <row r="641" spans="36:42">
      <c r="AJ641" s="12" t="str">
        <f ca="1">IFERROR(MATCH($B$114,OFFSET(#REF!,AJ640,0,1000000),0)+AJ640,"")</f>
        <v/>
      </c>
      <c r="AK641" s="17" t="str">
        <f ca="1">IFERROR(_xlfn.SINGLE(INDEX(#REF!,'Weekly Report'!AJ641)),"")</f>
        <v/>
      </c>
      <c r="AL641" s="12" t="str">
        <f ca="1">IFERROR(_xlfn.SINGLE(INDEX(#REF!,'Weekly Report'!AJ641)),"")</f>
        <v/>
      </c>
      <c r="AN641" s="12" t="str">
        <f ca="1">IFERROR(MATCH($G$115,OFFSET(#REF!,AN640,0,1000000),0)+AN640,"")</f>
        <v/>
      </c>
      <c r="AO641" s="17" t="str">
        <f ca="1">IFERROR(_xlfn.SINGLE(INDEX(#REF!,'Weekly Report'!AN641)),"")</f>
        <v/>
      </c>
      <c r="AP641" s="12" t="str">
        <f ca="1">IFERROR(_xlfn.SINGLE(INDEX(#REF!,'Weekly Report'!AN641)),"")</f>
        <v/>
      </c>
    </row>
    <row r="642" spans="36:42">
      <c r="AJ642" s="12" t="str">
        <f ca="1">IFERROR(MATCH($B$114,OFFSET(#REF!,AJ641,0,1000000),0)+AJ641,"")</f>
        <v/>
      </c>
      <c r="AK642" s="17" t="str">
        <f ca="1">IFERROR(_xlfn.SINGLE(INDEX(#REF!,'Weekly Report'!AJ642)),"")</f>
        <v/>
      </c>
      <c r="AL642" s="12" t="str">
        <f ca="1">IFERROR(_xlfn.SINGLE(INDEX(#REF!,'Weekly Report'!AJ642)),"")</f>
        <v/>
      </c>
      <c r="AN642" s="12" t="str">
        <f ca="1">IFERROR(MATCH($G$115,OFFSET(#REF!,AN641,0,1000000),0)+AN641,"")</f>
        <v/>
      </c>
      <c r="AO642" s="17" t="str">
        <f ca="1">IFERROR(_xlfn.SINGLE(INDEX(#REF!,'Weekly Report'!AN642)),"")</f>
        <v/>
      </c>
      <c r="AP642" s="12" t="str">
        <f ca="1">IFERROR(_xlfn.SINGLE(INDEX(#REF!,'Weekly Report'!AN642)),"")</f>
        <v/>
      </c>
    </row>
    <row r="643" spans="36:42">
      <c r="AJ643" s="12" t="str">
        <f ca="1">IFERROR(MATCH($B$114,OFFSET(#REF!,AJ642,0,1000000),0)+AJ642,"")</f>
        <v/>
      </c>
      <c r="AK643" s="17" t="str">
        <f ca="1">IFERROR(_xlfn.SINGLE(INDEX(#REF!,'Weekly Report'!AJ643)),"")</f>
        <v/>
      </c>
      <c r="AL643" s="12" t="str">
        <f ca="1">IFERROR(_xlfn.SINGLE(INDEX(#REF!,'Weekly Report'!AJ643)),"")</f>
        <v/>
      </c>
      <c r="AN643" s="12" t="str">
        <f ca="1">IFERROR(MATCH($G$115,OFFSET(#REF!,AN642,0,1000000),0)+AN642,"")</f>
        <v/>
      </c>
      <c r="AO643" s="17" t="str">
        <f ca="1">IFERROR(_xlfn.SINGLE(INDEX(#REF!,'Weekly Report'!AN643)),"")</f>
        <v/>
      </c>
      <c r="AP643" s="12" t="str">
        <f ca="1">IFERROR(_xlfn.SINGLE(INDEX(#REF!,'Weekly Report'!AN643)),"")</f>
        <v/>
      </c>
    </row>
    <row r="644" spans="36:42">
      <c r="AJ644" s="12" t="str">
        <f ca="1">IFERROR(MATCH($B$114,OFFSET(#REF!,AJ643,0,1000000),0)+AJ643,"")</f>
        <v/>
      </c>
      <c r="AK644" s="17" t="str">
        <f ca="1">IFERROR(_xlfn.SINGLE(INDEX(#REF!,'Weekly Report'!AJ644)),"")</f>
        <v/>
      </c>
      <c r="AL644" s="12" t="str">
        <f ca="1">IFERROR(_xlfn.SINGLE(INDEX(#REF!,'Weekly Report'!AJ644)),"")</f>
        <v/>
      </c>
      <c r="AN644" s="12" t="str">
        <f ca="1">IFERROR(MATCH($G$115,OFFSET(#REF!,AN643,0,1000000),0)+AN643,"")</f>
        <v/>
      </c>
      <c r="AO644" s="17" t="str">
        <f ca="1">IFERROR(_xlfn.SINGLE(INDEX(#REF!,'Weekly Report'!AN644)),"")</f>
        <v/>
      </c>
      <c r="AP644" s="12" t="str">
        <f ca="1">IFERROR(_xlfn.SINGLE(INDEX(#REF!,'Weekly Report'!AN644)),"")</f>
        <v/>
      </c>
    </row>
    <row r="645" spans="36:42">
      <c r="AJ645" s="12" t="str">
        <f ca="1">IFERROR(MATCH($B$114,OFFSET(#REF!,AJ644,0,1000000),0)+AJ644,"")</f>
        <v/>
      </c>
      <c r="AK645" s="17" t="str">
        <f ca="1">IFERROR(_xlfn.SINGLE(INDEX(#REF!,'Weekly Report'!AJ645)),"")</f>
        <v/>
      </c>
      <c r="AL645" s="12" t="str">
        <f ca="1">IFERROR(_xlfn.SINGLE(INDEX(#REF!,'Weekly Report'!AJ645)),"")</f>
        <v/>
      </c>
      <c r="AN645" s="12" t="str">
        <f ca="1">IFERROR(MATCH($G$115,OFFSET(#REF!,AN644,0,1000000),0)+AN644,"")</f>
        <v/>
      </c>
      <c r="AO645" s="17" t="str">
        <f ca="1">IFERROR(_xlfn.SINGLE(INDEX(#REF!,'Weekly Report'!AN645)),"")</f>
        <v/>
      </c>
      <c r="AP645" s="12" t="str">
        <f ca="1">IFERROR(_xlfn.SINGLE(INDEX(#REF!,'Weekly Report'!AN645)),"")</f>
        <v/>
      </c>
    </row>
    <row r="646" spans="36:42">
      <c r="AJ646" s="12" t="str">
        <f ca="1">IFERROR(MATCH($B$114,OFFSET(#REF!,AJ645,0,1000000),0)+AJ645,"")</f>
        <v/>
      </c>
      <c r="AK646" s="17" t="str">
        <f ca="1">IFERROR(_xlfn.SINGLE(INDEX(#REF!,'Weekly Report'!AJ646)),"")</f>
        <v/>
      </c>
      <c r="AL646" s="12" t="str">
        <f ca="1">IFERROR(_xlfn.SINGLE(INDEX(#REF!,'Weekly Report'!AJ646)),"")</f>
        <v/>
      </c>
      <c r="AN646" s="12" t="str">
        <f ca="1">IFERROR(MATCH($G$115,OFFSET(#REF!,AN645,0,1000000),0)+AN645,"")</f>
        <v/>
      </c>
      <c r="AO646" s="17" t="str">
        <f ca="1">IFERROR(_xlfn.SINGLE(INDEX(#REF!,'Weekly Report'!AN646)),"")</f>
        <v/>
      </c>
      <c r="AP646" s="12" t="str">
        <f ca="1">IFERROR(_xlfn.SINGLE(INDEX(#REF!,'Weekly Report'!AN646)),"")</f>
        <v/>
      </c>
    </row>
    <row r="647" spans="36:42">
      <c r="AJ647" s="12" t="str">
        <f ca="1">IFERROR(MATCH($B$114,OFFSET(#REF!,AJ646,0,1000000),0)+AJ646,"")</f>
        <v/>
      </c>
      <c r="AK647" s="17" t="str">
        <f ca="1">IFERROR(_xlfn.SINGLE(INDEX(#REF!,'Weekly Report'!AJ647)),"")</f>
        <v/>
      </c>
      <c r="AL647" s="12" t="str">
        <f ca="1">IFERROR(_xlfn.SINGLE(INDEX(#REF!,'Weekly Report'!AJ647)),"")</f>
        <v/>
      </c>
      <c r="AN647" s="12" t="str">
        <f ca="1">IFERROR(MATCH($G$115,OFFSET(#REF!,AN646,0,1000000),0)+AN646,"")</f>
        <v/>
      </c>
      <c r="AO647" s="17" t="str">
        <f ca="1">IFERROR(_xlfn.SINGLE(INDEX(#REF!,'Weekly Report'!AN647)),"")</f>
        <v/>
      </c>
      <c r="AP647" s="12" t="str">
        <f ca="1">IFERROR(_xlfn.SINGLE(INDEX(#REF!,'Weekly Report'!AN647)),"")</f>
        <v/>
      </c>
    </row>
    <row r="648" spans="36:42">
      <c r="AJ648" s="12" t="str">
        <f ca="1">IFERROR(MATCH($B$114,OFFSET(#REF!,AJ647,0,1000000),0)+AJ647,"")</f>
        <v/>
      </c>
      <c r="AK648" s="17" t="str">
        <f ca="1">IFERROR(_xlfn.SINGLE(INDEX(#REF!,'Weekly Report'!AJ648)),"")</f>
        <v/>
      </c>
      <c r="AL648" s="12" t="str">
        <f ca="1">IFERROR(_xlfn.SINGLE(INDEX(#REF!,'Weekly Report'!AJ648)),"")</f>
        <v/>
      </c>
      <c r="AN648" s="12" t="str">
        <f ca="1">IFERROR(MATCH($G$115,OFFSET(#REF!,AN647,0,1000000),0)+AN647,"")</f>
        <v/>
      </c>
      <c r="AO648" s="17" t="str">
        <f ca="1">IFERROR(_xlfn.SINGLE(INDEX(#REF!,'Weekly Report'!AN648)),"")</f>
        <v/>
      </c>
      <c r="AP648" s="12" t="str">
        <f ca="1">IFERROR(_xlfn.SINGLE(INDEX(#REF!,'Weekly Report'!AN648)),"")</f>
        <v/>
      </c>
    </row>
    <row r="649" spans="36:42">
      <c r="AJ649" s="12" t="str">
        <f ca="1">IFERROR(MATCH($B$114,OFFSET(#REF!,AJ648,0,1000000),0)+AJ648,"")</f>
        <v/>
      </c>
      <c r="AK649" s="17" t="str">
        <f ca="1">IFERROR(_xlfn.SINGLE(INDEX(#REF!,'Weekly Report'!AJ649)),"")</f>
        <v/>
      </c>
      <c r="AL649" s="12" t="str">
        <f ca="1">IFERROR(_xlfn.SINGLE(INDEX(#REF!,'Weekly Report'!AJ649)),"")</f>
        <v/>
      </c>
      <c r="AN649" s="12" t="str">
        <f ca="1">IFERROR(MATCH($G$115,OFFSET(#REF!,AN648,0,1000000),0)+AN648,"")</f>
        <v/>
      </c>
      <c r="AO649" s="17" t="str">
        <f ca="1">IFERROR(_xlfn.SINGLE(INDEX(#REF!,'Weekly Report'!AN649)),"")</f>
        <v/>
      </c>
      <c r="AP649" s="12" t="str">
        <f ca="1">IFERROR(_xlfn.SINGLE(INDEX(#REF!,'Weekly Report'!AN649)),"")</f>
        <v/>
      </c>
    </row>
    <row r="650" spans="36:42">
      <c r="AJ650" s="12" t="str">
        <f ca="1">IFERROR(MATCH($B$114,OFFSET(#REF!,AJ649,0,1000000),0)+AJ649,"")</f>
        <v/>
      </c>
      <c r="AK650" s="17" t="str">
        <f ca="1">IFERROR(_xlfn.SINGLE(INDEX(#REF!,'Weekly Report'!AJ650)),"")</f>
        <v/>
      </c>
      <c r="AL650" s="12" t="str">
        <f ca="1">IFERROR(_xlfn.SINGLE(INDEX(#REF!,'Weekly Report'!AJ650)),"")</f>
        <v/>
      </c>
      <c r="AN650" s="12" t="str">
        <f ca="1">IFERROR(MATCH($G$115,OFFSET(#REF!,AN649,0,1000000),0)+AN649,"")</f>
        <v/>
      </c>
      <c r="AO650" s="17" t="str">
        <f ca="1">IFERROR(_xlfn.SINGLE(INDEX(#REF!,'Weekly Report'!AN650)),"")</f>
        <v/>
      </c>
      <c r="AP650" s="12" t="str">
        <f ca="1">IFERROR(_xlfn.SINGLE(INDEX(#REF!,'Weekly Report'!AN650)),"")</f>
        <v/>
      </c>
    </row>
    <row r="651" spans="36:42">
      <c r="AJ651" s="12" t="str">
        <f ca="1">IFERROR(MATCH($B$114,OFFSET(#REF!,AJ650,0,1000000),0)+AJ650,"")</f>
        <v/>
      </c>
      <c r="AK651" s="17" t="str">
        <f ca="1">IFERROR(_xlfn.SINGLE(INDEX(#REF!,'Weekly Report'!AJ651)),"")</f>
        <v/>
      </c>
      <c r="AL651" s="12" t="str">
        <f ca="1">IFERROR(_xlfn.SINGLE(INDEX(#REF!,'Weekly Report'!AJ651)),"")</f>
        <v/>
      </c>
      <c r="AN651" s="12" t="str">
        <f ca="1">IFERROR(MATCH($G$115,OFFSET(#REF!,AN650,0,1000000),0)+AN650,"")</f>
        <v/>
      </c>
      <c r="AO651" s="17" t="str">
        <f ca="1">IFERROR(_xlfn.SINGLE(INDEX(#REF!,'Weekly Report'!AN651)),"")</f>
        <v/>
      </c>
      <c r="AP651" s="12" t="str">
        <f ca="1">IFERROR(_xlfn.SINGLE(INDEX(#REF!,'Weekly Report'!AN651)),"")</f>
        <v/>
      </c>
    </row>
    <row r="652" spans="36:42">
      <c r="AJ652" s="12" t="str">
        <f ca="1">IFERROR(MATCH($B$114,OFFSET(#REF!,AJ651,0,1000000),0)+AJ651,"")</f>
        <v/>
      </c>
      <c r="AK652" s="17" t="str">
        <f ca="1">IFERROR(_xlfn.SINGLE(INDEX(#REF!,'Weekly Report'!AJ652)),"")</f>
        <v/>
      </c>
      <c r="AL652" s="12" t="str">
        <f ca="1">IFERROR(_xlfn.SINGLE(INDEX(#REF!,'Weekly Report'!AJ652)),"")</f>
        <v/>
      </c>
      <c r="AN652" s="12" t="str">
        <f ca="1">IFERROR(MATCH($G$115,OFFSET(#REF!,AN651,0,1000000),0)+AN651,"")</f>
        <v/>
      </c>
      <c r="AO652" s="17" t="str">
        <f ca="1">IFERROR(_xlfn.SINGLE(INDEX(#REF!,'Weekly Report'!AN652)),"")</f>
        <v/>
      </c>
      <c r="AP652" s="12" t="str">
        <f ca="1">IFERROR(_xlfn.SINGLE(INDEX(#REF!,'Weekly Report'!AN652)),"")</f>
        <v/>
      </c>
    </row>
    <row r="653" spans="36:42">
      <c r="AJ653" s="12" t="str">
        <f ca="1">IFERROR(MATCH($B$114,OFFSET(#REF!,AJ652,0,1000000),0)+AJ652,"")</f>
        <v/>
      </c>
      <c r="AK653" s="17" t="str">
        <f ca="1">IFERROR(_xlfn.SINGLE(INDEX(#REF!,'Weekly Report'!AJ653)),"")</f>
        <v/>
      </c>
      <c r="AL653" s="12" t="str">
        <f ca="1">IFERROR(_xlfn.SINGLE(INDEX(#REF!,'Weekly Report'!AJ653)),"")</f>
        <v/>
      </c>
      <c r="AN653" s="12" t="str">
        <f ca="1">IFERROR(MATCH($G$115,OFFSET(#REF!,AN652,0,1000000),0)+AN652,"")</f>
        <v/>
      </c>
      <c r="AO653" s="17" t="str">
        <f ca="1">IFERROR(_xlfn.SINGLE(INDEX(#REF!,'Weekly Report'!AN653)),"")</f>
        <v/>
      </c>
      <c r="AP653" s="12" t="str">
        <f ca="1">IFERROR(_xlfn.SINGLE(INDEX(#REF!,'Weekly Report'!AN653)),"")</f>
        <v/>
      </c>
    </row>
    <row r="654" spans="36:42">
      <c r="AJ654" s="12" t="str">
        <f ca="1">IFERROR(MATCH($B$114,OFFSET(#REF!,AJ653,0,1000000),0)+AJ653,"")</f>
        <v/>
      </c>
      <c r="AK654" s="17" t="str">
        <f ca="1">IFERROR(_xlfn.SINGLE(INDEX(#REF!,'Weekly Report'!AJ654)),"")</f>
        <v/>
      </c>
      <c r="AL654" s="12" t="str">
        <f ca="1">IFERROR(_xlfn.SINGLE(INDEX(#REF!,'Weekly Report'!AJ654)),"")</f>
        <v/>
      </c>
      <c r="AN654" s="12" t="str">
        <f ca="1">IFERROR(MATCH($G$115,OFFSET(#REF!,AN653,0,1000000),0)+AN653,"")</f>
        <v/>
      </c>
      <c r="AO654" s="17" t="str">
        <f ca="1">IFERROR(_xlfn.SINGLE(INDEX(#REF!,'Weekly Report'!AN654)),"")</f>
        <v/>
      </c>
      <c r="AP654" s="12" t="str">
        <f ca="1">IFERROR(_xlfn.SINGLE(INDEX(#REF!,'Weekly Report'!AN654)),"")</f>
        <v/>
      </c>
    </row>
    <row r="655" spans="36:42">
      <c r="AJ655" s="12" t="str">
        <f ca="1">IFERROR(MATCH($B$114,OFFSET(#REF!,AJ654,0,1000000),0)+AJ654,"")</f>
        <v/>
      </c>
      <c r="AK655" s="17" t="str">
        <f ca="1">IFERROR(_xlfn.SINGLE(INDEX(#REF!,'Weekly Report'!AJ655)),"")</f>
        <v/>
      </c>
      <c r="AL655" s="12" t="str">
        <f ca="1">IFERROR(_xlfn.SINGLE(INDEX(#REF!,'Weekly Report'!AJ655)),"")</f>
        <v/>
      </c>
      <c r="AN655" s="12" t="str">
        <f ca="1">IFERROR(MATCH($G$115,OFFSET(#REF!,AN654,0,1000000),0)+AN654,"")</f>
        <v/>
      </c>
      <c r="AO655" s="17" t="str">
        <f ca="1">IFERROR(_xlfn.SINGLE(INDEX(#REF!,'Weekly Report'!AN655)),"")</f>
        <v/>
      </c>
      <c r="AP655" s="12" t="str">
        <f ca="1">IFERROR(_xlfn.SINGLE(INDEX(#REF!,'Weekly Report'!AN655)),"")</f>
        <v/>
      </c>
    </row>
    <row r="656" spans="36:42">
      <c r="AJ656" s="12" t="str">
        <f ca="1">IFERROR(MATCH($B$114,OFFSET(#REF!,AJ655,0,1000000),0)+AJ655,"")</f>
        <v/>
      </c>
      <c r="AK656" s="17" t="str">
        <f ca="1">IFERROR(_xlfn.SINGLE(INDEX(#REF!,'Weekly Report'!AJ656)),"")</f>
        <v/>
      </c>
      <c r="AL656" s="12" t="str">
        <f ca="1">IFERROR(_xlfn.SINGLE(INDEX(#REF!,'Weekly Report'!AJ656)),"")</f>
        <v/>
      </c>
      <c r="AN656" s="12" t="str">
        <f ca="1">IFERROR(MATCH($G$115,OFFSET(#REF!,AN655,0,1000000),0)+AN655,"")</f>
        <v/>
      </c>
      <c r="AO656" s="17" t="str">
        <f ca="1">IFERROR(_xlfn.SINGLE(INDEX(#REF!,'Weekly Report'!AN656)),"")</f>
        <v/>
      </c>
      <c r="AP656" s="12" t="str">
        <f ca="1">IFERROR(_xlfn.SINGLE(INDEX(#REF!,'Weekly Report'!AN656)),"")</f>
        <v/>
      </c>
    </row>
    <row r="657" spans="36:42">
      <c r="AJ657" s="12" t="str">
        <f ca="1">IFERROR(MATCH($B$114,OFFSET(#REF!,AJ656,0,1000000),0)+AJ656,"")</f>
        <v/>
      </c>
      <c r="AK657" s="17" t="str">
        <f ca="1">IFERROR(_xlfn.SINGLE(INDEX(#REF!,'Weekly Report'!AJ657)),"")</f>
        <v/>
      </c>
      <c r="AL657" s="12" t="str">
        <f ca="1">IFERROR(_xlfn.SINGLE(INDEX(#REF!,'Weekly Report'!AJ657)),"")</f>
        <v/>
      </c>
      <c r="AN657" s="12" t="str">
        <f ca="1">IFERROR(MATCH($G$115,OFFSET(#REF!,AN656,0,1000000),0)+AN656,"")</f>
        <v/>
      </c>
      <c r="AO657" s="17" t="str">
        <f ca="1">IFERROR(_xlfn.SINGLE(INDEX(#REF!,'Weekly Report'!AN657)),"")</f>
        <v/>
      </c>
      <c r="AP657" s="12" t="str">
        <f ca="1">IFERROR(_xlfn.SINGLE(INDEX(#REF!,'Weekly Report'!AN657)),"")</f>
        <v/>
      </c>
    </row>
    <row r="658" spans="36:42">
      <c r="AJ658" s="12" t="str">
        <f ca="1">IFERROR(MATCH($B$114,OFFSET(#REF!,AJ657,0,1000000),0)+AJ657,"")</f>
        <v/>
      </c>
      <c r="AK658" s="17" t="str">
        <f ca="1">IFERROR(_xlfn.SINGLE(INDEX(#REF!,'Weekly Report'!AJ658)),"")</f>
        <v/>
      </c>
      <c r="AL658" s="12" t="str">
        <f ca="1">IFERROR(_xlfn.SINGLE(INDEX(#REF!,'Weekly Report'!AJ658)),"")</f>
        <v/>
      </c>
      <c r="AN658" s="12" t="str">
        <f ca="1">IFERROR(MATCH($G$115,OFFSET(#REF!,AN657,0,1000000),0)+AN657,"")</f>
        <v/>
      </c>
      <c r="AO658" s="17" t="str">
        <f ca="1">IFERROR(_xlfn.SINGLE(INDEX(#REF!,'Weekly Report'!AN658)),"")</f>
        <v/>
      </c>
      <c r="AP658" s="12" t="str">
        <f ca="1">IFERROR(_xlfn.SINGLE(INDEX(#REF!,'Weekly Report'!AN658)),"")</f>
        <v/>
      </c>
    </row>
    <row r="659" spans="36:42">
      <c r="AJ659" s="12" t="str">
        <f ca="1">IFERROR(MATCH($B$114,OFFSET(#REF!,AJ658,0,1000000),0)+AJ658,"")</f>
        <v/>
      </c>
      <c r="AK659" s="17" t="str">
        <f ca="1">IFERROR(_xlfn.SINGLE(INDEX(#REF!,'Weekly Report'!AJ659)),"")</f>
        <v/>
      </c>
      <c r="AL659" s="12" t="str">
        <f ca="1">IFERROR(_xlfn.SINGLE(INDEX(#REF!,'Weekly Report'!AJ659)),"")</f>
        <v/>
      </c>
      <c r="AN659" s="12" t="str">
        <f ca="1">IFERROR(MATCH($G$115,OFFSET(#REF!,AN658,0,1000000),0)+AN658,"")</f>
        <v/>
      </c>
      <c r="AO659" s="17" t="str">
        <f ca="1">IFERROR(_xlfn.SINGLE(INDEX(#REF!,'Weekly Report'!AN659)),"")</f>
        <v/>
      </c>
      <c r="AP659" s="12" t="str">
        <f ca="1">IFERROR(_xlfn.SINGLE(INDEX(#REF!,'Weekly Report'!AN659)),"")</f>
        <v/>
      </c>
    </row>
    <row r="660" spans="36:42">
      <c r="AJ660" s="12" t="str">
        <f ca="1">IFERROR(MATCH($B$114,OFFSET(#REF!,AJ659,0,1000000),0)+AJ659,"")</f>
        <v/>
      </c>
      <c r="AK660" s="17" t="str">
        <f ca="1">IFERROR(_xlfn.SINGLE(INDEX(#REF!,'Weekly Report'!AJ660)),"")</f>
        <v/>
      </c>
      <c r="AL660" s="12" t="str">
        <f ca="1">IFERROR(_xlfn.SINGLE(INDEX(#REF!,'Weekly Report'!AJ660)),"")</f>
        <v/>
      </c>
      <c r="AN660" s="12" t="str">
        <f ca="1">IFERROR(MATCH($G$115,OFFSET(#REF!,AN659,0,1000000),0)+AN659,"")</f>
        <v/>
      </c>
      <c r="AO660" s="17" t="str">
        <f ca="1">IFERROR(_xlfn.SINGLE(INDEX(#REF!,'Weekly Report'!AN660)),"")</f>
        <v/>
      </c>
      <c r="AP660" s="12" t="str">
        <f ca="1">IFERROR(_xlfn.SINGLE(INDEX(#REF!,'Weekly Report'!AN660)),"")</f>
        <v/>
      </c>
    </row>
    <row r="661" spans="36:42">
      <c r="AJ661" s="12" t="str">
        <f ca="1">IFERROR(MATCH($B$114,OFFSET(#REF!,AJ660,0,1000000),0)+AJ660,"")</f>
        <v/>
      </c>
      <c r="AK661" s="17" t="str">
        <f ca="1">IFERROR(_xlfn.SINGLE(INDEX(#REF!,'Weekly Report'!AJ661)),"")</f>
        <v/>
      </c>
      <c r="AL661" s="12" t="str">
        <f ca="1">IFERROR(_xlfn.SINGLE(INDEX(#REF!,'Weekly Report'!AJ661)),"")</f>
        <v/>
      </c>
      <c r="AN661" s="12" t="str">
        <f ca="1">IFERROR(MATCH($G$115,OFFSET(#REF!,AN660,0,1000000),0)+AN660,"")</f>
        <v/>
      </c>
      <c r="AO661" s="17" t="str">
        <f ca="1">IFERROR(_xlfn.SINGLE(INDEX(#REF!,'Weekly Report'!AN661)),"")</f>
        <v/>
      </c>
      <c r="AP661" s="12" t="str">
        <f ca="1">IFERROR(_xlfn.SINGLE(INDEX(#REF!,'Weekly Report'!AN661)),"")</f>
        <v/>
      </c>
    </row>
    <row r="662" spans="36:42">
      <c r="AJ662" s="12" t="str">
        <f ca="1">IFERROR(MATCH($B$114,OFFSET(#REF!,AJ661,0,1000000),0)+AJ661,"")</f>
        <v/>
      </c>
      <c r="AK662" s="17" t="str">
        <f ca="1">IFERROR(_xlfn.SINGLE(INDEX(#REF!,'Weekly Report'!AJ662)),"")</f>
        <v/>
      </c>
      <c r="AL662" s="12" t="str">
        <f ca="1">IFERROR(_xlfn.SINGLE(INDEX(#REF!,'Weekly Report'!AJ662)),"")</f>
        <v/>
      </c>
      <c r="AN662" s="12" t="str">
        <f ca="1">IFERROR(MATCH($G$115,OFFSET(#REF!,AN661,0,1000000),0)+AN661,"")</f>
        <v/>
      </c>
      <c r="AO662" s="17" t="str">
        <f ca="1">IFERROR(_xlfn.SINGLE(INDEX(#REF!,'Weekly Report'!AN662)),"")</f>
        <v/>
      </c>
      <c r="AP662" s="12" t="str">
        <f ca="1">IFERROR(_xlfn.SINGLE(INDEX(#REF!,'Weekly Report'!AN662)),"")</f>
        <v/>
      </c>
    </row>
    <row r="663" spans="36:42">
      <c r="AJ663" s="12" t="str">
        <f ca="1">IFERROR(MATCH($B$114,OFFSET(#REF!,AJ662,0,1000000),0)+AJ662,"")</f>
        <v/>
      </c>
      <c r="AK663" s="17" t="str">
        <f ca="1">IFERROR(_xlfn.SINGLE(INDEX(#REF!,'Weekly Report'!AJ663)),"")</f>
        <v/>
      </c>
      <c r="AL663" s="12" t="str">
        <f ca="1">IFERROR(_xlfn.SINGLE(INDEX(#REF!,'Weekly Report'!AJ663)),"")</f>
        <v/>
      </c>
      <c r="AN663" s="12" t="str">
        <f ca="1">IFERROR(MATCH($G$115,OFFSET(#REF!,AN662,0,1000000),0)+AN662,"")</f>
        <v/>
      </c>
      <c r="AO663" s="17" t="str">
        <f ca="1">IFERROR(_xlfn.SINGLE(INDEX(#REF!,'Weekly Report'!AN663)),"")</f>
        <v/>
      </c>
      <c r="AP663" s="12" t="str">
        <f ca="1">IFERROR(_xlfn.SINGLE(INDEX(#REF!,'Weekly Report'!AN663)),"")</f>
        <v/>
      </c>
    </row>
    <row r="664" spans="36:42">
      <c r="AJ664" s="12" t="str">
        <f ca="1">IFERROR(MATCH($B$114,OFFSET(#REF!,AJ663,0,1000000),0)+AJ663,"")</f>
        <v/>
      </c>
      <c r="AK664" s="17" t="str">
        <f ca="1">IFERROR(_xlfn.SINGLE(INDEX(#REF!,'Weekly Report'!AJ664)),"")</f>
        <v/>
      </c>
      <c r="AL664" s="12" t="str">
        <f ca="1">IFERROR(_xlfn.SINGLE(INDEX(#REF!,'Weekly Report'!AJ664)),"")</f>
        <v/>
      </c>
      <c r="AN664" s="12" t="str">
        <f ca="1">IFERROR(MATCH($G$115,OFFSET(#REF!,AN663,0,1000000),0)+AN663,"")</f>
        <v/>
      </c>
      <c r="AO664" s="17" t="str">
        <f ca="1">IFERROR(_xlfn.SINGLE(INDEX(#REF!,'Weekly Report'!AN664)),"")</f>
        <v/>
      </c>
      <c r="AP664" s="12" t="str">
        <f ca="1">IFERROR(_xlfn.SINGLE(INDEX(#REF!,'Weekly Report'!AN664)),"")</f>
        <v/>
      </c>
    </row>
    <row r="665" spans="36:42">
      <c r="AJ665" s="12" t="str">
        <f ca="1">IFERROR(MATCH($B$114,OFFSET(#REF!,AJ664,0,1000000),0)+AJ664,"")</f>
        <v/>
      </c>
      <c r="AK665" s="17" t="str">
        <f ca="1">IFERROR(_xlfn.SINGLE(INDEX(#REF!,'Weekly Report'!AJ665)),"")</f>
        <v/>
      </c>
      <c r="AL665" s="12" t="str">
        <f ca="1">IFERROR(_xlfn.SINGLE(INDEX(#REF!,'Weekly Report'!AJ665)),"")</f>
        <v/>
      </c>
      <c r="AN665" s="12" t="str">
        <f ca="1">IFERROR(MATCH($G$115,OFFSET(#REF!,AN664,0,1000000),0)+AN664,"")</f>
        <v/>
      </c>
      <c r="AO665" s="17" t="str">
        <f ca="1">IFERROR(_xlfn.SINGLE(INDEX(#REF!,'Weekly Report'!AN665)),"")</f>
        <v/>
      </c>
      <c r="AP665" s="12" t="str">
        <f ca="1">IFERROR(_xlfn.SINGLE(INDEX(#REF!,'Weekly Report'!AN665)),"")</f>
        <v/>
      </c>
    </row>
    <row r="666" spans="36:42">
      <c r="AJ666" s="12" t="str">
        <f ca="1">IFERROR(MATCH($B$114,OFFSET(#REF!,AJ665,0,1000000),0)+AJ665,"")</f>
        <v/>
      </c>
      <c r="AK666" s="17" t="str">
        <f ca="1">IFERROR(_xlfn.SINGLE(INDEX(#REF!,'Weekly Report'!AJ666)),"")</f>
        <v/>
      </c>
      <c r="AL666" s="12" t="str">
        <f ca="1">IFERROR(_xlfn.SINGLE(INDEX(#REF!,'Weekly Report'!AJ666)),"")</f>
        <v/>
      </c>
      <c r="AN666" s="12" t="str">
        <f ca="1">IFERROR(MATCH($G$115,OFFSET(#REF!,AN665,0,1000000),0)+AN665,"")</f>
        <v/>
      </c>
      <c r="AO666" s="17" t="str">
        <f ca="1">IFERROR(_xlfn.SINGLE(INDEX(#REF!,'Weekly Report'!AN666)),"")</f>
        <v/>
      </c>
      <c r="AP666" s="12" t="str">
        <f ca="1">IFERROR(_xlfn.SINGLE(INDEX(#REF!,'Weekly Report'!AN666)),"")</f>
        <v/>
      </c>
    </row>
    <row r="667" spans="36:42">
      <c r="AJ667" s="12" t="str">
        <f ca="1">IFERROR(MATCH($B$114,OFFSET(#REF!,AJ666,0,1000000),0)+AJ666,"")</f>
        <v/>
      </c>
      <c r="AK667" s="17" t="str">
        <f ca="1">IFERROR(_xlfn.SINGLE(INDEX(#REF!,'Weekly Report'!AJ667)),"")</f>
        <v/>
      </c>
      <c r="AL667" s="12" t="str">
        <f ca="1">IFERROR(_xlfn.SINGLE(INDEX(#REF!,'Weekly Report'!AJ667)),"")</f>
        <v/>
      </c>
      <c r="AN667" s="12" t="str">
        <f ca="1">IFERROR(MATCH($G$115,OFFSET(#REF!,AN666,0,1000000),0)+AN666,"")</f>
        <v/>
      </c>
      <c r="AO667" s="17" t="str">
        <f ca="1">IFERROR(_xlfn.SINGLE(INDEX(#REF!,'Weekly Report'!AN667)),"")</f>
        <v/>
      </c>
      <c r="AP667" s="12" t="str">
        <f ca="1">IFERROR(_xlfn.SINGLE(INDEX(#REF!,'Weekly Report'!AN667)),"")</f>
        <v/>
      </c>
    </row>
    <row r="668" spans="36:42">
      <c r="AJ668" s="12" t="str">
        <f ca="1">IFERROR(MATCH($B$114,OFFSET(#REF!,AJ667,0,1000000),0)+AJ667,"")</f>
        <v/>
      </c>
      <c r="AK668" s="17" t="str">
        <f ca="1">IFERROR(_xlfn.SINGLE(INDEX(#REF!,'Weekly Report'!AJ668)),"")</f>
        <v/>
      </c>
      <c r="AL668" s="12" t="str">
        <f ca="1">IFERROR(_xlfn.SINGLE(INDEX(#REF!,'Weekly Report'!AJ668)),"")</f>
        <v/>
      </c>
      <c r="AN668" s="12" t="str">
        <f ca="1">IFERROR(MATCH($G$115,OFFSET(#REF!,AN667,0,1000000),0)+AN667,"")</f>
        <v/>
      </c>
      <c r="AO668" s="17" t="str">
        <f ca="1">IFERROR(_xlfn.SINGLE(INDEX(#REF!,'Weekly Report'!AN668)),"")</f>
        <v/>
      </c>
      <c r="AP668" s="12" t="str">
        <f ca="1">IFERROR(_xlfn.SINGLE(INDEX(#REF!,'Weekly Report'!AN668)),"")</f>
        <v/>
      </c>
    </row>
    <row r="669" spans="36:42">
      <c r="AJ669" s="12" t="str">
        <f ca="1">IFERROR(MATCH($B$114,OFFSET(#REF!,AJ668,0,1000000),0)+AJ668,"")</f>
        <v/>
      </c>
      <c r="AK669" s="17" t="str">
        <f ca="1">IFERROR(_xlfn.SINGLE(INDEX(#REF!,'Weekly Report'!AJ669)),"")</f>
        <v/>
      </c>
      <c r="AL669" s="12" t="str">
        <f ca="1">IFERROR(_xlfn.SINGLE(INDEX(#REF!,'Weekly Report'!AJ669)),"")</f>
        <v/>
      </c>
      <c r="AN669" s="12" t="str">
        <f ca="1">IFERROR(MATCH($G$115,OFFSET(#REF!,AN668,0,1000000),0)+AN668,"")</f>
        <v/>
      </c>
      <c r="AO669" s="17" t="str">
        <f ca="1">IFERROR(_xlfn.SINGLE(INDEX(#REF!,'Weekly Report'!AN669)),"")</f>
        <v/>
      </c>
      <c r="AP669" s="12" t="str">
        <f ca="1">IFERROR(_xlfn.SINGLE(INDEX(#REF!,'Weekly Report'!AN669)),"")</f>
        <v/>
      </c>
    </row>
    <row r="670" spans="36:42">
      <c r="AJ670" s="12" t="str">
        <f ca="1">IFERROR(MATCH($B$114,OFFSET(#REF!,AJ669,0,1000000),0)+AJ669,"")</f>
        <v/>
      </c>
      <c r="AK670" s="17" t="str">
        <f ca="1">IFERROR(_xlfn.SINGLE(INDEX(#REF!,'Weekly Report'!AJ670)),"")</f>
        <v/>
      </c>
      <c r="AL670" s="12" t="str">
        <f ca="1">IFERROR(_xlfn.SINGLE(INDEX(#REF!,'Weekly Report'!AJ670)),"")</f>
        <v/>
      </c>
      <c r="AN670" s="12" t="str">
        <f ca="1">IFERROR(MATCH($G$115,OFFSET(#REF!,AN669,0,1000000),0)+AN669,"")</f>
        <v/>
      </c>
      <c r="AO670" s="17" t="str">
        <f ca="1">IFERROR(_xlfn.SINGLE(INDEX(#REF!,'Weekly Report'!AN670)),"")</f>
        <v/>
      </c>
      <c r="AP670" s="12" t="str">
        <f ca="1">IFERROR(_xlfn.SINGLE(INDEX(#REF!,'Weekly Report'!AN670)),"")</f>
        <v/>
      </c>
    </row>
    <row r="671" spans="36:42">
      <c r="AJ671" s="12" t="str">
        <f ca="1">IFERROR(MATCH($B$114,OFFSET(#REF!,AJ670,0,1000000),0)+AJ670,"")</f>
        <v/>
      </c>
      <c r="AK671" s="17" t="str">
        <f ca="1">IFERROR(_xlfn.SINGLE(INDEX(#REF!,'Weekly Report'!AJ671)),"")</f>
        <v/>
      </c>
      <c r="AL671" s="12" t="str">
        <f ca="1">IFERROR(_xlfn.SINGLE(INDEX(#REF!,'Weekly Report'!AJ671)),"")</f>
        <v/>
      </c>
      <c r="AN671" s="12" t="str">
        <f ca="1">IFERROR(MATCH($G$115,OFFSET(#REF!,AN670,0,1000000),0)+AN670,"")</f>
        <v/>
      </c>
      <c r="AO671" s="17" t="str">
        <f ca="1">IFERROR(_xlfn.SINGLE(INDEX(#REF!,'Weekly Report'!AN671)),"")</f>
        <v/>
      </c>
      <c r="AP671" s="12" t="str">
        <f ca="1">IFERROR(_xlfn.SINGLE(INDEX(#REF!,'Weekly Report'!AN671)),"")</f>
        <v/>
      </c>
    </row>
    <row r="672" spans="36:42">
      <c r="AJ672" s="12" t="str">
        <f ca="1">IFERROR(MATCH($B$114,OFFSET(#REF!,AJ671,0,1000000),0)+AJ671,"")</f>
        <v/>
      </c>
      <c r="AK672" s="17" t="str">
        <f ca="1">IFERROR(_xlfn.SINGLE(INDEX(#REF!,'Weekly Report'!AJ672)),"")</f>
        <v/>
      </c>
      <c r="AL672" s="12" t="str">
        <f ca="1">IFERROR(_xlfn.SINGLE(INDEX(#REF!,'Weekly Report'!AJ672)),"")</f>
        <v/>
      </c>
      <c r="AN672" s="12" t="str">
        <f ca="1">IFERROR(MATCH($G$115,OFFSET(#REF!,AN671,0,1000000),0)+AN671,"")</f>
        <v/>
      </c>
      <c r="AO672" s="17" t="str">
        <f ca="1">IFERROR(_xlfn.SINGLE(INDEX(#REF!,'Weekly Report'!AN672)),"")</f>
        <v/>
      </c>
      <c r="AP672" s="12" t="str">
        <f ca="1">IFERROR(_xlfn.SINGLE(INDEX(#REF!,'Weekly Report'!AN672)),"")</f>
        <v/>
      </c>
    </row>
    <row r="673" spans="36:42">
      <c r="AJ673" s="12" t="str">
        <f ca="1">IFERROR(MATCH($B$114,OFFSET(#REF!,AJ672,0,1000000),0)+AJ672,"")</f>
        <v/>
      </c>
      <c r="AK673" s="17" t="str">
        <f ca="1">IFERROR(_xlfn.SINGLE(INDEX(#REF!,'Weekly Report'!AJ673)),"")</f>
        <v/>
      </c>
      <c r="AL673" s="12" t="str">
        <f ca="1">IFERROR(_xlfn.SINGLE(INDEX(#REF!,'Weekly Report'!AJ673)),"")</f>
        <v/>
      </c>
      <c r="AN673" s="12" t="str">
        <f ca="1">IFERROR(MATCH($G$115,OFFSET(#REF!,AN672,0,1000000),0)+AN672,"")</f>
        <v/>
      </c>
      <c r="AO673" s="17" t="str">
        <f ca="1">IFERROR(_xlfn.SINGLE(INDEX(#REF!,'Weekly Report'!AN673)),"")</f>
        <v/>
      </c>
      <c r="AP673" s="12" t="str">
        <f ca="1">IFERROR(_xlfn.SINGLE(INDEX(#REF!,'Weekly Report'!AN673)),"")</f>
        <v/>
      </c>
    </row>
    <row r="674" spans="36:42">
      <c r="AJ674" s="12" t="str">
        <f ca="1">IFERROR(MATCH($B$114,OFFSET(#REF!,AJ673,0,1000000),0)+AJ673,"")</f>
        <v/>
      </c>
      <c r="AK674" s="17" t="str">
        <f ca="1">IFERROR(_xlfn.SINGLE(INDEX(#REF!,'Weekly Report'!AJ674)),"")</f>
        <v/>
      </c>
      <c r="AL674" s="12" t="str">
        <f ca="1">IFERROR(_xlfn.SINGLE(INDEX(#REF!,'Weekly Report'!AJ674)),"")</f>
        <v/>
      </c>
      <c r="AN674" s="12" t="str">
        <f ca="1">IFERROR(MATCH($G$115,OFFSET(#REF!,AN673,0,1000000),0)+AN673,"")</f>
        <v/>
      </c>
      <c r="AO674" s="17" t="str">
        <f ca="1">IFERROR(_xlfn.SINGLE(INDEX(#REF!,'Weekly Report'!AN674)),"")</f>
        <v/>
      </c>
      <c r="AP674" s="12" t="str">
        <f ca="1">IFERROR(_xlfn.SINGLE(INDEX(#REF!,'Weekly Report'!AN674)),"")</f>
        <v/>
      </c>
    </row>
    <row r="675" spans="36:42">
      <c r="AJ675" s="12" t="str">
        <f ca="1">IFERROR(MATCH($B$114,OFFSET(#REF!,AJ674,0,1000000),0)+AJ674,"")</f>
        <v/>
      </c>
      <c r="AK675" s="17" t="str">
        <f ca="1">IFERROR(_xlfn.SINGLE(INDEX(#REF!,'Weekly Report'!AJ675)),"")</f>
        <v/>
      </c>
      <c r="AL675" s="12" t="str">
        <f ca="1">IFERROR(_xlfn.SINGLE(INDEX(#REF!,'Weekly Report'!AJ675)),"")</f>
        <v/>
      </c>
      <c r="AN675" s="12" t="str">
        <f ca="1">IFERROR(MATCH($G$115,OFFSET(#REF!,AN674,0,1000000),0)+AN674,"")</f>
        <v/>
      </c>
      <c r="AO675" s="17" t="str">
        <f ca="1">IFERROR(_xlfn.SINGLE(INDEX(#REF!,'Weekly Report'!AN675)),"")</f>
        <v/>
      </c>
      <c r="AP675" s="12" t="str">
        <f ca="1">IFERROR(_xlfn.SINGLE(INDEX(#REF!,'Weekly Report'!AN675)),"")</f>
        <v/>
      </c>
    </row>
    <row r="676" spans="36:42">
      <c r="AJ676" s="12" t="str">
        <f ca="1">IFERROR(MATCH($B$114,OFFSET(#REF!,AJ675,0,1000000),0)+AJ675,"")</f>
        <v/>
      </c>
      <c r="AK676" s="17" t="str">
        <f ca="1">IFERROR(_xlfn.SINGLE(INDEX(#REF!,'Weekly Report'!AJ676)),"")</f>
        <v/>
      </c>
      <c r="AL676" s="12" t="str">
        <f ca="1">IFERROR(_xlfn.SINGLE(INDEX(#REF!,'Weekly Report'!AJ676)),"")</f>
        <v/>
      </c>
      <c r="AN676" s="12" t="str">
        <f ca="1">IFERROR(MATCH($G$115,OFFSET(#REF!,AN675,0,1000000),0)+AN675,"")</f>
        <v/>
      </c>
      <c r="AO676" s="17" t="str">
        <f ca="1">IFERROR(_xlfn.SINGLE(INDEX(#REF!,'Weekly Report'!AN676)),"")</f>
        <v/>
      </c>
      <c r="AP676" s="12" t="str">
        <f ca="1">IFERROR(_xlfn.SINGLE(INDEX(#REF!,'Weekly Report'!AN676)),"")</f>
        <v/>
      </c>
    </row>
    <row r="677" spans="36:42">
      <c r="AJ677" s="12" t="str">
        <f ca="1">IFERROR(MATCH($B$114,OFFSET(#REF!,AJ676,0,1000000),0)+AJ676,"")</f>
        <v/>
      </c>
      <c r="AK677" s="17" t="str">
        <f ca="1">IFERROR(_xlfn.SINGLE(INDEX(#REF!,'Weekly Report'!AJ677)),"")</f>
        <v/>
      </c>
      <c r="AL677" s="12" t="str">
        <f ca="1">IFERROR(_xlfn.SINGLE(INDEX(#REF!,'Weekly Report'!AJ677)),"")</f>
        <v/>
      </c>
      <c r="AN677" s="12" t="str">
        <f ca="1">IFERROR(MATCH($G$115,OFFSET(#REF!,AN676,0,1000000),0)+AN676,"")</f>
        <v/>
      </c>
      <c r="AO677" s="17" t="str">
        <f ca="1">IFERROR(_xlfn.SINGLE(INDEX(#REF!,'Weekly Report'!AN677)),"")</f>
        <v/>
      </c>
      <c r="AP677" s="12" t="str">
        <f ca="1">IFERROR(_xlfn.SINGLE(INDEX(#REF!,'Weekly Report'!AN677)),"")</f>
        <v/>
      </c>
    </row>
    <row r="678" spans="36:42">
      <c r="AJ678" s="12" t="str">
        <f ca="1">IFERROR(MATCH($B$114,OFFSET(#REF!,AJ677,0,1000000),0)+AJ677,"")</f>
        <v/>
      </c>
      <c r="AK678" s="17" t="str">
        <f ca="1">IFERROR(_xlfn.SINGLE(INDEX(#REF!,'Weekly Report'!AJ678)),"")</f>
        <v/>
      </c>
      <c r="AL678" s="12" t="str">
        <f ca="1">IFERROR(_xlfn.SINGLE(INDEX(#REF!,'Weekly Report'!AJ678)),"")</f>
        <v/>
      </c>
      <c r="AN678" s="12" t="str">
        <f ca="1">IFERROR(MATCH($G$115,OFFSET(#REF!,AN677,0,1000000),0)+AN677,"")</f>
        <v/>
      </c>
      <c r="AO678" s="17" t="str">
        <f ca="1">IFERROR(_xlfn.SINGLE(INDEX(#REF!,'Weekly Report'!AN678)),"")</f>
        <v/>
      </c>
      <c r="AP678" s="12" t="str">
        <f ca="1">IFERROR(_xlfn.SINGLE(INDEX(#REF!,'Weekly Report'!AN678)),"")</f>
        <v/>
      </c>
    </row>
    <row r="679" spans="36:42">
      <c r="AJ679" s="12" t="str">
        <f ca="1">IFERROR(MATCH($B$114,OFFSET(#REF!,AJ678,0,1000000),0)+AJ678,"")</f>
        <v/>
      </c>
      <c r="AK679" s="17" t="str">
        <f ca="1">IFERROR(_xlfn.SINGLE(INDEX(#REF!,'Weekly Report'!AJ679)),"")</f>
        <v/>
      </c>
      <c r="AL679" s="12" t="str">
        <f ca="1">IFERROR(_xlfn.SINGLE(INDEX(#REF!,'Weekly Report'!AJ679)),"")</f>
        <v/>
      </c>
      <c r="AN679" s="12" t="str">
        <f ca="1">IFERROR(MATCH($G$115,OFFSET(#REF!,AN678,0,1000000),0)+AN678,"")</f>
        <v/>
      </c>
      <c r="AO679" s="17" t="str">
        <f ca="1">IFERROR(_xlfn.SINGLE(INDEX(#REF!,'Weekly Report'!AN679)),"")</f>
        <v/>
      </c>
      <c r="AP679" s="12" t="str">
        <f ca="1">IFERROR(_xlfn.SINGLE(INDEX(#REF!,'Weekly Report'!AN679)),"")</f>
        <v/>
      </c>
    </row>
    <row r="680" spans="36:42">
      <c r="AJ680" s="12" t="str">
        <f ca="1">IFERROR(MATCH($B$114,OFFSET(#REF!,AJ679,0,1000000),0)+AJ679,"")</f>
        <v/>
      </c>
      <c r="AK680" s="17" t="str">
        <f ca="1">IFERROR(_xlfn.SINGLE(INDEX(#REF!,'Weekly Report'!AJ680)),"")</f>
        <v/>
      </c>
      <c r="AL680" s="12" t="str">
        <f ca="1">IFERROR(_xlfn.SINGLE(INDEX(#REF!,'Weekly Report'!AJ680)),"")</f>
        <v/>
      </c>
      <c r="AN680" s="12" t="str">
        <f ca="1">IFERROR(MATCH($G$115,OFFSET(#REF!,AN679,0,1000000),0)+AN679,"")</f>
        <v/>
      </c>
      <c r="AO680" s="17" t="str">
        <f ca="1">IFERROR(_xlfn.SINGLE(INDEX(#REF!,'Weekly Report'!AN680)),"")</f>
        <v/>
      </c>
      <c r="AP680" s="12" t="str">
        <f ca="1">IFERROR(_xlfn.SINGLE(INDEX(#REF!,'Weekly Report'!AN680)),"")</f>
        <v/>
      </c>
    </row>
    <row r="681" spans="36:42">
      <c r="AJ681" s="12" t="str">
        <f ca="1">IFERROR(MATCH($B$114,OFFSET(#REF!,AJ680,0,1000000),0)+AJ680,"")</f>
        <v/>
      </c>
      <c r="AK681" s="17" t="str">
        <f ca="1">IFERROR(_xlfn.SINGLE(INDEX(#REF!,'Weekly Report'!AJ681)),"")</f>
        <v/>
      </c>
      <c r="AL681" s="12" t="str">
        <f ca="1">IFERROR(_xlfn.SINGLE(INDEX(#REF!,'Weekly Report'!AJ681)),"")</f>
        <v/>
      </c>
      <c r="AN681" s="12" t="str">
        <f ca="1">IFERROR(MATCH($G$115,OFFSET(#REF!,AN680,0,1000000),0)+AN680,"")</f>
        <v/>
      </c>
      <c r="AO681" s="17" t="str">
        <f ca="1">IFERROR(_xlfn.SINGLE(INDEX(#REF!,'Weekly Report'!AN681)),"")</f>
        <v/>
      </c>
      <c r="AP681" s="12" t="str">
        <f ca="1">IFERROR(_xlfn.SINGLE(INDEX(#REF!,'Weekly Report'!AN681)),"")</f>
        <v/>
      </c>
    </row>
    <row r="682" spans="36:42">
      <c r="AJ682" s="12" t="str">
        <f ca="1">IFERROR(MATCH($B$114,OFFSET(#REF!,AJ681,0,1000000),0)+AJ681,"")</f>
        <v/>
      </c>
      <c r="AK682" s="17" t="str">
        <f ca="1">IFERROR(_xlfn.SINGLE(INDEX(#REF!,'Weekly Report'!AJ682)),"")</f>
        <v/>
      </c>
      <c r="AL682" s="12" t="str">
        <f ca="1">IFERROR(_xlfn.SINGLE(INDEX(#REF!,'Weekly Report'!AJ682)),"")</f>
        <v/>
      </c>
      <c r="AN682" s="12" t="str">
        <f ca="1">IFERROR(MATCH($G$115,OFFSET(#REF!,AN681,0,1000000),0)+AN681,"")</f>
        <v/>
      </c>
      <c r="AO682" s="17" t="str">
        <f ca="1">IFERROR(_xlfn.SINGLE(INDEX(#REF!,'Weekly Report'!AN682)),"")</f>
        <v/>
      </c>
      <c r="AP682" s="12" t="str">
        <f ca="1">IFERROR(_xlfn.SINGLE(INDEX(#REF!,'Weekly Report'!AN682)),"")</f>
        <v/>
      </c>
    </row>
    <row r="683" spans="36:42">
      <c r="AJ683" s="12" t="str">
        <f ca="1">IFERROR(MATCH($B$114,OFFSET(#REF!,AJ682,0,1000000),0)+AJ682,"")</f>
        <v/>
      </c>
      <c r="AK683" s="17" t="str">
        <f ca="1">IFERROR(_xlfn.SINGLE(INDEX(#REF!,'Weekly Report'!AJ683)),"")</f>
        <v/>
      </c>
      <c r="AL683" s="12" t="str">
        <f ca="1">IFERROR(_xlfn.SINGLE(INDEX(#REF!,'Weekly Report'!AJ683)),"")</f>
        <v/>
      </c>
      <c r="AN683" s="12" t="str">
        <f ca="1">IFERROR(MATCH($G$115,OFFSET(#REF!,AN682,0,1000000),0)+AN682,"")</f>
        <v/>
      </c>
      <c r="AO683" s="17" t="str">
        <f ca="1">IFERROR(_xlfn.SINGLE(INDEX(#REF!,'Weekly Report'!AN683)),"")</f>
        <v/>
      </c>
      <c r="AP683" s="12" t="str">
        <f ca="1">IFERROR(_xlfn.SINGLE(INDEX(#REF!,'Weekly Report'!AN683)),"")</f>
        <v/>
      </c>
    </row>
    <row r="684" spans="36:42">
      <c r="AJ684" s="12" t="str">
        <f ca="1">IFERROR(MATCH($B$114,OFFSET(#REF!,AJ683,0,1000000),0)+AJ683,"")</f>
        <v/>
      </c>
      <c r="AK684" s="17" t="str">
        <f ca="1">IFERROR(_xlfn.SINGLE(INDEX(#REF!,'Weekly Report'!AJ684)),"")</f>
        <v/>
      </c>
      <c r="AL684" s="12" t="str">
        <f ca="1">IFERROR(_xlfn.SINGLE(INDEX(#REF!,'Weekly Report'!AJ684)),"")</f>
        <v/>
      </c>
      <c r="AN684" s="12" t="str">
        <f ca="1">IFERROR(MATCH($G$115,OFFSET(#REF!,AN683,0,1000000),0)+AN683,"")</f>
        <v/>
      </c>
      <c r="AO684" s="17" t="str">
        <f ca="1">IFERROR(_xlfn.SINGLE(INDEX(#REF!,'Weekly Report'!AN684)),"")</f>
        <v/>
      </c>
      <c r="AP684" s="12" t="str">
        <f ca="1">IFERROR(_xlfn.SINGLE(INDEX(#REF!,'Weekly Report'!AN684)),"")</f>
        <v/>
      </c>
    </row>
    <row r="685" spans="36:42">
      <c r="AJ685" s="12" t="str">
        <f ca="1">IFERROR(MATCH($B$114,OFFSET(#REF!,AJ684,0,1000000),0)+AJ684,"")</f>
        <v/>
      </c>
      <c r="AK685" s="17" t="str">
        <f ca="1">IFERROR(_xlfn.SINGLE(INDEX(#REF!,'Weekly Report'!AJ685)),"")</f>
        <v/>
      </c>
      <c r="AL685" s="12" t="str">
        <f ca="1">IFERROR(_xlfn.SINGLE(INDEX(#REF!,'Weekly Report'!AJ685)),"")</f>
        <v/>
      </c>
      <c r="AN685" s="12" t="str">
        <f ca="1">IFERROR(MATCH($G$115,OFFSET(#REF!,AN684,0,1000000),0)+AN684,"")</f>
        <v/>
      </c>
      <c r="AO685" s="17" t="str">
        <f ca="1">IFERROR(_xlfn.SINGLE(INDEX(#REF!,'Weekly Report'!AN685)),"")</f>
        <v/>
      </c>
      <c r="AP685" s="12" t="str">
        <f ca="1">IFERROR(_xlfn.SINGLE(INDEX(#REF!,'Weekly Report'!AN685)),"")</f>
        <v/>
      </c>
    </row>
    <row r="686" spans="36:42">
      <c r="AJ686" s="12" t="str">
        <f ca="1">IFERROR(MATCH($B$114,OFFSET(#REF!,AJ685,0,1000000),0)+AJ685,"")</f>
        <v/>
      </c>
      <c r="AK686" s="17" t="str">
        <f ca="1">IFERROR(_xlfn.SINGLE(INDEX(#REF!,'Weekly Report'!AJ686)),"")</f>
        <v/>
      </c>
      <c r="AL686" s="12" t="str">
        <f ca="1">IFERROR(_xlfn.SINGLE(INDEX(#REF!,'Weekly Report'!AJ686)),"")</f>
        <v/>
      </c>
      <c r="AN686" s="12" t="str">
        <f ca="1">IFERROR(MATCH($G$115,OFFSET(#REF!,AN685,0,1000000),0)+AN685,"")</f>
        <v/>
      </c>
      <c r="AO686" s="17" t="str">
        <f ca="1">IFERROR(_xlfn.SINGLE(INDEX(#REF!,'Weekly Report'!AN686)),"")</f>
        <v/>
      </c>
      <c r="AP686" s="12" t="str">
        <f ca="1">IFERROR(_xlfn.SINGLE(INDEX(#REF!,'Weekly Report'!AN686)),"")</f>
        <v/>
      </c>
    </row>
    <row r="687" spans="36:42">
      <c r="AJ687" s="12" t="str">
        <f ca="1">IFERROR(MATCH($B$114,OFFSET(#REF!,AJ686,0,1000000),0)+AJ686,"")</f>
        <v/>
      </c>
      <c r="AK687" s="17" t="str">
        <f ca="1">IFERROR(_xlfn.SINGLE(INDEX(#REF!,'Weekly Report'!AJ687)),"")</f>
        <v/>
      </c>
      <c r="AL687" s="12" t="str">
        <f ca="1">IFERROR(_xlfn.SINGLE(INDEX(#REF!,'Weekly Report'!AJ687)),"")</f>
        <v/>
      </c>
      <c r="AN687" s="12" t="str">
        <f ca="1">IFERROR(MATCH($G$115,OFFSET(#REF!,AN686,0,1000000),0)+AN686,"")</f>
        <v/>
      </c>
      <c r="AO687" s="17" t="str">
        <f ca="1">IFERROR(_xlfn.SINGLE(INDEX(#REF!,'Weekly Report'!AN687)),"")</f>
        <v/>
      </c>
      <c r="AP687" s="12" t="str">
        <f ca="1">IFERROR(_xlfn.SINGLE(INDEX(#REF!,'Weekly Report'!AN687)),"")</f>
        <v/>
      </c>
    </row>
    <row r="688" spans="36:42">
      <c r="AJ688" s="12" t="str">
        <f ca="1">IFERROR(MATCH($B$114,OFFSET(#REF!,AJ687,0,1000000),0)+AJ687,"")</f>
        <v/>
      </c>
      <c r="AK688" s="17" t="str">
        <f ca="1">IFERROR(_xlfn.SINGLE(INDEX(#REF!,'Weekly Report'!AJ688)),"")</f>
        <v/>
      </c>
      <c r="AL688" s="12" t="str">
        <f ca="1">IFERROR(_xlfn.SINGLE(INDEX(#REF!,'Weekly Report'!AJ688)),"")</f>
        <v/>
      </c>
      <c r="AN688" s="12" t="str">
        <f ca="1">IFERROR(MATCH($G$115,OFFSET(#REF!,AN687,0,1000000),0)+AN687,"")</f>
        <v/>
      </c>
      <c r="AO688" s="17" t="str">
        <f ca="1">IFERROR(_xlfn.SINGLE(INDEX(#REF!,'Weekly Report'!AN688)),"")</f>
        <v/>
      </c>
      <c r="AP688" s="12" t="str">
        <f ca="1">IFERROR(_xlfn.SINGLE(INDEX(#REF!,'Weekly Report'!AN688)),"")</f>
        <v/>
      </c>
    </row>
    <row r="689" spans="36:42">
      <c r="AJ689" s="12" t="str">
        <f ca="1">IFERROR(MATCH($B$114,OFFSET(#REF!,AJ688,0,1000000),0)+AJ688,"")</f>
        <v/>
      </c>
      <c r="AK689" s="17" t="str">
        <f ca="1">IFERROR(_xlfn.SINGLE(INDEX(#REF!,'Weekly Report'!AJ689)),"")</f>
        <v/>
      </c>
      <c r="AL689" s="12" t="str">
        <f ca="1">IFERROR(_xlfn.SINGLE(INDEX(#REF!,'Weekly Report'!AJ689)),"")</f>
        <v/>
      </c>
      <c r="AN689" s="12" t="str">
        <f ca="1">IFERROR(MATCH($G$115,OFFSET(#REF!,AN688,0,1000000),0)+AN688,"")</f>
        <v/>
      </c>
      <c r="AO689" s="17" t="str">
        <f ca="1">IFERROR(_xlfn.SINGLE(INDEX(#REF!,'Weekly Report'!AN689)),"")</f>
        <v/>
      </c>
      <c r="AP689" s="12" t="str">
        <f ca="1">IFERROR(_xlfn.SINGLE(INDEX(#REF!,'Weekly Report'!AN689)),"")</f>
        <v/>
      </c>
    </row>
    <row r="690" spans="36:42">
      <c r="AJ690" s="12" t="str">
        <f ca="1">IFERROR(MATCH($B$114,OFFSET(#REF!,AJ689,0,1000000),0)+AJ689,"")</f>
        <v/>
      </c>
      <c r="AK690" s="17" t="str">
        <f ca="1">IFERROR(_xlfn.SINGLE(INDEX(#REF!,'Weekly Report'!AJ690)),"")</f>
        <v/>
      </c>
      <c r="AL690" s="12" t="str">
        <f ca="1">IFERROR(_xlfn.SINGLE(INDEX(#REF!,'Weekly Report'!AJ690)),"")</f>
        <v/>
      </c>
      <c r="AN690" s="12" t="str">
        <f ca="1">IFERROR(MATCH($G$115,OFFSET(#REF!,AN689,0,1000000),0)+AN689,"")</f>
        <v/>
      </c>
      <c r="AO690" s="17" t="str">
        <f ca="1">IFERROR(_xlfn.SINGLE(INDEX(#REF!,'Weekly Report'!AN690)),"")</f>
        <v/>
      </c>
      <c r="AP690" s="12" t="str">
        <f ca="1">IFERROR(_xlfn.SINGLE(INDEX(#REF!,'Weekly Report'!AN690)),"")</f>
        <v/>
      </c>
    </row>
    <row r="691" spans="36:42">
      <c r="AJ691" s="12" t="str">
        <f ca="1">IFERROR(MATCH($B$114,OFFSET(#REF!,AJ690,0,1000000),0)+AJ690,"")</f>
        <v/>
      </c>
      <c r="AK691" s="17" t="str">
        <f ca="1">IFERROR(_xlfn.SINGLE(INDEX(#REF!,'Weekly Report'!AJ691)),"")</f>
        <v/>
      </c>
      <c r="AL691" s="12" t="str">
        <f ca="1">IFERROR(_xlfn.SINGLE(INDEX(#REF!,'Weekly Report'!AJ691)),"")</f>
        <v/>
      </c>
      <c r="AN691" s="12" t="str">
        <f ca="1">IFERROR(MATCH($G$115,OFFSET(#REF!,AN690,0,1000000),0)+AN690,"")</f>
        <v/>
      </c>
      <c r="AO691" s="17" t="str">
        <f ca="1">IFERROR(_xlfn.SINGLE(INDEX(#REF!,'Weekly Report'!AN691)),"")</f>
        <v/>
      </c>
      <c r="AP691" s="12" t="str">
        <f ca="1">IFERROR(_xlfn.SINGLE(INDEX(#REF!,'Weekly Report'!AN691)),"")</f>
        <v/>
      </c>
    </row>
    <row r="692" spans="36:42">
      <c r="AJ692" s="12" t="str">
        <f ca="1">IFERROR(MATCH($B$114,OFFSET(#REF!,AJ691,0,1000000),0)+AJ691,"")</f>
        <v/>
      </c>
      <c r="AK692" s="17" t="str">
        <f ca="1">IFERROR(_xlfn.SINGLE(INDEX(#REF!,'Weekly Report'!AJ692)),"")</f>
        <v/>
      </c>
      <c r="AL692" s="12" t="str">
        <f ca="1">IFERROR(_xlfn.SINGLE(INDEX(#REF!,'Weekly Report'!AJ692)),"")</f>
        <v/>
      </c>
      <c r="AN692" s="12" t="str">
        <f ca="1">IFERROR(MATCH($G$115,OFFSET(#REF!,AN691,0,1000000),0)+AN691,"")</f>
        <v/>
      </c>
      <c r="AO692" s="17" t="str">
        <f ca="1">IFERROR(_xlfn.SINGLE(INDEX(#REF!,'Weekly Report'!AN692)),"")</f>
        <v/>
      </c>
      <c r="AP692" s="12" t="str">
        <f ca="1">IFERROR(_xlfn.SINGLE(INDEX(#REF!,'Weekly Report'!AN692)),"")</f>
        <v/>
      </c>
    </row>
    <row r="693" spans="36:42">
      <c r="AJ693" s="12" t="str">
        <f ca="1">IFERROR(MATCH($B$114,OFFSET(#REF!,AJ692,0,1000000),0)+AJ692,"")</f>
        <v/>
      </c>
      <c r="AK693" s="17" t="str">
        <f ca="1">IFERROR(_xlfn.SINGLE(INDEX(#REF!,'Weekly Report'!AJ693)),"")</f>
        <v/>
      </c>
      <c r="AL693" s="12" t="str">
        <f ca="1">IFERROR(_xlfn.SINGLE(INDEX(#REF!,'Weekly Report'!AJ693)),"")</f>
        <v/>
      </c>
      <c r="AN693" s="12" t="str">
        <f ca="1">IFERROR(MATCH($G$115,OFFSET(#REF!,AN692,0,1000000),0)+AN692,"")</f>
        <v/>
      </c>
      <c r="AO693" s="17" t="str">
        <f ca="1">IFERROR(_xlfn.SINGLE(INDEX(#REF!,'Weekly Report'!AN693)),"")</f>
        <v/>
      </c>
      <c r="AP693" s="12" t="str">
        <f ca="1">IFERROR(_xlfn.SINGLE(INDEX(#REF!,'Weekly Report'!AN693)),"")</f>
        <v/>
      </c>
    </row>
    <row r="694" spans="36:42">
      <c r="AJ694" s="12" t="str">
        <f ca="1">IFERROR(MATCH($B$114,OFFSET(#REF!,AJ693,0,1000000),0)+AJ693,"")</f>
        <v/>
      </c>
      <c r="AK694" s="17" t="str">
        <f ca="1">IFERROR(_xlfn.SINGLE(INDEX(#REF!,'Weekly Report'!AJ694)),"")</f>
        <v/>
      </c>
      <c r="AL694" s="12" t="str">
        <f ca="1">IFERROR(_xlfn.SINGLE(INDEX(#REF!,'Weekly Report'!AJ694)),"")</f>
        <v/>
      </c>
      <c r="AN694" s="12" t="str">
        <f ca="1">IFERROR(MATCH($G$115,OFFSET(#REF!,AN693,0,1000000),0)+AN693,"")</f>
        <v/>
      </c>
      <c r="AO694" s="17" t="str">
        <f ca="1">IFERROR(_xlfn.SINGLE(INDEX(#REF!,'Weekly Report'!AN694)),"")</f>
        <v/>
      </c>
      <c r="AP694" s="12" t="str">
        <f ca="1">IFERROR(_xlfn.SINGLE(INDEX(#REF!,'Weekly Report'!AN694)),"")</f>
        <v/>
      </c>
    </row>
    <row r="695" spans="36:42">
      <c r="AJ695" s="12" t="str">
        <f ca="1">IFERROR(MATCH($B$114,OFFSET(#REF!,AJ694,0,1000000),0)+AJ694,"")</f>
        <v/>
      </c>
      <c r="AK695" s="17" t="str">
        <f ca="1">IFERROR(_xlfn.SINGLE(INDEX(#REF!,'Weekly Report'!AJ695)),"")</f>
        <v/>
      </c>
      <c r="AL695" s="12" t="str">
        <f ca="1">IFERROR(_xlfn.SINGLE(INDEX(#REF!,'Weekly Report'!AJ695)),"")</f>
        <v/>
      </c>
      <c r="AN695" s="12" t="str">
        <f ca="1">IFERROR(MATCH($G$115,OFFSET(#REF!,AN694,0,1000000),0)+AN694,"")</f>
        <v/>
      </c>
      <c r="AO695" s="17" t="str">
        <f ca="1">IFERROR(_xlfn.SINGLE(INDEX(#REF!,'Weekly Report'!AN695)),"")</f>
        <v/>
      </c>
      <c r="AP695" s="12" t="str">
        <f ca="1">IFERROR(_xlfn.SINGLE(INDEX(#REF!,'Weekly Report'!AN695)),"")</f>
        <v/>
      </c>
    </row>
    <row r="696" spans="36:42">
      <c r="AJ696" s="12" t="str">
        <f ca="1">IFERROR(MATCH($B$114,OFFSET(#REF!,AJ695,0,1000000),0)+AJ695,"")</f>
        <v/>
      </c>
      <c r="AK696" s="17" t="str">
        <f ca="1">IFERROR(_xlfn.SINGLE(INDEX(#REF!,'Weekly Report'!AJ696)),"")</f>
        <v/>
      </c>
      <c r="AL696" s="12" t="str">
        <f ca="1">IFERROR(_xlfn.SINGLE(INDEX(#REF!,'Weekly Report'!AJ696)),"")</f>
        <v/>
      </c>
      <c r="AN696" s="12" t="str">
        <f ca="1">IFERROR(MATCH($G$115,OFFSET(#REF!,AN695,0,1000000),0)+AN695,"")</f>
        <v/>
      </c>
      <c r="AO696" s="17" t="str">
        <f ca="1">IFERROR(_xlfn.SINGLE(INDEX(#REF!,'Weekly Report'!AN696)),"")</f>
        <v/>
      </c>
      <c r="AP696" s="12" t="str">
        <f ca="1">IFERROR(_xlfn.SINGLE(INDEX(#REF!,'Weekly Report'!AN696)),"")</f>
        <v/>
      </c>
    </row>
    <row r="697" spans="36:42">
      <c r="AJ697" s="12" t="str">
        <f ca="1">IFERROR(MATCH($B$114,OFFSET(#REF!,AJ696,0,1000000),0)+AJ696,"")</f>
        <v/>
      </c>
      <c r="AK697" s="17" t="str">
        <f ca="1">IFERROR(_xlfn.SINGLE(INDEX(#REF!,'Weekly Report'!AJ697)),"")</f>
        <v/>
      </c>
      <c r="AL697" s="12" t="str">
        <f ca="1">IFERROR(_xlfn.SINGLE(INDEX(#REF!,'Weekly Report'!AJ697)),"")</f>
        <v/>
      </c>
      <c r="AN697" s="12" t="str">
        <f ca="1">IFERROR(MATCH($G$115,OFFSET(#REF!,AN696,0,1000000),0)+AN696,"")</f>
        <v/>
      </c>
      <c r="AO697" s="17" t="str">
        <f ca="1">IFERROR(_xlfn.SINGLE(INDEX(#REF!,'Weekly Report'!AN697)),"")</f>
        <v/>
      </c>
      <c r="AP697" s="12" t="str">
        <f ca="1">IFERROR(_xlfn.SINGLE(INDEX(#REF!,'Weekly Report'!AN697)),"")</f>
        <v/>
      </c>
    </row>
    <row r="698" spans="36:42">
      <c r="AJ698" s="12" t="str">
        <f ca="1">IFERROR(MATCH($B$114,OFFSET(#REF!,AJ697,0,1000000),0)+AJ697,"")</f>
        <v/>
      </c>
      <c r="AK698" s="17" t="str">
        <f ca="1">IFERROR(_xlfn.SINGLE(INDEX(#REF!,'Weekly Report'!AJ698)),"")</f>
        <v/>
      </c>
      <c r="AL698" s="12" t="str">
        <f ca="1">IFERROR(_xlfn.SINGLE(INDEX(#REF!,'Weekly Report'!AJ698)),"")</f>
        <v/>
      </c>
      <c r="AN698" s="12" t="str">
        <f ca="1">IFERROR(MATCH($G$115,OFFSET(#REF!,AN697,0,1000000),0)+AN697,"")</f>
        <v/>
      </c>
      <c r="AO698" s="17" t="str">
        <f ca="1">IFERROR(_xlfn.SINGLE(INDEX(#REF!,'Weekly Report'!AN698)),"")</f>
        <v/>
      </c>
      <c r="AP698" s="12" t="str">
        <f ca="1">IFERROR(_xlfn.SINGLE(INDEX(#REF!,'Weekly Report'!AN698)),"")</f>
        <v/>
      </c>
    </row>
    <row r="699" spans="36:42">
      <c r="AJ699" s="12" t="str">
        <f ca="1">IFERROR(MATCH($B$114,OFFSET(#REF!,AJ698,0,1000000),0)+AJ698,"")</f>
        <v/>
      </c>
      <c r="AK699" s="17" t="str">
        <f ca="1">IFERROR(_xlfn.SINGLE(INDEX(#REF!,'Weekly Report'!AJ699)),"")</f>
        <v/>
      </c>
      <c r="AL699" s="12" t="str">
        <f ca="1">IFERROR(_xlfn.SINGLE(INDEX(#REF!,'Weekly Report'!AJ699)),"")</f>
        <v/>
      </c>
      <c r="AN699" s="12" t="str">
        <f ca="1">IFERROR(MATCH($G$115,OFFSET(#REF!,AN698,0,1000000),0)+AN698,"")</f>
        <v/>
      </c>
      <c r="AO699" s="17" t="str">
        <f ca="1">IFERROR(_xlfn.SINGLE(INDEX(#REF!,'Weekly Report'!AN699)),"")</f>
        <v/>
      </c>
      <c r="AP699" s="12" t="str">
        <f ca="1">IFERROR(_xlfn.SINGLE(INDEX(#REF!,'Weekly Report'!AN699)),"")</f>
        <v/>
      </c>
    </row>
    <row r="700" spans="36:42">
      <c r="AJ700" s="12" t="str">
        <f ca="1">IFERROR(MATCH($B$114,OFFSET(#REF!,AJ699,0,1000000),0)+AJ699,"")</f>
        <v/>
      </c>
      <c r="AK700" s="17" t="str">
        <f ca="1">IFERROR(_xlfn.SINGLE(INDEX(#REF!,'Weekly Report'!AJ700)),"")</f>
        <v/>
      </c>
      <c r="AL700" s="12" t="str">
        <f ca="1">IFERROR(_xlfn.SINGLE(INDEX(#REF!,'Weekly Report'!AJ700)),"")</f>
        <v/>
      </c>
      <c r="AN700" s="12" t="str">
        <f ca="1">IFERROR(MATCH($G$115,OFFSET(#REF!,AN699,0,1000000),0)+AN699,"")</f>
        <v/>
      </c>
      <c r="AO700" s="17" t="str">
        <f ca="1">IFERROR(_xlfn.SINGLE(INDEX(#REF!,'Weekly Report'!AN700)),"")</f>
        <v/>
      </c>
      <c r="AP700" s="12" t="str">
        <f ca="1">IFERROR(_xlfn.SINGLE(INDEX(#REF!,'Weekly Report'!AN700)),"")</f>
        <v/>
      </c>
    </row>
    <row r="701" spans="36:42">
      <c r="AJ701" s="12" t="str">
        <f ca="1">IFERROR(MATCH($B$114,OFFSET(#REF!,AJ700,0,1000000),0)+AJ700,"")</f>
        <v/>
      </c>
      <c r="AK701" s="17" t="str">
        <f ca="1">IFERROR(_xlfn.SINGLE(INDEX(#REF!,'Weekly Report'!AJ701)),"")</f>
        <v/>
      </c>
      <c r="AL701" s="12" t="str">
        <f ca="1">IFERROR(_xlfn.SINGLE(INDEX(#REF!,'Weekly Report'!AJ701)),"")</f>
        <v/>
      </c>
      <c r="AN701" s="12" t="str">
        <f ca="1">IFERROR(MATCH($G$115,OFFSET(#REF!,AN700,0,1000000),0)+AN700,"")</f>
        <v/>
      </c>
      <c r="AO701" s="17" t="str">
        <f ca="1">IFERROR(_xlfn.SINGLE(INDEX(#REF!,'Weekly Report'!AN701)),"")</f>
        <v/>
      </c>
      <c r="AP701" s="12" t="str">
        <f ca="1">IFERROR(_xlfn.SINGLE(INDEX(#REF!,'Weekly Report'!AN701)),"")</f>
        <v/>
      </c>
    </row>
    <row r="702" spans="36:42">
      <c r="AJ702" s="12" t="str">
        <f ca="1">IFERROR(MATCH($B$114,OFFSET(#REF!,AJ701,0,1000000),0)+AJ701,"")</f>
        <v/>
      </c>
      <c r="AK702" s="17" t="str">
        <f ca="1">IFERROR(_xlfn.SINGLE(INDEX(#REF!,'Weekly Report'!AJ702)),"")</f>
        <v/>
      </c>
      <c r="AL702" s="12" t="str">
        <f ca="1">IFERROR(_xlfn.SINGLE(INDEX(#REF!,'Weekly Report'!AJ702)),"")</f>
        <v/>
      </c>
      <c r="AN702" s="12" t="str">
        <f ca="1">IFERROR(MATCH($G$115,OFFSET(#REF!,AN701,0,1000000),0)+AN701,"")</f>
        <v/>
      </c>
      <c r="AO702" s="17" t="str">
        <f ca="1">IFERROR(_xlfn.SINGLE(INDEX(#REF!,'Weekly Report'!AN702)),"")</f>
        <v/>
      </c>
      <c r="AP702" s="12" t="str">
        <f ca="1">IFERROR(_xlfn.SINGLE(INDEX(#REF!,'Weekly Report'!AN702)),"")</f>
        <v/>
      </c>
    </row>
    <row r="703" spans="36:42">
      <c r="AJ703" s="12" t="str">
        <f ca="1">IFERROR(MATCH($B$114,OFFSET(#REF!,AJ702,0,1000000),0)+AJ702,"")</f>
        <v/>
      </c>
      <c r="AK703" s="17" t="str">
        <f ca="1">IFERROR(_xlfn.SINGLE(INDEX(#REF!,'Weekly Report'!AJ703)),"")</f>
        <v/>
      </c>
      <c r="AL703" s="12" t="str">
        <f ca="1">IFERROR(_xlfn.SINGLE(INDEX(#REF!,'Weekly Report'!AJ703)),"")</f>
        <v/>
      </c>
      <c r="AN703" s="12" t="str">
        <f ca="1">IFERROR(MATCH($G$115,OFFSET(#REF!,AN702,0,1000000),0)+AN702,"")</f>
        <v/>
      </c>
      <c r="AO703" s="17" t="str">
        <f ca="1">IFERROR(_xlfn.SINGLE(INDEX(#REF!,'Weekly Report'!AN703)),"")</f>
        <v/>
      </c>
      <c r="AP703" s="12" t="str">
        <f ca="1">IFERROR(_xlfn.SINGLE(INDEX(#REF!,'Weekly Report'!AN703)),"")</f>
        <v/>
      </c>
    </row>
    <row r="704" spans="36:42">
      <c r="AJ704" s="12" t="str">
        <f ca="1">IFERROR(MATCH($B$114,OFFSET(#REF!,AJ703,0,1000000),0)+AJ703,"")</f>
        <v/>
      </c>
      <c r="AK704" s="17" t="str">
        <f ca="1">IFERROR(_xlfn.SINGLE(INDEX(#REF!,'Weekly Report'!AJ704)),"")</f>
        <v/>
      </c>
      <c r="AL704" s="12" t="str">
        <f ca="1">IFERROR(_xlfn.SINGLE(INDEX(#REF!,'Weekly Report'!AJ704)),"")</f>
        <v/>
      </c>
      <c r="AN704" s="12" t="str">
        <f ca="1">IFERROR(MATCH($G$115,OFFSET(#REF!,AN703,0,1000000),0)+AN703,"")</f>
        <v/>
      </c>
      <c r="AO704" s="17" t="str">
        <f ca="1">IFERROR(_xlfn.SINGLE(INDEX(#REF!,'Weekly Report'!AN704)),"")</f>
        <v/>
      </c>
      <c r="AP704" s="12" t="str">
        <f ca="1">IFERROR(_xlfn.SINGLE(INDEX(#REF!,'Weekly Report'!AN704)),"")</f>
        <v/>
      </c>
    </row>
    <row r="705" spans="36:42">
      <c r="AJ705" s="12" t="str">
        <f ca="1">IFERROR(MATCH($B$114,OFFSET(#REF!,AJ704,0,1000000),0)+AJ704,"")</f>
        <v/>
      </c>
      <c r="AK705" s="17" t="str">
        <f ca="1">IFERROR(_xlfn.SINGLE(INDEX(#REF!,'Weekly Report'!AJ705)),"")</f>
        <v/>
      </c>
      <c r="AL705" s="12" t="str">
        <f ca="1">IFERROR(_xlfn.SINGLE(INDEX(#REF!,'Weekly Report'!AJ705)),"")</f>
        <v/>
      </c>
      <c r="AN705" s="12" t="str">
        <f ca="1">IFERROR(MATCH($G$115,OFFSET(#REF!,AN704,0,1000000),0)+AN704,"")</f>
        <v/>
      </c>
      <c r="AO705" s="17" t="str">
        <f ca="1">IFERROR(_xlfn.SINGLE(INDEX(#REF!,'Weekly Report'!AN705)),"")</f>
        <v/>
      </c>
      <c r="AP705" s="12" t="str">
        <f ca="1">IFERROR(_xlfn.SINGLE(INDEX(#REF!,'Weekly Report'!AN705)),"")</f>
        <v/>
      </c>
    </row>
    <row r="706" spans="36:42">
      <c r="AJ706" s="12" t="str">
        <f ca="1">IFERROR(MATCH($B$114,OFFSET(#REF!,AJ705,0,1000000),0)+AJ705,"")</f>
        <v/>
      </c>
      <c r="AK706" s="17" t="str">
        <f ca="1">IFERROR(_xlfn.SINGLE(INDEX(#REF!,'Weekly Report'!AJ706)),"")</f>
        <v/>
      </c>
      <c r="AL706" s="12" t="str">
        <f ca="1">IFERROR(_xlfn.SINGLE(INDEX(#REF!,'Weekly Report'!AJ706)),"")</f>
        <v/>
      </c>
      <c r="AN706" s="12" t="str">
        <f ca="1">IFERROR(MATCH($G$115,OFFSET(#REF!,AN705,0,1000000),0)+AN705,"")</f>
        <v/>
      </c>
      <c r="AO706" s="17" t="str">
        <f ca="1">IFERROR(_xlfn.SINGLE(INDEX(#REF!,'Weekly Report'!AN706)),"")</f>
        <v/>
      </c>
      <c r="AP706" s="12" t="str">
        <f ca="1">IFERROR(_xlfn.SINGLE(INDEX(#REF!,'Weekly Report'!AN706)),"")</f>
        <v/>
      </c>
    </row>
    <row r="707" spans="36:42">
      <c r="AJ707" s="12" t="str">
        <f ca="1">IFERROR(MATCH($B$114,OFFSET(#REF!,AJ706,0,1000000),0)+AJ706,"")</f>
        <v/>
      </c>
      <c r="AK707" s="17" t="str">
        <f ca="1">IFERROR(_xlfn.SINGLE(INDEX(#REF!,'Weekly Report'!AJ707)),"")</f>
        <v/>
      </c>
      <c r="AL707" s="12" t="str">
        <f ca="1">IFERROR(_xlfn.SINGLE(INDEX(#REF!,'Weekly Report'!AJ707)),"")</f>
        <v/>
      </c>
      <c r="AN707" s="12" t="str">
        <f ca="1">IFERROR(MATCH($G$115,OFFSET(#REF!,AN706,0,1000000),0)+AN706,"")</f>
        <v/>
      </c>
      <c r="AO707" s="17" t="str">
        <f ca="1">IFERROR(_xlfn.SINGLE(INDEX(#REF!,'Weekly Report'!AN707)),"")</f>
        <v/>
      </c>
      <c r="AP707" s="12" t="str">
        <f ca="1">IFERROR(_xlfn.SINGLE(INDEX(#REF!,'Weekly Report'!AN707)),"")</f>
        <v/>
      </c>
    </row>
    <row r="708" spans="36:42">
      <c r="AJ708" s="12" t="str">
        <f ca="1">IFERROR(MATCH($B$114,OFFSET(#REF!,AJ707,0,1000000),0)+AJ707,"")</f>
        <v/>
      </c>
      <c r="AK708" s="17" t="str">
        <f ca="1">IFERROR(_xlfn.SINGLE(INDEX(#REF!,'Weekly Report'!AJ708)),"")</f>
        <v/>
      </c>
      <c r="AL708" s="12" t="str">
        <f ca="1">IFERROR(_xlfn.SINGLE(INDEX(#REF!,'Weekly Report'!AJ708)),"")</f>
        <v/>
      </c>
      <c r="AN708" s="12" t="str">
        <f ca="1">IFERROR(MATCH($G$115,OFFSET(#REF!,AN707,0,1000000),0)+AN707,"")</f>
        <v/>
      </c>
      <c r="AO708" s="17" t="str">
        <f ca="1">IFERROR(_xlfn.SINGLE(INDEX(#REF!,'Weekly Report'!AN708)),"")</f>
        <v/>
      </c>
      <c r="AP708" s="12" t="str">
        <f ca="1">IFERROR(_xlfn.SINGLE(INDEX(#REF!,'Weekly Report'!AN708)),"")</f>
        <v/>
      </c>
    </row>
    <row r="709" spans="36:42">
      <c r="AJ709" s="12" t="str">
        <f ca="1">IFERROR(MATCH($B$114,OFFSET(#REF!,AJ708,0,1000000),0)+AJ708,"")</f>
        <v/>
      </c>
      <c r="AK709" s="17" t="str">
        <f ca="1">IFERROR(_xlfn.SINGLE(INDEX(#REF!,'Weekly Report'!AJ709)),"")</f>
        <v/>
      </c>
      <c r="AL709" s="12" t="str">
        <f ca="1">IFERROR(_xlfn.SINGLE(INDEX(#REF!,'Weekly Report'!AJ709)),"")</f>
        <v/>
      </c>
      <c r="AN709" s="12" t="str">
        <f ca="1">IFERROR(MATCH($G$115,OFFSET(#REF!,AN708,0,1000000),0)+AN708,"")</f>
        <v/>
      </c>
      <c r="AO709" s="17" t="str">
        <f ca="1">IFERROR(_xlfn.SINGLE(INDEX(#REF!,'Weekly Report'!AN709)),"")</f>
        <v/>
      </c>
      <c r="AP709" s="12" t="str">
        <f ca="1">IFERROR(_xlfn.SINGLE(INDEX(#REF!,'Weekly Report'!AN709)),"")</f>
        <v/>
      </c>
    </row>
    <row r="710" spans="36:42">
      <c r="AJ710" s="12" t="str">
        <f ca="1">IFERROR(MATCH($B$114,OFFSET(#REF!,AJ709,0,1000000),0)+AJ709,"")</f>
        <v/>
      </c>
      <c r="AK710" s="17" t="str">
        <f ca="1">IFERROR(_xlfn.SINGLE(INDEX(#REF!,'Weekly Report'!AJ710)),"")</f>
        <v/>
      </c>
      <c r="AL710" s="12" t="str">
        <f ca="1">IFERROR(_xlfn.SINGLE(INDEX(#REF!,'Weekly Report'!AJ710)),"")</f>
        <v/>
      </c>
      <c r="AN710" s="12" t="str">
        <f ca="1">IFERROR(MATCH($G$115,OFFSET(#REF!,AN709,0,1000000),0)+AN709,"")</f>
        <v/>
      </c>
      <c r="AO710" s="17" t="str">
        <f ca="1">IFERROR(_xlfn.SINGLE(INDEX(#REF!,'Weekly Report'!AN710)),"")</f>
        <v/>
      </c>
      <c r="AP710" s="12" t="str">
        <f ca="1">IFERROR(_xlfn.SINGLE(INDEX(#REF!,'Weekly Report'!AN710)),"")</f>
        <v/>
      </c>
    </row>
    <row r="711" spans="36:42">
      <c r="AJ711" s="12" t="str">
        <f ca="1">IFERROR(MATCH($B$114,OFFSET(#REF!,AJ710,0,1000000),0)+AJ710,"")</f>
        <v/>
      </c>
      <c r="AK711" s="17" t="str">
        <f ca="1">IFERROR(_xlfn.SINGLE(INDEX(#REF!,'Weekly Report'!AJ711)),"")</f>
        <v/>
      </c>
      <c r="AL711" s="12" t="str">
        <f ca="1">IFERROR(_xlfn.SINGLE(INDEX(#REF!,'Weekly Report'!AJ711)),"")</f>
        <v/>
      </c>
      <c r="AN711" s="12" t="str">
        <f ca="1">IFERROR(MATCH($G$115,OFFSET(#REF!,AN710,0,1000000),0)+AN710,"")</f>
        <v/>
      </c>
      <c r="AO711" s="17" t="str">
        <f ca="1">IFERROR(_xlfn.SINGLE(INDEX(#REF!,'Weekly Report'!AN711)),"")</f>
        <v/>
      </c>
      <c r="AP711" s="12" t="str">
        <f ca="1">IFERROR(_xlfn.SINGLE(INDEX(#REF!,'Weekly Report'!AN711)),"")</f>
        <v/>
      </c>
    </row>
    <row r="712" spans="36:42">
      <c r="AJ712" s="12" t="str">
        <f ca="1">IFERROR(MATCH($B$114,OFFSET(#REF!,AJ711,0,1000000),0)+AJ711,"")</f>
        <v/>
      </c>
      <c r="AK712" s="17" t="str">
        <f ca="1">IFERROR(_xlfn.SINGLE(INDEX(#REF!,'Weekly Report'!AJ712)),"")</f>
        <v/>
      </c>
      <c r="AL712" s="12" t="str">
        <f ca="1">IFERROR(_xlfn.SINGLE(INDEX(#REF!,'Weekly Report'!AJ712)),"")</f>
        <v/>
      </c>
      <c r="AN712" s="12" t="str">
        <f ca="1">IFERROR(MATCH($G$115,OFFSET(#REF!,AN711,0,1000000),0)+AN711,"")</f>
        <v/>
      </c>
      <c r="AO712" s="17" t="str">
        <f ca="1">IFERROR(_xlfn.SINGLE(INDEX(#REF!,'Weekly Report'!AN712)),"")</f>
        <v/>
      </c>
      <c r="AP712" s="12" t="str">
        <f ca="1">IFERROR(_xlfn.SINGLE(INDEX(#REF!,'Weekly Report'!AN712)),"")</f>
        <v/>
      </c>
    </row>
    <row r="713" spans="36:42">
      <c r="AJ713" s="12" t="str">
        <f ca="1">IFERROR(MATCH($B$114,OFFSET(#REF!,AJ712,0,1000000),0)+AJ712,"")</f>
        <v/>
      </c>
      <c r="AK713" s="17" t="str">
        <f ca="1">IFERROR(_xlfn.SINGLE(INDEX(#REF!,'Weekly Report'!AJ713)),"")</f>
        <v/>
      </c>
      <c r="AL713" s="12" t="str">
        <f ca="1">IFERROR(_xlfn.SINGLE(INDEX(#REF!,'Weekly Report'!AJ713)),"")</f>
        <v/>
      </c>
      <c r="AN713" s="12" t="str">
        <f ca="1">IFERROR(MATCH($G$115,OFFSET(#REF!,AN712,0,1000000),0)+AN712,"")</f>
        <v/>
      </c>
      <c r="AO713" s="17" t="str">
        <f ca="1">IFERROR(_xlfn.SINGLE(INDEX(#REF!,'Weekly Report'!AN713)),"")</f>
        <v/>
      </c>
      <c r="AP713" s="12" t="str">
        <f ca="1">IFERROR(_xlfn.SINGLE(INDEX(#REF!,'Weekly Report'!AN713)),"")</f>
        <v/>
      </c>
    </row>
    <row r="714" spans="36:42">
      <c r="AJ714" s="12" t="str">
        <f ca="1">IFERROR(MATCH($B$114,OFFSET(#REF!,AJ713,0,1000000),0)+AJ713,"")</f>
        <v/>
      </c>
      <c r="AK714" s="17" t="str">
        <f ca="1">IFERROR(_xlfn.SINGLE(INDEX(#REF!,'Weekly Report'!AJ714)),"")</f>
        <v/>
      </c>
      <c r="AL714" s="12" t="str">
        <f ca="1">IFERROR(_xlfn.SINGLE(INDEX(#REF!,'Weekly Report'!AJ714)),"")</f>
        <v/>
      </c>
      <c r="AN714" s="12" t="str">
        <f ca="1">IFERROR(MATCH($G$115,OFFSET(#REF!,AN713,0,1000000),0)+AN713,"")</f>
        <v/>
      </c>
      <c r="AO714" s="17" t="str">
        <f ca="1">IFERROR(_xlfn.SINGLE(INDEX(#REF!,'Weekly Report'!AN714)),"")</f>
        <v/>
      </c>
      <c r="AP714" s="12" t="str">
        <f ca="1">IFERROR(_xlfn.SINGLE(INDEX(#REF!,'Weekly Report'!AN714)),"")</f>
        <v/>
      </c>
    </row>
    <row r="715" spans="36:42">
      <c r="AJ715" s="12" t="str">
        <f ca="1">IFERROR(MATCH($B$114,OFFSET(#REF!,AJ714,0,1000000),0)+AJ714,"")</f>
        <v/>
      </c>
      <c r="AK715" s="17" t="str">
        <f ca="1">IFERROR(_xlfn.SINGLE(INDEX(#REF!,'Weekly Report'!AJ715)),"")</f>
        <v/>
      </c>
      <c r="AL715" s="12" t="str">
        <f ca="1">IFERROR(_xlfn.SINGLE(INDEX(#REF!,'Weekly Report'!AJ715)),"")</f>
        <v/>
      </c>
      <c r="AN715" s="12" t="str">
        <f ca="1">IFERROR(MATCH($G$115,OFFSET(#REF!,AN714,0,1000000),0)+AN714,"")</f>
        <v/>
      </c>
      <c r="AO715" s="17" t="str">
        <f ca="1">IFERROR(_xlfn.SINGLE(INDEX(#REF!,'Weekly Report'!AN715)),"")</f>
        <v/>
      </c>
      <c r="AP715" s="12" t="str">
        <f ca="1">IFERROR(_xlfn.SINGLE(INDEX(#REF!,'Weekly Report'!AN715)),"")</f>
        <v/>
      </c>
    </row>
    <row r="716" spans="36:42">
      <c r="AJ716" s="12" t="str">
        <f ca="1">IFERROR(MATCH($B$114,OFFSET(#REF!,AJ715,0,1000000),0)+AJ715,"")</f>
        <v/>
      </c>
      <c r="AK716" s="17" t="str">
        <f ca="1">IFERROR(_xlfn.SINGLE(INDEX(#REF!,'Weekly Report'!AJ716)),"")</f>
        <v/>
      </c>
      <c r="AL716" s="12" t="str">
        <f ca="1">IFERROR(_xlfn.SINGLE(INDEX(#REF!,'Weekly Report'!AJ716)),"")</f>
        <v/>
      </c>
      <c r="AN716" s="12" t="str">
        <f ca="1">IFERROR(MATCH($G$115,OFFSET(#REF!,AN715,0,1000000),0)+AN715,"")</f>
        <v/>
      </c>
      <c r="AO716" s="17" t="str">
        <f ca="1">IFERROR(_xlfn.SINGLE(INDEX(#REF!,'Weekly Report'!AN716)),"")</f>
        <v/>
      </c>
      <c r="AP716" s="12" t="str">
        <f ca="1">IFERROR(_xlfn.SINGLE(INDEX(#REF!,'Weekly Report'!AN716)),"")</f>
        <v/>
      </c>
    </row>
    <row r="717" spans="36:42">
      <c r="AJ717" s="12" t="str">
        <f ca="1">IFERROR(MATCH($B$114,OFFSET(#REF!,AJ716,0,1000000),0)+AJ716,"")</f>
        <v/>
      </c>
      <c r="AK717" s="17" t="str">
        <f ca="1">IFERROR(_xlfn.SINGLE(INDEX(#REF!,'Weekly Report'!AJ717)),"")</f>
        <v/>
      </c>
      <c r="AL717" s="12" t="str">
        <f ca="1">IFERROR(_xlfn.SINGLE(INDEX(#REF!,'Weekly Report'!AJ717)),"")</f>
        <v/>
      </c>
      <c r="AN717" s="12" t="str">
        <f ca="1">IFERROR(MATCH($G$115,OFFSET(#REF!,AN716,0,1000000),0)+AN716,"")</f>
        <v/>
      </c>
      <c r="AO717" s="17" t="str">
        <f ca="1">IFERROR(_xlfn.SINGLE(INDEX(#REF!,'Weekly Report'!AN717)),"")</f>
        <v/>
      </c>
      <c r="AP717" s="12" t="str">
        <f ca="1">IFERROR(_xlfn.SINGLE(INDEX(#REF!,'Weekly Report'!AN717)),"")</f>
        <v/>
      </c>
    </row>
    <row r="718" spans="36:42">
      <c r="AJ718" s="12" t="str">
        <f ca="1">IFERROR(MATCH($B$114,OFFSET(#REF!,AJ717,0,1000000),0)+AJ717,"")</f>
        <v/>
      </c>
      <c r="AK718" s="17" t="str">
        <f ca="1">IFERROR(_xlfn.SINGLE(INDEX(#REF!,'Weekly Report'!AJ718)),"")</f>
        <v/>
      </c>
      <c r="AL718" s="12" t="str">
        <f ca="1">IFERROR(_xlfn.SINGLE(INDEX(#REF!,'Weekly Report'!AJ718)),"")</f>
        <v/>
      </c>
      <c r="AN718" s="12" t="str">
        <f ca="1">IFERROR(MATCH($G$115,OFFSET(#REF!,AN717,0,1000000),0)+AN717,"")</f>
        <v/>
      </c>
      <c r="AO718" s="17" t="str">
        <f ca="1">IFERROR(_xlfn.SINGLE(INDEX(#REF!,'Weekly Report'!AN718)),"")</f>
        <v/>
      </c>
      <c r="AP718" s="12" t="str">
        <f ca="1">IFERROR(_xlfn.SINGLE(INDEX(#REF!,'Weekly Report'!AN718)),"")</f>
        <v/>
      </c>
    </row>
    <row r="719" spans="36:42">
      <c r="AJ719" s="12" t="str">
        <f ca="1">IFERROR(MATCH($B$114,OFFSET(#REF!,AJ718,0,1000000),0)+AJ718,"")</f>
        <v/>
      </c>
      <c r="AK719" s="17" t="str">
        <f ca="1">IFERROR(_xlfn.SINGLE(INDEX(#REF!,'Weekly Report'!AJ719)),"")</f>
        <v/>
      </c>
      <c r="AL719" s="12" t="str">
        <f ca="1">IFERROR(_xlfn.SINGLE(INDEX(#REF!,'Weekly Report'!AJ719)),"")</f>
        <v/>
      </c>
      <c r="AN719" s="12" t="str">
        <f ca="1">IFERROR(MATCH($G$115,OFFSET(#REF!,AN718,0,1000000),0)+AN718,"")</f>
        <v/>
      </c>
      <c r="AO719" s="17" t="str">
        <f ca="1">IFERROR(_xlfn.SINGLE(INDEX(#REF!,'Weekly Report'!AN719)),"")</f>
        <v/>
      </c>
      <c r="AP719" s="12" t="str">
        <f ca="1">IFERROR(_xlfn.SINGLE(INDEX(#REF!,'Weekly Report'!AN719)),"")</f>
        <v/>
      </c>
    </row>
    <row r="720" spans="36:42">
      <c r="AJ720" s="12" t="str">
        <f ca="1">IFERROR(MATCH($B$114,OFFSET(#REF!,AJ719,0,1000000),0)+AJ719,"")</f>
        <v/>
      </c>
      <c r="AK720" s="17" t="str">
        <f ca="1">IFERROR(_xlfn.SINGLE(INDEX(#REF!,'Weekly Report'!AJ720)),"")</f>
        <v/>
      </c>
      <c r="AL720" s="12" t="str">
        <f ca="1">IFERROR(_xlfn.SINGLE(INDEX(#REF!,'Weekly Report'!AJ720)),"")</f>
        <v/>
      </c>
      <c r="AN720" s="12" t="str">
        <f ca="1">IFERROR(MATCH($G$115,OFFSET(#REF!,AN719,0,1000000),0)+AN719,"")</f>
        <v/>
      </c>
      <c r="AO720" s="17" t="str">
        <f ca="1">IFERROR(_xlfn.SINGLE(INDEX(#REF!,'Weekly Report'!AN720)),"")</f>
        <v/>
      </c>
      <c r="AP720" s="12" t="str">
        <f ca="1">IFERROR(_xlfn.SINGLE(INDEX(#REF!,'Weekly Report'!AN720)),"")</f>
        <v/>
      </c>
    </row>
    <row r="721" spans="36:42">
      <c r="AJ721" s="12" t="str">
        <f ca="1">IFERROR(MATCH($B$114,OFFSET(#REF!,AJ720,0,1000000),0)+AJ720,"")</f>
        <v/>
      </c>
      <c r="AK721" s="17" t="str">
        <f ca="1">IFERROR(_xlfn.SINGLE(INDEX(#REF!,'Weekly Report'!AJ721)),"")</f>
        <v/>
      </c>
      <c r="AL721" s="12" t="str">
        <f ca="1">IFERROR(_xlfn.SINGLE(INDEX(#REF!,'Weekly Report'!AJ721)),"")</f>
        <v/>
      </c>
      <c r="AN721" s="12" t="str">
        <f ca="1">IFERROR(MATCH($G$115,OFFSET(#REF!,AN720,0,1000000),0)+AN720,"")</f>
        <v/>
      </c>
      <c r="AO721" s="17" t="str">
        <f ca="1">IFERROR(_xlfn.SINGLE(INDEX(#REF!,'Weekly Report'!AN721)),"")</f>
        <v/>
      </c>
      <c r="AP721" s="12" t="str">
        <f ca="1">IFERROR(_xlfn.SINGLE(INDEX(#REF!,'Weekly Report'!AN721)),"")</f>
        <v/>
      </c>
    </row>
    <row r="722" spans="36:42">
      <c r="AJ722" s="12" t="str">
        <f ca="1">IFERROR(MATCH($B$114,OFFSET(#REF!,AJ721,0,1000000),0)+AJ721,"")</f>
        <v/>
      </c>
      <c r="AK722" s="17" t="str">
        <f ca="1">IFERROR(_xlfn.SINGLE(INDEX(#REF!,'Weekly Report'!AJ722)),"")</f>
        <v/>
      </c>
      <c r="AL722" s="12" t="str">
        <f ca="1">IFERROR(_xlfn.SINGLE(INDEX(#REF!,'Weekly Report'!AJ722)),"")</f>
        <v/>
      </c>
      <c r="AN722" s="12" t="str">
        <f ca="1">IFERROR(MATCH($G$115,OFFSET(#REF!,AN721,0,1000000),0)+AN721,"")</f>
        <v/>
      </c>
      <c r="AO722" s="17" t="str">
        <f ca="1">IFERROR(_xlfn.SINGLE(INDEX(#REF!,'Weekly Report'!AN722)),"")</f>
        <v/>
      </c>
      <c r="AP722" s="12" t="str">
        <f ca="1">IFERROR(_xlfn.SINGLE(INDEX(#REF!,'Weekly Report'!AN722)),"")</f>
        <v/>
      </c>
    </row>
    <row r="723" spans="36:42">
      <c r="AJ723" s="12" t="str">
        <f ca="1">IFERROR(MATCH($B$114,OFFSET(#REF!,AJ722,0,1000000),0)+AJ722,"")</f>
        <v/>
      </c>
      <c r="AK723" s="17" t="str">
        <f ca="1">IFERROR(_xlfn.SINGLE(INDEX(#REF!,'Weekly Report'!AJ723)),"")</f>
        <v/>
      </c>
      <c r="AL723" s="12" t="str">
        <f ca="1">IFERROR(_xlfn.SINGLE(INDEX(#REF!,'Weekly Report'!AJ723)),"")</f>
        <v/>
      </c>
      <c r="AN723" s="12" t="str">
        <f ca="1">IFERROR(MATCH($G$115,OFFSET(#REF!,AN722,0,1000000),0)+AN722,"")</f>
        <v/>
      </c>
      <c r="AO723" s="17" t="str">
        <f ca="1">IFERROR(_xlfn.SINGLE(INDEX(#REF!,'Weekly Report'!AN723)),"")</f>
        <v/>
      </c>
      <c r="AP723" s="12" t="str">
        <f ca="1">IFERROR(_xlfn.SINGLE(INDEX(#REF!,'Weekly Report'!AN723)),"")</f>
        <v/>
      </c>
    </row>
    <row r="724" spans="36:42">
      <c r="AJ724" s="12" t="str">
        <f ca="1">IFERROR(MATCH($B$114,OFFSET(#REF!,AJ723,0,1000000),0)+AJ723,"")</f>
        <v/>
      </c>
      <c r="AK724" s="17" t="str">
        <f ca="1">IFERROR(_xlfn.SINGLE(INDEX(#REF!,'Weekly Report'!AJ724)),"")</f>
        <v/>
      </c>
      <c r="AL724" s="12" t="str">
        <f ca="1">IFERROR(_xlfn.SINGLE(INDEX(#REF!,'Weekly Report'!AJ724)),"")</f>
        <v/>
      </c>
      <c r="AN724" s="12" t="str">
        <f ca="1">IFERROR(MATCH($G$115,OFFSET(#REF!,AN723,0,1000000),0)+AN723,"")</f>
        <v/>
      </c>
      <c r="AO724" s="17" t="str">
        <f ca="1">IFERROR(_xlfn.SINGLE(INDEX(#REF!,'Weekly Report'!AN724)),"")</f>
        <v/>
      </c>
      <c r="AP724" s="12" t="str">
        <f ca="1">IFERROR(_xlfn.SINGLE(INDEX(#REF!,'Weekly Report'!AN724)),"")</f>
        <v/>
      </c>
    </row>
    <row r="725" spans="36:42">
      <c r="AJ725" s="12" t="str">
        <f ca="1">IFERROR(MATCH($B$114,OFFSET(#REF!,AJ724,0,1000000),0)+AJ724,"")</f>
        <v/>
      </c>
      <c r="AK725" s="17" t="str">
        <f ca="1">IFERROR(_xlfn.SINGLE(INDEX(#REF!,'Weekly Report'!AJ725)),"")</f>
        <v/>
      </c>
      <c r="AL725" s="12" t="str">
        <f ca="1">IFERROR(_xlfn.SINGLE(INDEX(#REF!,'Weekly Report'!AJ725)),"")</f>
        <v/>
      </c>
      <c r="AN725" s="12" t="str">
        <f ca="1">IFERROR(MATCH($G$115,OFFSET(#REF!,AN724,0,1000000),0)+AN724,"")</f>
        <v/>
      </c>
      <c r="AO725" s="17" t="str">
        <f ca="1">IFERROR(_xlfn.SINGLE(INDEX(#REF!,'Weekly Report'!AN725)),"")</f>
        <v/>
      </c>
      <c r="AP725" s="12" t="str">
        <f ca="1">IFERROR(_xlfn.SINGLE(INDEX(#REF!,'Weekly Report'!AN725)),"")</f>
        <v/>
      </c>
    </row>
    <row r="726" spans="36:42">
      <c r="AJ726" s="12" t="str">
        <f ca="1">IFERROR(MATCH($B$114,OFFSET(#REF!,AJ725,0,1000000),0)+AJ725,"")</f>
        <v/>
      </c>
      <c r="AK726" s="17" t="str">
        <f ca="1">IFERROR(_xlfn.SINGLE(INDEX(#REF!,'Weekly Report'!AJ726)),"")</f>
        <v/>
      </c>
      <c r="AL726" s="12" t="str">
        <f ca="1">IFERROR(_xlfn.SINGLE(INDEX(#REF!,'Weekly Report'!AJ726)),"")</f>
        <v/>
      </c>
      <c r="AN726" s="12" t="str">
        <f ca="1">IFERROR(MATCH($G$115,OFFSET(#REF!,AN725,0,1000000),0)+AN725,"")</f>
        <v/>
      </c>
      <c r="AO726" s="17" t="str">
        <f ca="1">IFERROR(_xlfn.SINGLE(INDEX(#REF!,'Weekly Report'!AN726)),"")</f>
        <v/>
      </c>
      <c r="AP726" s="12" t="str">
        <f ca="1">IFERROR(_xlfn.SINGLE(INDEX(#REF!,'Weekly Report'!AN726)),"")</f>
        <v/>
      </c>
    </row>
    <row r="727" spans="36:42">
      <c r="AJ727" s="12" t="str">
        <f ca="1">IFERROR(MATCH($B$114,OFFSET(#REF!,AJ726,0,1000000),0)+AJ726,"")</f>
        <v/>
      </c>
      <c r="AK727" s="17" t="str">
        <f ca="1">IFERROR(_xlfn.SINGLE(INDEX(#REF!,'Weekly Report'!AJ727)),"")</f>
        <v/>
      </c>
      <c r="AL727" s="12" t="str">
        <f ca="1">IFERROR(_xlfn.SINGLE(INDEX(#REF!,'Weekly Report'!AJ727)),"")</f>
        <v/>
      </c>
      <c r="AN727" s="12" t="str">
        <f ca="1">IFERROR(MATCH($G$115,OFFSET(#REF!,AN726,0,1000000),0)+AN726,"")</f>
        <v/>
      </c>
      <c r="AO727" s="17" t="str">
        <f ca="1">IFERROR(_xlfn.SINGLE(INDEX(#REF!,'Weekly Report'!AN727)),"")</f>
        <v/>
      </c>
      <c r="AP727" s="12" t="str">
        <f ca="1">IFERROR(_xlfn.SINGLE(INDEX(#REF!,'Weekly Report'!AN727)),"")</f>
        <v/>
      </c>
    </row>
    <row r="728" spans="36:42">
      <c r="AJ728" s="12" t="str">
        <f ca="1">IFERROR(MATCH($B$114,OFFSET(#REF!,AJ727,0,1000000),0)+AJ727,"")</f>
        <v/>
      </c>
      <c r="AK728" s="17" t="str">
        <f ca="1">IFERROR(_xlfn.SINGLE(INDEX(#REF!,'Weekly Report'!AJ728)),"")</f>
        <v/>
      </c>
      <c r="AL728" s="12" t="str">
        <f ca="1">IFERROR(_xlfn.SINGLE(INDEX(#REF!,'Weekly Report'!AJ728)),"")</f>
        <v/>
      </c>
      <c r="AN728" s="12" t="str">
        <f ca="1">IFERROR(MATCH($G$115,OFFSET(#REF!,AN727,0,1000000),0)+AN727,"")</f>
        <v/>
      </c>
      <c r="AO728" s="17" t="str">
        <f ca="1">IFERROR(_xlfn.SINGLE(INDEX(#REF!,'Weekly Report'!AN728)),"")</f>
        <v/>
      </c>
      <c r="AP728" s="12" t="str">
        <f ca="1">IFERROR(_xlfn.SINGLE(INDEX(#REF!,'Weekly Report'!AN728)),"")</f>
        <v/>
      </c>
    </row>
    <row r="729" spans="36:42">
      <c r="AJ729" s="12" t="str">
        <f ca="1">IFERROR(MATCH($B$114,OFFSET(#REF!,AJ728,0,1000000),0)+AJ728,"")</f>
        <v/>
      </c>
      <c r="AK729" s="17" t="str">
        <f ca="1">IFERROR(_xlfn.SINGLE(INDEX(#REF!,'Weekly Report'!AJ729)),"")</f>
        <v/>
      </c>
      <c r="AL729" s="12" t="str">
        <f ca="1">IFERROR(_xlfn.SINGLE(INDEX(#REF!,'Weekly Report'!AJ729)),"")</f>
        <v/>
      </c>
      <c r="AN729" s="12" t="str">
        <f ca="1">IFERROR(MATCH($G$115,OFFSET(#REF!,AN728,0,1000000),0)+AN728,"")</f>
        <v/>
      </c>
      <c r="AO729" s="17" t="str">
        <f ca="1">IFERROR(_xlfn.SINGLE(INDEX(#REF!,'Weekly Report'!AN729)),"")</f>
        <v/>
      </c>
      <c r="AP729" s="12" t="str">
        <f ca="1">IFERROR(_xlfn.SINGLE(INDEX(#REF!,'Weekly Report'!AN729)),"")</f>
        <v/>
      </c>
    </row>
    <row r="730" spans="36:42">
      <c r="AJ730" s="12" t="str">
        <f ca="1">IFERROR(MATCH($B$114,OFFSET(#REF!,AJ729,0,1000000),0)+AJ729,"")</f>
        <v/>
      </c>
      <c r="AK730" s="17" t="str">
        <f ca="1">IFERROR(_xlfn.SINGLE(INDEX(#REF!,'Weekly Report'!AJ730)),"")</f>
        <v/>
      </c>
      <c r="AL730" s="12" t="str">
        <f ca="1">IFERROR(_xlfn.SINGLE(INDEX(#REF!,'Weekly Report'!AJ730)),"")</f>
        <v/>
      </c>
      <c r="AN730" s="12" t="str">
        <f ca="1">IFERROR(MATCH($G$115,OFFSET(#REF!,AN729,0,1000000),0)+AN729,"")</f>
        <v/>
      </c>
      <c r="AO730" s="17" t="str">
        <f ca="1">IFERROR(_xlfn.SINGLE(INDEX(#REF!,'Weekly Report'!AN730)),"")</f>
        <v/>
      </c>
      <c r="AP730" s="12" t="str">
        <f ca="1">IFERROR(_xlfn.SINGLE(INDEX(#REF!,'Weekly Report'!AN730)),"")</f>
        <v/>
      </c>
    </row>
    <row r="731" spans="36:42">
      <c r="AJ731" s="12" t="str">
        <f ca="1">IFERROR(MATCH($B$114,OFFSET(#REF!,AJ730,0,1000000),0)+AJ730,"")</f>
        <v/>
      </c>
      <c r="AK731" s="17" t="str">
        <f ca="1">IFERROR(_xlfn.SINGLE(INDEX(#REF!,'Weekly Report'!AJ731)),"")</f>
        <v/>
      </c>
      <c r="AL731" s="12" t="str">
        <f ca="1">IFERROR(_xlfn.SINGLE(INDEX(#REF!,'Weekly Report'!AJ731)),"")</f>
        <v/>
      </c>
      <c r="AN731" s="12" t="str">
        <f ca="1">IFERROR(MATCH($G$115,OFFSET(#REF!,AN730,0,1000000),0)+AN730,"")</f>
        <v/>
      </c>
      <c r="AO731" s="17" t="str">
        <f ca="1">IFERROR(_xlfn.SINGLE(INDEX(#REF!,'Weekly Report'!AN731)),"")</f>
        <v/>
      </c>
      <c r="AP731" s="12" t="str">
        <f ca="1">IFERROR(_xlfn.SINGLE(INDEX(#REF!,'Weekly Report'!AN731)),"")</f>
        <v/>
      </c>
    </row>
    <row r="732" spans="36:42">
      <c r="AJ732" s="12" t="str">
        <f ca="1">IFERROR(MATCH($B$114,OFFSET(#REF!,AJ731,0,1000000),0)+AJ731,"")</f>
        <v/>
      </c>
      <c r="AK732" s="17" t="str">
        <f ca="1">IFERROR(_xlfn.SINGLE(INDEX(#REF!,'Weekly Report'!AJ732)),"")</f>
        <v/>
      </c>
      <c r="AL732" s="12" t="str">
        <f ca="1">IFERROR(_xlfn.SINGLE(INDEX(#REF!,'Weekly Report'!AJ732)),"")</f>
        <v/>
      </c>
      <c r="AN732" s="12" t="str">
        <f ca="1">IFERROR(MATCH($G$115,OFFSET(#REF!,AN731,0,1000000),0)+AN731,"")</f>
        <v/>
      </c>
      <c r="AO732" s="17" t="str">
        <f ca="1">IFERROR(_xlfn.SINGLE(INDEX(#REF!,'Weekly Report'!AN732)),"")</f>
        <v/>
      </c>
      <c r="AP732" s="12" t="str">
        <f ca="1">IFERROR(_xlfn.SINGLE(INDEX(#REF!,'Weekly Report'!AN732)),"")</f>
        <v/>
      </c>
    </row>
    <row r="733" spans="36:42">
      <c r="AJ733" s="12" t="str">
        <f ca="1">IFERROR(MATCH($B$114,OFFSET(#REF!,AJ732,0,1000000),0)+AJ732,"")</f>
        <v/>
      </c>
      <c r="AK733" s="17" t="str">
        <f ca="1">IFERROR(_xlfn.SINGLE(INDEX(#REF!,'Weekly Report'!AJ733)),"")</f>
        <v/>
      </c>
      <c r="AL733" s="12" t="str">
        <f ca="1">IFERROR(_xlfn.SINGLE(INDEX(#REF!,'Weekly Report'!AJ733)),"")</f>
        <v/>
      </c>
      <c r="AN733" s="12" t="str">
        <f ca="1">IFERROR(MATCH($G$115,OFFSET(#REF!,AN732,0,1000000),0)+AN732,"")</f>
        <v/>
      </c>
      <c r="AO733" s="17" t="str">
        <f ca="1">IFERROR(_xlfn.SINGLE(INDEX(#REF!,'Weekly Report'!AN733)),"")</f>
        <v/>
      </c>
      <c r="AP733" s="12" t="str">
        <f ca="1">IFERROR(_xlfn.SINGLE(INDEX(#REF!,'Weekly Report'!AN733)),"")</f>
        <v/>
      </c>
    </row>
    <row r="734" spans="36:42">
      <c r="AJ734" s="12" t="str">
        <f ca="1">IFERROR(MATCH($B$114,OFFSET(#REF!,AJ733,0,1000000),0)+AJ733,"")</f>
        <v/>
      </c>
      <c r="AK734" s="17" t="str">
        <f ca="1">IFERROR(_xlfn.SINGLE(INDEX(#REF!,'Weekly Report'!AJ734)),"")</f>
        <v/>
      </c>
      <c r="AL734" s="12" t="str">
        <f ca="1">IFERROR(_xlfn.SINGLE(INDEX(#REF!,'Weekly Report'!AJ734)),"")</f>
        <v/>
      </c>
      <c r="AN734" s="12" t="str">
        <f ca="1">IFERROR(MATCH($G$115,OFFSET(#REF!,AN733,0,1000000),0)+AN733,"")</f>
        <v/>
      </c>
      <c r="AO734" s="17" t="str">
        <f ca="1">IFERROR(_xlfn.SINGLE(INDEX(#REF!,'Weekly Report'!AN734)),"")</f>
        <v/>
      </c>
      <c r="AP734" s="12" t="str">
        <f ca="1">IFERROR(_xlfn.SINGLE(INDEX(#REF!,'Weekly Report'!AN734)),"")</f>
        <v/>
      </c>
    </row>
    <row r="735" spans="36:42">
      <c r="AJ735" s="12" t="str">
        <f ca="1">IFERROR(MATCH($B$114,OFFSET(#REF!,AJ734,0,1000000),0)+AJ734,"")</f>
        <v/>
      </c>
      <c r="AK735" s="17" t="str">
        <f ca="1">IFERROR(_xlfn.SINGLE(INDEX(#REF!,'Weekly Report'!AJ735)),"")</f>
        <v/>
      </c>
      <c r="AL735" s="12" t="str">
        <f ca="1">IFERROR(_xlfn.SINGLE(INDEX(#REF!,'Weekly Report'!AJ735)),"")</f>
        <v/>
      </c>
      <c r="AN735" s="12" t="str">
        <f ca="1">IFERROR(MATCH($G$115,OFFSET(#REF!,AN734,0,1000000),0)+AN734,"")</f>
        <v/>
      </c>
      <c r="AO735" s="17" t="str">
        <f ca="1">IFERROR(_xlfn.SINGLE(INDEX(#REF!,'Weekly Report'!AN735)),"")</f>
        <v/>
      </c>
      <c r="AP735" s="12" t="str">
        <f ca="1">IFERROR(_xlfn.SINGLE(INDEX(#REF!,'Weekly Report'!AN735)),"")</f>
        <v/>
      </c>
    </row>
    <row r="736" spans="36:42">
      <c r="AJ736" s="12" t="str">
        <f ca="1">IFERROR(MATCH($B$114,OFFSET(#REF!,AJ735,0,1000000),0)+AJ735,"")</f>
        <v/>
      </c>
      <c r="AK736" s="17" t="str">
        <f ca="1">IFERROR(_xlfn.SINGLE(INDEX(#REF!,'Weekly Report'!AJ736)),"")</f>
        <v/>
      </c>
      <c r="AL736" s="12" t="str">
        <f ca="1">IFERROR(_xlfn.SINGLE(INDEX(#REF!,'Weekly Report'!AJ736)),"")</f>
        <v/>
      </c>
      <c r="AN736" s="12" t="str">
        <f ca="1">IFERROR(MATCH($G$115,OFFSET(#REF!,AN735,0,1000000),0)+AN735,"")</f>
        <v/>
      </c>
      <c r="AO736" s="17" t="str">
        <f ca="1">IFERROR(_xlfn.SINGLE(INDEX(#REF!,'Weekly Report'!AN736)),"")</f>
        <v/>
      </c>
      <c r="AP736" s="12" t="str">
        <f ca="1">IFERROR(_xlfn.SINGLE(INDEX(#REF!,'Weekly Report'!AN736)),"")</f>
        <v/>
      </c>
    </row>
    <row r="737" spans="36:42">
      <c r="AJ737" s="12" t="str">
        <f ca="1">IFERROR(MATCH($B$114,OFFSET(#REF!,AJ736,0,1000000),0)+AJ736,"")</f>
        <v/>
      </c>
      <c r="AK737" s="17" t="str">
        <f ca="1">IFERROR(_xlfn.SINGLE(INDEX(#REF!,'Weekly Report'!AJ737)),"")</f>
        <v/>
      </c>
      <c r="AL737" s="12" t="str">
        <f ca="1">IFERROR(_xlfn.SINGLE(INDEX(#REF!,'Weekly Report'!AJ737)),"")</f>
        <v/>
      </c>
      <c r="AN737" s="12" t="str">
        <f ca="1">IFERROR(MATCH($G$115,OFFSET(#REF!,AN736,0,1000000),0)+AN736,"")</f>
        <v/>
      </c>
      <c r="AO737" s="17" t="str">
        <f ca="1">IFERROR(_xlfn.SINGLE(INDEX(#REF!,'Weekly Report'!AN737)),"")</f>
        <v/>
      </c>
      <c r="AP737" s="12" t="str">
        <f ca="1">IFERROR(_xlfn.SINGLE(INDEX(#REF!,'Weekly Report'!AN737)),"")</f>
        <v/>
      </c>
    </row>
    <row r="738" spans="36:42">
      <c r="AJ738" s="12" t="str">
        <f ca="1">IFERROR(MATCH($B$114,OFFSET(#REF!,AJ737,0,1000000),0)+AJ737,"")</f>
        <v/>
      </c>
      <c r="AK738" s="17" t="str">
        <f ca="1">IFERROR(_xlfn.SINGLE(INDEX(#REF!,'Weekly Report'!AJ738)),"")</f>
        <v/>
      </c>
      <c r="AL738" s="12" t="str">
        <f ca="1">IFERROR(_xlfn.SINGLE(INDEX(#REF!,'Weekly Report'!AJ738)),"")</f>
        <v/>
      </c>
      <c r="AN738" s="12" t="str">
        <f ca="1">IFERROR(MATCH($G$115,OFFSET(#REF!,AN737,0,1000000),0)+AN737,"")</f>
        <v/>
      </c>
      <c r="AO738" s="17" t="str">
        <f ca="1">IFERROR(_xlfn.SINGLE(INDEX(#REF!,'Weekly Report'!AN738)),"")</f>
        <v/>
      </c>
      <c r="AP738" s="12" t="str">
        <f ca="1">IFERROR(_xlfn.SINGLE(INDEX(#REF!,'Weekly Report'!AN738)),"")</f>
        <v/>
      </c>
    </row>
    <row r="739" spans="36:42">
      <c r="AJ739" s="12" t="str">
        <f ca="1">IFERROR(MATCH($B$114,OFFSET(#REF!,AJ738,0,1000000),0)+AJ738,"")</f>
        <v/>
      </c>
      <c r="AK739" s="17" t="str">
        <f ca="1">IFERROR(_xlfn.SINGLE(INDEX(#REF!,'Weekly Report'!AJ739)),"")</f>
        <v/>
      </c>
      <c r="AL739" s="12" t="str">
        <f ca="1">IFERROR(_xlfn.SINGLE(INDEX(#REF!,'Weekly Report'!AJ739)),"")</f>
        <v/>
      </c>
      <c r="AN739" s="12" t="str">
        <f ca="1">IFERROR(MATCH($G$115,OFFSET(#REF!,AN738,0,1000000),0)+AN738,"")</f>
        <v/>
      </c>
      <c r="AO739" s="17" t="str">
        <f ca="1">IFERROR(_xlfn.SINGLE(INDEX(#REF!,'Weekly Report'!AN739)),"")</f>
        <v/>
      </c>
      <c r="AP739" s="12" t="str">
        <f ca="1">IFERROR(_xlfn.SINGLE(INDEX(#REF!,'Weekly Report'!AN739)),"")</f>
        <v/>
      </c>
    </row>
    <row r="740" spans="36:42">
      <c r="AJ740" s="12" t="str">
        <f ca="1">IFERROR(MATCH($B$114,OFFSET(#REF!,AJ739,0,1000000),0)+AJ739,"")</f>
        <v/>
      </c>
      <c r="AK740" s="17" t="str">
        <f ca="1">IFERROR(_xlfn.SINGLE(INDEX(#REF!,'Weekly Report'!AJ740)),"")</f>
        <v/>
      </c>
      <c r="AL740" s="12" t="str">
        <f ca="1">IFERROR(_xlfn.SINGLE(INDEX(#REF!,'Weekly Report'!AJ740)),"")</f>
        <v/>
      </c>
      <c r="AN740" s="12" t="str">
        <f ca="1">IFERROR(MATCH($G$115,OFFSET(#REF!,AN739,0,1000000),0)+AN739,"")</f>
        <v/>
      </c>
      <c r="AO740" s="17" t="str">
        <f ca="1">IFERROR(_xlfn.SINGLE(INDEX(#REF!,'Weekly Report'!AN740)),"")</f>
        <v/>
      </c>
      <c r="AP740" s="12" t="str">
        <f ca="1">IFERROR(_xlfn.SINGLE(INDEX(#REF!,'Weekly Report'!AN740)),"")</f>
        <v/>
      </c>
    </row>
    <row r="741" spans="36:42">
      <c r="AJ741" s="12" t="str">
        <f ca="1">IFERROR(MATCH($B$114,OFFSET(#REF!,AJ740,0,1000000),0)+AJ740,"")</f>
        <v/>
      </c>
      <c r="AK741" s="17" t="str">
        <f ca="1">IFERROR(_xlfn.SINGLE(INDEX(#REF!,'Weekly Report'!AJ741)),"")</f>
        <v/>
      </c>
      <c r="AL741" s="12" t="str">
        <f ca="1">IFERROR(_xlfn.SINGLE(INDEX(#REF!,'Weekly Report'!AJ741)),"")</f>
        <v/>
      </c>
      <c r="AN741" s="12" t="str">
        <f ca="1">IFERROR(MATCH($G$115,OFFSET(#REF!,AN740,0,1000000),0)+AN740,"")</f>
        <v/>
      </c>
      <c r="AO741" s="17" t="str">
        <f ca="1">IFERROR(_xlfn.SINGLE(INDEX(#REF!,'Weekly Report'!AN741)),"")</f>
        <v/>
      </c>
      <c r="AP741" s="12" t="str">
        <f ca="1">IFERROR(_xlfn.SINGLE(INDEX(#REF!,'Weekly Report'!AN741)),"")</f>
        <v/>
      </c>
    </row>
    <row r="742" spans="36:42">
      <c r="AJ742" s="12" t="str">
        <f ca="1">IFERROR(MATCH($B$114,OFFSET(#REF!,AJ741,0,1000000),0)+AJ741,"")</f>
        <v/>
      </c>
      <c r="AK742" s="17" t="str">
        <f ca="1">IFERROR(_xlfn.SINGLE(INDEX(#REF!,'Weekly Report'!AJ742)),"")</f>
        <v/>
      </c>
      <c r="AL742" s="12" t="str">
        <f ca="1">IFERROR(_xlfn.SINGLE(INDEX(#REF!,'Weekly Report'!AJ742)),"")</f>
        <v/>
      </c>
      <c r="AN742" s="12" t="str">
        <f ca="1">IFERROR(MATCH($G$115,OFFSET(#REF!,AN741,0,1000000),0)+AN741,"")</f>
        <v/>
      </c>
      <c r="AO742" s="17" t="str">
        <f ca="1">IFERROR(_xlfn.SINGLE(INDEX(#REF!,'Weekly Report'!AN742)),"")</f>
        <v/>
      </c>
      <c r="AP742" s="12" t="str">
        <f ca="1">IFERROR(_xlfn.SINGLE(INDEX(#REF!,'Weekly Report'!AN742)),"")</f>
        <v/>
      </c>
    </row>
    <row r="743" spans="36:42">
      <c r="AJ743" s="12" t="str">
        <f ca="1">IFERROR(MATCH($B$114,OFFSET(#REF!,AJ742,0,1000000),0)+AJ742,"")</f>
        <v/>
      </c>
      <c r="AK743" s="17" t="str">
        <f ca="1">IFERROR(_xlfn.SINGLE(INDEX(#REF!,'Weekly Report'!AJ743)),"")</f>
        <v/>
      </c>
      <c r="AL743" s="12" t="str">
        <f ca="1">IFERROR(_xlfn.SINGLE(INDEX(#REF!,'Weekly Report'!AJ743)),"")</f>
        <v/>
      </c>
      <c r="AN743" s="12" t="str">
        <f ca="1">IFERROR(MATCH($G$115,OFFSET(#REF!,AN742,0,1000000),0)+AN742,"")</f>
        <v/>
      </c>
      <c r="AO743" s="17" t="str">
        <f ca="1">IFERROR(_xlfn.SINGLE(INDEX(#REF!,'Weekly Report'!AN743)),"")</f>
        <v/>
      </c>
      <c r="AP743" s="12" t="str">
        <f ca="1">IFERROR(_xlfn.SINGLE(INDEX(#REF!,'Weekly Report'!AN743)),"")</f>
        <v/>
      </c>
    </row>
    <row r="744" spans="36:42">
      <c r="AJ744" s="12" t="str">
        <f ca="1">IFERROR(MATCH($B$114,OFFSET(#REF!,AJ743,0,1000000),0)+AJ743,"")</f>
        <v/>
      </c>
      <c r="AK744" s="17" t="str">
        <f ca="1">IFERROR(_xlfn.SINGLE(INDEX(#REF!,'Weekly Report'!AJ744)),"")</f>
        <v/>
      </c>
      <c r="AL744" s="12" t="str">
        <f ca="1">IFERROR(_xlfn.SINGLE(INDEX(#REF!,'Weekly Report'!AJ744)),"")</f>
        <v/>
      </c>
      <c r="AN744" s="12" t="str">
        <f ca="1">IFERROR(MATCH($G$115,OFFSET(#REF!,AN743,0,1000000),0)+AN743,"")</f>
        <v/>
      </c>
      <c r="AO744" s="17" t="str">
        <f ca="1">IFERROR(_xlfn.SINGLE(INDEX(#REF!,'Weekly Report'!AN744)),"")</f>
        <v/>
      </c>
      <c r="AP744" s="12" t="str">
        <f ca="1">IFERROR(_xlfn.SINGLE(INDEX(#REF!,'Weekly Report'!AN744)),"")</f>
        <v/>
      </c>
    </row>
    <row r="745" spans="36:42">
      <c r="AJ745" s="12" t="str">
        <f ca="1">IFERROR(MATCH($B$114,OFFSET(#REF!,AJ744,0,1000000),0)+AJ744,"")</f>
        <v/>
      </c>
      <c r="AK745" s="17" t="str">
        <f ca="1">IFERROR(_xlfn.SINGLE(INDEX(#REF!,'Weekly Report'!AJ745)),"")</f>
        <v/>
      </c>
      <c r="AL745" s="12" t="str">
        <f ca="1">IFERROR(_xlfn.SINGLE(INDEX(#REF!,'Weekly Report'!AJ745)),"")</f>
        <v/>
      </c>
      <c r="AN745" s="12" t="str">
        <f ca="1">IFERROR(MATCH($G$115,OFFSET(#REF!,AN744,0,1000000),0)+AN744,"")</f>
        <v/>
      </c>
      <c r="AO745" s="17" t="str">
        <f ca="1">IFERROR(_xlfn.SINGLE(INDEX(#REF!,'Weekly Report'!AN745)),"")</f>
        <v/>
      </c>
      <c r="AP745" s="12" t="str">
        <f ca="1">IFERROR(_xlfn.SINGLE(INDEX(#REF!,'Weekly Report'!AN745)),"")</f>
        <v/>
      </c>
    </row>
    <row r="746" spans="36:42">
      <c r="AJ746" s="12" t="str">
        <f ca="1">IFERROR(MATCH($B$114,OFFSET(#REF!,AJ745,0,1000000),0)+AJ745,"")</f>
        <v/>
      </c>
      <c r="AK746" s="17" t="str">
        <f ca="1">IFERROR(_xlfn.SINGLE(INDEX(#REF!,'Weekly Report'!AJ746)),"")</f>
        <v/>
      </c>
      <c r="AL746" s="12" t="str">
        <f ca="1">IFERROR(_xlfn.SINGLE(INDEX(#REF!,'Weekly Report'!AJ746)),"")</f>
        <v/>
      </c>
      <c r="AN746" s="12" t="str">
        <f ca="1">IFERROR(MATCH($G$115,OFFSET(#REF!,AN745,0,1000000),0)+AN745,"")</f>
        <v/>
      </c>
      <c r="AO746" s="17" t="str">
        <f ca="1">IFERROR(_xlfn.SINGLE(INDEX(#REF!,'Weekly Report'!AN746)),"")</f>
        <v/>
      </c>
      <c r="AP746" s="12" t="str">
        <f ca="1">IFERROR(_xlfn.SINGLE(INDEX(#REF!,'Weekly Report'!AN746)),"")</f>
        <v/>
      </c>
    </row>
  </sheetData>
  <sheetProtection algorithmName="SHA-512" hashValue="AmvLhLRzZ5AgIh4IjnU8r3C2vk4UGGBlnlXGv9VfPHUpmNwmXN9XdV/faMovR9/yH0X9AqKmjqwLSDqhd5ZttQ==" saltValue="okUsDQOtpWaxsI0OMkCRtw==" spinCount="100000" sheet="1" objects="1" scenarios="1"/>
  <mergeCells count="25">
    <mergeCell ref="D46:D48"/>
    <mergeCell ref="D3:D4"/>
    <mergeCell ref="E3:E4"/>
    <mergeCell ref="F3:M3"/>
    <mergeCell ref="D5:D7"/>
    <mergeCell ref="D8:D10"/>
    <mergeCell ref="D11:D13"/>
    <mergeCell ref="D41:D42"/>
    <mergeCell ref="E41:E42"/>
    <mergeCell ref="F41:M41"/>
    <mergeCell ref="D43:D45"/>
    <mergeCell ref="D14:E14"/>
    <mergeCell ref="BS50:BS56"/>
    <mergeCell ref="BS43:BS49"/>
    <mergeCell ref="BP1:CD1"/>
    <mergeCell ref="BS11:BS13"/>
    <mergeCell ref="BS14:BT14"/>
    <mergeCell ref="BS41:BS42"/>
    <mergeCell ref="BT41:BT42"/>
    <mergeCell ref="BU41:CB41"/>
    <mergeCell ref="BS3:BS4"/>
    <mergeCell ref="BT3:BT4"/>
    <mergeCell ref="BU3:CB3"/>
    <mergeCell ref="BS5:BS7"/>
    <mergeCell ref="BS8:BS10"/>
  </mergeCells>
  <phoneticPr fontId="1" type="noConversion"/>
  <dataValidations count="3">
    <dataValidation type="list" allowBlank="1" showInputMessage="1" showErrorMessage="1" sqref="B9" xr:uid="{F07365DF-40E3-41A5-B720-BE216203EF36}">
      <formula1>$V$7:$V$18</formula1>
    </dataValidation>
    <dataValidation type="list" allowBlank="1" showInputMessage="1" showErrorMessage="1" sqref="B11" xr:uid="{5139E152-CC9F-454F-9D31-2C13CF725C12}">
      <formula1>OFFSET($X$28,0,0,COUNTA(X28:X35))</formula1>
    </dataValidation>
    <dataValidation type="list" allowBlank="1" showInputMessage="1" showErrorMessage="1" sqref="B5" xr:uid="{C308A70A-2F1F-487C-966C-E9A555C20FAA}">
      <formula1>OFFSET($BG$5,0,0,COUNTA($BG$5:$BG$52))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1EEC-B688-4664-A8D4-98DEA90B76E0}">
  <sheetPr codeName="Sheet2"/>
  <dimension ref="A1:CL746"/>
  <sheetViews>
    <sheetView showGridLines="0" zoomScale="70" zoomScaleNormal="70" workbookViewId="0">
      <selection activeCell="BS81" sqref="BS81"/>
    </sheetView>
  </sheetViews>
  <sheetFormatPr defaultColWidth="9.1328125" defaultRowHeight="14.75"/>
  <cols>
    <col min="1" max="2" width="14.7265625" style="6" customWidth="1"/>
    <col min="3" max="3" width="3.7265625" style="6" customWidth="1"/>
    <col min="4" max="4" width="14.7265625" style="6" customWidth="1"/>
    <col min="5" max="5" width="23.7265625" style="6" customWidth="1"/>
    <col min="6" max="15" width="14.7265625" style="6" customWidth="1"/>
    <col min="16" max="17" width="9.1328125" style="12" hidden="1" customWidth="1"/>
    <col min="18" max="18" width="11" style="12" hidden="1" customWidth="1"/>
    <col min="19" max="20" width="9.1328125" style="12" hidden="1" customWidth="1"/>
    <col min="21" max="21" width="12.26953125" style="12" hidden="1" customWidth="1"/>
    <col min="22" max="24" width="9.1328125" style="12" hidden="1" customWidth="1"/>
    <col min="25" max="25" width="11.26953125" style="12" hidden="1" customWidth="1"/>
    <col min="26" max="56" width="12.1328125" style="12" hidden="1" customWidth="1"/>
    <col min="57" max="63" width="9.1328125" style="12" hidden="1" customWidth="1"/>
    <col min="64" max="64" width="9.1328125" style="6" customWidth="1"/>
    <col min="65" max="66" width="13.7265625" style="6" customWidth="1"/>
    <col min="67" max="67" width="3.7265625" style="6" customWidth="1"/>
    <col min="68" max="68" width="9.1328125" style="6"/>
    <col min="69" max="69" width="20.1328125" style="6" customWidth="1"/>
    <col min="70" max="78" width="13.7265625" style="6" customWidth="1"/>
    <col min="79" max="79" width="13.7265625" style="12" customWidth="1"/>
    <col min="80" max="83" width="9.1328125" style="6" hidden="1" customWidth="1"/>
    <col min="84" max="84" width="26.1328125" style="6" hidden="1" customWidth="1"/>
    <col min="85" max="90" width="9.1328125" style="6" hidden="1" customWidth="1"/>
    <col min="91" max="16384" width="9.1328125" style="6"/>
  </cols>
  <sheetData>
    <row r="1" spans="1:90" ht="25" thickTop="1" thickBot="1">
      <c r="A1" s="35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64"/>
      <c r="BM1" s="191" t="s">
        <v>120</v>
      </c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3"/>
    </row>
    <row r="2" spans="1:90" ht="20" thickTop="1" thickBot="1">
      <c r="A2" s="11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16"/>
      <c r="V2" s="12" t="e">
        <f ca="1">IF($F$4="","",
IF(AND($BH$4=TRUE,#REF!=$D$5,OR(#REF!=U36,#REF!=U37,#REF!=U38,#REF!=U39,#REF!=U40,#REF!=U41,#REF!=U42)),SUM(#REF!),
IF(AND($BF$5=TRUE,$BI$5=FALSE,#REF!,'Monthly Report'!$B$3,#REF!,#REF!=$D$5,OR(#REF!=U36,#REF!=U37,#REF!=U38,#REF!=U39,#REF!=U40,#REF!=U41,#REF!=U42)),SUM(#REF!),
IF(AND($BF$5=FALSE,$BI$5=TRUE,#REF!,'Monthly Report'!$B$5,#REF!=$D$5,OR(#REF!=U36,#REF!=U37,#REF!=U38,#REF!=U39,#REF!=U40,#REF!=U41,#REF!=U42)),SUM(#REF!),IF(AND($BI$5=FALSE,$BH$5=FALSE,#REF!,'Monthly Report'!$B$3,#REF!,'Monthly Report'!$B$5,#REF!=$D$5,OR(#REF!=U36,#REF!=U37,#REF!=U38,#REF!=U39,#REF!=U40,#REF!=U41,#REF!=U42)),SUM(#REF!))))))</f>
        <v>#REF!</v>
      </c>
      <c r="BM2" s="104"/>
      <c r="BN2" s="23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3"/>
    </row>
    <row r="3" spans="1:90" ht="15.5">
      <c r="A3" s="169" t="s">
        <v>83</v>
      </c>
      <c r="B3" s="129" t="s">
        <v>71</v>
      </c>
      <c r="C3" s="22"/>
      <c r="D3" s="213"/>
      <c r="E3" s="215"/>
      <c r="F3" s="200" t="s">
        <v>29</v>
      </c>
      <c r="G3" s="201"/>
      <c r="H3" s="201"/>
      <c r="I3" s="201"/>
      <c r="J3" s="201"/>
      <c r="K3" s="201"/>
      <c r="L3" s="201"/>
      <c r="M3" s="202"/>
      <c r="N3" s="21"/>
      <c r="O3" s="116"/>
      <c r="V3" s="13" t="e">
        <f ca="1">IF($F$4="","",
IF(AND($BH$4=TRUE,#REF!=$D$5,OR(#REF!=U36,#REF!=U37,#REF!=U38,#REF!=U39,#REF!=U40,#REF!=U41,#REF!=U42)),SUM(#REF!),
IF(AND($BF$5=TRUE,$BI$5=FALSE,#REF!,'Monthly Report'!$B$3,#REF!,#REF!=$D$5,OR(#REF!=U36,#REF!=U37,#REF!=U38,#REF!=U39,#REF!=U40,#REF!=U41,#REF!=U42)),SUM(#REF!),
IF(AND($BF$5=FALSE,$BI$5=TRUE,#REF!,'Monthly Report'!$B$5,#REF!=$D$5,OR(#REF!=U36,#REF!=U37,#REF!=U38,#REF!=U39,#REF!=U40,#REF!=U41,#REF!=U42)),SUM(#REF!),IF(AND($BI$5=FALSE,$BH$5=FALSE,#REF!,'Monthly Report'!$B$3,#REF!,'Monthly Report'!$B$5,#REF!=$D$5,OR(#REF!=U36,#REF!=U37,#REF!=U38,#REF!=U39,#REF!=U40,#REF!=U41,#REF!=U42)),SUM(#REF!))))))</f>
        <v>#REF!</v>
      </c>
      <c r="BM3" s="105"/>
      <c r="BN3" s="23"/>
      <c r="BO3" s="22"/>
      <c r="BP3" s="196"/>
      <c r="BQ3" s="198"/>
      <c r="BR3" s="200" t="s">
        <v>121</v>
      </c>
      <c r="BS3" s="201"/>
      <c r="BT3" s="201"/>
      <c r="BU3" s="201"/>
      <c r="BV3" s="201"/>
      <c r="BW3" s="201"/>
      <c r="BX3" s="201"/>
      <c r="BY3" s="202"/>
      <c r="BZ3" s="22"/>
      <c r="CA3" s="114"/>
    </row>
    <row r="4" spans="1:90" ht="15.5" thickBot="1">
      <c r="A4" s="177"/>
      <c r="B4" s="28"/>
      <c r="C4" s="23"/>
      <c r="D4" s="214"/>
      <c r="E4" s="216"/>
      <c r="F4" s="60" t="str">
        <f>IFERROR(X28,"")</f>
        <v>Week 1</v>
      </c>
      <c r="G4" s="61" t="str">
        <f>IFERROR(X29,"")</f>
        <v>Week 2</v>
      </c>
      <c r="H4" s="61" t="str">
        <f>IFERROR(X30,"")</f>
        <v>Week 3</v>
      </c>
      <c r="I4" s="61" t="str">
        <f>IFERROR(X31,"")</f>
        <v>Week 4</v>
      </c>
      <c r="J4" s="61" t="str">
        <f>IFERROR(X32,"")</f>
        <v>Week 5</v>
      </c>
      <c r="K4" s="61" t="str">
        <f>IFERROR(X33,"")</f>
        <v/>
      </c>
      <c r="L4" s="62"/>
      <c r="M4" s="63" t="s">
        <v>62</v>
      </c>
      <c r="N4" s="23"/>
      <c r="O4" s="119"/>
      <c r="P4" s="12" t="e">
        <f>SUMIFS(#REF!,#REF!,'Monthly Report'!D5:D7,#REF!,'Monthly Report'!K4)</f>
        <v>#REF!</v>
      </c>
      <c r="U4" s="65" t="e">
        <f ca="1">SUMIFS(#REF!,#REF!,'Monthly Report'!$D$5:$D$7,#REF!,OR(U28:U34))</f>
        <v>#REF!</v>
      </c>
      <c r="V4" s="12" t="e">
        <f ca="1">IF($F$4="","",
IF($BH$4=TRUE,SUMIFS(#REF!,#REF!,$D$5,#REF!,"&gt;="&amp;$U$36,#REF!,"&lt;="&amp;$U$42),
IF(AND($BF$5=TRUE,$BI$5=FALSE),SUMIFS(#REF!,#REF!,$D$5,#REF!,'Monthly Report'!$B$3,#REF!,"&gt;="&amp;$U$36,#REF!,"&lt;="&amp;$U$42),
IF(AND($BF$5=FALSE,$BI$5=TRUE),SUMIFS(#REF!,#REF!,$D$5,#REF!,$B$5,#REF!,"&gt;="&amp;$U$36,#REF!,"&lt;="&amp;$U$42),
IF(AND($BI$5=FALSE,$BH$5=FALSE),SUMIFS(#REF!,#REF!,$D$5,#REF!,$B$3,#REF!,$B$5,#REF!,"&gt;="&amp;$U$36,#REF!,"&lt;="&amp;$U$42),"")))))</f>
        <v>#REF!</v>
      </c>
      <c r="BH4" s="12" t="b">
        <f>AND(BF5,BI5)</f>
        <v>1</v>
      </c>
      <c r="BM4" s="105"/>
      <c r="BN4" s="23"/>
      <c r="BO4" s="23"/>
      <c r="BP4" s="197"/>
      <c r="BQ4" s="199"/>
      <c r="BR4" s="60" t="str">
        <f>F4</f>
        <v>Week 1</v>
      </c>
      <c r="BS4" s="61" t="str">
        <f t="shared" ref="BS4:BW4" si="0">G4</f>
        <v>Week 2</v>
      </c>
      <c r="BT4" s="61" t="str">
        <f t="shared" si="0"/>
        <v>Week 3</v>
      </c>
      <c r="BU4" s="61" t="str">
        <f t="shared" si="0"/>
        <v>Week 4</v>
      </c>
      <c r="BV4" s="61" t="str">
        <f t="shared" si="0"/>
        <v>Week 5</v>
      </c>
      <c r="BW4" s="61" t="str">
        <f t="shared" si="0"/>
        <v/>
      </c>
      <c r="BX4" s="62"/>
      <c r="BY4" s="63" t="s">
        <v>62</v>
      </c>
      <c r="BZ4" s="23"/>
      <c r="CA4" s="85"/>
    </row>
    <row r="5" spans="1:90" ht="16.25" thickTop="1" thickBot="1">
      <c r="A5" s="117" t="s">
        <v>25</v>
      </c>
      <c r="B5" s="29" t="s">
        <v>71</v>
      </c>
      <c r="C5" s="23"/>
      <c r="D5" s="209" t="s">
        <v>63</v>
      </c>
      <c r="E5" s="18" t="s">
        <v>64</v>
      </c>
      <c r="F5" s="50">
        <f>IF($F$4="","",
IF($BH$4=TRUE,SUMIFS(Table_Assembly[Total Produce],Table_Assembly[Product type],$D$5,Table_Assembly[MFG Date],"&gt;="&amp;$R$28,Table_Assembly[MFG Date],"&lt;="&amp;$R$29),
IF(AND($BF$5=TRUE,$BI$5=FALSE),SUMIFS(Table_Assembly[Total Produce],Table_Assembly[Product type],$D$5,Table_Assembly[MFG Date],"&gt;="&amp;$R$28,Table_Assembly[MFG Date],"&lt;="&amp;$R$29),
IF(AND($BF$5=FALSE,$BI$5=TRUE),SUMIFS(Table_Assembly[Total Produce],Table_Assembly[Product type],$D$5,Table_Assembly[Customer],$B$5,Table_Assembly[MFG Date],"&gt;="&amp;$R$28,Table_Assembly[MFG Date],"&lt;="&amp;$R$29),
IF(AND($BI$5=FALSE,$BH$5=FALSE),SUMIFS(Table_Assembly[Total Produce],Table_Assembly[Product type],$D$5,Table_Assembly[Customer],$B$5,Table_Assembly[MFG Date],"&gt;="&amp;$R$28,Table_Assembly[MFG Date],"&lt;="&amp;$R$29),"")))))</f>
        <v>126811</v>
      </c>
      <c r="G5" s="50">
        <f>IF($G$4="","",
IF($BH$4=TRUE,SUMIFS(Table_Assembly[Total Produce],Table_Assembly[Product type],$D$5,Table_Assembly[MFG Date],"&gt;="&amp;$R$36,Table_Assembly[MFG Date],"&lt;="&amp;$R$37),
IF(AND($BF$5=TRUE,$BI$5=FALSE),SUMIFS(Table_Assembly[Total Produce],Table_Assembly[Product type],$D$5,Table_Assembly[MFG Date],"&gt;="&amp;$R$36,Table_Assembly[MFG Date],"&lt;="&amp;$R$37),
IF(AND($BF$5=FALSE,$BI$5=TRUE),SUMIFS(Table_Assembly[Total Produce],Table_Assembly[Product type],$D$5,Table_Assembly[Customer],$B$5,Table_Assembly[MFG Date],"&gt;="&amp;$R$36,Table_Assembly[MFG Date],"&lt;="&amp;$R$37),
IF(AND($BI$5=FALSE,$BH$5=FALSE),SUMIFS(Table_Assembly[Total Produce],Table_Assembly[Product type],$D$5,Table_Assembly[Customer],$B$5,Table_Assembly[MFG Date],"&gt;="&amp;$R$36,Table_Assembly[MFG Date],"&lt;="&amp;$R$37),"")))))</f>
        <v>151122</v>
      </c>
      <c r="H5" s="50">
        <f>IF($H$4="","",
IF($BH$4=TRUE,SUMIFS(Table_Assembly[Total Produce],Table_Assembly[Product type],$D$5,Table_Assembly[MFG Date],"&gt;="&amp;$R$44,Table_Assembly[MFG Date],"&lt;="&amp;$R$45),
IF(AND($BF$5=TRUE,$BI$5=FALSE),SUMIFS(Table_Assembly[Total Produce],Table_Assembly[Product type],$D$5,Table_Assembly[MFG Date],"&gt;="&amp;$R$44,Table_Assembly[MFG Date],"&lt;="&amp;$R$45),
IF(AND($BF$5=FALSE,$BI$5=TRUE),SUMIFS(Table_Assembly[Total Produce],Table_Assembly[Product type],$D$5,Table_Assembly[Customer],$B$5,Table_Assembly[MFG Date],"&gt;="&amp;$R$44,Table_Assembly[MFG Date],"&lt;="&amp;$R$45),
IF(AND($BI$5=FALSE,$BH$5=FALSE),SUMIFS(Table_Assembly[Total Produce],Table_Assembly[Product type],$D$5,Table_Assembly[Customer],$B$5,Table_Assembly[MFG Date],"&gt;="&amp;$R$44,Table_Assembly[MFG Date],"&lt;="&amp;$R$45),"")))))</f>
        <v>187123</v>
      </c>
      <c r="I5" s="50">
        <f>IF($I$4="","",
IF($BH$4=TRUE,SUMIFS(Table_Assembly[Total Produce],Table_Assembly[Product type],$D$5,Table_Assembly[MFG Date],"&gt;="&amp;$R$52,Table_Assembly[MFG Date],"&lt;="&amp;$R$53),
IF(AND($BF$5=TRUE,$BI$5=FALSE),SUMIFS(Table_Assembly[Total Produce],Table_Assembly[Product type],$D$5,Table_Assembly[MFG Date],"&gt;="&amp;$R$52,Table_Assembly[MFG Date],"&lt;="&amp;$R$53),
IF(AND($BF$5=FALSE,$BI$5=TRUE),SUMIFS(Table_Assembly[Total Produce],Table_Assembly[Product type],$D$5,Table_Assembly[Customer],$B$5,Table_Assembly[MFG Date],"&gt;="&amp;$R$52,Table_Assembly[MFG Date],"&lt;="&amp;$R$53),
IF(AND($BI$5=FALSE,$BH$5=FALSE),SUMIFS(Table_Assembly[Total Produce],Table_Assembly[Product type],$D$5,Table_Assembly[Customer],$B$5,Table_Assembly[MFG Date],"&gt;="&amp;$R$52,Table_Assembly[MFG Date],"&lt;="&amp;$R$53),"")))))</f>
        <v>205428</v>
      </c>
      <c r="J5" s="50">
        <f>IF($J$4="","",
IF($BH$4=TRUE,SUMIFS(Table_Assembly[Total Produce],Table_Assembly[Product type],$D$5,Table_Assembly[MFG Date],"&gt;="&amp;$R$60,Table_Assembly[MFG Date],"&lt;="&amp;$R$61),
IF(AND($BF$5=TRUE,$BI$5=FALSE),SUMIFS(Table_Assembly[Total Produce],Table_Assembly[Product type],$D$5,Table_Assembly[MFG Date],"&gt;="&amp;$R$60,Table_Assembly[MFG Date],"&lt;="&amp;$R$61),
IF(AND($BF$5=FALSE,$BI$5=TRUE),SUMIFS(Table_Assembly[Total Produce],Table_Assembly[Product type],$D$5,Table_Assembly[Customer],$B$5,Table_Assembly[MFG Date],"&gt;="&amp;$R$60,Table_Assembly[MFG Date],"&lt;="&amp;$R$61),
IF(AND($BI$5=FALSE,$BH$5=FALSE),SUMIFS(Table_Assembly[Total Produce],Table_Assembly[Product type],$D$5,Table_Assembly[Customer],$B$5,Table_Assembly[MFG Date],"&gt;="&amp;$R$60,Table_Assembly[MFG Date],"&lt;="&amp;$R$61),"")))))</f>
        <v>120758</v>
      </c>
      <c r="K5" s="50" t="str">
        <f>IF($K$4="","",
IF($BH$4=TRUE,SUMIFS(Table_Assembly[Total Produce],Table_Assembly[Product type],$D$5,Table_Assembly[MFG Date],"&gt;="&amp;$R$68,Table_Assembly[MFG Date],"&lt;="&amp;$R$69),
IF(AND($BF$5=TRUE,$BI$5=FALSE),SUMIFS(Table_Assembly[Total Produce],Table_Assembly[Product type],$D$5,#REF!,$B$3,Table_Assembly[MFG Date],"&gt;="&amp;$R$68,Table_Assembly[MFG Date],"&lt;="&amp;$R$69),
IF(AND($BF$5=FALSE,$BI$5=TRUE),SUMIFS(Table_Assembly[Total Produce],Table_Assembly[Product type],$D$5,Table_Assembly[Customer],$B$5,Table_Assembly[MFG Date],"&gt;="&amp;$R$68,Table_Assembly[MFG Date],"&lt;="&amp;$R$69),
IF(AND($BI$5=FALSE,$BH$5=FALSE),SUMIFS(Table_Assembly[Total Produce],Table_Assembly[Product type],$D$5,#REF!,$B$3,Table_Assembly[Customer],$B$5,Table_Assembly[MFG Date],"&gt;="&amp;$R$68,Table_Assembly[MFG Date],"&lt;="&amp;$R$69),"")))))</f>
        <v/>
      </c>
      <c r="L5" s="51"/>
      <c r="M5" s="52">
        <f>SUM(F5:L5)</f>
        <v>791242</v>
      </c>
      <c r="N5" s="23"/>
      <c r="O5" s="119"/>
      <c r="V5" s="12" t="e">
        <f ca="1">SUMIFS(#REF!,#REF!,$D$5,#REF!,"&gt;="&amp;$U$36,#REF!,"&lt;="&amp;$U$42)</f>
        <v>#REF!</v>
      </c>
      <c r="BF5" s="12" t="b">
        <f>$B$5=BG5</f>
        <v>1</v>
      </c>
      <c r="BG5" s="12" t="s">
        <v>71</v>
      </c>
      <c r="BH5" s="12" t="str">
        <f ca="1">OFFSET($BG$5,0,0,COUNTA($BG$5:$BG$52))</f>
        <v>All</v>
      </c>
      <c r="BI5" s="12" t="b">
        <f>B3=BJ5</f>
        <v>1</v>
      </c>
      <c r="BJ5" s="12" t="s">
        <v>71</v>
      </c>
      <c r="BM5" s="105"/>
      <c r="BN5" s="23"/>
      <c r="BO5" s="23"/>
      <c r="BP5" s="187" t="s">
        <v>63</v>
      </c>
      <c r="BQ5" s="18" t="s">
        <v>64</v>
      </c>
      <c r="BR5" s="50">
        <f>IF($F$4="","",
IF($BH$4=TRUE,SUMIFS(Table_Assembly[Total Produce],Table_Assembly[Product type],$D$5,Table_Assembly[MFG Date],"&gt;="&amp;$R$28,Table_Assembly[MFG Date],"&lt;="&amp;$R$29),
IF(AND($BF$5=TRUE,$BI$5=FALSE),SUMIFS(Table_Assembly[Total Produce],Table_Assembly[Product type],$D$5,Table_Assembly[MFG Date],"&gt;="&amp;$R$28,Table_Assembly[MFG Date],"&lt;="&amp;$R$29),
IF(AND($BF$5=FALSE,$BI$5=TRUE),SUMIFS(Table_Assembly[Total Produce],Table_Assembly[Product type],$D$5,Table_Assembly[Customer],$B$5,Table_Assembly[MFG Date],"&gt;="&amp;$R$28,Table_Assembly[MFG Date],"&lt;="&amp;$R$29),
IF(AND($BI$5=FALSE,$BH$5=FALSE),SUMIFS(Table_Assembly[Total Produce],Table_Assembly[Product type],$D$5,Table_Assembly[Customer],$B$5,Table_Assembly[MFG Date],"&gt;="&amp;$R$28,Table_Assembly[MFG Date],"&lt;="&amp;$R$29),"")))))</f>
        <v>126811</v>
      </c>
      <c r="BS5" s="50">
        <f>IF($G$4="","",
IF($BH$4=TRUE,SUMIFS(Table_Assembly[Total Produce],Table_Assembly[Product type],$D$5,Table_Assembly[MFG Date],"&gt;="&amp;$R$36,Table_Assembly[MFG Date],"&lt;="&amp;$R$37),
IF(AND($BF$5=TRUE,$BI$5=FALSE),SUMIFS(Table_Assembly[Total Produce],Table_Assembly[Product type],$D$5,Table_Assembly[MFG Date],"&gt;="&amp;$R$36,Table_Assembly[MFG Date],"&lt;="&amp;$R$37),
IF(AND($BF$5=FALSE,$BI$5=TRUE),SUMIFS(Table_Assembly[Total Produce],Table_Assembly[Product type],$D$5,Table_Assembly[Customer],$B$5,Table_Assembly[MFG Date],"&gt;="&amp;$R$36,Table_Assembly[MFG Date],"&lt;="&amp;$R$37),
IF(AND($BI$5=FALSE,$BH$5=FALSE),SUMIFS(Table_Assembly[Total Produce],Table_Assembly[Product type],$D$5,Table_Assembly[Customer],$B$5,Table_Assembly[MFG Date],"&gt;="&amp;$R$36,Table_Assembly[MFG Date],"&lt;="&amp;$R$37),"")))))</f>
        <v>151122</v>
      </c>
      <c r="BT5" s="50">
        <f>IF($H$4="","",
IF($BH$4=TRUE,SUMIFS(Table_Assembly[Total Produce],Table_Assembly[Product type],$D$5,Table_Assembly[MFG Date],"&gt;="&amp;$R$44,Table_Assembly[MFG Date],"&lt;="&amp;$R$45),
IF(AND($BF$5=TRUE,$BI$5=FALSE),SUMIFS(Table_Assembly[Total Produce],Table_Assembly[Product type],$D$5,Table_Assembly[MFG Date],"&gt;="&amp;$R$44,Table_Assembly[MFG Date],"&lt;="&amp;$R$45),
IF(AND($BF$5=FALSE,$BI$5=TRUE),SUMIFS(Table_Assembly[Total Produce],Table_Assembly[Product type],$D$5,Table_Assembly[Customer],$B$5,Table_Assembly[MFG Date],"&gt;="&amp;$R$44,Table_Assembly[MFG Date],"&lt;="&amp;$R$45),
IF(AND($BI$5=FALSE,$BH$5=FALSE),SUMIFS(Table_Assembly[Total Produce],Table_Assembly[Product type],$D$5,Table_Assembly[Customer],$B$5,Table_Assembly[MFG Date],"&gt;="&amp;$R$44,Table_Assembly[MFG Date],"&lt;="&amp;$R$45),"")))))</f>
        <v>187123</v>
      </c>
      <c r="BU5" s="50">
        <f>IF($I$4="","",
IF($BH$4=TRUE,SUMIFS(Table_Assembly[Total Produce],Table_Assembly[Product type],$D$5,Table_Assembly[MFG Date],"&gt;="&amp;$R$52,Table_Assembly[MFG Date],"&lt;="&amp;$R$53),
IF(AND($BF$5=TRUE,$BI$5=FALSE),SUMIFS(Table_Assembly[Total Produce],Table_Assembly[Product type],$D$5,Table_Assembly[MFG Date],"&gt;="&amp;$R$52,Table_Assembly[MFG Date],"&lt;="&amp;$R$53),
IF(AND($BF$5=FALSE,$BI$5=TRUE),SUMIFS(Table_Assembly[Total Produce],Table_Assembly[Product type],$D$5,Table_Assembly[Customer],$B$5,Table_Assembly[MFG Date],"&gt;="&amp;$R$52,Table_Assembly[MFG Date],"&lt;="&amp;$R$53),
IF(AND($BI$5=FALSE,$BH$5=FALSE),SUMIFS(Table_Assembly[Total Produce],Table_Assembly[Product type],$D$5,Table_Assembly[Customer],$B$5,Table_Assembly[MFG Date],"&gt;="&amp;$R$52,Table_Assembly[MFG Date],"&lt;="&amp;$R$53),"")))))</f>
        <v>205428</v>
      </c>
      <c r="BV5" s="50">
        <f>IF($J$4="","",
IF($BH$4=TRUE,SUMIFS(Table_Assembly[Total Produce],Table_Assembly[Product type],$D$5,Table_Assembly[MFG Date],"&gt;="&amp;$R$60,Table_Assembly[MFG Date],"&lt;="&amp;$R$61),
IF(AND($BF$5=TRUE,$BI$5=FALSE),SUMIFS(Table_Assembly[Total Produce],Table_Assembly[Product type],$D$5,Table_Assembly[MFG Date],"&gt;="&amp;$R$60,Table_Assembly[MFG Date],"&lt;="&amp;$R$61),
IF(AND($BF$5=FALSE,$BI$5=TRUE),SUMIFS(Table_Assembly[Total Produce],Table_Assembly[Product type],$D$5,Table_Assembly[Customer],$B$5,Table_Assembly[MFG Date],"&gt;="&amp;$R$60,Table_Assembly[MFG Date],"&lt;="&amp;$R$61),
IF(AND($BI$5=FALSE,$BH$5=FALSE),SUMIFS(Table_Assembly[Total Produce],Table_Assembly[Product type],$D$5,Table_Assembly[Customer],$B$5,Table_Assembly[MFG Date],"&gt;="&amp;$R$60,Table_Assembly[MFG Date],"&lt;="&amp;$R$61),"")))))</f>
        <v>120758</v>
      </c>
      <c r="BW5" s="50" t="str">
        <f>IF($K$4="","",
IF($BH$4=TRUE,SUMIFS(Table_Assembly[Total Produce],Table_Assembly[Product type],$D$5,Table_Assembly[MFG Date],"&gt;="&amp;$R$68,Table_Assembly[MFG Date],"&lt;="&amp;$R$69),
IF(AND($BF$5=TRUE,$BI$5=FALSE),SUMIFS(Table_Assembly[Total Produce],Table_Assembly[Product type],$D$5,#REF!,$B$3,Table_Assembly[MFG Date],"&gt;="&amp;$R$68,Table_Assembly[MFG Date],"&lt;="&amp;$R$69),
IF(AND($BF$5=FALSE,$BI$5=TRUE),SUMIFS(Table_Assembly[Total Produce],Table_Assembly[Product type],$D$5,Table_Assembly[Customer],$B$5,Table_Assembly[MFG Date],"&gt;="&amp;$R$68,Table_Assembly[MFG Date],"&lt;="&amp;$R$69),
IF(AND($BI$5=FALSE,$BH$5=FALSE),SUMIFS(Table_Assembly[Total Produce],Table_Assembly[Product type],$D$5,#REF!,$B$3,Table_Assembly[Customer],$B$5,Table_Assembly[MFG Date],"&gt;="&amp;$R$68,Table_Assembly[MFG Date],"&lt;="&amp;$R$69),"")))))</f>
        <v/>
      </c>
      <c r="BX5" s="51"/>
      <c r="BY5" s="52">
        <f>SUM(BR5:BX5)</f>
        <v>791242</v>
      </c>
      <c r="BZ5" s="23"/>
      <c r="CA5" s="85"/>
    </row>
    <row r="6" spans="1:90" ht="15.5" thickBot="1">
      <c r="A6" s="118"/>
      <c r="B6" s="28"/>
      <c r="C6" s="23"/>
      <c r="D6" s="204"/>
      <c r="E6" s="19" t="s">
        <v>65</v>
      </c>
      <c r="F6" s="40">
        <f>IF($F$4="","",
IF($BH$4=TRUE,SUMIFS(Table_Assembly[Total NG],Table_Assembly[Product type],$D$5,Table_Assembly[MFG Date],"&gt;="&amp;$R$28,Table_Assembly[MFG Date],"&lt;="&amp;$R$29),
IF(AND($BF$5=TRUE,$BI$5=FALSE),SUMIFS(Table_Assembly[Total NG],Table_Assembly[Product type],$D$5,Table_Assembly[MFG Date],"&gt;="&amp;$R$28,Table_Assembly[MFG Date],"&lt;="&amp;$R$29),
IF(AND($BF$5=FALSE,$BI$5=TRUE),SUMIFS(Table_Assembly[Total NG],Table_Assembly[Product type],$D$5,Table_Assembly[Customer],$B$5,Table_Assembly[MFG Date],"&gt;="&amp;$R$28,Table_Assembly[MFG Date],"&lt;="&amp;$R$29),
IF(AND($BI$5=FALSE,$BH$5=FALSE),SUMIFS(Table_Assembly[Total NG],Table_Assembly[Product type],$D$5,Table_Assembly[Customer],$B$5,Table_Assembly[MFG Date],"&gt;="&amp;$R$28,Table_Assembly[MFG Date],"&lt;="&amp;$R$29),"")))))</f>
        <v>1035</v>
      </c>
      <c r="G6" s="40">
        <f>IF($G$4="","",
IF($BH$4=TRUE,SUMIFS(Table_Assembly[Total NG],Table_Assembly[Product type],$D$5,Table_Assembly[MFG Date],"&gt;="&amp;$R$36,Table_Assembly[MFG Date],"&lt;="&amp;$R$37),
IF(AND($BF$5=TRUE,$BI$5=FALSE),SUMIFS(Table_Assembly[Total NG],Table_Assembly[Product type],$D$5,Table_Assembly[MFG Date],"&gt;="&amp;$R$36,Table_Assembly[MFG Date],"&lt;="&amp;$R$37),
IF(AND($BF$5=FALSE,$BI$5=TRUE),SUMIFS(Table_Assembly[Total NG],Table_Assembly[Product type],$D$5,Table_Assembly[Customer],$B$5,Table_Assembly[MFG Date],"&gt;="&amp;$R$36,Table_Assembly[MFG Date],"&lt;="&amp;$R$37),
IF(AND($BI$5=FALSE,$BH$5=FALSE),SUMIFS(Table_Assembly[Total NG],Table_Assembly[Product type],$D$5,Table_Assembly[Customer],$B$5,Table_Assembly[MFG Date],"&gt;="&amp;$R$36,Table_Assembly[MFG Date],"&lt;="&amp;$R$37),"")))))</f>
        <v>80</v>
      </c>
      <c r="H6" s="40">
        <f>IF($H$4="","",
IF($BH$4=TRUE,SUMIFS(Table_Assembly[Total NG],Table_Assembly[Product type],$D$5,Table_Assembly[MFG Date],"&gt;="&amp;$R$44,Table_Assembly[MFG Date],"&lt;="&amp;$R$45),
IF(AND($BF$5=TRUE,$BI$5=FALSE),SUMIFS(Table_Assembly[Total NG],Table_Assembly[Product type],$D$5,Table_Assembly[MFG Date],"&gt;="&amp;$R$44,Table_Assembly[MFG Date],"&lt;="&amp;$R$45),
IF(AND($BF$5=FALSE,$BI$5=TRUE),SUMIFS(Table_Assembly[Total NG],Table_Assembly[Product type],$D$5,Table_Assembly[Customer],$B$5,Table_Assembly[MFG Date],"&gt;="&amp;$R$44,Table_Assembly[MFG Date],"&lt;="&amp;$R$45),
IF(AND($BI$5=FALSE,$BH$5=FALSE),SUMIFS(Table_Assembly[Total NG],Table_Assembly[Product type],$D$5,Table_Assembly[Customer],$B$5,Table_Assembly[MFG Date],"&gt;="&amp;$R$44,Table_Assembly[MFG Date],"&lt;="&amp;$R$45),"")))))</f>
        <v>112</v>
      </c>
      <c r="I6" s="40">
        <f>IF($I$4="","",
IF($BH$4=TRUE,SUMIFS(Table_Assembly[Total NG],Table_Assembly[Product type],$D$5,Table_Assembly[MFG Date],"&gt;="&amp;$R$52,Table_Assembly[MFG Date],"&lt;="&amp;$R$53),
IF(AND($BF$5=TRUE,$BI$5=FALSE),SUMIFS(Table_Assembly[Total NG],Table_Assembly[Product type],$D$5,Table_Assembly[MFG Date],"&gt;="&amp;$R$52,Table_Assembly[MFG Date],"&lt;="&amp;$R$53),
IF(AND($BF$5=FALSE,$BI$5=TRUE),SUMIFS(Table_Assembly[Total NG],Table_Assembly[Product type],$D$5,Table_Assembly[Customer],$B$5,Table_Assembly[MFG Date],"&gt;="&amp;$R$52,Table_Assembly[MFG Date],"&lt;="&amp;$R$53),
IF(AND($BI$5=FALSE,$BH$5=FALSE),SUMIFS(Table_Assembly[Total NG],Table_Assembly[Product type],$D$5,Table_Assembly[Customer],$B$5,Table_Assembly[MFG Date],"&gt;="&amp;$R$52,Table_Assembly[MFG Date],"&lt;="&amp;$R$53),"")))))</f>
        <v>44</v>
      </c>
      <c r="J6" s="40">
        <f>IF($J$4="","",
IF($BH$4=TRUE,SUMIFS(Table_Assembly[Total NG],Table_Assembly[Product type],$D$5,Table_Assembly[MFG Date],"&gt;="&amp;$R$60,Table_Assembly[MFG Date],"&lt;="&amp;$R$61),
IF(AND($BF$5=TRUE,$BI$5=FALSE),SUMIFS(Table_Assembly[Total NG],Table_Assembly[Product type],$D$5,Table_Assembly[MFG Date],"&gt;="&amp;$R$60,Table_Assembly[MFG Date],"&lt;="&amp;$R$61),
IF(AND($BF$5=FALSE,$BI$5=TRUE),SUMIFS(Table_Assembly[Total NG],Table_Assembly[Product type],$D$5,Table_Assembly[Customer],$B$5,Table_Assembly[MFG Date],"&gt;="&amp;$R$60,Table_Assembly[MFG Date],"&lt;="&amp;$R$61),
IF(AND($BI$5=FALSE,$BH$5=FALSE),SUMIFS(Table_Assembly[Total NG],Table_Assembly[Product type],$D$5,Table_Assembly[Customer],$B$5,Table_Assembly[MFG Date],"&gt;="&amp;$R$60,Table_Assembly[MFG Date],"&lt;="&amp;$R$61),"")))))</f>
        <v>31</v>
      </c>
      <c r="K6" s="40" t="str">
        <f>IF($K$4="","",
IF($BH$4=TRUE,SUMIFS(Table_Assembly[Total NG],Table_Assembly[Product type],$D$5,Table_Assembly[MFG Date],"&gt;="&amp;$R$68,Table_Assembly[MFG Date],"&lt;="&amp;$R$69),
IF(AND($BF$5=TRUE,$BI$5=FALSE),SUMIFS(Table_Assembly[Total NG],Table_Assembly[Product type],$D$5,Table_Assembly[MFG Date],"&gt;="&amp;$R$68,Table_Assembly[MFG Date],"&lt;="&amp;$R$69),
IF(AND($BF$5=FALSE,$BI$5=TRUE),SUMIFS(Table_Assembly[Total NG],Table_Assembly[Product type],$D$5,Table_Assembly[Customer],$B$5,Table_Assembly[MFG Date],"&gt;="&amp;$R$68,Table_Assembly[MFG Date],"&lt;="&amp;$R$69),
IF(AND($BI$5=FALSE,$BH$5=FALSE),SUMIFS(Table_Assembly[Total NG],Table_Assembly[Product type],$D$5,Table_Assembly[Customer],$B$5,Table_Assembly[MFG Date],"&gt;="&amp;$R$68,Table_Assembly[MFG Date],"&lt;="&amp;$R$69),"")))))</f>
        <v/>
      </c>
      <c r="L6" s="41"/>
      <c r="M6" s="42">
        <f>SUM(F6:L6)</f>
        <v>1302</v>
      </c>
      <c r="N6" s="23"/>
      <c r="O6" s="119"/>
      <c r="P6" s="13" t="e">
        <f>SUMIFS(#REF!,#REF!,'Monthly Report'!D5:D7,#REF!,'Monthly Report'!K4)</f>
        <v>#REF!</v>
      </c>
      <c r="BJ6" s="12" t="s">
        <v>53</v>
      </c>
      <c r="BM6" s="105"/>
      <c r="BN6" s="23"/>
      <c r="BO6" s="23"/>
      <c r="BP6" s="188"/>
      <c r="BQ6" s="19" t="s">
        <v>65</v>
      </c>
      <c r="BR6" s="40">
        <f>IF($F$4="","",
IF($BH$4=TRUE,SUMIFS(Table_Assembly[Total NG from machine],Table_Assembly[Product type],$D$5,Table_Assembly[MFG Date],"&gt;="&amp;$R$28,Table_Assembly[MFG Date],"&lt;="&amp;$R$29),
IF(AND($BF$5=TRUE,$BI$5=FALSE),SUMIFS(Table_Assembly[Total NG from machine],Table_Assembly[Product type],$D$5,#REF!,$B$3,Table_Assembly[MFG Date],"&gt;="&amp;$R$28,Table_Assembly[MFG Date],"&lt;="&amp;$R$29),
IF(AND($BF$5=FALSE,$BI$5=TRUE),SUMIFS(Table_Assembly[Total NG from machine],Table_Assembly[Product type],$D$5,Table_Assembly[Customer],$B$5,Table_Assembly[MFG Date],"&gt;="&amp;$R$28,Table_Assembly[MFG Date],"&lt;="&amp;$R$29),
IF(AND($BI$5=FALSE,$BH$5=FALSE),SUMIFS(Table_Assembly[Total NG from machine],Table_Assembly[Product type],$D$5,#REF!,$B$3,Table_Assembly[Customer],$B$5,Table_Assembly[MFG Date],"&gt;="&amp;$R$28,Table_Assembly[MFG Date],"&lt;="&amp;$R$29),"")))))</f>
        <v>1016</v>
      </c>
      <c r="BS6" s="40">
        <f>IF($G$4="","",
IF($BH$4=TRUE,SUMIFS(Table_Assembly[Total NG from machine],Table_Assembly[Product type],$D$5,Table_Assembly[MFG Date],"&gt;="&amp;$R$36,Table_Assembly[MFG Date],"&lt;="&amp;$R$37),
IF(AND($BF$5=TRUE,$BI$5=FALSE),SUMIFS(Table_Assembly[Total NG from machine],Table_Assembly[Product type],$D$5,#REF!,$B$3,Table_Assembly[MFG Date],"&gt;="&amp;$R$36,Table_Assembly[MFG Date],"&lt;="&amp;$R$37),
IF(AND($BF$5=FALSE,$BI$5=TRUE),SUMIFS(Table_Assembly[Total NG from machine],Table_Assembly[Product type],$D$5,Table_Assembly[Customer],$B$5,Table_Assembly[MFG Date],"&gt;="&amp;$R$36,Table_Assembly[MFG Date],"&lt;="&amp;$R$37),
IF(AND($BI$5=FALSE,$BH$5=FALSE),SUMIFS(Table_Assembly[Total NG from machine],Table_Assembly[Product type],$D$5,#REF!,$B$3,Table_Assembly[Customer],$B$5,Table_Assembly[MFG Date],"&gt;="&amp;$R$36,Table_Assembly[MFG Date],"&lt;="&amp;$R$37),"")))))</f>
        <v>40</v>
      </c>
      <c r="BT6" s="40">
        <f>IF($H$4="","",
IF($BH$4=TRUE,SUMIFS(Table_Assembly[Total NG from machine],Table_Assembly[Product type],$D$5,Table_Assembly[MFG Date],"&gt;="&amp;$R$44,Table_Assembly[MFG Date],"&lt;="&amp;$R$45),
IF(AND($BF$5=TRUE,$BI$5=FALSE),SUMIFS(Table_Assembly[Total NG from machine],Table_Assembly[Product type],$D$5,#REF!,$B$3,Table_Assembly[MFG Date],"&gt;="&amp;$R$44,Table_Assembly[MFG Date],"&lt;="&amp;$R$45),
IF(AND($BF$5=FALSE,$BI$5=TRUE),SUMIFS(Table_Assembly[Total NG from machine],Table_Assembly[Product type],$D$5,Table_Assembly[Customer],$B$5,Table_Assembly[MFG Date],"&gt;="&amp;$R$44,Table_Assembly[MFG Date],"&lt;="&amp;$R$45),
IF(AND($BI$5=FALSE,$BH$5=FALSE),SUMIFS(Table_Assembly[Total NG from machine],Table_Assembly[Product type],$D$5,#REF!,$B$3,Table_Assembly[Customer],$B$5,Table_Assembly[MFG Date],"&gt;="&amp;$R$44,Table_Assembly[MFG Date],"&lt;="&amp;$R$45),"")))))</f>
        <v>79</v>
      </c>
      <c r="BU6" s="40">
        <f>IF($I$4="","",
IF($BH$4=TRUE,SUMIFS(Table_Assembly[Total NG from machine],Table_Assembly[Product type],$D$5,Table_Assembly[MFG Date],"&gt;="&amp;$R$52,Table_Assembly[MFG Date],"&lt;="&amp;$R$53),
IF(AND($BF$5=TRUE,$BI$5=FALSE),SUMIFS(Table_Assembly[Total NG from machine],Table_Assembly[Product type],$D$5,#REF!,$B$3,Table_Assembly[MFG Date],"&gt;="&amp;$R$52,Table_Assembly[MFG Date],"&lt;="&amp;$R$53),
IF(AND($BF$5=FALSE,$BI$5=TRUE),SUMIFS(Table_Assembly[Total NG from machine],Table_Assembly[Product type],$D$5,Table_Assembly[Customer],$B$5,Table_Assembly[MFG Date],"&gt;="&amp;$R$52,Table_Assembly[MFG Date],"&lt;="&amp;$R$53),
IF(AND($BI$5=FALSE,$BH$5=FALSE),SUMIFS(Table_Assembly[Total NG from machine],Table_Assembly[Product type],$D$5,#REF!,$B$3,Table_Assembly[Customer],$B$5,Table_Assembly[MFG Date],"&gt;="&amp;$R$52,Table_Assembly[MFG Date],"&lt;="&amp;$R$53),"")))))</f>
        <v>32</v>
      </c>
      <c r="BV6" s="40">
        <f>IF($J$4="","",
IF($BH$4=TRUE,SUMIFS(Table_Assembly[Total NG from machine],Table_Assembly[Product type],$D$5,Table_Assembly[MFG Date],"&gt;="&amp;$R$60,Table_Assembly[MFG Date],"&lt;="&amp;$R$61),
IF(AND($BF$5=TRUE,$BI$5=FALSE),SUMIFS(Table_Assembly[Total NG from machine],Table_Assembly[Product type],$D$5,#REF!,$B$3,Table_Assembly[MFG Date],"&gt;="&amp;$R$60,Table_Assembly[MFG Date],"&lt;="&amp;$R$61),
IF(AND($BF$5=FALSE,$BI$5=TRUE),SUMIFS(Table_Assembly[Total NG from machine],Table_Assembly[Product type],$D$5,Table_Assembly[Customer],$B$5,Table_Assembly[MFG Date],"&gt;="&amp;$R$60,Table_Assembly[MFG Date],"&lt;="&amp;$R$61),
IF(AND($BI$5=FALSE,$BH$5=FALSE),SUMIFS(Table_Assembly[Total NG from machine],Table_Assembly[Product type],$D$5,#REF!,$B$3,Table_Assembly[Customer],$B$5,Table_Assembly[MFG Date],"&gt;="&amp;$R$60,Table_Assembly[MFG Date],"&lt;="&amp;$R$61),"")))))</f>
        <v>13</v>
      </c>
      <c r="BW6" s="40" t="str">
        <f>IF($K$4="","",
IF($BH$4=TRUE,SUMIFS(Table_Assembly[Total NG from machine],Table_Assembly[Product type],$D$5,Table_Assembly[MFG Date],"&gt;="&amp;$R$68,Table_Assembly[MFG Date],"&lt;="&amp;$R$69),
IF(AND($BF$5=TRUE,$BI$5=FALSE),SUMIFS(Table_Assembly[Total NG from machine],Table_Assembly[Product type],$D$5,#REF!,$B$3,Table_Assembly[MFG Date],"&gt;="&amp;$R$68,Table_Assembly[MFG Date],"&lt;="&amp;$R$69),
IF(AND($BF$5=FALSE,$BI$5=TRUE),SUMIFS(Table_Assembly[Total NG from machine],Table_Assembly[Product type],$D$5,Table_Assembly[Customer],$B$5,Table_Assembly[MFG Date],"&gt;="&amp;$R$68,Table_Assembly[MFG Date],"&lt;="&amp;$R$69),
IF(AND($BI$5=FALSE,$BH$5=FALSE),SUMIFS(Table_Assembly[Total NG from machine],Table_Assembly[Product type],$D$5,#REF!,$B$3,Table_Assembly[Customer],$B$5,Table_Assembly[MFG Date],"&gt;="&amp;$R$68,Table_Assembly[MFG Date],"&lt;="&amp;$R$69),"")))))</f>
        <v/>
      </c>
      <c r="BX6" s="41"/>
      <c r="BY6" s="42">
        <f>SUM(BR6:BX6)</f>
        <v>1180</v>
      </c>
      <c r="BZ6" s="23"/>
      <c r="CA6" s="85"/>
    </row>
    <row r="7" spans="1:90" ht="15.5" thickBot="1">
      <c r="A7" s="117" t="s">
        <v>0</v>
      </c>
      <c r="B7" s="29">
        <v>2023</v>
      </c>
      <c r="C7" s="23"/>
      <c r="D7" s="210"/>
      <c r="E7" s="53" t="s">
        <v>66</v>
      </c>
      <c r="F7" s="54">
        <f t="shared" ref="F7:K7" si="1">IFERROR(F6/F5*1000000,"")</f>
        <v>8161.7525293547087</v>
      </c>
      <c r="G7" s="54">
        <f t="shared" si="1"/>
        <v>529.37361866571382</v>
      </c>
      <c r="H7" s="54">
        <f t="shared" si="1"/>
        <v>598.53679130839078</v>
      </c>
      <c r="I7" s="54">
        <f t="shared" si="1"/>
        <v>214.186965749557</v>
      </c>
      <c r="J7" s="54">
        <f t="shared" si="1"/>
        <v>256.71177064873547</v>
      </c>
      <c r="K7" s="54" t="str">
        <f t="shared" si="1"/>
        <v/>
      </c>
      <c r="L7" s="55"/>
      <c r="M7" s="56">
        <f>IFERROR(M6/M5*1000000,"")</f>
        <v>1645.5142674428303</v>
      </c>
      <c r="N7" s="23"/>
      <c r="O7" s="119"/>
      <c r="P7" s="12" t="e">
        <f>SUMIFS(#REF!,#REF!,'Monthly Report'!D5:D7,#REF!,'Monthly Report'!K4)</f>
        <v>#REF!</v>
      </c>
      <c r="Q7" s="12" t="e">
        <f>SUMIFS(#REF!,#REF!,'Monthly Report'!D5:D7,#REF!,'Monthly Report'!K4)</f>
        <v>#REF!</v>
      </c>
      <c r="R7" s="12" t="e">
        <f>SUMIFS(#REF!,#REF!,'Monthly Report'!$B$5,#REF!,'Monthly Report'!$D$5:$D$7,#REF!,'Monthly Report'!$K$4)</f>
        <v>#REF!</v>
      </c>
      <c r="U7" s="12" t="b">
        <f>$B$9=V7</f>
        <v>0</v>
      </c>
      <c r="V7" s="12" t="s">
        <v>6</v>
      </c>
      <c r="W7" s="12">
        <v>1</v>
      </c>
      <c r="X7" s="12" t="b">
        <f>$B$9=V7</f>
        <v>0</v>
      </c>
      <c r="Y7" s="12" t="s">
        <v>4</v>
      </c>
      <c r="Z7" s="14">
        <f>IFERROR(DATE($B$7,IF(U7=TRUE,W7,IF(U8=TRUE,W8,IF(U9=TRUE,W9,IF(U10=TRUE,W10,IF(U11=TRUE,W11,IF(U12=TRUE,W12,IF(U13=TRUE,W13,IF(U14=TRUE,W14,IF(U15=TRUE,W15,IF(U16=TRUE,W16,IF(U17=TRUE,W17,IF(U18=TRUE,W18,"")))))))))))),1),"")</f>
        <v>45047</v>
      </c>
      <c r="AA7" s="12" t="s">
        <v>18</v>
      </c>
      <c r="AB7" s="14">
        <f>IFERROR(EOMONTH(Z7,0),"")</f>
        <v>45077</v>
      </c>
      <c r="AD7" s="15" t="e">
        <f>IF($F$4="","",
IF($BH$4=TRUE,SUMIFS(#REF!,#REF!,'Monthly Report'!$D$5,#REF!,'Monthly Report'!$F$4),
IF(AND($BF$5=TRUE,$BI$5=FALSE),SUMIFS(#REF!,#REF!,'Monthly Report'!$B$3,#REF!,'Monthly Report'!$D$5,#REF!,'Monthly Report'!$F$4),
IF(AND($BF$5=FALSE,$BI$5=TRUE),SUMIFS(#REF!,#REF!,'Monthly Report'!$B$5,#REF!,'Monthly Report'!$D$5,#REF!,'Monthly Report'!$F$4),
IF(AND($BI$5=FALSE,$BH$5=FALSE),SUMIFS(#REF!,#REF!,'Monthly Report'!$B$3,#REF!,'Monthly Report'!$B$5,#REF!,'Monthly Report'!$D$5,#REF!,'Monthly Report'!$F$4),"")))))</f>
        <v>#REF!</v>
      </c>
      <c r="AE7" s="15" t="e">
        <f>IF($G$4="","",
IF($BH$4=TRUE,SUMIFS(#REF!,#REF!,'Monthly Report'!$D$5,#REF!,'Monthly Report'!$G$4),
IF(AND($BF$5=TRUE,$BI$5=FALSE),SUMIFS(#REF!,#REF!,'Monthly Report'!$B$3,#REF!,'Monthly Report'!$D$5,#REF!,'Monthly Report'!$G$4),
IF(AND($BF$5=FALSE,$BI$5=TRUE),SUMIFS(#REF!,#REF!,'Monthly Report'!$B$5,#REF!,'Monthly Report'!$D$5,#REF!,'Monthly Report'!$G$4),
IF(AND($BI$5=FALSE,$BH$5=FALSE),SUMIFS(#REF!,#REF!,'Monthly Report'!$B$3,#REF!,'Monthly Report'!$B$5,#REF!,'Monthly Report'!$D$5,#REF!,'Monthly Report'!$G$4),"")))))</f>
        <v>#REF!</v>
      </c>
      <c r="AF7" s="15" t="e">
        <f>IF($H$4="","",
IF($BH$4=TRUE,SUMIFS(#REF!,#REF!,'Monthly Report'!$D$5,#REF!,'Monthly Report'!$H$4),
IF(AND($BF$5=TRUE,$BI$5=FALSE),SUMIFS(#REF!,#REF!,'Monthly Report'!$B$3,#REF!,'Monthly Report'!$D$5,#REF!,'Monthly Report'!$H$4),
IF(AND($BF$5=FALSE,$BI$5=TRUE),SUMIFS(#REF!,#REF!,'Monthly Report'!$B$5,#REF!,'Monthly Report'!$D$5,#REF!,'Monthly Report'!$H$4),
IF(AND($BI$5=FALSE,$BH$5=FALSE),SUMIFS(#REF!,#REF!,'Monthly Report'!$B$3,#REF!,'Monthly Report'!$B$5,#REF!,'Monthly Report'!$D$5,#REF!,'Monthly Report'!$H$4),"")))))</f>
        <v>#REF!</v>
      </c>
      <c r="AG7" s="15" t="e">
        <f>IF($I$4="","",
IF($BH$4=TRUE,SUMIFS(#REF!,#REF!,'Monthly Report'!$D$5,#REF!,'Monthly Report'!$I$4),
IF(AND($BF$5=TRUE,$BI$5=FALSE),SUMIFS(#REF!,#REF!,'Monthly Report'!$B$3,#REF!,'Monthly Report'!$D$5,#REF!,'Monthly Report'!$I$4),
IF(AND($BF$5=FALSE,$BI$5=TRUE),SUMIFS(#REF!,#REF!,'Monthly Report'!$B$5,#REF!,'Monthly Report'!$D$5,#REF!,'Monthly Report'!$I$4),
IF(AND($BI$5=FALSE,$BH$5=FALSE),SUMIFS(#REF!,#REF!,'Monthly Report'!$B$3,#REF!,'Monthly Report'!$B$5,#REF!,'Monthly Report'!$D$5,#REF!,'Monthly Report'!$I$4),"")))))</f>
        <v>#REF!</v>
      </c>
      <c r="AH7" s="15" t="e">
        <f>IF($J$4="","",
IF($BH$4=TRUE,SUMIFS(#REF!,#REF!,'Monthly Report'!$D$5,#REF!,'Monthly Report'!$J$4),
IF(AND($BF$5=TRUE,$BI$5=FALSE),SUMIFS(#REF!,#REF!,'Monthly Report'!$B$3,#REF!,'Monthly Report'!$D$5,#REF!,'Monthly Report'!$J$4),
IF(AND($BF$5=FALSE,$BI$5=TRUE),SUMIFS(#REF!,#REF!,'Monthly Report'!$B$5,#REF!,'Monthly Report'!$D$5,#REF!,'Monthly Report'!$J$4),
IF(AND($BI$5=FALSE,$BH$5=FALSE),SUMIFS(#REF!,#REF!,'Monthly Report'!$B$3,#REF!,'Monthly Report'!$B$5,#REF!,'Monthly Report'!$D$5,#REF!,'Monthly Report'!$J$4),"")))))</f>
        <v>#REF!</v>
      </c>
      <c r="AI7" s="15" t="str">
        <f>IF($K$4="","",
IF($BH$4=TRUE,SUMIFS(#REF!,#REF!,'Monthly Report'!$D$5,#REF!,'Monthly Report'!$K$4),
IF(AND($BF$5=TRUE,$BI$5=FALSE),SUMIFS(#REF!,#REF!,'Monthly Report'!$B$3,#REF!,'Monthly Report'!$D$5,#REF!,'Monthly Report'!$K$4),
IF(AND($BF$5=FALSE,$BI$5=TRUE),SUMIFS(#REF!,#REF!,'Monthly Report'!$B$5,#REF!,'Monthly Report'!$D$5,#REF!,'Monthly Report'!$K$4),
IF(AND($BI$5=FALSE,$BH$5=FALSE),SUMIFS(#REF!,#REF!,'Monthly Report'!$B$3,#REF!,'Monthly Report'!$B$5,#REF!,'Monthly Report'!$D$5,#REF!,'Monthly Report'!$K$4),"")))))</f>
        <v/>
      </c>
      <c r="AJ7" s="15" t="str">
        <f>IF($L$4="","",
IF($BH$4=TRUE,SUMIFS(#REF!,#REF!,'Monthly Report'!$D$5,#REF!,'Monthly Report'!$L$4),
IF(AND($BF$5=TRUE,$BI$5=FALSE),SUMIFS(#REF!,#REF!,'Monthly Report'!$B$3,#REF!,'Monthly Report'!$D$5,#REF!,'Monthly Report'!$L$4),
IF(AND($BF$5=FALSE,$BI$5=TRUE),SUMIFS(#REF!,#REF!,'Monthly Report'!$B$5,#REF!,'Monthly Report'!$D$5,#REF!,'Monthly Report'!$L$4),
IF(AND($BI$5=FALSE,$BH$5=FALSE),SUMIFS(#REF!,#REF!,'Monthly Report'!$B$3,#REF!,'Monthly Report'!$B$5,#REF!,'Monthly Report'!$D$5,#REF!,'Monthly Report'!$L$4),"")))))</f>
        <v/>
      </c>
      <c r="BJ7" s="12" t="s">
        <v>84</v>
      </c>
      <c r="BM7" s="105"/>
      <c r="BN7" s="23"/>
      <c r="BO7" s="23"/>
      <c r="BP7" s="190"/>
      <c r="BQ7" s="53" t="s">
        <v>66</v>
      </c>
      <c r="BR7" s="54">
        <f t="shared" ref="BR7:BY7" si="2">IFERROR(BR6/BR5*1000000,"")</f>
        <v>8011.923255868971</v>
      </c>
      <c r="BS7" s="54">
        <f t="shared" si="2"/>
        <v>264.68680933285691</v>
      </c>
      <c r="BT7" s="54">
        <f t="shared" si="2"/>
        <v>422.18220101216843</v>
      </c>
      <c r="BU7" s="54">
        <f t="shared" si="2"/>
        <v>155.77233872695055</v>
      </c>
      <c r="BV7" s="54">
        <f t="shared" si="2"/>
        <v>107.65332317527617</v>
      </c>
      <c r="BW7" s="54" t="str">
        <f t="shared" si="2"/>
        <v/>
      </c>
      <c r="BX7" s="55"/>
      <c r="BY7" s="56">
        <f t="shared" si="2"/>
        <v>1491.3262946102457</v>
      </c>
      <c r="BZ7" s="23"/>
      <c r="CA7" s="85"/>
    </row>
    <row r="8" spans="1:90" ht="16.25" thickTop="1" thickBot="1">
      <c r="A8" s="118"/>
      <c r="B8" s="28"/>
      <c r="C8" s="23"/>
      <c r="D8" s="209" t="s">
        <v>67</v>
      </c>
      <c r="E8" s="18" t="s">
        <v>64</v>
      </c>
      <c r="F8" s="50">
        <f>IF($F$4="","",
IF($BH$4=TRUE,SUMIFS(Table_Assembly[Total Produce],Table_Assembly[Product type],$D$8,Table_Assembly[MFG Date],"&gt;="&amp;$R$28,Table_Assembly[MFG Date],"&lt;="&amp;$R$29),
IF(AND($BF$5=TRUE,$BI$5=FALSE),SUMIFS(Table_Assembly[Total Produce],Table_Assembly[Product type],$D$8,Table_Assembly[MFG Date],"&gt;="&amp;$R$28,Table_Assembly[MFG Date],"&lt;="&amp;$R$29),
IF(AND($BF$5=FALSE,$BI$5=TRUE),SUMIFS(Table_Assembly[Total Produce],Table_Assembly[Product type],$D$8,Table_Assembly[Customer],$B$5,Table_Assembly[MFG Date],"&gt;="&amp;$R$28,Table_Assembly[MFG Date],"&lt;="&amp;$R$29),
IF(AND($BI$5=FALSE,$BH$5=FALSE),SUMIFS(Table_Assembly[Total Produce],Table_Assembly[Product type],$D$8,Table_Assembly[Customer],$B$5,Table_Assembly[MFG Date],"&gt;="&amp;$R$28,Table_Assembly[MFG Date],"&lt;="&amp;$R$29),"")))))</f>
        <v>203905</v>
      </c>
      <c r="G8" s="50">
        <f>IF($G$4="","",
IF($BH$4=TRUE,SUMIFS(Table_Assembly[Total Produce],Table_Assembly[Product type],$D$8,Table_Assembly[MFG Date],"&gt;="&amp;$R$36,Table_Assembly[MFG Date],"&lt;="&amp;$R$37),
IF(AND($BF$5=TRUE,$BI$5=FALSE),SUMIFS(Table_Assembly[Total Produce],Table_Assembly[Product type],$D$8,Table_Assembly[MFG Date],"&gt;="&amp;$R$36,Table_Assembly[MFG Date],"&lt;="&amp;$R$37),
IF(AND($BF$5=FALSE,$BI$5=TRUE),SUMIFS(Table_Assembly[Total Produce],Table_Assembly[Product type],$D$8,Table_Assembly[Customer],$B$5,Table_Assembly[MFG Date],"&gt;="&amp;$R$36,Table_Assembly[MFG Date],"&lt;="&amp;$R$37),
IF(AND($BI$5=FALSE,$BH$5=FALSE),SUMIFS(Table_Assembly[Total Produce],Table_Assembly[Product type],$D$8,Table_Assembly[Customer],$B$5,Table_Assembly[MFG Date],"&gt;="&amp;$R$36,Table_Assembly[MFG Date],"&lt;="&amp;$R$37),"")))))</f>
        <v>237198</v>
      </c>
      <c r="H8" s="50">
        <f>IF($H$4="","",
IF($BH$4=TRUE,SUMIFS(Table_Assembly[Total Produce],Table_Assembly[Product type],$D$8,Table_Assembly[MFG Date],"&gt;="&amp;$R$44,Table_Assembly[MFG Date],"&lt;="&amp;$R$45),
IF(AND($BF$5=TRUE,$BI$5=FALSE),SUMIFS(Table_Assembly[Total Produce],Table_Assembly[Product type],$D$8,Table_Assembly[MFG Date],"&gt;="&amp;$R$44,Table_Assembly[MFG Date],"&lt;="&amp;$R$45),
IF(AND($BF$5=FALSE,$BI$5=TRUE),SUMIFS(Table_Assembly[Total Produce],Table_Assembly[Product type],$D$8,Table_Assembly[Customer],$B$5,Table_Assembly[MFG Date],"&gt;="&amp;$R$44,Table_Assembly[MFG Date],"&lt;="&amp;$R$45),
IF(AND($BI$5=FALSE,$BH$5=FALSE),SUMIFS(Table_Assembly[Total Produce],Table_Assembly[Product type],$D$8,Table_Assembly[Customer],$B$5,Table_Assembly[MFG Date],"&gt;="&amp;$R$44,Table_Assembly[MFG Date],"&lt;="&amp;$R$45),"")))))</f>
        <v>315792</v>
      </c>
      <c r="I8" s="50">
        <f>IF($I$4="","",
IF($BH$4=TRUE,SUMIFS(Table_Assembly[Total Produce],Table_Assembly[Product type],$D$8,Table_Assembly[MFG Date],"&gt;="&amp;$R$52,Table_Assembly[MFG Date],"&lt;="&amp;$R$53),
IF(AND($BF$5=TRUE,$BI$5=FALSE),SUMIFS(Table_Assembly[Total Produce],Table_Assembly[Product type],$D$8,Table_Assembly[MFG Date],"&gt;="&amp;$R$52,Table_Assembly[MFG Date],"&lt;="&amp;$R$53),
IF(AND($BF$5=FALSE,$BI$5=TRUE),SUMIFS(Table_Assembly[Total Produce],Table_Assembly[Product type],$D$8,Table_Assembly[Customer],$B$5,Table_Assembly[MFG Date],"&gt;="&amp;$R$52,Table_Assembly[MFG Date],"&lt;="&amp;$R$53),
IF(AND($BI$5=FALSE,$BH$5=FALSE),SUMIFS(Table_Assembly[Total Produce],Table_Assembly[Product type],$D$8,Table_Assembly[Customer],$B$5,Table_Assembly[MFG Date],"&gt;="&amp;$R$52,Table_Assembly[MFG Date],"&lt;="&amp;$R$53),"")))))</f>
        <v>145545</v>
      </c>
      <c r="J8" s="50">
        <f>IF($J$4="","",
IF($BH$4=TRUE,SUMIFS(Table_Assembly[Total Produce],Table_Assembly[Product type],$D$8,Table_Assembly[MFG Date],"&gt;="&amp;$R$60,Table_Assembly[MFG Date],"&lt;="&amp;$R$61),
IF(AND($BF$5=TRUE,$BI$5=FALSE),SUMIFS(Table_Assembly[Total Produce],Table_Assembly[Product type],$D$8,Table_Assembly[MFG Date],"&gt;="&amp;$R$60,Table_Assembly[MFG Date],"&lt;="&amp;$R$61),
IF(AND($BF$5=FALSE,$BI$5=TRUE),SUMIFS(Table_Assembly[Total Produce],Table_Assembly[Product type],$D$8,Table_Assembly[Customer],$B$5,Table_Assembly[MFG Date],"&gt;="&amp;$R$60,Table_Assembly[MFG Date],"&lt;="&amp;$R$61),
IF(AND($BI$5=FALSE,$BH$5=FALSE),SUMIFS(Table_Assembly[Total Produce],Table_Assembly[Product type],$D$8,Table_Assembly[Customer],$B$5,Table_Assembly[MFG Date],"&gt;="&amp;$R$60,Table_Assembly[MFG Date],"&lt;="&amp;$R$61),"")))))</f>
        <v>45804</v>
      </c>
      <c r="K8" s="50" t="str">
        <f>IF($K$4="","",
IF($BH$4=TRUE,SUMIFS(Table_Assembly[Total Produce],Table_Assembly[Product type],$D$8,Table_Assembly[MFG Date],"&gt;="&amp;$R$68,Table_Assembly[MFG Date],"&lt;="&amp;$R$69),
IF(AND($BF$5=TRUE,$BI$5=FALSE),SUMIFS(Table_Assembly[Total Produce],Table_Assembly[Product type],$D$8,Table_Assembly[MFG Date],"&gt;="&amp;$R$68,Table_Assembly[MFG Date],"&lt;="&amp;$R$69),
IF(AND($BF$5=FALSE,$BI$5=TRUE),SUMIFS(Table_Assembly[Total Produce],Table_Assembly[Product type],$D$8,Table_Assembly[Customer],$B$5,Table_Assembly[MFG Date],"&gt;="&amp;$R$68,Table_Assembly[MFG Date],"&lt;="&amp;$R$69),
IF(AND($BI$5=FALSE,$BH$5=FALSE),SUMIFS(Table_Assembly[Total Produce],Table_Assembly[Product type],$D$8,Table_Assembly[Customer],$B$5,Table_Assembly[MFG Date],"&gt;="&amp;$R$68,Table_Assembly[MFG Date],"&lt;="&amp;$R$69),"")))))</f>
        <v/>
      </c>
      <c r="L8" s="51"/>
      <c r="M8" s="52">
        <f>SUM(F8:L8)</f>
        <v>948244</v>
      </c>
      <c r="N8" s="23"/>
      <c r="O8" s="119"/>
      <c r="P8" s="12" t="e">
        <f>SUMIFS(#REF!,#REF!,'Monthly Report'!$B$5,#REF!,'Monthly Report'!$D$5:$D$7,#REF!,'Monthly Report'!$K$4)</f>
        <v>#REF!</v>
      </c>
      <c r="U8" s="12" t="b">
        <f t="shared" ref="U8:U17" si="3">$B$9=V8</f>
        <v>0</v>
      </c>
      <c r="V8" s="12" t="s">
        <v>7</v>
      </c>
      <c r="W8" s="12">
        <v>2</v>
      </c>
      <c r="X8" s="12" t="b">
        <f t="shared" ref="X8:X18" si="4">$B$9=V8</f>
        <v>0</v>
      </c>
      <c r="BM8" s="105"/>
      <c r="BN8" s="23"/>
      <c r="BO8" s="23"/>
      <c r="BP8" s="187" t="s">
        <v>67</v>
      </c>
      <c r="BQ8" s="18" t="s">
        <v>64</v>
      </c>
      <c r="BR8" s="50">
        <f>IF($F$4="","",
IF($BH$4=TRUE,SUMIFS(Table_Assembly[Total Produce],Table_Assembly[Product type],$D$8,Table_Assembly[MFG Date],"&gt;="&amp;$R$28,Table_Assembly[MFG Date],"&lt;="&amp;$R$29),
IF(AND($BF$5=TRUE,$BI$5=FALSE),SUMIFS(Table_Assembly[Total Produce],Table_Assembly[Product type],$D$8,Table_Assembly[MFG Date],"&gt;="&amp;$R$28,Table_Assembly[MFG Date],"&lt;="&amp;$R$29),
IF(AND($BF$5=FALSE,$BI$5=TRUE),SUMIFS(Table_Assembly[Total Produce],Table_Assembly[Product type],$D$8,Table_Assembly[Customer],$B$5,Table_Assembly[MFG Date],"&gt;="&amp;$R$28,Table_Assembly[MFG Date],"&lt;="&amp;$R$29),
IF(AND($BI$5=FALSE,$BH$5=FALSE),SUMIFS(Table_Assembly[Total Produce],Table_Assembly[Product type],$D$8,Table_Assembly[Customer],$B$5,Table_Assembly[MFG Date],"&gt;="&amp;$R$28,Table_Assembly[MFG Date],"&lt;="&amp;$R$29),"")))))</f>
        <v>203905</v>
      </c>
      <c r="BS8" s="50">
        <f>IF($G$4="","",
IF($BH$4=TRUE,SUMIFS(Table_Assembly[Total Produce],Table_Assembly[Product type],$D$8,Table_Assembly[MFG Date],"&gt;="&amp;$R$36,Table_Assembly[MFG Date],"&lt;="&amp;$R$37),
IF(AND($BF$5=TRUE,$BI$5=FALSE),SUMIFS(Table_Assembly[Total Produce],Table_Assembly[Product type],$D$8,Table_Assembly[MFG Date],"&gt;="&amp;$R$36,Table_Assembly[MFG Date],"&lt;="&amp;$R$37),
IF(AND($BF$5=FALSE,$BI$5=TRUE),SUMIFS(Table_Assembly[Total Produce],Table_Assembly[Product type],$D$8,Table_Assembly[Customer],$B$5,Table_Assembly[MFG Date],"&gt;="&amp;$R$36,Table_Assembly[MFG Date],"&lt;="&amp;$R$37),
IF(AND($BI$5=FALSE,$BH$5=FALSE),SUMIFS(Table_Assembly[Total Produce],Table_Assembly[Product type],$D$8,Table_Assembly[Customer],$B$5,Table_Assembly[MFG Date],"&gt;="&amp;$R$36,Table_Assembly[MFG Date],"&lt;="&amp;$R$37),"")))))</f>
        <v>237198</v>
      </c>
      <c r="BT8" s="50">
        <f>IF($H$4="","",
IF($BH$4=TRUE,SUMIFS(Table_Assembly[Total Produce],Table_Assembly[Product type],$D$8,Table_Assembly[MFG Date],"&gt;="&amp;$R$44,Table_Assembly[MFG Date],"&lt;="&amp;$R$45),
IF(AND($BF$5=TRUE,$BI$5=FALSE),SUMIFS(Table_Assembly[Total Produce],Table_Assembly[Product type],$D$8,Table_Assembly[MFG Date],"&gt;="&amp;$R$44,Table_Assembly[MFG Date],"&lt;="&amp;$R$45),
IF(AND($BF$5=FALSE,$BI$5=TRUE),SUMIFS(Table_Assembly[Total Produce],Table_Assembly[Product type],$D$8,Table_Assembly[Customer],$B$5,Table_Assembly[MFG Date],"&gt;="&amp;$R$44,Table_Assembly[MFG Date],"&lt;="&amp;$R$45),
IF(AND($BI$5=FALSE,$BH$5=FALSE),SUMIFS(Table_Assembly[Total Produce],Table_Assembly[Product type],$D$8,Table_Assembly[Customer],$B$5,Table_Assembly[MFG Date],"&gt;="&amp;$R$44,Table_Assembly[MFG Date],"&lt;="&amp;$R$45),"")))))</f>
        <v>315792</v>
      </c>
      <c r="BU8" s="50">
        <f>IF($I$4="","",
IF($BH$4=TRUE,SUMIFS(Table_Assembly[Total Produce],Table_Assembly[Product type],$D$8,Table_Assembly[MFG Date],"&gt;="&amp;$R$52,Table_Assembly[MFG Date],"&lt;="&amp;$R$53),
IF(AND($BF$5=TRUE,$BI$5=FALSE),SUMIFS(Table_Assembly[Total Produce],Table_Assembly[Product type],$D$8,Table_Assembly[MFG Date],"&gt;="&amp;$R$52,Table_Assembly[MFG Date],"&lt;="&amp;$R$53),
IF(AND($BF$5=FALSE,$BI$5=TRUE),SUMIFS(Table_Assembly[Total Produce],Table_Assembly[Product type],$D$8,Table_Assembly[Customer],$B$5,Table_Assembly[MFG Date],"&gt;="&amp;$R$52,Table_Assembly[MFG Date],"&lt;="&amp;$R$53),
IF(AND($BI$5=FALSE,$BH$5=FALSE),SUMIFS(Table_Assembly[Total Produce],Table_Assembly[Product type],$D$8,Table_Assembly[Customer],$B$5,Table_Assembly[MFG Date],"&gt;="&amp;$R$52,Table_Assembly[MFG Date],"&lt;="&amp;$R$53),"")))))</f>
        <v>145545</v>
      </c>
      <c r="BV8" s="50">
        <f>IF($J$4="","",
IF($BH$4=TRUE,SUMIFS(Table_Assembly[Total Produce],Table_Assembly[Product type],$D$8,Table_Assembly[MFG Date],"&gt;="&amp;$R$60,Table_Assembly[MFG Date],"&lt;="&amp;$R$61),
IF(AND($BF$5=TRUE,$BI$5=FALSE),SUMIFS(Table_Assembly[Total Produce],Table_Assembly[Product type],$D$8,Table_Assembly[MFG Date],"&gt;="&amp;$R$60,Table_Assembly[MFG Date],"&lt;="&amp;$R$61),
IF(AND($BF$5=FALSE,$BI$5=TRUE),SUMIFS(Table_Assembly[Total Produce],Table_Assembly[Product type],$D$8,Table_Assembly[Customer],$B$5,Table_Assembly[MFG Date],"&gt;="&amp;$R$60,Table_Assembly[MFG Date],"&lt;="&amp;$R$61),
IF(AND($BI$5=FALSE,$BH$5=FALSE),SUMIFS(Table_Assembly[Total Produce],Table_Assembly[Product type],$D$8,Table_Assembly[Customer],$B$5,Table_Assembly[MFG Date],"&gt;="&amp;$R$60,Table_Assembly[MFG Date],"&lt;="&amp;$R$61),"")))))</f>
        <v>45804</v>
      </c>
      <c r="BW8" s="50" t="str">
        <f>IF($K$4="","",
IF($BH$4=TRUE,SUMIFS(Table_Assembly[Total Produce],Table_Assembly[Product type],$D$8,Table_Assembly[MFG Date],"&gt;="&amp;$R$68,Table_Assembly[MFG Date],"&lt;="&amp;$R$69),
IF(AND($BF$5=TRUE,$BI$5=FALSE),SUMIFS(Table_Assembly[Total Produce],Table_Assembly[Product type],$D$8,Table_Assembly[MFG Date],"&gt;="&amp;$R$68,Table_Assembly[MFG Date],"&lt;="&amp;$R$69),
IF(AND($BF$5=FALSE,$BI$5=TRUE),SUMIFS(Table_Assembly[Total Produce],Table_Assembly[Product type],$D$8,Table_Assembly[Customer],$B$5,Table_Assembly[MFG Date],"&gt;="&amp;$R$68,Table_Assembly[MFG Date],"&lt;="&amp;$R$69),
IF(AND($BI$5=FALSE,$BH$5=FALSE),SUMIFS(Table_Assembly[Total Produce],Table_Assembly[Product type],$D$8,Table_Assembly[Customer],$B$5,Table_Assembly[MFG Date],"&gt;="&amp;$R$68,Table_Assembly[MFG Date],"&lt;="&amp;$R$69),"")))))</f>
        <v/>
      </c>
      <c r="BX8" s="51"/>
      <c r="BY8" s="52">
        <f>SUM(BR8:BX8)</f>
        <v>948244</v>
      </c>
      <c r="BZ8" s="23"/>
      <c r="CA8" s="85"/>
    </row>
    <row r="9" spans="1:90" ht="15.5" thickBot="1">
      <c r="A9" s="117" t="s">
        <v>1</v>
      </c>
      <c r="B9" s="29" t="s">
        <v>10</v>
      </c>
      <c r="C9" s="23"/>
      <c r="D9" s="204"/>
      <c r="E9" s="19" t="s">
        <v>65</v>
      </c>
      <c r="F9" s="40">
        <f>IF($F$4="","",
IF($BH$4=TRUE,SUMIFS(Table_Assembly[Total NG],Table_Assembly[Product type],$D$8,Table_Assembly[MFG Date],"&gt;="&amp;$R$28,Table_Assembly[MFG Date],"&lt;="&amp;$R$29),
IF(AND($BF$5=TRUE,$BI$5=FALSE),SUMIFS(Table_Assembly[Total NG],Table_Assembly[Product type],$D$8,Table_Assembly[MFG Date],"&gt;="&amp;$R$28,Table_Assembly[MFG Date],"&lt;="&amp;$R$29),
IF(AND($BF$5=FALSE,$BI$5=TRUE),SUMIFS(Table_Assembly[Total NG],Table_Assembly[Product type],$D$8,Table_Assembly[Customer],$B$5,Table_Assembly[MFG Date],"&gt;="&amp;$R$28,Table_Assembly[MFG Date],"&lt;="&amp;$R$29),
IF(AND($BI$5=FALSE,$BH$5=FALSE),SUMIFS(Table_Assembly[Total NG],Table_Assembly[Product type],$D$8,Table_Assembly[Customer],$B$5,Table_Assembly[MFG Date],"&gt;="&amp;$R$28,Table_Assembly[MFG Date],"&lt;="&amp;$R$29),"")))))</f>
        <v>20</v>
      </c>
      <c r="G9" s="40">
        <f>IF($G$4="","",
IF($BH$4=TRUE,SUMIFS(Table_Assembly[Total NG],Table_Assembly[Product type],$D$8,Table_Assembly[MFG Date],"&gt;="&amp;$R$36,Table_Assembly[MFG Date],"&lt;="&amp;$R$37),
IF(AND($BF$5=TRUE,$BI$5=FALSE),SUMIFS(Table_Assembly[Total NG],Table_Assembly[Product type],$D$8,Table_Assembly[MFG Date],"&gt;="&amp;$R$36,Table_Assembly[MFG Date],"&lt;="&amp;$R$37),
IF(AND($BF$5=FALSE,$BI$5=TRUE),SUMIFS(Table_Assembly[Total NG],Table_Assembly[Product type],$D$8,Table_Assembly[Customer],$B$5,Table_Assembly[MFG Date],"&gt;="&amp;$R$36,Table_Assembly[MFG Date],"&lt;="&amp;$R$37),
IF(AND($BI$5=FALSE,$BH$5=FALSE),SUMIFS(Table_Assembly[Total NG],Table_Assembly[Product type],$D$8,Table_Assembly[Customer],$B$5,Table_Assembly[MFG Date],"&gt;="&amp;$R$36,Table_Assembly[MFG Date],"&lt;="&amp;$R$37),"")))))</f>
        <v>28</v>
      </c>
      <c r="H9" s="40">
        <f>IF($H$4="","",
IF($BH$4=TRUE,SUMIFS(Table_Assembly[Total NG],Table_Assembly[Product type],$D$8,Table_Assembly[MFG Date],"&gt;="&amp;$R$44,Table_Assembly[MFG Date],"&lt;="&amp;$R$45),
IF(AND($BF$5=TRUE,$BI$5=FALSE),SUMIFS(Table_Assembly[Total NG],Table_Assembly[Product type],$D$8,Table_Assembly[MFG Date],"&gt;="&amp;$R$44,Table_Assembly[MFG Date],"&lt;="&amp;$R$45),
IF(AND($BF$5=FALSE,$BI$5=TRUE),SUMIFS(Table_Assembly[Total NG],Table_Assembly[Product type],$D$8,Table_Assembly[Customer],$B$5,Table_Assembly[MFG Date],"&gt;="&amp;$R$44,Table_Assembly[MFG Date],"&lt;="&amp;$R$45),
IF(AND($BI$5=FALSE,$BH$5=FALSE),SUMIFS(Table_Assembly[Total NG],Table_Assembly[Product type],$D$8,Table_Assembly[Customer],$B$5,Table_Assembly[MFG Date],"&gt;="&amp;$R$44,Table_Assembly[MFG Date],"&lt;="&amp;$R$45),"")))))</f>
        <v>139</v>
      </c>
      <c r="I9" s="40">
        <f>IF($I$4="","",
IF($BH$4=TRUE,SUMIFS(Table_Assembly[Total NG],Table_Assembly[Product type],$D$8,Table_Assembly[MFG Date],"&gt;="&amp;$R$52,Table_Assembly[MFG Date],"&lt;="&amp;$R$53),
IF(AND($BF$5=TRUE,$BI$5=FALSE),SUMIFS(Table_Assembly[Total NG],Table_Assembly[Product type],$D$8,Table_Assembly[MFG Date],"&gt;="&amp;$R$52,Table_Assembly[MFG Date],"&lt;="&amp;$R$53),
IF(AND($BF$5=FALSE,$BI$5=TRUE),SUMIFS(Table_Assembly[Total NG],Table_Assembly[Product type],$D$8,Table_Assembly[Customer],$B$5,Table_Assembly[MFG Date],"&gt;="&amp;$R$52,Table_Assembly[MFG Date],"&lt;="&amp;$R$53),
IF(AND($BI$5=FALSE,$BH$5=FALSE),SUMIFS(Table_Assembly[Total NG],Table_Assembly[Product type],$D$8,Table_Assembly[Customer],$B$5,Table_Assembly[MFG Date],"&gt;="&amp;$R$52,Table_Assembly[MFG Date],"&lt;="&amp;$R$53),"")))))</f>
        <v>36</v>
      </c>
      <c r="J9" s="40">
        <f>IF($J$4="","",
IF($BH$4=TRUE,SUMIFS(Table_Assembly[Total NG],Table_Assembly[Product type],$D$8,Table_Assembly[MFG Date],"&gt;="&amp;$R$60,Table_Assembly[MFG Date],"&lt;="&amp;$R$61),
IF(AND($BF$5=TRUE,$BI$5=FALSE),SUMIFS(Table_Assembly[Total NG],Table_Assembly[Product type],$D$8,Table_Assembly[MFG Date],"&gt;="&amp;$R$60,Table_Assembly[MFG Date],"&lt;="&amp;$R$61),
IF(AND($BF$5=FALSE,$BI$5=TRUE),SUMIFS(Table_Assembly[Total NG],Table_Assembly[Product type],$D$8,Table_Assembly[Customer],$B$5,Table_Assembly[MFG Date],"&gt;="&amp;$R$60,Table_Assembly[MFG Date],"&lt;="&amp;$R$61),
IF(AND($BI$5=FALSE,$BH$5=FALSE),SUMIFS(Table_Assembly[Total NG],Table_Assembly[Product type],$D$8,Table_Assembly[Customer],$B$5,Table_Assembly[MFG Date],"&gt;="&amp;$R$60,Table_Assembly[MFG Date],"&lt;="&amp;$R$61),"")))))</f>
        <v>4</v>
      </c>
      <c r="K9" s="40" t="str">
        <f>IF($K$4="","",
IF($BH$4=TRUE,SUMIFS(Table_Assembly[Total NG],Table_Assembly[Product type],$D$8,Table_Assembly[MFG Date],"&gt;="&amp;$R$68,Table_Assembly[MFG Date],"&lt;="&amp;$R$69),
IF(AND($BF$5=TRUE,$BI$5=FALSE),SUMIFS(Table_Assembly[Total NG],Table_Assembly[Product type],$D$8,Table_Assembly[MFG Date],"&gt;="&amp;$R$68,Table_Assembly[MFG Date],"&lt;="&amp;$R$69),
IF(AND($BF$5=FALSE,$BI$5=TRUE),SUMIFS(Table_Assembly[Total NG],Table_Assembly[Product type],$D$8,Table_Assembly[Customer],$B$5,Table_Assembly[MFG Date],"&gt;="&amp;$R$68,Table_Assembly[MFG Date],"&lt;="&amp;$R$69),
IF(AND($BI$5=FALSE,$BH$5=FALSE),SUMIFS(Table_Assembly[Total NG],Table_Assembly[Product type],$D$8,Table_Assembly[Customer],$B$5,Table_Assembly[MFG Date],"&gt;="&amp;$R$68,Table_Assembly[MFG Date],"&lt;="&amp;$R$69),"")))))</f>
        <v/>
      </c>
      <c r="L9" s="41"/>
      <c r="M9" s="42">
        <f>SUM(F9:L9)</f>
        <v>227</v>
      </c>
      <c r="N9" s="23"/>
      <c r="O9" s="119"/>
      <c r="P9" s="12" t="e">
        <f>SUMIFS(#REF!,#REF!,'Monthly Report'!D5:D7,#REF!,'Monthly Report'!B5,#REF!,'Monthly Report'!K4)</f>
        <v>#REF!</v>
      </c>
      <c r="U9" s="12" t="b">
        <f t="shared" si="3"/>
        <v>0</v>
      </c>
      <c r="V9" s="12" t="s">
        <v>8</v>
      </c>
      <c r="W9" s="12">
        <v>3</v>
      </c>
      <c r="X9" s="12" t="b">
        <f t="shared" si="4"/>
        <v>0</v>
      </c>
      <c r="BM9" s="105"/>
      <c r="BN9" s="23"/>
      <c r="BO9" s="23"/>
      <c r="BP9" s="188"/>
      <c r="BQ9" s="19" t="s">
        <v>65</v>
      </c>
      <c r="BR9" s="40">
        <f>IF($F$4="","",
IF($BH$4=TRUE,SUMIFS(Table_Assembly[Total NG from machine],Table_Assembly[Product type],$D$8,Table_Assembly[MFG Date],"&gt;="&amp;$R$28,Table_Assembly[MFG Date],"&lt;="&amp;$R$29),
IF(AND($BF$5=TRUE,$BI$5=FALSE),SUMIFS(Table_Assembly[Total NG from machine],Table_Assembly[Product type],$D$8,#REF!,$B$3,Table_Assembly[MFG Date],"&gt;="&amp;$R$28,Table_Assembly[MFG Date],"&lt;="&amp;$R$29),
IF(AND($BF$5=FALSE,$BI$5=TRUE),SUMIFS(Table_Assembly[Total NG from machine],Table_Assembly[Product type],$D$8,Table_Assembly[Customer],$B$5,Table_Assembly[MFG Date],"&gt;="&amp;$R$28,Table_Assembly[MFG Date],"&lt;="&amp;$R$29),
IF(AND($BI$5=FALSE,$BH$5=FALSE),SUMIFS(Table_Assembly[Total NG from machine],Table_Assembly[Product type],$D$8,#REF!,$B$3,Table_Assembly[Customer],$B$5,Table_Assembly[MFG Date],"&gt;="&amp;$R$28,Table_Assembly[MFG Date],"&lt;="&amp;$R$29),"")))))</f>
        <v>15</v>
      </c>
      <c r="BS9" s="40">
        <f>IF($G$4="","",
IF($BH$4=TRUE,SUMIFS(Table_Assembly[Total NG from machine],Table_Assembly[Product type],$D$8,Table_Assembly[MFG Date],"&gt;="&amp;$R$36,Table_Assembly[MFG Date],"&lt;="&amp;$R$37),
IF(AND($BF$5=TRUE,$BI$5=FALSE),SUMIFS(Table_Assembly[Total NG from machine],Table_Assembly[Product type],$D$8,#REF!,$B$3,Table_Assembly[MFG Date],"&gt;="&amp;$R$36,Table_Assembly[MFG Date],"&lt;="&amp;$R$37),
IF(AND($BF$5=FALSE,$BI$5=TRUE),SUMIFS(Table_Assembly[Total NG from machine],Table_Assembly[Product type],$D$8,Table_Assembly[Customer],$B$5,Table_Assembly[MFG Date],"&gt;="&amp;$R$36,Table_Assembly[MFG Date],"&lt;="&amp;$R$37),
IF(AND($BI$5=FALSE,$BH$5=FALSE),SUMIFS(Table_Assembly[Total NG from machine],Table_Assembly[Product type],$D$8,#REF!,$B$3,Table_Assembly[Customer],$B$5,Table_Assembly[MFG Date],"&gt;="&amp;$R$36,Table_Assembly[MFG Date],"&lt;="&amp;$R$37),"")))))</f>
        <v>8</v>
      </c>
      <c r="BT9" s="40">
        <f>IF($H$4="","",
IF($BH$4=TRUE,SUMIFS(Table_Assembly[Total NG from machine],Table_Assembly[Product type],$D$8,Table_Assembly[MFG Date],"&gt;="&amp;$R$44,Table_Assembly[MFG Date],"&lt;="&amp;$R$45),
IF(AND($BF$5=TRUE,$BI$5=FALSE),SUMIFS(Table_Assembly[Total NG from machine],Table_Assembly[Product type],$D$8,#REF!,$B$3,Table_Assembly[MFG Date],"&gt;="&amp;$R$44,Table_Assembly[MFG Date],"&lt;="&amp;$R$45),
IF(AND($BF$5=FALSE,$BI$5=TRUE),SUMIFS(Table_Assembly[Total NG from machine],Table_Assembly[Product type],$D$8,Table_Assembly[Customer],$B$5,Table_Assembly[MFG Date],"&gt;="&amp;$R$44,Table_Assembly[MFG Date],"&lt;="&amp;$R$45),
IF(AND($BI$5=FALSE,$BH$5=FALSE),SUMIFS(Table_Assembly[Total NG from machine],Table_Assembly[Product type],$D$8,#REF!,$B$3,Table_Assembly[Customer],$B$5,Table_Assembly[MFG Date],"&gt;="&amp;$R$44,Table_Assembly[MFG Date],"&lt;="&amp;$R$45),"")))))</f>
        <v>27</v>
      </c>
      <c r="BU9" s="40">
        <f>IF($I$4="","",
IF($BH$4=TRUE,SUMIFS(Table_Assembly[Total NG from machine],Table_Assembly[Product type],$D$8,Table_Assembly[MFG Date],"&gt;="&amp;$R$52,Table_Assembly[MFG Date],"&lt;="&amp;$R$53),
IF(AND($BF$5=TRUE,$BI$5=FALSE),SUMIFS(Table_Assembly[Total NG from machine],Table_Assembly[Product type],$D$8,#REF!,$B$3,Table_Assembly[MFG Date],"&gt;="&amp;$R$52,Table_Assembly[MFG Date],"&lt;="&amp;$R$53),
IF(AND($BF$5=FALSE,$BI$5=TRUE),SUMIFS(Table_Assembly[Total NG from machine],Table_Assembly[Product type],$D$8,Table_Assembly[Customer],$B$5,Table_Assembly[MFG Date],"&gt;="&amp;$R$52,Table_Assembly[MFG Date],"&lt;="&amp;$R$53),
IF(AND($BI$5=FALSE,$BH$5=FALSE),SUMIFS(Table_Assembly[Total NG from machine],Table_Assembly[Product type],$D$8,#REF!,$B$3,Table_Assembly[Customer],$B$5,Table_Assembly[MFG Date],"&gt;="&amp;$R$52,Table_Assembly[MFG Date],"&lt;="&amp;$R$53),"")))))</f>
        <v>35</v>
      </c>
      <c r="BV9" s="40">
        <f>IF($J$4="","",
IF($BH$4=TRUE,SUMIFS(Table_Assembly[Total NG from machine],Table_Assembly[Product type],$D$8,Table_Assembly[MFG Date],"&gt;="&amp;$R$60,Table_Assembly[MFG Date],"&lt;="&amp;$R$61),
IF(AND($BF$5=TRUE,$BI$5=FALSE),SUMIFS(Table_Assembly[Total NG from machine],Table_Assembly[Product type],$D$8,#REF!,$B$3,Table_Assembly[MFG Date],"&gt;="&amp;$R$60,Table_Assembly[MFG Date],"&lt;="&amp;$R$61),
IF(AND($BF$5=FALSE,$BI$5=TRUE),SUMIFS(Table_Assembly[Total NG from machine],Table_Assembly[Product type],$D$8,Table_Assembly[Customer],$B$5,Table_Assembly[MFG Date],"&gt;="&amp;$R$60,Table_Assembly[MFG Date],"&lt;="&amp;$R$61),
IF(AND($BI$5=FALSE,$BH$5=FALSE),SUMIFS(Table_Assembly[Total NG from machine],Table_Assembly[Product type],$D$8,#REF!,$B$3,Table_Assembly[Customer],$B$5,Table_Assembly[MFG Date],"&gt;="&amp;$R$60,Table_Assembly[MFG Date],"&lt;="&amp;$R$61),"")))))</f>
        <v>2</v>
      </c>
      <c r="BW9" s="40" t="str">
        <f>IF($K$4="","",
IF($BH$4=TRUE,SUMIFS(Table_Assembly[Total NG from machine],Table_Assembly[Product type],$D$8,Table_Assembly[MFG Date],"&gt;="&amp;$R$68,Table_Assembly[MFG Date],"&lt;="&amp;$R$69),
IF(AND($BF$5=TRUE,$BI$5=FALSE),SUMIFS(Table_Assembly[Total NG from machine],Table_Assembly[Product type],$D$8,#REF!,$B$3,Table_Assembly[MFG Date],"&gt;="&amp;$R$68,Table_Assembly[MFG Date],"&lt;="&amp;$R$69),
IF(AND($BF$5=FALSE,$BI$5=TRUE),SUMIFS(Table_Assembly[Total NG from machine],Table_Assembly[Product type],$D$8,Table_Assembly[Customer],$B$5,Table_Assembly[MFG Date],"&gt;="&amp;$R$68,Table_Assembly[MFG Date],"&lt;="&amp;$R$69),
IF(AND($BI$5=FALSE,$BH$5=FALSE),SUMIFS(Table_Assembly[Total NG from machine],Table_Assembly[Product type],$D$8,#REF!,$B$3,Table_Assembly[Customer],$B$5,Table_Assembly[MFG Date],"&gt;="&amp;$R$68,Table_Assembly[MFG Date],"&lt;="&amp;$R$69),"")))))</f>
        <v/>
      </c>
      <c r="BX9" s="41"/>
      <c r="BY9" s="42">
        <f>SUM(BR9:BX9)</f>
        <v>87</v>
      </c>
      <c r="BZ9" s="23"/>
      <c r="CA9" s="85"/>
    </row>
    <row r="10" spans="1:90" ht="15.5" thickBot="1">
      <c r="A10" s="118"/>
      <c r="B10" s="28"/>
      <c r="C10" s="23"/>
      <c r="D10" s="210"/>
      <c r="E10" s="53" t="s">
        <v>66</v>
      </c>
      <c r="F10" s="54">
        <f t="shared" ref="F10:J10" si="5">IFERROR(F9/F8*1000000,"")</f>
        <v>98.084892474436629</v>
      </c>
      <c r="G10" s="54">
        <f>IFERROR(G9/G8*1000000,"")</f>
        <v>118.04484017571818</v>
      </c>
      <c r="H10" s="54">
        <f t="shared" si="5"/>
        <v>440.16314536150378</v>
      </c>
      <c r="I10" s="54">
        <f>IFERROR(I9/I8*1000000,"")</f>
        <v>247.34618159332166</v>
      </c>
      <c r="J10" s="54">
        <f t="shared" si="5"/>
        <v>87.328617587983572</v>
      </c>
      <c r="K10" s="54" t="str">
        <f>IFERROR(K9/K8*1000000,"")</f>
        <v/>
      </c>
      <c r="L10" s="55"/>
      <c r="M10" s="57">
        <f>IFERROR(M9/M8*1000000,"")</f>
        <v>239.38986168117069</v>
      </c>
      <c r="N10" s="23"/>
      <c r="O10" s="119"/>
      <c r="U10" s="12" t="b">
        <f t="shared" si="3"/>
        <v>0</v>
      </c>
      <c r="V10" s="12" t="s">
        <v>9</v>
      </c>
      <c r="W10" s="12">
        <v>4</v>
      </c>
      <c r="X10" s="12" t="b">
        <f t="shared" si="4"/>
        <v>0</v>
      </c>
      <c r="AD10" s="12" t="e">
        <f>IF($F$4="","",
IF($BH$4=TRUE,SUMIFS(#REF!,#REF!,'Monthly Report'!$D$8,#REF!,'Monthly Report'!$F$4),
IF(AND($BF$5=TRUE,$BI$5=FALSE),SUMIFS(#REF!,#REF!,'Monthly Report'!$B$3,#REF!,'Monthly Report'!$D$8,#REF!,'Monthly Report'!$F$4),
IF(AND($BF$5=FALSE,$BI$5=TRUE),SUMIFS(#REF!,#REF!,'Monthly Report'!$B$5,#REF!,'Monthly Report'!$D$8,#REF!,'Monthly Report'!$F$4),
IF(AND($BI$5=FALSE,$BH$5=FALSE),SUMIFS(#REF!,#REF!,'Monthly Report'!$B$3,#REF!,'Monthly Report'!$B$5,#REF!,'Monthly Report'!$D$8,#REF!,'Monthly Report'!$F$4),"")))))</f>
        <v>#REF!</v>
      </c>
      <c r="AE10" s="12" t="e">
        <f>IF($G$4="","",
IF($BH$4=TRUE,SUMIFS(#REF!,#REF!,'Monthly Report'!$D$8,#REF!,'Monthly Report'!$G$4),
IF(AND($BF$5=TRUE,$BI$5=FALSE),SUMIFS(#REF!,#REF!,'Monthly Report'!$B$3,#REF!,'Monthly Report'!$D$8,#REF!,'Monthly Report'!$G$4),
IF(AND($BF$5=FALSE,$BI$5=TRUE),SUMIFS(#REF!,#REF!,'Monthly Report'!$B$5,#REF!,'Monthly Report'!$D$8,#REF!,'Monthly Report'!$G$4),
IF(AND($BI$5=FALSE,$BH$5=FALSE),SUMIFS(#REF!,#REF!,'Monthly Report'!$B$3,#REF!,'Monthly Report'!$B$5,#REF!,'Monthly Report'!$D$8,#REF!,'Monthly Report'!$G$4),"")))))</f>
        <v>#REF!</v>
      </c>
      <c r="AF10" s="12" t="e">
        <f>IF($H$4="","",
IF($BH$4=TRUE,SUMIFS(#REF!,#REF!,'Monthly Report'!$D$8,#REF!,'Monthly Report'!$H$4),
IF(AND($BF$5=TRUE,$BI$5=FALSE),SUMIFS(#REF!,#REF!,'Monthly Report'!$B$3,#REF!,'Monthly Report'!$D$8,#REF!,'Monthly Report'!$H$4),
IF(AND($BF$5=FALSE,$BI$5=TRUE),SUMIFS(#REF!,#REF!,'Monthly Report'!$B$5,#REF!,'Monthly Report'!$D$8,#REF!,'Monthly Report'!$H$4),
IF(AND($BI$5=FALSE,$BH$5=FALSE),SUMIFS(#REF!,#REF!,'Monthly Report'!$B$3,#REF!,'Monthly Report'!$B$5,#REF!,'Monthly Report'!$D$8,#REF!,'Monthly Report'!$H$4),"")))))</f>
        <v>#REF!</v>
      </c>
      <c r="AG10" s="12" t="e">
        <f>IF($I$4="","",
IF($BH$4=TRUE,SUMIFS(#REF!,#REF!,'Monthly Report'!$D$8,#REF!,'Monthly Report'!$I$4),
IF(AND($BF$5=TRUE,$BI$5=FALSE),SUMIFS(#REF!,#REF!,'Monthly Report'!$B$3,#REF!,'Monthly Report'!$D$8,#REF!,'Monthly Report'!$I$4),
IF(AND($BF$5=FALSE,$BI$5=TRUE),SUMIFS(#REF!,#REF!,'Monthly Report'!$B$5,#REF!,'Monthly Report'!$D$8,#REF!,'Monthly Report'!$I$4),
IF(AND($BI$5=FALSE,$BH$5=FALSE),SUMIFS(#REF!,#REF!,'Monthly Report'!$B$3,#REF!,'Monthly Report'!$B$5,#REF!,'Monthly Report'!$D$8,#REF!,'Monthly Report'!$I$4),"")))))</f>
        <v>#REF!</v>
      </c>
      <c r="AH10" s="12" t="e">
        <f>IF($J$4="","",
IF($BH$4=TRUE,SUMIFS(#REF!,#REF!,'Monthly Report'!$D$8,#REF!,'Monthly Report'!$J$4),
IF(AND($BF$5=TRUE,$BI$5=FALSE),SUMIFS(#REF!,#REF!,'Monthly Report'!$B$3,#REF!,'Monthly Report'!$D$8,#REF!,'Monthly Report'!$J$4),
IF(AND($BF$5=FALSE,$BI$5=TRUE),SUMIFS(#REF!,#REF!,'Monthly Report'!$B$5,#REF!,'Monthly Report'!$D$8,#REF!,'Monthly Report'!$J$4),
IF(AND($BI$5=FALSE,$BH$5=FALSE),SUMIFS(#REF!,#REF!,'Monthly Report'!$B$3,#REF!,'Monthly Report'!$B$5,#REF!,'Monthly Report'!$D$8,#REF!,'Monthly Report'!$J$4),"")))))</f>
        <v>#REF!</v>
      </c>
      <c r="AI10" s="12" t="str">
        <f>IF($K$4="","",
IF($BH$4=TRUE,SUMIFS(#REF!,#REF!,'Monthly Report'!$D$8,#REF!,'Monthly Report'!$K$4),
IF(AND($BF$5=TRUE,$BI$5=FALSE),SUMIFS(#REF!,#REF!,'Monthly Report'!$B$3,#REF!,'Monthly Report'!$D$8,#REF!,'Monthly Report'!$K$4),
IF(AND($BF$5=FALSE,$BI$5=TRUE),SUMIFS(#REF!,#REF!,'Monthly Report'!$B$5,#REF!,'Monthly Report'!$D$8,#REF!,'Monthly Report'!$K$4),
IF(AND($BI$5=FALSE,$BH$5=FALSE),SUMIFS(#REF!,#REF!,'Monthly Report'!$B$3,#REF!,'Monthly Report'!$B$5,#REF!,'Monthly Report'!$D$8,#REF!,'Monthly Report'!$K$4),"")))))</f>
        <v/>
      </c>
      <c r="AJ10" s="12" t="str">
        <f>IF($L$4="","",
IF($BH$4=TRUE,SUMIFS(#REF!,#REF!,'Monthly Report'!$D$8,#REF!,'Monthly Report'!$L$4),
IF(AND($BF$5=TRUE,$BI$5=FALSE),SUMIFS(#REF!,#REF!,'Monthly Report'!$B$3,#REF!,'Monthly Report'!$D$8,#REF!,'Monthly Report'!$L$4),
IF(AND($BF$5=FALSE,$BI$5=TRUE),SUMIFS(#REF!,#REF!,'Monthly Report'!$B$5,#REF!,'Monthly Report'!$D$8,#REF!,'Monthly Report'!$L$4),
IF(AND($BI$5=FALSE,$BH$5=FALSE),SUMIFS(#REF!,#REF!,'Monthly Report'!$B$3,#REF!,'Monthly Report'!$B$5,#REF!,'Monthly Report'!$D$8,#REF!,'Monthly Report'!$L$4),"")))))</f>
        <v/>
      </c>
      <c r="BM10" s="105"/>
      <c r="BN10" s="23"/>
      <c r="BO10" s="23"/>
      <c r="BP10" s="190"/>
      <c r="BQ10" s="53" t="s">
        <v>66</v>
      </c>
      <c r="BR10" s="54">
        <f t="shared" ref="BR10:BY10" si="6">IFERROR(BR9/BR8*1000000,"")</f>
        <v>73.563669355827471</v>
      </c>
      <c r="BS10" s="54">
        <f t="shared" si="6"/>
        <v>33.727097193062342</v>
      </c>
      <c r="BT10" s="54">
        <f t="shared" si="6"/>
        <v>85.499316005471954</v>
      </c>
      <c r="BU10" s="54">
        <f t="shared" si="6"/>
        <v>240.47545432684049</v>
      </c>
      <c r="BV10" s="54">
        <f t="shared" si="6"/>
        <v>43.664308793991786</v>
      </c>
      <c r="BW10" s="54" t="str">
        <f t="shared" si="6"/>
        <v/>
      </c>
      <c r="BX10" s="55"/>
      <c r="BY10" s="57">
        <f t="shared" si="6"/>
        <v>91.748537296307703</v>
      </c>
      <c r="BZ10" s="23"/>
      <c r="CA10" s="85"/>
    </row>
    <row r="11" spans="1:90" ht="16.25" thickTop="1" thickBot="1">
      <c r="A11" s="120" t="s">
        <v>3</v>
      </c>
      <c r="B11" s="80"/>
      <c r="C11" s="23"/>
      <c r="D11" s="209" t="s">
        <v>62</v>
      </c>
      <c r="E11" s="18" t="s">
        <v>64</v>
      </c>
      <c r="F11" s="50">
        <f>IF(F8&lt;&gt;"",F5+F8,"")</f>
        <v>330716</v>
      </c>
      <c r="G11" s="58">
        <f>IF(G8&lt;&gt;"",G5+G8,"")</f>
        <v>388320</v>
      </c>
      <c r="H11" s="58">
        <f t="shared" ref="G11:K12" si="7">IF(H8&lt;&gt;"",H5+H8,"")</f>
        <v>502915</v>
      </c>
      <c r="I11" s="58">
        <f t="shared" si="7"/>
        <v>350973</v>
      </c>
      <c r="J11" s="58">
        <f t="shared" si="7"/>
        <v>166562</v>
      </c>
      <c r="K11" s="58" t="str">
        <f t="shared" si="7"/>
        <v/>
      </c>
      <c r="L11" s="51"/>
      <c r="M11" s="52">
        <f>SUM(F11:L11)</f>
        <v>1739486</v>
      </c>
      <c r="N11" s="23"/>
      <c r="O11" s="119"/>
      <c r="P11" s="12" t="e">
        <f>K4=#REF!</f>
        <v>#REF!</v>
      </c>
      <c r="U11" s="12" t="b">
        <f t="shared" si="3"/>
        <v>1</v>
      </c>
      <c r="V11" s="12" t="s">
        <v>10</v>
      </c>
      <c r="W11" s="12">
        <v>5</v>
      </c>
      <c r="X11" s="12" t="b">
        <f t="shared" si="4"/>
        <v>1</v>
      </c>
      <c r="BM11" s="105"/>
      <c r="BN11" s="23"/>
      <c r="BO11" s="23"/>
      <c r="BP11" s="187" t="s">
        <v>62</v>
      </c>
      <c r="BQ11" s="18" t="s">
        <v>64</v>
      </c>
      <c r="BR11" s="50">
        <f>IF(BR8&lt;&gt;"",BR5+BR8,"")</f>
        <v>330716</v>
      </c>
      <c r="BS11" s="58">
        <f t="shared" ref="BS11:BW12" si="8">IF(BS8&lt;&gt;"",BS5+BS8,"")</f>
        <v>388320</v>
      </c>
      <c r="BT11" s="58">
        <f t="shared" si="8"/>
        <v>502915</v>
      </c>
      <c r="BU11" s="58">
        <f t="shared" si="8"/>
        <v>350973</v>
      </c>
      <c r="BV11" s="58">
        <f t="shared" si="8"/>
        <v>166562</v>
      </c>
      <c r="BW11" s="58" t="str">
        <f t="shared" si="8"/>
        <v/>
      </c>
      <c r="BX11" s="51"/>
      <c r="BY11" s="52">
        <f>SUM(BR11:BX11)</f>
        <v>1739486</v>
      </c>
      <c r="BZ11" s="23"/>
      <c r="CA11" s="85"/>
    </row>
    <row r="12" spans="1:90" ht="15.5" thickBot="1">
      <c r="A12" s="118"/>
      <c r="B12" s="28"/>
      <c r="C12" s="23"/>
      <c r="D12" s="204"/>
      <c r="E12" s="19" t="s">
        <v>65</v>
      </c>
      <c r="F12" s="40">
        <f>IF(F9&lt;&gt;"",F6+F9,"")</f>
        <v>1055</v>
      </c>
      <c r="G12" s="59">
        <f t="shared" si="7"/>
        <v>108</v>
      </c>
      <c r="H12" s="59">
        <f t="shared" si="7"/>
        <v>251</v>
      </c>
      <c r="I12" s="59">
        <f t="shared" si="7"/>
        <v>80</v>
      </c>
      <c r="J12" s="59">
        <f t="shared" si="7"/>
        <v>35</v>
      </c>
      <c r="K12" s="59" t="str">
        <f t="shared" si="7"/>
        <v/>
      </c>
      <c r="L12" s="41"/>
      <c r="M12" s="42">
        <f>SUM(F12:L12)</f>
        <v>1529</v>
      </c>
      <c r="N12" s="23"/>
      <c r="O12" s="119"/>
      <c r="P12" s="12" t="e">
        <f>D5=#REF!</f>
        <v>#REF!</v>
      </c>
      <c r="U12" s="12" t="b">
        <f t="shared" si="3"/>
        <v>0</v>
      </c>
      <c r="V12" s="12" t="s">
        <v>11</v>
      </c>
      <c r="W12" s="12">
        <v>6</v>
      </c>
      <c r="X12" s="12" t="b">
        <f t="shared" si="4"/>
        <v>0</v>
      </c>
      <c r="AD12" s="12" t="e">
        <f>IF($F$4="","",
IF($BH$4=TRUE,SUMIFS(#REF!,#REF!,'Monthly Report'!$D$5,#REF!,'Monthly Report'!$F$4),
IF(AND($BF$5=TRUE,$BI$5=FALSE),SUMIFS(#REF!,#REF!,'Monthly Report'!$B$3,#REF!,'Monthly Report'!$D$5,#REF!,'Monthly Report'!$F$4),
IF(AND($BF$5=FALSE,$BI$5=TRUE),SUMIFS(#REF!,#REF!,'Monthly Report'!$B$5,#REF!,'Monthly Report'!$D$5,#REF!,'Monthly Report'!$F$4),
IF(AND($BI$5=FALSE,$BH$5=FALSE),SUMIFS(#REF!,#REF!,'Monthly Report'!$B$3,#REF!,'Monthly Report'!$B$5,#REF!,'Monthly Report'!$D$5,#REF!,'Monthly Report'!$F$4),"")))))</f>
        <v>#REF!</v>
      </c>
      <c r="AE12" s="12" t="e">
        <f>IF($G$4="","",
IF($BH$4=TRUE,SUMIFS(#REF!,#REF!,'Monthly Report'!$D$5,#REF!,'Monthly Report'!$G$4),
IF(AND($BF$5=TRUE,$BI$5=FALSE),SUMIFS(#REF!,#REF!,'Monthly Report'!$B$3,#REF!,'Monthly Report'!$D$5,#REF!,'Monthly Report'!$G$4),
IF(AND($BF$5=FALSE,$BI$5=TRUE),SUMIFS(#REF!,#REF!,'Monthly Report'!$B$5,#REF!,'Monthly Report'!$D$5,#REF!,'Monthly Report'!$G$4),
IF(AND($BI$5=FALSE,$BH$5=FALSE),SUMIFS(#REF!,#REF!,'Monthly Report'!$B$3,#REF!,'Monthly Report'!$B$5,#REF!,'Monthly Report'!$D$5,#REF!,'Monthly Report'!$G$4),"")))))</f>
        <v>#REF!</v>
      </c>
      <c r="AF12" s="12" t="e">
        <f>IF($H$4="","",
IF($BH$4=TRUE,SUMIFS(#REF!,#REF!,'Monthly Report'!$D$5,#REF!,'Monthly Report'!$H$4),
IF(AND($BF$5=TRUE,$BI$5=FALSE),SUMIFS(#REF!,#REF!,'Monthly Report'!$B$3,#REF!,'Monthly Report'!$D$5,#REF!,'Monthly Report'!$H$4),
IF(AND($BF$5=FALSE,$BI$5=TRUE),SUMIFS(#REF!,#REF!,'Monthly Report'!$B$5,#REF!,'Monthly Report'!$D$5,#REF!,'Monthly Report'!$H$4),
IF(AND($BI$5=FALSE,$BH$5=FALSE),SUMIFS(#REF!,#REF!,'Monthly Report'!$B$3,#REF!,'Monthly Report'!$B$5,#REF!,'Monthly Report'!$D$5,#REF!,'Monthly Report'!$H$4),"")))))</f>
        <v>#REF!</v>
      </c>
      <c r="AG12" s="12" t="e">
        <f>IF($I$4="","",
IF($BH$4=TRUE,SUMIFS(#REF!,#REF!,'Monthly Report'!$D$5,#REF!,'Monthly Report'!$I$4),
IF(AND($BF$5=TRUE,$BI$5=FALSE),SUMIFS(#REF!,#REF!,'Monthly Report'!$B$3,#REF!,'Monthly Report'!$D$5,#REF!,'Monthly Report'!$I$4),
IF(AND($BF$5=FALSE,$BI$5=TRUE),SUMIFS(#REF!,#REF!,'Monthly Report'!$B$5,#REF!,'Monthly Report'!$D$5,#REF!,'Monthly Report'!$I$4),
IF(AND($BI$5=FALSE,$BH$5=FALSE),SUMIFS(#REF!,#REF!,'Monthly Report'!$B$3,#REF!,'Monthly Report'!$B$5,#REF!,'Monthly Report'!$D$5,#REF!,'Monthly Report'!$I$4),"")))))</f>
        <v>#REF!</v>
      </c>
      <c r="AH12" s="12" t="e">
        <f>IF($J$4="","",
IF($BH$4=TRUE,SUMIFS(#REF!,#REF!,'Monthly Report'!$D$5,#REF!,'Monthly Report'!$J$4),
IF(AND($BF$5=TRUE,$BI$5=FALSE),SUMIFS(#REF!,#REF!,'Monthly Report'!$B$3,#REF!,'Monthly Report'!$D$5,#REF!,'Monthly Report'!$J$4),
IF(AND($BF$5=FALSE,$BI$5=TRUE),SUMIFS(#REF!,#REF!,'Monthly Report'!$B$5,#REF!,'Monthly Report'!$D$5,#REF!,'Monthly Report'!$J$4),
IF(AND($BI$5=FALSE,$BH$5=FALSE),SUMIFS(#REF!,#REF!,'Monthly Report'!$B$3,#REF!,'Monthly Report'!$B$5,#REF!,'Monthly Report'!$D$5,#REF!,'Monthly Report'!$J$4),"")))))</f>
        <v>#REF!</v>
      </c>
      <c r="AI12" s="12" t="str">
        <f>IF($K$4="","",
IF($BH$4=TRUE,SUMIFS(#REF!,#REF!,'Monthly Report'!$D$5,#REF!,'Monthly Report'!$K$4),
IF(AND($BF$5=TRUE,$BI$5=FALSE),SUMIFS(#REF!,#REF!,'Monthly Report'!$B$3,#REF!,'Monthly Report'!$D$5,#REF!,'Monthly Report'!$K$4),
IF(AND($BF$5=FALSE,$BI$5=TRUE),SUMIFS(#REF!,#REF!,'Monthly Report'!$B$5,#REF!,'Monthly Report'!$D$5,#REF!,'Monthly Report'!$K$4),
IF(AND($BI$5=FALSE,$BH$5=FALSE),SUMIFS(#REF!,#REF!,'Monthly Report'!$B$3,#REF!,'Monthly Report'!$B$5,#REF!,'Monthly Report'!$D$5,#REF!,'Monthly Report'!$K$4),"")))))</f>
        <v/>
      </c>
      <c r="AJ12" s="12" t="str">
        <f>IF($L$4="","",
IF($BH$4=TRUE,SUMIFS(#REF!,#REF!,'Monthly Report'!$D$5,#REF!,'Monthly Report'!$L$4),
IF(AND($BF$5=TRUE,$BI$5=FALSE),SUMIFS(#REF!,#REF!,'Monthly Report'!$B$3,#REF!,'Monthly Report'!$D$5,#REF!,'Monthly Report'!$L$4),
IF(AND($BF$5=FALSE,$BI$5=TRUE),SUMIFS(#REF!,#REF!,'Monthly Report'!$B$5,#REF!,'Monthly Report'!$D$5,#REF!,'Monthly Report'!$L$4),
IF(AND($BI$5=FALSE,$BH$5=FALSE),SUMIFS(#REF!,#REF!,'Monthly Report'!$B$3,#REF!,'Monthly Report'!$B$5,#REF!,'Monthly Report'!$D$5,#REF!,'Monthly Report'!$L$4),"")))))</f>
        <v/>
      </c>
      <c r="BM12" s="105"/>
      <c r="BN12" s="23"/>
      <c r="BO12" s="23"/>
      <c r="BP12" s="188"/>
      <c r="BQ12" s="19" t="s">
        <v>65</v>
      </c>
      <c r="BR12" s="40">
        <f>IF(BR9&lt;&gt;"",BR6+BR9,"")</f>
        <v>1031</v>
      </c>
      <c r="BS12" s="59">
        <f t="shared" si="8"/>
        <v>48</v>
      </c>
      <c r="BT12" s="59">
        <f t="shared" si="8"/>
        <v>106</v>
      </c>
      <c r="BU12" s="59">
        <f t="shared" si="8"/>
        <v>67</v>
      </c>
      <c r="BV12" s="59">
        <f t="shared" si="8"/>
        <v>15</v>
      </c>
      <c r="BW12" s="59" t="str">
        <f t="shared" si="8"/>
        <v/>
      </c>
      <c r="BX12" s="41"/>
      <c r="BY12" s="42">
        <f>SUM(BR12:BX12)</f>
        <v>1267</v>
      </c>
      <c r="BZ12" s="23"/>
      <c r="CA12" s="85"/>
    </row>
    <row r="13" spans="1:90" ht="15.5" thickBot="1">
      <c r="A13" s="117" t="s">
        <v>4</v>
      </c>
      <c r="B13" s="232">
        <f>IFERROR(INDEX($AG$28:$AG$58,MATCH(B11,AB28:AB58,0)),$Z$7)</f>
        <v>45047</v>
      </c>
      <c r="C13" s="23"/>
      <c r="D13" s="210"/>
      <c r="E13" s="53" t="s">
        <v>66</v>
      </c>
      <c r="F13" s="54">
        <f t="shared" ref="F13:K13" si="9">IFERROR(F12/F11*1000000,"")</f>
        <v>3190.0482589291114</v>
      </c>
      <c r="G13" s="54">
        <f t="shared" si="9"/>
        <v>278.1211372064277</v>
      </c>
      <c r="H13" s="54">
        <f t="shared" si="9"/>
        <v>499.09030353041771</v>
      </c>
      <c r="I13" s="54">
        <f t="shared" si="9"/>
        <v>227.9377615941967</v>
      </c>
      <c r="J13" s="54">
        <f t="shared" si="9"/>
        <v>210.13196287268406</v>
      </c>
      <c r="K13" s="54" t="str">
        <f t="shared" si="9"/>
        <v/>
      </c>
      <c r="L13" s="55"/>
      <c r="M13" s="56">
        <f>IFERROR(M12/M11*1000000,"")</f>
        <v>878.99528941307949</v>
      </c>
      <c r="N13" s="23"/>
      <c r="O13" s="119"/>
      <c r="U13" s="12" t="b">
        <f t="shared" si="3"/>
        <v>0</v>
      </c>
      <c r="V13" s="12" t="s">
        <v>12</v>
      </c>
      <c r="W13" s="12">
        <v>7</v>
      </c>
      <c r="X13" s="12" t="b">
        <f t="shared" si="4"/>
        <v>0</v>
      </c>
      <c r="BM13" s="105"/>
      <c r="BN13" s="23"/>
      <c r="BO13" s="23"/>
      <c r="BP13" s="190"/>
      <c r="BQ13" s="53" t="s">
        <v>66</v>
      </c>
      <c r="BR13" s="54">
        <f t="shared" ref="BR13:BY13" si="10">IFERROR(BR12/BR11*1000000,"")</f>
        <v>3117.4784407165062</v>
      </c>
      <c r="BS13" s="54">
        <f t="shared" si="10"/>
        <v>123.60939431396787</v>
      </c>
      <c r="BT13" s="54">
        <f t="shared" si="10"/>
        <v>210.7712038813716</v>
      </c>
      <c r="BU13" s="54">
        <f t="shared" si="10"/>
        <v>190.89787533513976</v>
      </c>
      <c r="BV13" s="54">
        <f t="shared" si="10"/>
        <v>90.056555516864591</v>
      </c>
      <c r="BW13" s="54" t="str">
        <f t="shared" si="10"/>
        <v/>
      </c>
      <c r="BX13" s="55"/>
      <c r="BY13" s="56">
        <f t="shared" si="10"/>
        <v>728.37608350972641</v>
      </c>
      <c r="BZ13" s="23"/>
      <c r="CA13" s="85"/>
    </row>
    <row r="14" spans="1:90" ht="16.25" thickTop="1" thickBot="1">
      <c r="A14" s="118"/>
      <c r="B14" s="28"/>
      <c r="C14" s="23"/>
      <c r="D14" s="211" t="s">
        <v>68</v>
      </c>
      <c r="E14" s="212"/>
      <c r="F14" s="31" t="s">
        <v>69</v>
      </c>
      <c r="G14" s="47" t="str">
        <f>F14</f>
        <v>-</v>
      </c>
      <c r="H14" s="47" t="str">
        <f>G14</f>
        <v>-</v>
      </c>
      <c r="I14" s="47" t="str">
        <f>H14</f>
        <v>-</v>
      </c>
      <c r="J14" s="47" t="str">
        <f>I14</f>
        <v>-</v>
      </c>
      <c r="K14" s="47" t="str">
        <f>J14</f>
        <v>-</v>
      </c>
      <c r="L14" s="48"/>
      <c r="M14" s="49">
        <f>L14</f>
        <v>0</v>
      </c>
      <c r="N14" s="23"/>
      <c r="O14" s="119"/>
      <c r="U14" s="12" t="b">
        <f t="shared" si="3"/>
        <v>0</v>
      </c>
      <c r="V14" s="12" t="s">
        <v>13</v>
      </c>
      <c r="W14" s="12">
        <v>8</v>
      </c>
      <c r="X14" s="12" t="b">
        <f t="shared" si="4"/>
        <v>0</v>
      </c>
      <c r="BM14" s="105"/>
      <c r="BN14" s="23"/>
      <c r="BO14" s="23"/>
      <c r="BP14" s="194" t="s">
        <v>68</v>
      </c>
      <c r="BQ14" s="195"/>
      <c r="BR14" s="31" t="s">
        <v>69</v>
      </c>
      <c r="BS14" s="47" t="str">
        <f t="shared" ref="BS14:BY14" si="11">BR14</f>
        <v>-</v>
      </c>
      <c r="BT14" s="47" t="str">
        <f t="shared" si="11"/>
        <v>-</v>
      </c>
      <c r="BU14" s="47" t="str">
        <f t="shared" si="11"/>
        <v>-</v>
      </c>
      <c r="BV14" s="47" t="str">
        <f t="shared" si="11"/>
        <v>-</v>
      </c>
      <c r="BW14" s="47" t="str">
        <f t="shared" si="11"/>
        <v>-</v>
      </c>
      <c r="BX14" s="48" t="str">
        <f t="shared" si="11"/>
        <v>-</v>
      </c>
      <c r="BY14" s="49" t="str">
        <f t="shared" si="11"/>
        <v>-</v>
      </c>
      <c r="BZ14" s="23"/>
      <c r="CA14" s="85"/>
      <c r="CF14" s="6" t="s">
        <v>160</v>
      </c>
    </row>
    <row r="15" spans="1:90" ht="15.5" thickBot="1">
      <c r="A15" s="117" t="s">
        <v>5</v>
      </c>
      <c r="B15" s="232">
        <f>IFERROR(INDEX($AG$28:$AG$58-1,MATCH(RIGHT(B11,2)*1+1,$AE$28:$AE$58,0)),AB7)</f>
        <v>45077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119"/>
      <c r="U15" s="12" t="b">
        <f t="shared" si="3"/>
        <v>0</v>
      </c>
      <c r="V15" s="12" t="s">
        <v>14</v>
      </c>
      <c r="W15" s="12">
        <v>9</v>
      </c>
      <c r="X15" s="12" t="b">
        <f t="shared" si="4"/>
        <v>0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M15" s="105"/>
      <c r="BN15" s="23"/>
      <c r="BO15" s="23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3"/>
      <c r="CA15" s="85"/>
    </row>
    <row r="16" spans="1:90">
      <c r="A16" s="121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3"/>
      <c r="O16" s="119"/>
      <c r="U16" s="12" t="b">
        <f t="shared" si="3"/>
        <v>0</v>
      </c>
      <c r="V16" s="12" t="s">
        <v>15</v>
      </c>
      <c r="W16" s="12">
        <v>10</v>
      </c>
      <c r="X16" s="12" t="b">
        <f t="shared" si="4"/>
        <v>0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M16" s="105"/>
      <c r="BN16" s="23"/>
      <c r="BO16" s="23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3"/>
      <c r="CA16" s="85"/>
      <c r="CF16" s="6" t="s">
        <v>172</v>
      </c>
      <c r="CG16" s="6">
        <f>SUMIFS(Table_Assembly[Specific Amount],Table_Assembly[NG Type],$CF$14,Table_Assembly[Product type],$BP$43,Table_Assembly[NG content],CF16,Table_Assembly[MFG Date],"&gt;="&amp;$R$28,Table_Assembly[MFG Date],"&lt;="&amp;$R$29)</f>
        <v>11</v>
      </c>
      <c r="CH16" s="6">
        <f>SUMIFS(Table_Assembly[Specific Amount],Table_Assembly[NG Type],$CF$14,Table_Assembly[Product type],$BP$43,Table_Assembly[NG content],CF16,Table_Assembly[MFG Date],"&gt;="&amp;$R$36,Table_Assembly[MFG Date],"&lt;="&amp;$R$37)</f>
        <v>9</v>
      </c>
      <c r="CI16" s="6">
        <f>SUMIFS(Table_Assembly[Specific Amount],Table_Assembly[NG Type],$CF$14,Table_Assembly[Product type],$BP$43,Table_Assembly[NG content],CF16,Table_Assembly[MFG Date],"&gt;="&amp;$R$44,Table_Assembly[MFG Date],"&lt;="&amp;$R$45)</f>
        <v>33</v>
      </c>
      <c r="CJ16" s="6">
        <f>SUMIFS(Table_Assembly[Specific Amount],Table_Assembly[NG Type],$CF$14,Table_Assembly[Product type],$BP$43,Table_Assembly[NG content],CF16,Table_Assembly[MFG Date],"&gt;="&amp;$R$52,Table_Assembly[MFG Date],"&lt;="&amp;$R$53)</f>
        <v>5</v>
      </c>
      <c r="CK16" s="6">
        <f>SUMIFS(Table_Assembly[Specific Amount],Table_Assembly[NG Type],$CF$14,Table_Assembly[Product type],$BP$43,Table_Assembly[NG content],CF16,Table_Assembly[MFG Date],"&gt;="&amp;$R$60,Table_Assembly[MFG Date],"&lt;="&amp;$R$61)</f>
        <v>0</v>
      </c>
      <c r="CL16" s="6">
        <f>SUMIFS(Table_Assembly[Specific Amount],Table_Assembly[NG Type],$CF$14,Table_Assembly[Product type],$BP$43,Table_Assembly[NG content],CF16,Table_Assembly[MFG Date],"&gt;="&amp;$R$68,Table_Assembly[MFG Date],"&lt;="&amp;$R$69)</f>
        <v>0</v>
      </c>
    </row>
    <row r="17" spans="1:90">
      <c r="A17" s="121"/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/>
      <c r="O17" s="119"/>
      <c r="U17" s="12" t="b">
        <f t="shared" si="3"/>
        <v>0</v>
      </c>
      <c r="V17" s="12" t="s">
        <v>16</v>
      </c>
      <c r="W17" s="12">
        <v>11</v>
      </c>
      <c r="X17" s="12" t="b">
        <f t="shared" si="4"/>
        <v>0</v>
      </c>
      <c r="Z17" s="15" t="str">
        <f>Z18</f>
        <v>Week 1</v>
      </c>
      <c r="AA17" s="15" t="str">
        <f>IFERROR(IF(AA18=Z18,"",AA18),"")</f>
        <v/>
      </c>
      <c r="AB17" s="15" t="str">
        <f t="shared" ref="AB17:BD17" si="12">IFERROR(IF(AB18=AA18,"",AB18),"")</f>
        <v/>
      </c>
      <c r="AC17" s="15" t="str">
        <f t="shared" si="12"/>
        <v/>
      </c>
      <c r="AD17" s="15" t="str">
        <f t="shared" si="12"/>
        <v/>
      </c>
      <c r="AE17" s="15" t="str">
        <f t="shared" si="12"/>
        <v/>
      </c>
      <c r="AF17" s="15" t="str">
        <f t="shared" si="12"/>
        <v>Week 2</v>
      </c>
      <c r="AG17" s="15" t="str">
        <f t="shared" si="12"/>
        <v/>
      </c>
      <c r="AH17" s="15" t="str">
        <f t="shared" si="12"/>
        <v/>
      </c>
      <c r="AI17" s="15" t="str">
        <f t="shared" si="12"/>
        <v/>
      </c>
      <c r="AJ17" s="15" t="str">
        <f t="shared" si="12"/>
        <v/>
      </c>
      <c r="AK17" s="15" t="str">
        <f t="shared" si="12"/>
        <v/>
      </c>
      <c r="AL17" s="15" t="str">
        <f t="shared" si="12"/>
        <v/>
      </c>
      <c r="AM17" s="15" t="str">
        <f t="shared" si="12"/>
        <v>Week 3</v>
      </c>
      <c r="AN17" s="15" t="str">
        <f t="shared" si="12"/>
        <v/>
      </c>
      <c r="AO17" s="15" t="str">
        <f t="shared" si="12"/>
        <v/>
      </c>
      <c r="AP17" s="15" t="str">
        <f t="shared" si="12"/>
        <v/>
      </c>
      <c r="AQ17" s="15" t="str">
        <f t="shared" si="12"/>
        <v/>
      </c>
      <c r="AR17" s="15" t="str">
        <f t="shared" si="12"/>
        <v/>
      </c>
      <c r="AS17" s="15" t="str">
        <f t="shared" si="12"/>
        <v/>
      </c>
      <c r="AT17" s="15" t="str">
        <f t="shared" si="12"/>
        <v>Week 4</v>
      </c>
      <c r="AU17" s="15" t="str">
        <f t="shared" si="12"/>
        <v/>
      </c>
      <c r="AV17" s="15" t="str">
        <f t="shared" si="12"/>
        <v/>
      </c>
      <c r="AW17" s="15" t="str">
        <f t="shared" si="12"/>
        <v/>
      </c>
      <c r="AX17" s="15" t="str">
        <f t="shared" si="12"/>
        <v/>
      </c>
      <c r="AY17" s="15" t="str">
        <f t="shared" si="12"/>
        <v/>
      </c>
      <c r="AZ17" s="15" t="str">
        <f t="shared" si="12"/>
        <v/>
      </c>
      <c r="BA17" s="15" t="str">
        <f t="shared" si="12"/>
        <v>Week 5</v>
      </c>
      <c r="BB17" s="15" t="str">
        <f t="shared" si="12"/>
        <v/>
      </c>
      <c r="BC17" s="15" t="str">
        <f t="shared" si="12"/>
        <v/>
      </c>
      <c r="BD17" s="15" t="str">
        <f t="shared" si="12"/>
        <v/>
      </c>
      <c r="BM17" s="105"/>
      <c r="BN17" s="23"/>
      <c r="BO17" s="23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3"/>
      <c r="CA17" s="85"/>
      <c r="CF17" s="6" t="s">
        <v>173</v>
      </c>
      <c r="CG17" s="6">
        <f>SUMIFS(Table_Assembly[Specific Amount],Table_Assembly[NG Type],$CF$14,Table_Assembly[Product type],$BP$43,Table_Assembly[NG content],CF17,Table_Assembly[MFG Date],"&gt;="&amp;$R$28,Table_Assembly[MFG Date],"&lt;="&amp;$R$29)</f>
        <v>0</v>
      </c>
      <c r="CH17" s="6">
        <f>SUMIFS(Table_Assembly[Specific Amount],Table_Assembly[NG Type],$CF$14,Table_Assembly[Product type],$BP$43,Table_Assembly[NG content],CF17,Table_Assembly[MFG Date],"&gt;="&amp;$R$36,Table_Assembly[MFG Date],"&lt;="&amp;$R$37)</f>
        <v>0</v>
      </c>
      <c r="CI17" s="6">
        <f>SUMIFS(Table_Assembly[Specific Amount],Table_Assembly[NG Type],$CF$14,Table_Assembly[Product type],$BP$43,Table_Assembly[NG content],CF17,Table_Assembly[MFG Date],"&gt;="&amp;$R$44,Table_Assembly[MFG Date],"&lt;="&amp;$R$45)</f>
        <v>0</v>
      </c>
      <c r="CJ17" s="6">
        <f>SUMIFS(Table_Assembly[Specific Amount],Table_Assembly[NG Type],$CF$14,Table_Assembly[Product type],$BP$43,Table_Assembly[NG content],CF17,Table_Assembly[MFG Date],"&gt;="&amp;$R$52,Table_Assembly[MFG Date],"&lt;="&amp;$R$53)</f>
        <v>0</v>
      </c>
      <c r="CK17" s="6">
        <f>SUMIFS(Table_Assembly[Specific Amount],Table_Assembly[NG Type],$CF$14,Table_Assembly[Product type],$BP$43,Table_Assembly[NG content],CF17,Table_Assembly[MFG Date],"&gt;="&amp;$R$60,Table_Assembly[MFG Date],"&lt;="&amp;$R$61)</f>
        <v>1</v>
      </c>
      <c r="CL17" s="6">
        <f>SUMIFS(Table_Assembly[Specific Amount],Table_Assembly[NG Type],$CF$14,Table_Assembly[Product type],$BP$43,Table_Assembly[NG content],CF17,Table_Assembly[MFG Date],"&gt;="&amp;$R$68,Table_Assembly[MFG Date],"&lt;="&amp;$R$69)</f>
        <v>0</v>
      </c>
    </row>
    <row r="18" spans="1:90">
      <c r="A18" s="121"/>
      <c r="B18" s="2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/>
      <c r="O18" s="119"/>
      <c r="U18" s="12" t="b">
        <f>$B$9=V18</f>
        <v>0</v>
      </c>
      <c r="V18" s="12" t="s">
        <v>17</v>
      </c>
      <c r="W18" s="12">
        <v>12</v>
      </c>
      <c r="X18" s="12" t="b">
        <f t="shared" si="4"/>
        <v>0</v>
      </c>
      <c r="Z18" s="15" t="str">
        <f>IF(Z21="","",$Z$19&amp;" "&amp;Z20)</f>
        <v>Week 1</v>
      </c>
      <c r="AA18" s="15" t="str">
        <f t="shared" ref="AA18:BD18" si="13">IF(AA21="","",$Z$19&amp;" "&amp;AA20)</f>
        <v>Week 1</v>
      </c>
      <c r="AB18" s="15" t="str">
        <f t="shared" si="13"/>
        <v>Week 1</v>
      </c>
      <c r="AC18" s="15" t="str">
        <f t="shared" si="13"/>
        <v>Week 1</v>
      </c>
      <c r="AD18" s="15" t="str">
        <f t="shared" si="13"/>
        <v>Week 1</v>
      </c>
      <c r="AE18" s="15" t="str">
        <f t="shared" si="13"/>
        <v>Week 1</v>
      </c>
      <c r="AF18" s="15" t="str">
        <f t="shared" si="13"/>
        <v>Week 2</v>
      </c>
      <c r="AG18" s="15" t="str">
        <f t="shared" si="13"/>
        <v>Week 2</v>
      </c>
      <c r="AH18" s="15" t="str">
        <f t="shared" si="13"/>
        <v>Week 2</v>
      </c>
      <c r="AI18" s="15" t="str">
        <f t="shared" si="13"/>
        <v>Week 2</v>
      </c>
      <c r="AJ18" s="15" t="str">
        <f t="shared" si="13"/>
        <v>Week 2</v>
      </c>
      <c r="AK18" s="15" t="str">
        <f t="shared" si="13"/>
        <v>Week 2</v>
      </c>
      <c r="AL18" s="15" t="str">
        <f t="shared" si="13"/>
        <v>Week 2</v>
      </c>
      <c r="AM18" s="15" t="str">
        <f t="shared" si="13"/>
        <v>Week 3</v>
      </c>
      <c r="AN18" s="15" t="str">
        <f t="shared" si="13"/>
        <v>Week 3</v>
      </c>
      <c r="AO18" s="15" t="str">
        <f t="shared" si="13"/>
        <v>Week 3</v>
      </c>
      <c r="AP18" s="15" t="str">
        <f t="shared" si="13"/>
        <v>Week 3</v>
      </c>
      <c r="AQ18" s="15" t="str">
        <f t="shared" si="13"/>
        <v>Week 3</v>
      </c>
      <c r="AR18" s="15" t="str">
        <f t="shared" si="13"/>
        <v>Week 3</v>
      </c>
      <c r="AS18" s="15" t="str">
        <f t="shared" si="13"/>
        <v>Week 3</v>
      </c>
      <c r="AT18" s="15" t="str">
        <f t="shared" si="13"/>
        <v>Week 4</v>
      </c>
      <c r="AU18" s="15" t="str">
        <f t="shared" si="13"/>
        <v>Week 4</v>
      </c>
      <c r="AV18" s="15" t="str">
        <f t="shared" si="13"/>
        <v>Week 4</v>
      </c>
      <c r="AW18" s="15" t="str">
        <f t="shared" si="13"/>
        <v>Week 4</v>
      </c>
      <c r="AX18" s="15" t="str">
        <f t="shared" si="13"/>
        <v>Week 4</v>
      </c>
      <c r="AY18" s="15" t="str">
        <f t="shared" si="13"/>
        <v>Week 4</v>
      </c>
      <c r="AZ18" s="15" t="str">
        <f t="shared" si="13"/>
        <v>Week 4</v>
      </c>
      <c r="BA18" s="15" t="str">
        <f t="shared" si="13"/>
        <v>Week 5</v>
      </c>
      <c r="BB18" s="15" t="str">
        <f t="shared" si="13"/>
        <v>Week 5</v>
      </c>
      <c r="BC18" s="15" t="str">
        <f t="shared" si="13"/>
        <v>Week 5</v>
      </c>
      <c r="BD18" s="15" t="str">
        <f t="shared" si="13"/>
        <v>Week 5</v>
      </c>
      <c r="BE18" s="12" t="str">
        <f>IFERROR(IF(AA18=Z18,"",AA18),"")</f>
        <v/>
      </c>
      <c r="BM18" s="105"/>
      <c r="BN18" s="23"/>
      <c r="BO18" s="23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3"/>
      <c r="CA18" s="85"/>
      <c r="CF18" s="6" t="s">
        <v>230</v>
      </c>
      <c r="CG18" s="6">
        <f>SUMIFS(Table_Assembly[Specific Amount],Table_Assembly[NG Type],$CF$14,Table_Assembly[Product type],$BP$43,Table_Assembly[NG content],CF18,Table_Assembly[MFG Date],"&gt;="&amp;$R$28,Table_Assembly[MFG Date],"&lt;="&amp;$R$29)</f>
        <v>0</v>
      </c>
      <c r="CH18" s="6">
        <f>SUMIFS(Table_Assembly[Specific Amount],Table_Assembly[NG Type],$CF$14,Table_Assembly[Product type],$BP$43,Table_Assembly[NG content],CF18,Table_Assembly[MFG Date],"&gt;="&amp;$R$36,Table_Assembly[MFG Date],"&lt;="&amp;$R$37)</f>
        <v>0</v>
      </c>
      <c r="CI18" s="6">
        <f>SUMIFS(Table_Assembly[Specific Amount],Table_Assembly[NG Type],$CF$14,Table_Assembly[Product type],$BP$43,Table_Assembly[NG content],CF18,Table_Assembly[MFG Date],"&gt;="&amp;$R$44,Table_Assembly[MFG Date],"&lt;="&amp;$R$45)</f>
        <v>0</v>
      </c>
      <c r="CJ18" s="6">
        <f>SUMIFS(Table_Assembly[Specific Amount],Table_Assembly[NG Type],$CF$14,Table_Assembly[Product type],$BP$43,Table_Assembly[NG content],CF18,Table_Assembly[MFG Date],"&gt;="&amp;$R$52,Table_Assembly[MFG Date],"&lt;="&amp;$R$53)</f>
        <v>0</v>
      </c>
      <c r="CK18" s="6">
        <f>SUMIFS(Table_Assembly[Specific Amount],Table_Assembly[NG Type],$CF$14,Table_Assembly[Product type],$BP$43,Table_Assembly[NG content],CF18,Table_Assembly[MFG Date],"&gt;="&amp;$R$60,Table_Assembly[MFG Date],"&lt;="&amp;$R$61)</f>
        <v>0</v>
      </c>
      <c r="CL18" s="6">
        <f>SUMIFS(Table_Assembly[Specific Amount],Table_Assembly[NG Type],$CF$14,Table_Assembly[Product type],$BP$43,Table_Assembly[NG content],CF18,Table_Assembly[MFG Date],"&gt;="&amp;$R$68,Table_Assembly[MFG Date],"&lt;="&amp;$R$69)</f>
        <v>0</v>
      </c>
    </row>
    <row r="19" spans="1:90">
      <c r="A19" s="121"/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3"/>
      <c r="O19" s="119"/>
      <c r="Z19" s="15" t="s">
        <v>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M19" s="105"/>
      <c r="BN19" s="23"/>
      <c r="BO19" s="23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3"/>
      <c r="CA19" s="85"/>
      <c r="CF19" s="6" t="s">
        <v>174</v>
      </c>
      <c r="CG19" s="6">
        <f>SUMIFS(Table_Assembly[Specific Amount],Table_Assembly[NG Type],$CF$14,Table_Assembly[Product type],$BP$43,Table_Assembly[NG content],CF19,Table_Assembly[MFG Date],"&gt;="&amp;$R$28,Table_Assembly[MFG Date],"&lt;="&amp;$R$29)</f>
        <v>0</v>
      </c>
      <c r="CH19" s="6">
        <f>SUMIFS(Table_Assembly[Specific Amount],Table_Assembly[NG Type],$CF$14,Table_Assembly[Product type],$BP$43,Table_Assembly[NG content],CF19,Table_Assembly[MFG Date],"&gt;="&amp;$R$36,Table_Assembly[MFG Date],"&lt;="&amp;$R$37)</f>
        <v>0</v>
      </c>
      <c r="CI19" s="6">
        <f>SUMIFS(Table_Assembly[Specific Amount],Table_Assembly[NG Type],$CF$14,Table_Assembly[Product type],$BP$43,Table_Assembly[NG content],CF19,Table_Assembly[MFG Date],"&gt;="&amp;$R$44,Table_Assembly[MFG Date],"&lt;="&amp;$R$45)</f>
        <v>0</v>
      </c>
      <c r="CJ19" s="6">
        <f>SUMIFS(Table_Assembly[Specific Amount],Table_Assembly[NG Type],$CF$14,Table_Assembly[Product type],$BP$43,Table_Assembly[NG content],CF19,Table_Assembly[MFG Date],"&gt;="&amp;$R$52,Table_Assembly[MFG Date],"&lt;="&amp;$R$53)</f>
        <v>0</v>
      </c>
      <c r="CK19" s="6">
        <f>SUMIFS(Table_Assembly[Specific Amount],Table_Assembly[NG Type],$CF$14,Table_Assembly[Product type],$BP$43,Table_Assembly[NG content],CF19,Table_Assembly[MFG Date],"&gt;="&amp;$R$60,Table_Assembly[MFG Date],"&lt;="&amp;$R$61)</f>
        <v>0</v>
      </c>
      <c r="CL19" s="6">
        <f>SUMIFS(Table_Assembly[Specific Amount],Table_Assembly[NG Type],$CF$14,Table_Assembly[Product type],$BP$43,Table_Assembly[NG content],CF19,Table_Assembly[MFG Date],"&gt;="&amp;$R$68,Table_Assembly[MFG Date],"&lt;="&amp;$R$69)</f>
        <v>0</v>
      </c>
    </row>
    <row r="20" spans="1:90">
      <c r="A20" s="121"/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3"/>
      <c r="O20" s="119"/>
      <c r="Z20" s="15">
        <v>1</v>
      </c>
      <c r="AA20" s="15">
        <f>IF(AA21="","",IF(AA21="Monday",Z20+1,Z20))</f>
        <v>1</v>
      </c>
      <c r="AB20" s="15">
        <f t="shared" ref="AB20:BD20" si="14">IF(AB21="","",IF(AB21="Monday",AA20+1,AA20))</f>
        <v>1</v>
      </c>
      <c r="AC20" s="15">
        <f t="shared" si="14"/>
        <v>1</v>
      </c>
      <c r="AD20" s="15">
        <f t="shared" si="14"/>
        <v>1</v>
      </c>
      <c r="AE20" s="15">
        <f t="shared" si="14"/>
        <v>1</v>
      </c>
      <c r="AF20" s="15">
        <f t="shared" si="14"/>
        <v>2</v>
      </c>
      <c r="AG20" s="15">
        <f t="shared" si="14"/>
        <v>2</v>
      </c>
      <c r="AH20" s="15">
        <f t="shared" si="14"/>
        <v>2</v>
      </c>
      <c r="AI20" s="15">
        <f t="shared" si="14"/>
        <v>2</v>
      </c>
      <c r="AJ20" s="15">
        <f t="shared" si="14"/>
        <v>2</v>
      </c>
      <c r="AK20" s="15">
        <f t="shared" si="14"/>
        <v>2</v>
      </c>
      <c r="AL20" s="15">
        <f t="shared" si="14"/>
        <v>2</v>
      </c>
      <c r="AM20" s="15">
        <f t="shared" si="14"/>
        <v>3</v>
      </c>
      <c r="AN20" s="15">
        <f t="shared" si="14"/>
        <v>3</v>
      </c>
      <c r="AO20" s="15">
        <f t="shared" si="14"/>
        <v>3</v>
      </c>
      <c r="AP20" s="15">
        <f t="shared" si="14"/>
        <v>3</v>
      </c>
      <c r="AQ20" s="15">
        <f t="shared" si="14"/>
        <v>3</v>
      </c>
      <c r="AR20" s="15">
        <f t="shared" si="14"/>
        <v>3</v>
      </c>
      <c r="AS20" s="15">
        <f t="shared" si="14"/>
        <v>3</v>
      </c>
      <c r="AT20" s="15">
        <f t="shared" si="14"/>
        <v>4</v>
      </c>
      <c r="AU20" s="15">
        <f t="shared" si="14"/>
        <v>4</v>
      </c>
      <c r="AV20" s="15">
        <f t="shared" si="14"/>
        <v>4</v>
      </c>
      <c r="AW20" s="15">
        <f t="shared" si="14"/>
        <v>4</v>
      </c>
      <c r="AX20" s="15">
        <f t="shared" si="14"/>
        <v>4</v>
      </c>
      <c r="AY20" s="15">
        <f t="shared" si="14"/>
        <v>4</v>
      </c>
      <c r="AZ20" s="15">
        <f t="shared" si="14"/>
        <v>4</v>
      </c>
      <c r="BA20" s="15">
        <f t="shared" si="14"/>
        <v>5</v>
      </c>
      <c r="BB20" s="15">
        <f t="shared" si="14"/>
        <v>5</v>
      </c>
      <c r="BC20" s="15">
        <f t="shared" si="14"/>
        <v>5</v>
      </c>
      <c r="BD20" s="15">
        <f t="shared" si="14"/>
        <v>5</v>
      </c>
      <c r="BM20" s="105"/>
      <c r="BN20" s="23"/>
      <c r="BO20" s="23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3"/>
      <c r="CA20" s="85"/>
      <c r="CF20" s="6" t="s">
        <v>231</v>
      </c>
      <c r="CG20" s="6">
        <f>SUMIFS(Table_Assembly[Specific Amount],Table_Assembly[NG Type],$CF$14,Table_Assembly[Product type],$BP$43,Table_Assembly[NG content],CF20,Table_Assembly[MFG Date],"&gt;="&amp;$R$28,Table_Assembly[MFG Date],"&lt;="&amp;$R$29)</f>
        <v>0</v>
      </c>
      <c r="CH20" s="6">
        <f>SUMIFS(Table_Assembly[Specific Amount],Table_Assembly[NG Type],$CF$14,Table_Assembly[Product type],$BP$43,Table_Assembly[NG content],CF20,Table_Assembly[MFG Date],"&gt;="&amp;$R$36,Table_Assembly[MFG Date],"&lt;="&amp;$R$37)</f>
        <v>0</v>
      </c>
      <c r="CI20" s="6">
        <f>SUMIFS(Table_Assembly[Specific Amount],Table_Assembly[NG Type],$CF$14,Table_Assembly[Product type],$BP$43,Table_Assembly[NG content],CF20,Table_Assembly[MFG Date],"&gt;="&amp;$R$44,Table_Assembly[MFG Date],"&lt;="&amp;$R$45)</f>
        <v>0</v>
      </c>
      <c r="CJ20" s="6">
        <f>SUMIFS(Table_Assembly[Specific Amount],Table_Assembly[NG Type],$CF$14,Table_Assembly[Product type],$BP$43,Table_Assembly[NG content],CF20,Table_Assembly[MFG Date],"&gt;="&amp;$R$52,Table_Assembly[MFG Date],"&lt;="&amp;$R$53)</f>
        <v>0</v>
      </c>
      <c r="CK20" s="6">
        <f>SUMIFS(Table_Assembly[Specific Amount],Table_Assembly[NG Type],$CF$14,Table_Assembly[Product type],$BP$43,Table_Assembly[NG content],CF20,Table_Assembly[MFG Date],"&gt;="&amp;$R$60,Table_Assembly[MFG Date],"&lt;="&amp;$R$61)</f>
        <v>0</v>
      </c>
      <c r="CL20" s="6">
        <f>SUMIFS(Table_Assembly[Specific Amount],Table_Assembly[NG Type],$CF$14,Table_Assembly[Product type],$BP$43,Table_Assembly[NG content],CF20,Table_Assembly[MFG Date],"&gt;="&amp;$R$68,Table_Assembly[MFG Date],"&lt;="&amp;$R$69)</f>
        <v>0</v>
      </c>
    </row>
    <row r="21" spans="1:90">
      <c r="A21" s="121"/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  <c r="O21" s="119"/>
      <c r="Z21" s="15" t="str">
        <f>IFERROR(IF(WEEKDAY(Z22)=7, "Sunday",IF(WEEKDAY(Z22)=1,"Monday",IF(WEEKDAY(Z22)=2,"Tuesday",IF(WEEKDAY(Z22)=3,"Wednesday",IF(WEEKDAY(Z22)=4,"Thursday",IF(WEEKDAY(Z22)=5,"Friday",IF(WEEKDAY(Z22)=6,"Saturday",""))))))),"")</f>
        <v>Tuesday</v>
      </c>
      <c r="AA21" s="15" t="str">
        <f t="shared" ref="AA21:BD21" si="15">IFERROR(IF(WEEKDAY(AA22)=7, "Sunday",IF(WEEKDAY(AA22)=1,"Monday",IF(WEEKDAY(AA22)=2,"Tuesday",IF(WEEKDAY(AA22)=3,"Wednesday",IF(WEEKDAY(AA22)=4,"Thursday",IF(WEEKDAY(AA22)=5,"Friday",IF(WEEKDAY(AA22)=6,"Saturday",""))))))),"")</f>
        <v>Wednesday</v>
      </c>
      <c r="AB21" s="15" t="str">
        <f t="shared" si="15"/>
        <v>Thursday</v>
      </c>
      <c r="AC21" s="15" t="str">
        <f t="shared" si="15"/>
        <v>Friday</v>
      </c>
      <c r="AD21" s="15" t="str">
        <f t="shared" si="15"/>
        <v>Saturday</v>
      </c>
      <c r="AE21" s="15" t="str">
        <f t="shared" si="15"/>
        <v>Sunday</v>
      </c>
      <c r="AF21" s="15" t="str">
        <f t="shared" si="15"/>
        <v>Monday</v>
      </c>
      <c r="AG21" s="15" t="str">
        <f t="shared" si="15"/>
        <v>Tuesday</v>
      </c>
      <c r="AH21" s="15" t="str">
        <f t="shared" si="15"/>
        <v>Wednesday</v>
      </c>
      <c r="AI21" s="15" t="str">
        <f t="shared" si="15"/>
        <v>Thursday</v>
      </c>
      <c r="AJ21" s="15" t="str">
        <f t="shared" si="15"/>
        <v>Friday</v>
      </c>
      <c r="AK21" s="15" t="str">
        <f t="shared" si="15"/>
        <v>Saturday</v>
      </c>
      <c r="AL21" s="15" t="str">
        <f t="shared" si="15"/>
        <v>Sunday</v>
      </c>
      <c r="AM21" s="15" t="str">
        <f t="shared" si="15"/>
        <v>Monday</v>
      </c>
      <c r="AN21" s="15" t="str">
        <f t="shared" si="15"/>
        <v>Tuesday</v>
      </c>
      <c r="AO21" s="15" t="str">
        <f t="shared" si="15"/>
        <v>Wednesday</v>
      </c>
      <c r="AP21" s="15" t="str">
        <f t="shared" si="15"/>
        <v>Thursday</v>
      </c>
      <c r="AQ21" s="15" t="str">
        <f t="shared" si="15"/>
        <v>Friday</v>
      </c>
      <c r="AR21" s="15" t="str">
        <f t="shared" si="15"/>
        <v>Saturday</v>
      </c>
      <c r="AS21" s="15" t="str">
        <f t="shared" si="15"/>
        <v>Sunday</v>
      </c>
      <c r="AT21" s="15" t="str">
        <f t="shared" si="15"/>
        <v>Monday</v>
      </c>
      <c r="AU21" s="15" t="str">
        <f t="shared" si="15"/>
        <v>Tuesday</v>
      </c>
      <c r="AV21" s="15" t="str">
        <f t="shared" si="15"/>
        <v>Wednesday</v>
      </c>
      <c r="AW21" s="15" t="str">
        <f t="shared" si="15"/>
        <v>Thursday</v>
      </c>
      <c r="AX21" s="15" t="str">
        <f t="shared" si="15"/>
        <v>Friday</v>
      </c>
      <c r="AY21" s="15" t="str">
        <f t="shared" si="15"/>
        <v>Saturday</v>
      </c>
      <c r="AZ21" s="15" t="str">
        <f t="shared" si="15"/>
        <v>Sunday</v>
      </c>
      <c r="BA21" s="15" t="str">
        <f t="shared" si="15"/>
        <v>Monday</v>
      </c>
      <c r="BB21" s="15" t="str">
        <f t="shared" si="15"/>
        <v>Tuesday</v>
      </c>
      <c r="BC21" s="15" t="str">
        <f t="shared" si="15"/>
        <v>Wednesday</v>
      </c>
      <c r="BD21" s="15" t="str">
        <f t="shared" si="15"/>
        <v>Thursday</v>
      </c>
      <c r="BM21" s="105"/>
      <c r="BN21" s="23"/>
      <c r="BO21" s="23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3"/>
      <c r="CA21" s="85"/>
      <c r="CF21" s="6" t="s">
        <v>175</v>
      </c>
      <c r="CG21" s="6">
        <f>SUMIFS(Table_Assembly[Specific Amount],Table_Assembly[NG Type],$CF$14,Table_Assembly[Product type],$BP$43,Table_Assembly[NG content],CF21,Table_Assembly[MFG Date],"&gt;="&amp;$R$28,Table_Assembly[MFG Date],"&lt;="&amp;$R$29)</f>
        <v>0</v>
      </c>
      <c r="CH21" s="6">
        <f>SUMIFS(Table_Assembly[Specific Amount],Table_Assembly[NG Type],$CF$14,Table_Assembly[Product type],$BP$43,Table_Assembly[NG content],CF21,Table_Assembly[MFG Date],"&gt;="&amp;$R$36,Table_Assembly[MFG Date],"&lt;="&amp;$R$37)</f>
        <v>2</v>
      </c>
      <c r="CI21" s="6">
        <f>SUMIFS(Table_Assembly[Specific Amount],Table_Assembly[NG Type],$CF$14,Table_Assembly[Product type],$BP$43,Table_Assembly[NG content],CF21,Table_Assembly[MFG Date],"&gt;="&amp;$R$44,Table_Assembly[MFG Date],"&lt;="&amp;$R$45)</f>
        <v>1</v>
      </c>
      <c r="CJ21" s="6">
        <f>SUMIFS(Table_Assembly[Specific Amount],Table_Assembly[NG Type],$CF$14,Table_Assembly[Product type],$BP$43,Table_Assembly[NG content],CF21,Table_Assembly[MFG Date],"&gt;="&amp;$R$52,Table_Assembly[MFG Date],"&lt;="&amp;$R$53)</f>
        <v>4</v>
      </c>
      <c r="CK21" s="6">
        <f>SUMIFS(Table_Assembly[Specific Amount],Table_Assembly[NG Type],$CF$14,Table_Assembly[Product type],$BP$43,Table_Assembly[NG content],CF21,Table_Assembly[MFG Date],"&gt;="&amp;$R$60,Table_Assembly[MFG Date],"&lt;="&amp;$R$61)</f>
        <v>0</v>
      </c>
      <c r="CL21" s="6">
        <f>SUMIFS(Table_Assembly[Specific Amount],Table_Assembly[NG Type],$CF$14,Table_Assembly[Product type],$BP$43,Table_Assembly[NG content],CF21,Table_Assembly[MFG Date],"&gt;="&amp;$R$68,Table_Assembly[MFG Date],"&lt;="&amp;$R$69)</f>
        <v>0</v>
      </c>
    </row>
    <row r="22" spans="1:90">
      <c r="A22" s="121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3"/>
      <c r="O22" s="119"/>
      <c r="V22" s="12" t="e">
        <f ca="1">OFFSET($V$23,0,0,COUNTA(V23:V30))</f>
        <v>#VALUE!</v>
      </c>
      <c r="Z22" s="16">
        <f>$Z$7</f>
        <v>45047</v>
      </c>
      <c r="AA22" s="16">
        <f>IFERROR(IF(Z22=$AB$7,"",Z22+1),"")</f>
        <v>45048</v>
      </c>
      <c r="AB22" s="16">
        <f t="shared" ref="AB22:BD22" si="16">IFERROR(IF(AA22=$AB$7,"",AA22+1),"")</f>
        <v>45049</v>
      </c>
      <c r="AC22" s="16">
        <f t="shared" si="16"/>
        <v>45050</v>
      </c>
      <c r="AD22" s="16">
        <f t="shared" si="16"/>
        <v>45051</v>
      </c>
      <c r="AE22" s="16">
        <f t="shared" si="16"/>
        <v>45052</v>
      </c>
      <c r="AF22" s="16">
        <f t="shared" si="16"/>
        <v>45053</v>
      </c>
      <c r="AG22" s="16">
        <f t="shared" si="16"/>
        <v>45054</v>
      </c>
      <c r="AH22" s="16">
        <f t="shared" si="16"/>
        <v>45055</v>
      </c>
      <c r="AI22" s="16">
        <f t="shared" si="16"/>
        <v>45056</v>
      </c>
      <c r="AJ22" s="16">
        <f t="shared" si="16"/>
        <v>45057</v>
      </c>
      <c r="AK22" s="16">
        <f t="shared" si="16"/>
        <v>45058</v>
      </c>
      <c r="AL22" s="16">
        <f t="shared" si="16"/>
        <v>45059</v>
      </c>
      <c r="AM22" s="16">
        <f t="shared" si="16"/>
        <v>45060</v>
      </c>
      <c r="AN22" s="16">
        <f t="shared" si="16"/>
        <v>45061</v>
      </c>
      <c r="AO22" s="16">
        <f t="shared" si="16"/>
        <v>45062</v>
      </c>
      <c r="AP22" s="16">
        <f t="shared" si="16"/>
        <v>45063</v>
      </c>
      <c r="AQ22" s="16">
        <f t="shared" si="16"/>
        <v>45064</v>
      </c>
      <c r="AR22" s="16">
        <f t="shared" si="16"/>
        <v>45065</v>
      </c>
      <c r="AS22" s="16">
        <f t="shared" si="16"/>
        <v>45066</v>
      </c>
      <c r="AT22" s="16">
        <f t="shared" si="16"/>
        <v>45067</v>
      </c>
      <c r="AU22" s="16">
        <f t="shared" si="16"/>
        <v>45068</v>
      </c>
      <c r="AV22" s="16">
        <f t="shared" si="16"/>
        <v>45069</v>
      </c>
      <c r="AW22" s="16">
        <f t="shared" si="16"/>
        <v>45070</v>
      </c>
      <c r="AX22" s="16">
        <f t="shared" si="16"/>
        <v>45071</v>
      </c>
      <c r="AY22" s="16">
        <f t="shared" si="16"/>
        <v>45072</v>
      </c>
      <c r="AZ22" s="16">
        <f t="shared" si="16"/>
        <v>45073</v>
      </c>
      <c r="BA22" s="16">
        <f t="shared" si="16"/>
        <v>45074</v>
      </c>
      <c r="BB22" s="16">
        <f t="shared" si="16"/>
        <v>45075</v>
      </c>
      <c r="BC22" s="16">
        <f t="shared" si="16"/>
        <v>45076</v>
      </c>
      <c r="BD22" s="16">
        <f t="shared" si="16"/>
        <v>45077</v>
      </c>
      <c r="BE22" s="14"/>
      <c r="BF22" s="14"/>
      <c r="BM22" s="105"/>
      <c r="BN22" s="23"/>
      <c r="BO22" s="23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3"/>
      <c r="CA22" s="85"/>
      <c r="CF22" s="6" t="s">
        <v>232</v>
      </c>
      <c r="CG22" s="6">
        <f>SUMIFS(Table_Assembly[Specific Amount],Table_Assembly[NG Type],$CF$14,Table_Assembly[Product type],$BP$43,Table_Assembly[NG content],CF22,Table_Assembly[MFG Date],"&gt;="&amp;$R$28,Table_Assembly[MFG Date],"&lt;="&amp;$R$29)</f>
        <v>0</v>
      </c>
      <c r="CH22" s="6">
        <f>SUMIFS(Table_Assembly[Specific Amount],Table_Assembly[NG Type],$CF$14,Table_Assembly[Product type],$BP$43,Table_Assembly[NG content],CF22,Table_Assembly[MFG Date],"&gt;="&amp;$R$36,Table_Assembly[MFG Date],"&lt;="&amp;$R$37)</f>
        <v>0</v>
      </c>
      <c r="CI22" s="6">
        <f>SUMIFS(Table_Assembly[Specific Amount],Table_Assembly[NG Type],$CF$14,Table_Assembly[Product type],$BP$43,Table_Assembly[NG content],CF22,Table_Assembly[MFG Date],"&gt;="&amp;$R$44,Table_Assembly[MFG Date],"&lt;="&amp;$R$45)</f>
        <v>1</v>
      </c>
      <c r="CJ22" s="6">
        <f>SUMIFS(Table_Assembly[Specific Amount],Table_Assembly[NG Type],$CF$14,Table_Assembly[Product type],$BP$43,Table_Assembly[NG content],CF22,Table_Assembly[MFG Date],"&gt;="&amp;$R$52,Table_Assembly[MFG Date],"&lt;="&amp;$R$53)</f>
        <v>0</v>
      </c>
      <c r="CK22" s="6">
        <f>SUMIFS(Table_Assembly[Specific Amount],Table_Assembly[NG Type],$CF$14,Table_Assembly[Product type],$BP$43,Table_Assembly[NG content],CF22,Table_Assembly[MFG Date],"&gt;="&amp;$R$60,Table_Assembly[MFG Date],"&lt;="&amp;$R$61)</f>
        <v>0</v>
      </c>
      <c r="CL22" s="6">
        <f>SUMIFS(Table_Assembly[Specific Amount],Table_Assembly[NG Type],$CF$14,Table_Assembly[Product type],$BP$43,Table_Assembly[NG content],CF22,Table_Assembly[MFG Date],"&gt;="&amp;$R$68,Table_Assembly[MFG Date],"&lt;="&amp;$R$69)</f>
        <v>0</v>
      </c>
    </row>
    <row r="23" spans="1:90">
      <c r="A23" s="122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3"/>
      <c r="O23" s="119"/>
      <c r="S23" s="12" t="e">
        <f ca="1">U41=#REF!</f>
        <v>#REF!</v>
      </c>
      <c r="V23" s="12" t="s">
        <v>71</v>
      </c>
      <c r="BM23" s="105"/>
      <c r="BN23" s="23"/>
      <c r="BO23" s="23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3"/>
      <c r="CA23" s="85"/>
      <c r="CF23" s="6" t="s">
        <v>176</v>
      </c>
      <c r="CG23" s="6">
        <f>SUMIFS(Table_Assembly[Specific Amount],Table_Assembly[NG Type],$CF$14,Table_Assembly[Product type],$BP$43,Table_Assembly[NG content],CF23,Table_Assembly[MFG Date],"&gt;="&amp;$R$28,Table_Assembly[MFG Date],"&lt;="&amp;$R$29)</f>
        <v>0</v>
      </c>
      <c r="CH23" s="6">
        <f>SUMIFS(Table_Assembly[Specific Amount],Table_Assembly[NG Type],$CF$14,Table_Assembly[Product type],$BP$43,Table_Assembly[NG content],CF23,Table_Assembly[MFG Date],"&gt;="&amp;$R$36,Table_Assembly[MFG Date],"&lt;="&amp;$R$37)</f>
        <v>0</v>
      </c>
      <c r="CI23" s="6">
        <f>SUMIFS(Table_Assembly[Specific Amount],Table_Assembly[NG Type],$CF$14,Table_Assembly[Product type],$BP$43,Table_Assembly[NG content],CF23,Table_Assembly[MFG Date],"&gt;="&amp;$R$44,Table_Assembly[MFG Date],"&lt;="&amp;$R$45)</f>
        <v>0</v>
      </c>
      <c r="CJ23" s="6">
        <f>SUMIFS(Table_Assembly[Specific Amount],Table_Assembly[NG Type],$CF$14,Table_Assembly[Product type],$BP$43,Table_Assembly[NG content],CF23,Table_Assembly[MFG Date],"&gt;="&amp;$R$52,Table_Assembly[MFG Date],"&lt;="&amp;$R$53)</f>
        <v>0</v>
      </c>
      <c r="CK23" s="6">
        <f>SUMIFS(Table_Assembly[Specific Amount],Table_Assembly[NG Type],$CF$14,Table_Assembly[Product type],$BP$43,Table_Assembly[NG content],CF23,Table_Assembly[MFG Date],"&gt;="&amp;$R$60,Table_Assembly[MFG Date],"&lt;="&amp;$R$61)</f>
        <v>0</v>
      </c>
      <c r="CL23" s="6">
        <f>SUMIFS(Table_Assembly[Specific Amount],Table_Assembly[NG Type],$CF$14,Table_Assembly[Product type],$BP$43,Table_Assembly[NG content],CF23,Table_Assembly[MFG Date],"&gt;="&amp;$R$68,Table_Assembly[MFG Date],"&lt;="&amp;$R$69)</f>
        <v>0</v>
      </c>
    </row>
    <row r="24" spans="1:90">
      <c r="A24" s="122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3"/>
      <c r="O24" s="119"/>
      <c r="V24" s="12" t="s">
        <v>53</v>
      </c>
      <c r="AJ24" s="12" t="str">
        <f ca="1">IFERROR(IF($AJ$26=#REF!,_xlfn.SINGLE(ROW(#REF!)),""),"")</f>
        <v/>
      </c>
      <c r="BM24" s="105"/>
      <c r="BN24" s="23"/>
      <c r="BO24" s="23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3"/>
      <c r="CA24" s="85"/>
      <c r="CF24" s="6" t="s">
        <v>177</v>
      </c>
      <c r="CG24" s="6">
        <f>SUMIFS(Table_Assembly[Specific Amount],Table_Assembly[NG Type],$CF$14,Table_Assembly[Product type],$BP$43,Table_Assembly[NG content],CF24,Table_Assembly[MFG Date],"&gt;="&amp;$R$28,Table_Assembly[MFG Date],"&lt;="&amp;$R$29)</f>
        <v>0</v>
      </c>
      <c r="CH24" s="6">
        <f>SUMIFS(Table_Assembly[Specific Amount],Table_Assembly[NG Type],$CF$14,Table_Assembly[Product type],$BP$43,Table_Assembly[NG content],CF24,Table_Assembly[MFG Date],"&gt;="&amp;$R$36,Table_Assembly[MFG Date],"&lt;="&amp;$R$37)</f>
        <v>3</v>
      </c>
      <c r="CI24" s="6">
        <f>SUMIFS(Table_Assembly[Specific Amount],Table_Assembly[NG Type],$CF$14,Table_Assembly[Product type],$BP$43,Table_Assembly[NG content],CF24,Table_Assembly[MFG Date],"&gt;="&amp;$R$44,Table_Assembly[MFG Date],"&lt;="&amp;$R$45)</f>
        <v>0</v>
      </c>
      <c r="CJ24" s="6">
        <f>SUMIFS(Table_Assembly[Specific Amount],Table_Assembly[NG Type],$CF$14,Table_Assembly[Product type],$BP$43,Table_Assembly[NG content],CF24,Table_Assembly[MFG Date],"&gt;="&amp;$R$52,Table_Assembly[MFG Date],"&lt;="&amp;$R$53)</f>
        <v>0</v>
      </c>
      <c r="CK24" s="6">
        <f>SUMIFS(Table_Assembly[Specific Amount],Table_Assembly[NG Type],$CF$14,Table_Assembly[Product type],$BP$43,Table_Assembly[NG content],CF24,Table_Assembly[MFG Date],"&gt;="&amp;$R$60,Table_Assembly[MFG Date],"&lt;="&amp;$R$61)</f>
        <v>0</v>
      </c>
      <c r="CL24" s="6">
        <f>SUMIFS(Table_Assembly[Specific Amount],Table_Assembly[NG Type],$CF$14,Table_Assembly[Product type],$BP$43,Table_Assembly[NG content],CF24,Table_Assembly[MFG Date],"&gt;="&amp;$R$68,Table_Assembly[MFG Date],"&lt;="&amp;$R$69)</f>
        <v>0</v>
      </c>
    </row>
    <row r="25" spans="1:90">
      <c r="A25" s="122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3"/>
      <c r="O25" s="119"/>
      <c r="V25" s="12" t="s">
        <v>84</v>
      </c>
      <c r="AB25" s="12" t="e">
        <f ca="1">OFFSET($AB$28,0,0,COUNTA($AB$28:$AB$58))</f>
        <v>#VALUE!</v>
      </c>
      <c r="BM25" s="105"/>
      <c r="BN25" s="23"/>
      <c r="BO25" s="23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3"/>
      <c r="CA25" s="85"/>
      <c r="CF25" s="6" t="s">
        <v>178</v>
      </c>
      <c r="CG25" s="6">
        <f>SUMIFS(Table_Assembly[Specific Amount],Table_Assembly[NG Type],$CF$14,Table_Assembly[Product type],$BP$43,Table_Assembly[NG content],CF25,Table_Assembly[MFG Date],"&gt;="&amp;$R$28,Table_Assembly[MFG Date],"&lt;="&amp;$R$29)</f>
        <v>0</v>
      </c>
      <c r="CH25" s="6">
        <f>SUMIFS(Table_Assembly[Specific Amount],Table_Assembly[NG Type],$CF$14,Table_Assembly[Product type],$BP$43,Table_Assembly[NG content],CF25,Table_Assembly[MFG Date],"&gt;="&amp;$R$36,Table_Assembly[MFG Date],"&lt;="&amp;$R$37)</f>
        <v>0</v>
      </c>
      <c r="CI25" s="6">
        <f>SUMIFS(Table_Assembly[Specific Amount],Table_Assembly[NG Type],$CF$14,Table_Assembly[Product type],$BP$43,Table_Assembly[NG content],CF25,Table_Assembly[MFG Date],"&gt;="&amp;$R$44,Table_Assembly[MFG Date],"&lt;="&amp;$R$45)</f>
        <v>4</v>
      </c>
      <c r="CJ25" s="6">
        <f>SUMIFS(Table_Assembly[Specific Amount],Table_Assembly[NG Type],$CF$14,Table_Assembly[Product type],$BP$43,Table_Assembly[NG content],CF25,Table_Assembly[MFG Date],"&gt;="&amp;$R$52,Table_Assembly[MFG Date],"&lt;="&amp;$R$53)</f>
        <v>0</v>
      </c>
      <c r="CK25" s="6">
        <f>SUMIFS(Table_Assembly[Specific Amount],Table_Assembly[NG Type],$CF$14,Table_Assembly[Product type],$BP$43,Table_Assembly[NG content],CF25,Table_Assembly[MFG Date],"&gt;="&amp;$R$60,Table_Assembly[MFG Date],"&lt;="&amp;$R$61)</f>
        <v>0</v>
      </c>
      <c r="CL25" s="6">
        <f>SUMIFS(Table_Assembly[Specific Amount],Table_Assembly[NG Type],$CF$14,Table_Assembly[Product type],$BP$43,Table_Assembly[NG content],CF25,Table_Assembly[MFG Date],"&gt;="&amp;$R$68,Table_Assembly[MFG Date],"&lt;="&amp;$R$69)</f>
        <v>0</v>
      </c>
    </row>
    <row r="26" spans="1:90">
      <c r="A26" s="122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3"/>
      <c r="O26" s="119"/>
      <c r="X26" s="12" t="e">
        <f ca="1">OFFSET($X$28,0,0,COUNTA(X28:X35))</f>
        <v>#VALUE!</v>
      </c>
      <c r="AJ26" s="12" t="str">
        <f ca="1">IFERROR(MATCH($B$114,OFFSET(#REF!,AJ25,0,1000000),0)+AJ25,"")</f>
        <v/>
      </c>
      <c r="AK26" s="17" t="str">
        <f ca="1">IFERROR(_xlfn.SINGLE(INDEX(#REF!,'Monthly Report'!AJ26)),"")</f>
        <v/>
      </c>
      <c r="AL26" s="12" t="str">
        <f ca="1">IFERROR(_xlfn.SINGLE(INDEX(#REF!,'Monthly Report'!AJ26)),"")</f>
        <v/>
      </c>
      <c r="AN26" s="12" t="str">
        <f ca="1">IFERROR(MATCH($G$115,OFFSET(#REF!,AN25,0,1000000),0)+AN25,"")</f>
        <v/>
      </c>
      <c r="AO26" s="17" t="str">
        <f ca="1">IFERROR(_xlfn.SINGLE(INDEX(#REF!,'Monthly Report'!AN26)),"")</f>
        <v/>
      </c>
      <c r="AP26" s="12" t="str">
        <f ca="1">IFERROR(_xlfn.SINGLE(INDEX(#REF!,'Monthly Report'!AN26)),"")</f>
        <v/>
      </c>
      <c r="BM26" s="105"/>
      <c r="BN26" s="23"/>
      <c r="BO26" s="23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3"/>
      <c r="CA26" s="85"/>
      <c r="CF26" s="6" t="s">
        <v>233</v>
      </c>
      <c r="CG26" s="6">
        <f>SUMIFS(Table_Assembly[Specific Amount],Table_Assembly[NG Type],$CF$14,Table_Assembly[Product type],$BP$43,Table_Assembly[NG content],CF26,Table_Assembly[MFG Date],"&gt;="&amp;$R$28,Table_Assembly[MFG Date],"&lt;="&amp;$R$29)</f>
        <v>4</v>
      </c>
      <c r="CH26" s="6">
        <f>SUMIFS(Table_Assembly[Specific Amount],Table_Assembly[NG Type],$CF$14,Table_Assembly[Product type],$BP$43,Table_Assembly[NG content],CF26,Table_Assembly[MFG Date],"&gt;="&amp;$R$36,Table_Assembly[MFG Date],"&lt;="&amp;$R$37)</f>
        <v>4</v>
      </c>
      <c r="CI26" s="6">
        <f>SUMIFS(Table_Assembly[Specific Amount],Table_Assembly[NG Type],$CF$14,Table_Assembly[Product type],$BP$43,Table_Assembly[NG content],CF26,Table_Assembly[MFG Date],"&gt;="&amp;$R$44,Table_Assembly[MFG Date],"&lt;="&amp;$R$45)</f>
        <v>15</v>
      </c>
      <c r="CJ26" s="6">
        <f>SUMIFS(Table_Assembly[Specific Amount],Table_Assembly[NG Type],$CF$14,Table_Assembly[Product type],$BP$43,Table_Assembly[NG content],CF26,Table_Assembly[MFG Date],"&gt;="&amp;$R$52,Table_Assembly[MFG Date],"&lt;="&amp;$R$53)</f>
        <v>4</v>
      </c>
      <c r="CK26" s="6">
        <f>SUMIFS(Table_Assembly[Specific Amount],Table_Assembly[NG Type],$CF$14,Table_Assembly[Product type],$BP$43,Table_Assembly[NG content],CF26,Table_Assembly[MFG Date],"&gt;="&amp;$R$60,Table_Assembly[MFG Date],"&lt;="&amp;$R$61)</f>
        <v>0</v>
      </c>
      <c r="CL26" s="6">
        <f>SUMIFS(Table_Assembly[Specific Amount],Table_Assembly[NG Type],$CF$14,Table_Assembly[Product type],$BP$43,Table_Assembly[NG content],CF26,Table_Assembly[MFG Date],"&gt;="&amp;$R$68,Table_Assembly[MFG Date],"&lt;="&amp;$R$69)</f>
        <v>0</v>
      </c>
    </row>
    <row r="27" spans="1:90">
      <c r="A27" s="122"/>
      <c r="B27" s="23"/>
      <c r="C27" s="23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3"/>
      <c r="O27" s="119"/>
      <c r="Q27" s="12" t="e">
        <f ca="1">LOOKUP(T28,U28:U34)</f>
        <v>#N/A</v>
      </c>
      <c r="R27" s="12" t="e">
        <f ca="1">AND(#REF!=$D$5,OR(#REF!=U28,#REF!=U29,#REF!=U30,#REF!=U31,#REF!=U32,#REF!=U33,#REF!=U34))</f>
        <v>#REF!</v>
      </c>
      <c r="U27" s="12" t="e">
        <f ca="1">AND(#REF!=$D$5,OR(#REF!=U28,#REF!=U29,#REF!=U30,#REF!=U31,#REF!=U32,#REF!=U33,#REF!=U34))</f>
        <v>#REF!</v>
      </c>
      <c r="V27" s="12" t="e">
        <f ca="1">AND(#REF!=$D$5,OR(#REF!=U36,#REF!=U37,#REF!=U38,#REF!=U39,#REF!=U40,#REF!=U41,#REF!=U42))</f>
        <v>#REF!</v>
      </c>
      <c r="W27" s="12" t="e">
        <f ca="1">AND(#REF!=$D$5,OR(#REF!=U44,#REF!=U45,#REF!=U46,#REF!=U47,#REF!=U48,#REF!=U49,#REF!=U50))</f>
        <v>#REF!</v>
      </c>
      <c r="X27" s="12" t="e">
        <f ca="1">AND(#REF!=$D$5,OR(#REF!=U52,#REF!=U53,#REF!=U54,#REF!=U55,#REF!=U56,#REF!=U57,#REF!=U58))</f>
        <v>#REF!</v>
      </c>
      <c r="Y27" s="12" t="e">
        <f ca="1">AND(#REF!=$D$5,OR(#REF!=U60,#REF!=U61,#REF!=U62,#REF!=U63,#REF!=U64,#REF!=U65,#REF!=U66))</f>
        <v>#REF!</v>
      </c>
      <c r="Z27" s="12" t="e">
        <f ca="1">AND(#REF!=$D$5,OR(#REF!=U68,#REF!=U69,#REF!=U70,#REF!=U71,#REF!=U72,#REF!=U73,#REF!=U74))</f>
        <v>#REF!</v>
      </c>
      <c r="AJ27" s="12" t="str">
        <f ca="1">IFERROR(MATCH($B$114,OFFSET(#REF!,AJ26,0,1000000),0)+AJ26,"")</f>
        <v/>
      </c>
      <c r="AK27" s="17" t="str">
        <f ca="1">IFERROR(_xlfn.SINGLE(INDEX(#REF!,'Monthly Report'!AJ27)),"")</f>
        <v/>
      </c>
      <c r="AL27" s="12" t="str">
        <f ca="1">IFERROR(_xlfn.SINGLE(INDEX(#REF!,'Monthly Report'!AJ27)),"")</f>
        <v/>
      </c>
      <c r="AN27" s="12" t="str">
        <f ca="1">IFERROR(MATCH($G$115,OFFSET(#REF!,AN26,0,1000000),0)+AN26,"")</f>
        <v/>
      </c>
      <c r="AO27" s="17" t="str">
        <f ca="1">IFERROR(_xlfn.SINGLE(INDEX(#REF!,'Monthly Report'!AN27)),"")</f>
        <v/>
      </c>
      <c r="AP27" s="12" t="str">
        <f ca="1">IFERROR(_xlfn.SINGLE(INDEX(#REF!,'Monthly Report'!AN27)),"")</f>
        <v/>
      </c>
      <c r="BM27" s="105"/>
      <c r="BN27" s="23"/>
      <c r="BO27" s="23"/>
      <c r="BP27" s="25"/>
      <c r="BQ27" s="24"/>
      <c r="BR27" s="24"/>
      <c r="BS27" s="24"/>
      <c r="BT27" s="24"/>
      <c r="BU27" s="24"/>
      <c r="BV27" s="24"/>
      <c r="BW27" s="24"/>
      <c r="BX27" s="24"/>
      <c r="BY27" s="24"/>
      <c r="BZ27" s="23"/>
      <c r="CA27" s="85"/>
      <c r="CF27" s="6" t="s">
        <v>179</v>
      </c>
      <c r="CG27" s="6">
        <f>SUMIFS(Table_Assembly[Specific Amount],Table_Assembly[NG Type],$CF$14,Table_Assembly[Product type],$BP$43,Table_Assembly[NG content],CF27,Table_Assembly[MFG Date],"&gt;="&amp;$R$28,Table_Assembly[MFG Date],"&lt;="&amp;$R$29)</f>
        <v>0</v>
      </c>
      <c r="CH27" s="6">
        <f>SUMIFS(Table_Assembly[Specific Amount],Table_Assembly[NG Type],$CF$14,Table_Assembly[Product type],$BP$43,Table_Assembly[NG content],CF27,Table_Assembly[MFG Date],"&gt;="&amp;$R$36,Table_Assembly[MFG Date],"&lt;="&amp;$R$37)</f>
        <v>0</v>
      </c>
      <c r="CI27" s="6">
        <f>SUMIFS(Table_Assembly[Specific Amount],Table_Assembly[NG Type],$CF$14,Table_Assembly[Product type],$BP$43,Table_Assembly[NG content],CF27,Table_Assembly[MFG Date],"&gt;="&amp;$R$44,Table_Assembly[MFG Date],"&lt;="&amp;$R$45)</f>
        <v>0</v>
      </c>
      <c r="CJ27" s="6">
        <f>SUMIFS(Table_Assembly[Specific Amount],Table_Assembly[NG Type],$CF$14,Table_Assembly[Product type],$BP$43,Table_Assembly[NG content],CF27,Table_Assembly[MFG Date],"&gt;="&amp;$R$52,Table_Assembly[MFG Date],"&lt;="&amp;$R$53)</f>
        <v>0</v>
      </c>
      <c r="CK27" s="6">
        <f>SUMIFS(Table_Assembly[Specific Amount],Table_Assembly[NG Type],$CF$14,Table_Assembly[Product type],$BP$43,Table_Assembly[NG content],CF27,Table_Assembly[MFG Date],"&gt;="&amp;$R$60,Table_Assembly[MFG Date],"&lt;="&amp;$R$61)</f>
        <v>0</v>
      </c>
      <c r="CL27" s="6">
        <f>SUMIFS(Table_Assembly[Specific Amount],Table_Assembly[NG Type],$CF$14,Table_Assembly[Product type],$BP$43,Table_Assembly[NG content],CF27,Table_Assembly[MFG Date],"&gt;="&amp;$R$68,Table_Assembly[MFG Date],"&lt;="&amp;$R$69)</f>
        <v>0</v>
      </c>
    </row>
    <row r="28" spans="1:90">
      <c r="A28" s="122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3"/>
      <c r="O28" s="119"/>
      <c r="P28" s="12" t="b">
        <f ca="1">ISNUMBER(U28)</f>
        <v>1</v>
      </c>
      <c r="Q28" s="12" t="e">
        <f ca="1">LOOKUP(S28,1/(1-ISNUMBER($U$28:$U$34)),$U$28:$U$34)</f>
        <v>#N/A</v>
      </c>
      <c r="R28" s="14">
        <f>IFERROR(INDEX($AG$28:$AG$58,MATCH(T28,$AB$28:$AB$58,0)),"")</f>
        <v>45047</v>
      </c>
      <c r="S28" s="12">
        <f ca="1">IFERROR(MATCH($T$28,OFFSET($AC$28:$AC$58,S27,0,1000000),0)+S27,"")</f>
        <v>1</v>
      </c>
      <c r="T28" s="12" t="s">
        <v>105</v>
      </c>
      <c r="U28" s="16">
        <f ca="1">IFERROR(INDEX($AG$28:$AG$58,S28),"")</f>
        <v>45047</v>
      </c>
      <c r="V28" s="12">
        <f>COUNTA($AB$28:$AB$58)</f>
        <v>31</v>
      </c>
      <c r="W28" s="12">
        <f>COUNTBLANK($AB$28:$AB$58)</f>
        <v>26</v>
      </c>
      <c r="X28" s="12" t="s">
        <v>105</v>
      </c>
      <c r="Y28" s="14">
        <f>AG28</f>
        <v>45047</v>
      </c>
      <c r="Z28" s="12" t="str">
        <f ca="1">OFFSET($AB$28:$AB$58,0,0)</f>
        <v>Week 1</v>
      </c>
      <c r="AA28" s="12">
        <f>IFERROR(RIGHT(AB28,1)*1,"")</f>
        <v>1</v>
      </c>
      <c r="AB28" s="15" t="str">
        <f>AC28</f>
        <v>Week 1</v>
      </c>
      <c r="AC28" s="15" t="str">
        <f t="shared" ref="AC28:AC58" si="17">IF(AF28="","",$AD$28&amp;" "&amp;AE28)</f>
        <v>Week 1</v>
      </c>
      <c r="AD28" s="15" t="s">
        <v>3</v>
      </c>
      <c r="AE28" s="15">
        <v>1</v>
      </c>
      <c r="AF28" s="15" t="str">
        <f>IFERROR(IF(WEEKDAY(AG28)=1, "Sunday",IF(WEEKDAY(AG28)=2,"Monday",IF(WEEKDAY(AG28)=3,"Tuesday",IF(WEEKDAY(AG28)=4,"Wednesday",IF(WEEKDAY(AG28)=5,"Thursday",IF(WEEKDAY(AG28)=6,"Friday",IF(WEEKDAY(AG28)=7,"Saturday",""))))))),"")</f>
        <v>Monday</v>
      </c>
      <c r="AG28" s="16">
        <f>$Z$7</f>
        <v>45047</v>
      </c>
      <c r="AH28" s="12" t="b">
        <f>$B$11=AC28</f>
        <v>0</v>
      </c>
      <c r="AJ28" s="12" t="str">
        <f ca="1">IFERROR(MATCH($B$114,OFFSET(#REF!,AJ27,0,1000000),0)+AJ27,"")</f>
        <v/>
      </c>
      <c r="AK28" s="17" t="str">
        <f ca="1">IFERROR(_xlfn.SINGLE(INDEX(#REF!,'Monthly Report'!AJ28)),"")</f>
        <v/>
      </c>
      <c r="AL28" s="12" t="str">
        <f ca="1">IFERROR(_xlfn.SINGLE(INDEX(#REF!,'Monthly Report'!AJ28)),"")</f>
        <v/>
      </c>
      <c r="AN28" s="12" t="str">
        <f ca="1">IFERROR(MATCH($G$115,OFFSET(#REF!,AN27,0,1000000),0)+AN27,"")</f>
        <v/>
      </c>
      <c r="AO28" s="17" t="str">
        <f ca="1">IFERROR(_xlfn.SINGLE(INDEX(#REF!,'Monthly Report'!AN28)),"")</f>
        <v/>
      </c>
      <c r="AP28" s="12" t="str">
        <f ca="1">IFERROR(_xlfn.SINGLE(INDEX(#REF!,'Monthly Report'!AN28)),"")</f>
        <v/>
      </c>
      <c r="BM28" s="105"/>
      <c r="BN28" s="23"/>
      <c r="BO28" s="23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3"/>
      <c r="CA28" s="85"/>
      <c r="CF28" s="6" t="s">
        <v>180</v>
      </c>
      <c r="CG28" s="6">
        <f>SUMIFS(Table_Assembly[Specific Amount],Table_Assembly[NG Type],$CF$14,Table_Assembly[Product type],$BP$43,Table_Assembly[NG content],CF28,Table_Assembly[MFG Date],"&gt;="&amp;$R$28,Table_Assembly[MFG Date],"&lt;="&amp;$R$29)</f>
        <v>0</v>
      </c>
      <c r="CH28" s="6">
        <f>SUMIFS(Table_Assembly[Specific Amount],Table_Assembly[NG Type],$CF$14,Table_Assembly[Product type],$BP$43,Table_Assembly[NG content],CF28,Table_Assembly[MFG Date],"&gt;="&amp;$R$36,Table_Assembly[MFG Date],"&lt;="&amp;$R$37)</f>
        <v>0</v>
      </c>
      <c r="CI28" s="6">
        <f>SUMIFS(Table_Assembly[Specific Amount],Table_Assembly[NG Type],$CF$14,Table_Assembly[Product type],$BP$43,Table_Assembly[NG content],CF28,Table_Assembly[MFG Date],"&gt;="&amp;$R$44,Table_Assembly[MFG Date],"&lt;="&amp;$R$45)</f>
        <v>0</v>
      </c>
      <c r="CJ28" s="6">
        <f>SUMIFS(Table_Assembly[Specific Amount],Table_Assembly[NG Type],$CF$14,Table_Assembly[Product type],$BP$43,Table_Assembly[NG content],CF28,Table_Assembly[MFG Date],"&gt;="&amp;$R$52,Table_Assembly[MFG Date],"&lt;="&amp;$R$53)</f>
        <v>0</v>
      </c>
      <c r="CK28" s="6">
        <f>SUMIFS(Table_Assembly[Specific Amount],Table_Assembly[NG Type],$CF$14,Table_Assembly[Product type],$BP$43,Table_Assembly[NG content],CF28,Table_Assembly[MFG Date],"&gt;="&amp;$R$60,Table_Assembly[MFG Date],"&lt;="&amp;$R$61)</f>
        <v>0</v>
      </c>
      <c r="CL28" s="6">
        <f>SUMIFS(Table_Assembly[Specific Amount],Table_Assembly[NG Type],$CF$14,Table_Assembly[Product type],$BP$43,Table_Assembly[NG content],CF28,Table_Assembly[MFG Date],"&gt;="&amp;$R$68,Table_Assembly[MFG Date],"&lt;="&amp;$R$69)</f>
        <v>0</v>
      </c>
    </row>
    <row r="29" spans="1:90">
      <c r="A29" s="122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3"/>
      <c r="O29" s="119"/>
      <c r="P29" s="12" t="b">
        <f t="shared" ref="P29:P34" ca="1" si="18">ISNUMBER(U29)</f>
        <v>1</v>
      </c>
      <c r="Q29" s="12" t="e">
        <f t="shared" ref="Q29:Q34" ca="1" si="19">LOOKUP(S29,1/(1-ISNUMBER($U$28:$U$34)),$U$28:$U$34)</f>
        <v>#N/A</v>
      </c>
      <c r="R29" s="14">
        <f>IFERROR(INDEX($AG$28:$AG$58-1,MATCH(RIGHT(T28,2)*1+1,$AE$28:$AE$58,0)),$AB$7)</f>
        <v>45053</v>
      </c>
      <c r="S29" s="12">
        <f t="shared" ref="S29:S34" ca="1" si="20">IFERROR(MATCH($T$28,OFFSET($AC$28:$AC$58,S28,0,1000000),0)+S28,"")</f>
        <v>2</v>
      </c>
      <c r="U29" s="16">
        <f t="shared" ref="U29:U34" ca="1" si="21">IFERROR(INDEX($AG$28:$AG$58,S29),"")</f>
        <v>45048</v>
      </c>
      <c r="W29" s="12">
        <f>$V$28-$W$28</f>
        <v>5</v>
      </c>
      <c r="X29" s="12" t="s">
        <v>104</v>
      </c>
      <c r="Y29" s="14">
        <f t="shared" ref="Y29:Y58" si="22">AG29</f>
        <v>45048</v>
      </c>
      <c r="Z29" s="12" t="str">
        <f t="shared" ref="Z29:Z58" ca="1" si="23">OFFSET($AB$28:$AB$58,0,0)</f>
        <v/>
      </c>
      <c r="AA29" s="12" t="str">
        <f t="shared" ref="AA29:AA58" si="24">IFERROR(RIGHT(AB29,1)*1,"")</f>
        <v/>
      </c>
      <c r="AB29" s="15" t="str">
        <f t="shared" ref="AB29:AB58" si="25">IFERROR(IF(AC29=AC28,"",AC29),"")</f>
        <v/>
      </c>
      <c r="AC29" s="15" t="str">
        <f t="shared" si="17"/>
        <v>Week 1</v>
      </c>
      <c r="AD29" s="15"/>
      <c r="AE29" s="15">
        <f t="shared" ref="AE29:AE58" si="26">IF(AF29="","",IF(AF29="Monday",AE28+1,AE28))</f>
        <v>1</v>
      </c>
      <c r="AF29" s="15" t="str">
        <f t="shared" ref="AF29:AF58" si="27">IFERROR(IF(WEEKDAY(AG29)=1, "Sunday",IF(WEEKDAY(AG29)=2,"Monday",IF(WEEKDAY(AG29)=3,"Tuesday",IF(WEEKDAY(AG29)=4,"Wednesday",IF(WEEKDAY(AG29)=5,"Thursday",IF(WEEKDAY(AG29)=6,"Friday",IF(WEEKDAY(AG29)=7,"Saturday",""))))))),"")</f>
        <v>Tuesday</v>
      </c>
      <c r="AG29" s="16">
        <f t="shared" ref="AG29:AG58" si="28">IFERROR(IF(AG28=$AB$7,"",AG28+1),"")</f>
        <v>45048</v>
      </c>
      <c r="AH29" s="12" t="b">
        <f t="shared" ref="AH29:AH58" si="29">$B$11=AC29</f>
        <v>0</v>
      </c>
      <c r="AJ29" s="12" t="str">
        <f ca="1">IFERROR(MATCH($B$114,OFFSET(#REF!,AJ28,0,1000000),0)+AJ28,"")</f>
        <v/>
      </c>
      <c r="AK29" s="17" t="str">
        <f ca="1">IFERROR(_xlfn.SINGLE(INDEX(#REF!,'Monthly Report'!AJ29)),"")</f>
        <v/>
      </c>
      <c r="AL29" s="12" t="str">
        <f ca="1">IFERROR(_xlfn.SINGLE(INDEX(#REF!,'Monthly Report'!AJ29)),"")</f>
        <v/>
      </c>
      <c r="AN29" s="12" t="str">
        <f ca="1">IFERROR(MATCH($G$115,OFFSET(#REF!,AN28,0,1000000),0)+AN28,"")</f>
        <v/>
      </c>
      <c r="AO29" s="17" t="str">
        <f ca="1">IFERROR(_xlfn.SINGLE(INDEX(#REF!,'Monthly Report'!AN29)),"")</f>
        <v/>
      </c>
      <c r="AP29" s="12" t="str">
        <f ca="1">IFERROR(_xlfn.SINGLE(INDEX(#REF!,'Monthly Report'!AN29)),"")</f>
        <v/>
      </c>
      <c r="BM29" s="105"/>
      <c r="BN29" s="23"/>
      <c r="BO29" s="23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3"/>
      <c r="CA29" s="85"/>
      <c r="CF29" s="6" t="s">
        <v>181</v>
      </c>
      <c r="CG29" s="6">
        <f>SUMIFS(Table_Assembly[Specific Amount],Table_Assembly[NG Type],$CF$14,Table_Assembly[Product type],$BP$43,Table_Assembly[NG content],CF29,Table_Assembly[MFG Date],"&gt;="&amp;$R$28,Table_Assembly[MFG Date],"&lt;="&amp;$R$29)</f>
        <v>0</v>
      </c>
      <c r="CH29" s="6">
        <f>SUMIFS(Table_Assembly[Specific Amount],Table_Assembly[NG Type],$CF$14,Table_Assembly[Product type],$BP$43,Table_Assembly[NG content],CF29,Table_Assembly[MFG Date],"&gt;="&amp;$R$36,Table_Assembly[MFG Date],"&lt;="&amp;$R$37)</f>
        <v>0</v>
      </c>
      <c r="CI29" s="6">
        <f>SUMIFS(Table_Assembly[Specific Amount],Table_Assembly[NG Type],$CF$14,Table_Assembly[Product type],$BP$43,Table_Assembly[NG content],CF29,Table_Assembly[MFG Date],"&gt;="&amp;$R$44,Table_Assembly[MFG Date],"&lt;="&amp;$R$45)</f>
        <v>0</v>
      </c>
      <c r="CJ29" s="6">
        <f>SUMIFS(Table_Assembly[Specific Amount],Table_Assembly[NG Type],$CF$14,Table_Assembly[Product type],$BP$43,Table_Assembly[NG content],CF29,Table_Assembly[MFG Date],"&gt;="&amp;$R$52,Table_Assembly[MFG Date],"&lt;="&amp;$R$53)</f>
        <v>0</v>
      </c>
      <c r="CK29" s="6">
        <f>SUMIFS(Table_Assembly[Specific Amount],Table_Assembly[NG Type],$CF$14,Table_Assembly[Product type],$BP$43,Table_Assembly[NG content],CF29,Table_Assembly[MFG Date],"&gt;="&amp;$R$60,Table_Assembly[MFG Date],"&lt;="&amp;$R$61)</f>
        <v>0</v>
      </c>
      <c r="CL29" s="6">
        <f>SUMIFS(Table_Assembly[Specific Amount],Table_Assembly[NG Type],$CF$14,Table_Assembly[Product type],$BP$43,Table_Assembly[NG content],CF29,Table_Assembly[MFG Date],"&gt;="&amp;$R$68,Table_Assembly[MFG Date],"&lt;="&amp;$R$69)</f>
        <v>0</v>
      </c>
    </row>
    <row r="30" spans="1:90">
      <c r="A30" s="122"/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3"/>
      <c r="O30" s="119"/>
      <c r="P30" s="12" t="b">
        <f t="shared" ca="1" si="18"/>
        <v>1</v>
      </c>
      <c r="Q30" s="12" t="e">
        <f t="shared" ca="1" si="19"/>
        <v>#N/A</v>
      </c>
      <c r="R30" s="14"/>
      <c r="S30" s="12">
        <f t="shared" ca="1" si="20"/>
        <v>3</v>
      </c>
      <c r="U30" s="16">
        <f t="shared" ca="1" si="21"/>
        <v>45049</v>
      </c>
      <c r="X30" s="12" t="s">
        <v>82</v>
      </c>
      <c r="Y30" s="14">
        <f t="shared" si="22"/>
        <v>45049</v>
      </c>
      <c r="Z30" s="12" t="str">
        <f t="shared" ca="1" si="23"/>
        <v/>
      </c>
      <c r="AA30" s="12" t="str">
        <f t="shared" si="24"/>
        <v/>
      </c>
      <c r="AB30" s="15" t="str">
        <f t="shared" si="25"/>
        <v/>
      </c>
      <c r="AC30" s="15" t="str">
        <f t="shared" si="17"/>
        <v>Week 1</v>
      </c>
      <c r="AD30" s="15"/>
      <c r="AE30" s="15">
        <f t="shared" si="26"/>
        <v>1</v>
      </c>
      <c r="AF30" s="15" t="str">
        <f t="shared" si="27"/>
        <v>Wednesday</v>
      </c>
      <c r="AG30" s="16">
        <f t="shared" si="28"/>
        <v>45049</v>
      </c>
      <c r="AH30" s="12" t="b">
        <f t="shared" si="29"/>
        <v>0</v>
      </c>
      <c r="AJ30" s="12" t="str">
        <f ca="1">IFERROR(MATCH($B$114,OFFSET(#REF!,AJ29,0,1000000),0)+AJ29,"")</f>
        <v/>
      </c>
      <c r="AK30" s="17" t="str">
        <f ca="1">IFERROR(_xlfn.SINGLE(INDEX(#REF!,'Monthly Report'!AJ30)),"")</f>
        <v/>
      </c>
      <c r="AL30" s="12" t="str">
        <f ca="1">IFERROR(_xlfn.SINGLE(INDEX(#REF!,'Monthly Report'!AJ30)),"")</f>
        <v/>
      </c>
      <c r="AN30" s="12" t="str">
        <f ca="1">IFERROR(MATCH($G$115,OFFSET(#REF!,AN29,0,1000000),0)+AN29,"")</f>
        <v/>
      </c>
      <c r="AO30" s="17" t="str">
        <f ca="1">IFERROR(_xlfn.SINGLE(INDEX(#REF!,'Monthly Report'!AN30)),"")</f>
        <v/>
      </c>
      <c r="AP30" s="12" t="str">
        <f ca="1">IFERROR(_xlfn.SINGLE(INDEX(#REF!,'Monthly Report'!AN30)),"")</f>
        <v/>
      </c>
      <c r="BM30" s="105"/>
      <c r="BN30" s="23"/>
      <c r="BO30" s="23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3"/>
      <c r="CA30" s="85"/>
      <c r="CF30" s="6" t="s">
        <v>182</v>
      </c>
      <c r="CG30" s="6">
        <f>SUMIFS(Table_Assembly[Specific Amount],Table_Assembly[NG Type],$CF$14,Table_Assembly[Product type],$BP$43,Table_Assembly[NG content],CF30,Table_Assembly[MFG Date],"&gt;="&amp;$R$28,Table_Assembly[MFG Date],"&lt;="&amp;$R$29)</f>
        <v>0</v>
      </c>
      <c r="CH30" s="6">
        <f>SUMIFS(Table_Assembly[Specific Amount],Table_Assembly[NG Type],$CF$14,Table_Assembly[Product type],$BP$43,Table_Assembly[NG content],CF30,Table_Assembly[MFG Date],"&gt;="&amp;$R$36,Table_Assembly[MFG Date],"&lt;="&amp;$R$37)</f>
        <v>0</v>
      </c>
      <c r="CI30" s="6">
        <f>SUMIFS(Table_Assembly[Specific Amount],Table_Assembly[NG Type],$CF$14,Table_Assembly[Product type],$BP$43,Table_Assembly[NG content],CF30,Table_Assembly[MFG Date],"&gt;="&amp;$R$44,Table_Assembly[MFG Date],"&lt;="&amp;$R$45)</f>
        <v>0</v>
      </c>
      <c r="CJ30" s="6">
        <f>SUMIFS(Table_Assembly[Specific Amount],Table_Assembly[NG Type],$CF$14,Table_Assembly[Product type],$BP$43,Table_Assembly[NG content],CF30,Table_Assembly[MFG Date],"&gt;="&amp;$R$52,Table_Assembly[MFG Date],"&lt;="&amp;$R$53)</f>
        <v>0</v>
      </c>
      <c r="CK30" s="6">
        <f>SUMIFS(Table_Assembly[Specific Amount],Table_Assembly[NG Type],$CF$14,Table_Assembly[Product type],$BP$43,Table_Assembly[NG content],CF30,Table_Assembly[MFG Date],"&gt;="&amp;$R$60,Table_Assembly[MFG Date],"&lt;="&amp;$R$61)</f>
        <v>0</v>
      </c>
      <c r="CL30" s="6">
        <f>SUMIFS(Table_Assembly[Specific Amount],Table_Assembly[NG Type],$CF$14,Table_Assembly[Product type],$BP$43,Table_Assembly[NG content],CF30,Table_Assembly[MFG Date],"&gt;="&amp;$R$68,Table_Assembly[MFG Date],"&lt;="&amp;$R$69)</f>
        <v>0</v>
      </c>
    </row>
    <row r="31" spans="1:90">
      <c r="A31" s="122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3"/>
      <c r="O31" s="119"/>
      <c r="P31" s="12" t="b">
        <f t="shared" ca="1" si="18"/>
        <v>1</v>
      </c>
      <c r="Q31" s="12" t="e">
        <f t="shared" ca="1" si="19"/>
        <v>#N/A</v>
      </c>
      <c r="R31" s="14"/>
      <c r="S31" s="12">
        <f t="shared" ca="1" si="20"/>
        <v>4</v>
      </c>
      <c r="U31" s="16">
        <f t="shared" ca="1" si="21"/>
        <v>45050</v>
      </c>
      <c r="X31" s="12" t="s">
        <v>106</v>
      </c>
      <c r="Y31" s="14">
        <f t="shared" si="22"/>
        <v>45050</v>
      </c>
      <c r="Z31" s="12" t="str">
        <f t="shared" ca="1" si="23"/>
        <v/>
      </c>
      <c r="AA31" s="12" t="str">
        <f t="shared" si="24"/>
        <v/>
      </c>
      <c r="AB31" s="15" t="str">
        <f t="shared" si="25"/>
        <v/>
      </c>
      <c r="AC31" s="15" t="str">
        <f t="shared" si="17"/>
        <v>Week 1</v>
      </c>
      <c r="AD31" s="15"/>
      <c r="AE31" s="15">
        <f t="shared" si="26"/>
        <v>1</v>
      </c>
      <c r="AF31" s="15" t="str">
        <f t="shared" si="27"/>
        <v>Thursday</v>
      </c>
      <c r="AG31" s="16">
        <f t="shared" si="28"/>
        <v>45050</v>
      </c>
      <c r="AH31" s="12" t="b">
        <f t="shared" si="29"/>
        <v>0</v>
      </c>
      <c r="AJ31" s="12" t="str">
        <f ca="1">IFERROR(MATCH($B$114,OFFSET(#REF!,AJ30,0,1000000),0)+AJ30,"")</f>
        <v/>
      </c>
      <c r="AK31" s="17" t="str">
        <f ca="1">IFERROR(_xlfn.SINGLE(INDEX(#REF!,'Monthly Report'!AJ31)),"")</f>
        <v/>
      </c>
      <c r="AL31" s="12" t="str">
        <f ca="1">IFERROR(_xlfn.SINGLE(INDEX(#REF!,'Monthly Report'!AJ31)),"")</f>
        <v/>
      </c>
      <c r="AN31" s="12" t="str">
        <f ca="1">IFERROR(MATCH($G$115,OFFSET(#REF!,AN30,0,1000000),0)+AN30,"")</f>
        <v/>
      </c>
      <c r="AO31" s="17" t="str">
        <f ca="1">IFERROR(_xlfn.SINGLE(INDEX(#REF!,'Monthly Report'!AN31)),"")</f>
        <v/>
      </c>
      <c r="AP31" s="12" t="str">
        <f ca="1">IFERROR(_xlfn.SINGLE(INDEX(#REF!,'Monthly Report'!AN31)),"")</f>
        <v/>
      </c>
      <c r="BM31" s="105"/>
      <c r="BN31" s="23"/>
      <c r="BO31" s="23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3"/>
      <c r="CA31" s="85"/>
      <c r="CF31" s="6" t="s">
        <v>183</v>
      </c>
      <c r="CG31" s="6">
        <f>SUMIFS(Table_Assembly[Specific Amount],Table_Assembly[NG Type],$CF$14,Table_Assembly[Product type],$BP$43,Table_Assembly[NG content],CF31,Table_Assembly[MFG Date],"&gt;="&amp;$R$28,Table_Assembly[MFG Date],"&lt;="&amp;$R$29)</f>
        <v>0</v>
      </c>
      <c r="CH31" s="6">
        <f>SUMIFS(Table_Assembly[Specific Amount],Table_Assembly[NG Type],$CF$14,Table_Assembly[Product type],$BP$43,Table_Assembly[NG content],CF31,Table_Assembly[MFG Date],"&gt;="&amp;$R$36,Table_Assembly[MFG Date],"&lt;="&amp;$R$37)</f>
        <v>1</v>
      </c>
      <c r="CI31" s="6">
        <f>SUMIFS(Table_Assembly[Specific Amount],Table_Assembly[NG Type],$CF$14,Table_Assembly[Product type],$BP$43,Table_Assembly[NG content],CF31,Table_Assembly[MFG Date],"&gt;="&amp;$R$44,Table_Assembly[MFG Date],"&lt;="&amp;$R$45)</f>
        <v>0</v>
      </c>
      <c r="CJ31" s="6">
        <f>SUMIFS(Table_Assembly[Specific Amount],Table_Assembly[NG Type],$CF$14,Table_Assembly[Product type],$BP$43,Table_Assembly[NG content],CF31,Table_Assembly[MFG Date],"&gt;="&amp;$R$52,Table_Assembly[MFG Date],"&lt;="&amp;$R$53)</f>
        <v>0</v>
      </c>
      <c r="CK31" s="6">
        <f>SUMIFS(Table_Assembly[Specific Amount],Table_Assembly[NG Type],$CF$14,Table_Assembly[Product type],$BP$43,Table_Assembly[NG content],CF31,Table_Assembly[MFG Date],"&gt;="&amp;$R$60,Table_Assembly[MFG Date],"&lt;="&amp;$R$61)</f>
        <v>0</v>
      </c>
      <c r="CL31" s="6">
        <f>SUMIFS(Table_Assembly[Specific Amount],Table_Assembly[NG Type],$CF$14,Table_Assembly[Product type],$BP$43,Table_Assembly[NG content],CF31,Table_Assembly[MFG Date],"&gt;="&amp;$R$68,Table_Assembly[MFG Date],"&lt;="&amp;$R$69)</f>
        <v>0</v>
      </c>
    </row>
    <row r="32" spans="1:90">
      <c r="A32" s="122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3"/>
      <c r="O32" s="119"/>
      <c r="P32" s="12" t="b">
        <f t="shared" ca="1" si="18"/>
        <v>1</v>
      </c>
      <c r="Q32" s="12" t="e">
        <f t="shared" ca="1" si="19"/>
        <v>#N/A</v>
      </c>
      <c r="R32" s="14"/>
      <c r="S32" s="12">
        <f t="shared" ca="1" si="20"/>
        <v>5</v>
      </c>
      <c r="U32" s="16">
        <f t="shared" ca="1" si="21"/>
        <v>45051</v>
      </c>
      <c r="X32" s="12" t="str">
        <f>IF($W$29&gt;=5,"Week 5","")</f>
        <v>Week 5</v>
      </c>
      <c r="Y32" s="14">
        <f t="shared" si="22"/>
        <v>45051</v>
      </c>
      <c r="Z32" s="12" t="str">
        <f t="shared" ca="1" si="23"/>
        <v/>
      </c>
      <c r="AA32" s="12" t="str">
        <f t="shared" si="24"/>
        <v/>
      </c>
      <c r="AB32" s="15" t="str">
        <f t="shared" si="25"/>
        <v/>
      </c>
      <c r="AC32" s="15" t="str">
        <f t="shared" si="17"/>
        <v>Week 1</v>
      </c>
      <c r="AD32" s="15"/>
      <c r="AE32" s="15">
        <f t="shared" si="26"/>
        <v>1</v>
      </c>
      <c r="AF32" s="15" t="str">
        <f t="shared" si="27"/>
        <v>Friday</v>
      </c>
      <c r="AG32" s="16">
        <f t="shared" si="28"/>
        <v>45051</v>
      </c>
      <c r="AH32" s="12" t="b">
        <f t="shared" si="29"/>
        <v>0</v>
      </c>
      <c r="AJ32" s="12" t="str">
        <f ca="1">IFERROR(MATCH($B$114,OFFSET(#REF!,AJ31,0,1000000),0)+AJ31,"")</f>
        <v/>
      </c>
      <c r="AK32" s="17" t="str">
        <f ca="1">IFERROR(_xlfn.SINGLE(INDEX(#REF!,'Monthly Report'!AJ32)),"")</f>
        <v/>
      </c>
      <c r="AL32" s="12" t="str">
        <f ca="1">IFERROR(_xlfn.SINGLE(INDEX(#REF!,'Monthly Report'!AJ32)),"")</f>
        <v/>
      </c>
      <c r="AN32" s="12" t="str">
        <f ca="1">IFERROR(MATCH($G$115,OFFSET(#REF!,AN31,0,1000000),0)+AN31,"")</f>
        <v/>
      </c>
      <c r="AO32" s="17" t="str">
        <f ca="1">IFERROR(_xlfn.SINGLE(INDEX(#REF!,'Monthly Report'!AN32)),"")</f>
        <v/>
      </c>
      <c r="AP32" s="12" t="str">
        <f ca="1">IFERROR(_xlfn.SINGLE(INDEX(#REF!,'Monthly Report'!AN32)),"")</f>
        <v/>
      </c>
      <c r="BM32" s="105"/>
      <c r="BN32" s="23"/>
      <c r="BO32" s="23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3"/>
      <c r="CA32" s="85"/>
      <c r="CF32" s="6" t="s">
        <v>234</v>
      </c>
      <c r="CG32" s="6">
        <f>SUMIFS(Table_Assembly[Specific Amount],Table_Assembly[NG Type],$CF$14,Table_Assembly[Product type],$BP$43,Table_Assembly[NG content],CF32,Table_Assembly[MFG Date],"&gt;="&amp;$R$28,Table_Assembly[MFG Date],"&lt;="&amp;$R$29)</f>
        <v>0</v>
      </c>
      <c r="CH32" s="6">
        <f>SUMIFS(Table_Assembly[Specific Amount],Table_Assembly[NG Type],$CF$14,Table_Assembly[Product type],$BP$43,Table_Assembly[NG content],CF32,Table_Assembly[MFG Date],"&gt;="&amp;$R$36,Table_Assembly[MFG Date],"&lt;="&amp;$R$37)</f>
        <v>0</v>
      </c>
      <c r="CI32" s="6">
        <f>SUMIFS(Table_Assembly[Specific Amount],Table_Assembly[NG Type],$CF$14,Table_Assembly[Product type],$BP$43,Table_Assembly[NG content],CF32,Table_Assembly[MFG Date],"&gt;="&amp;$R$44,Table_Assembly[MFG Date],"&lt;="&amp;$R$45)</f>
        <v>0</v>
      </c>
      <c r="CJ32" s="6">
        <f>SUMIFS(Table_Assembly[Specific Amount],Table_Assembly[NG Type],$CF$14,Table_Assembly[Product type],$BP$43,Table_Assembly[NG content],CF32,Table_Assembly[MFG Date],"&gt;="&amp;$R$52,Table_Assembly[MFG Date],"&lt;="&amp;$R$53)</f>
        <v>0</v>
      </c>
      <c r="CK32" s="6">
        <f>SUMIFS(Table_Assembly[Specific Amount],Table_Assembly[NG Type],$CF$14,Table_Assembly[Product type],$BP$43,Table_Assembly[NG content],CF32,Table_Assembly[MFG Date],"&gt;="&amp;$R$60,Table_Assembly[MFG Date],"&lt;="&amp;$R$61)</f>
        <v>0</v>
      </c>
      <c r="CL32" s="6">
        <f>SUMIFS(Table_Assembly[Specific Amount],Table_Assembly[NG Type],$CF$14,Table_Assembly[Product type],$BP$43,Table_Assembly[NG content],CF32,Table_Assembly[MFG Date],"&gt;="&amp;$R$68,Table_Assembly[MFG Date],"&lt;="&amp;$R$69)</f>
        <v>0</v>
      </c>
    </row>
    <row r="33" spans="1:90">
      <c r="A33" s="122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3"/>
      <c r="O33" s="119"/>
      <c r="P33" s="12" t="b">
        <f t="shared" ca="1" si="18"/>
        <v>1</v>
      </c>
      <c r="Q33" s="12" t="e">
        <f t="shared" ca="1" si="19"/>
        <v>#N/A</v>
      </c>
      <c r="R33" s="14"/>
      <c r="S33" s="12">
        <f t="shared" ca="1" si="20"/>
        <v>6</v>
      </c>
      <c r="U33" s="16">
        <f t="shared" ca="1" si="21"/>
        <v>45052</v>
      </c>
      <c r="X33" s="12" t="str">
        <f>IF($W$29&gt;=6,"Week 6","")</f>
        <v/>
      </c>
      <c r="Y33" s="14">
        <f t="shared" si="22"/>
        <v>45052</v>
      </c>
      <c r="Z33" s="12" t="str">
        <f t="shared" ca="1" si="23"/>
        <v/>
      </c>
      <c r="AA33" s="12" t="str">
        <f t="shared" si="24"/>
        <v/>
      </c>
      <c r="AB33" s="15" t="str">
        <f t="shared" si="25"/>
        <v/>
      </c>
      <c r="AC33" s="15" t="str">
        <f t="shared" si="17"/>
        <v>Week 1</v>
      </c>
      <c r="AD33" s="15"/>
      <c r="AE33" s="15">
        <f t="shared" si="26"/>
        <v>1</v>
      </c>
      <c r="AF33" s="15" t="str">
        <f t="shared" si="27"/>
        <v>Saturday</v>
      </c>
      <c r="AG33" s="16">
        <f t="shared" si="28"/>
        <v>45052</v>
      </c>
      <c r="AH33" s="12" t="b">
        <f t="shared" si="29"/>
        <v>0</v>
      </c>
      <c r="AJ33" s="12" t="str">
        <f ca="1">IFERROR(MATCH($B$114,OFFSET(#REF!,AJ32,0,1000000),0)+AJ32,"")</f>
        <v/>
      </c>
      <c r="AK33" s="17" t="str">
        <f ca="1">IFERROR(_xlfn.SINGLE(INDEX(#REF!,'Monthly Report'!AJ33)),"")</f>
        <v/>
      </c>
      <c r="AL33" s="12" t="str">
        <f ca="1">IFERROR(_xlfn.SINGLE(INDEX(#REF!,'Monthly Report'!AJ33)),"")</f>
        <v/>
      </c>
      <c r="AN33" s="12" t="str">
        <f ca="1">IFERROR(MATCH($G$115,OFFSET(#REF!,AN32,0,1000000),0)+AN32,"")</f>
        <v/>
      </c>
      <c r="AO33" s="17" t="str">
        <f ca="1">IFERROR(_xlfn.SINGLE(INDEX(#REF!,'Monthly Report'!AN33)),"")</f>
        <v/>
      </c>
      <c r="AP33" s="12" t="str">
        <f ca="1">IFERROR(_xlfn.SINGLE(INDEX(#REF!,'Monthly Report'!AN33)),"")</f>
        <v/>
      </c>
      <c r="BM33" s="105"/>
      <c r="BN33" s="23"/>
      <c r="BO33" s="23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3"/>
      <c r="CA33" s="85"/>
      <c r="CF33" s="6" t="s">
        <v>184</v>
      </c>
      <c r="CG33" s="6">
        <f>SUMIFS(Table_Assembly[Specific Amount],Table_Assembly[NG Type],$CF$14,Table_Assembly[Product type],$BP$43,Table_Assembly[NG content],CF33,Table_Assembly[MFG Date],"&gt;="&amp;$R$28,Table_Assembly[MFG Date],"&lt;="&amp;$R$29)</f>
        <v>0</v>
      </c>
      <c r="CH33" s="6">
        <f>SUMIFS(Table_Assembly[Specific Amount],Table_Assembly[NG Type],$CF$14,Table_Assembly[Product type],$BP$43,Table_Assembly[NG content],CF33,Table_Assembly[MFG Date],"&gt;="&amp;$R$36,Table_Assembly[MFG Date],"&lt;="&amp;$R$37)</f>
        <v>1</v>
      </c>
      <c r="CI33" s="6">
        <f>SUMIFS(Table_Assembly[Specific Amount],Table_Assembly[NG Type],$CF$14,Table_Assembly[Product type],$BP$43,Table_Assembly[NG content],CF33,Table_Assembly[MFG Date],"&gt;="&amp;$R$44,Table_Assembly[MFG Date],"&lt;="&amp;$R$45)</f>
        <v>3</v>
      </c>
      <c r="CJ33" s="6">
        <f>SUMIFS(Table_Assembly[Specific Amount],Table_Assembly[NG Type],$CF$14,Table_Assembly[Product type],$BP$43,Table_Assembly[NG content],CF33,Table_Assembly[MFG Date],"&gt;="&amp;$R$52,Table_Assembly[MFG Date],"&lt;="&amp;$R$53)</f>
        <v>0</v>
      </c>
      <c r="CK33" s="6">
        <f>SUMIFS(Table_Assembly[Specific Amount],Table_Assembly[NG Type],$CF$14,Table_Assembly[Product type],$BP$43,Table_Assembly[NG content],CF33,Table_Assembly[MFG Date],"&gt;="&amp;$R$60,Table_Assembly[MFG Date],"&lt;="&amp;$R$61)</f>
        <v>0</v>
      </c>
      <c r="CL33" s="6">
        <f>SUMIFS(Table_Assembly[Specific Amount],Table_Assembly[NG Type],$CF$14,Table_Assembly[Product type],$BP$43,Table_Assembly[NG content],CF33,Table_Assembly[MFG Date],"&gt;="&amp;$R$68,Table_Assembly[MFG Date],"&lt;="&amp;$R$69)</f>
        <v>0</v>
      </c>
    </row>
    <row r="34" spans="1:90">
      <c r="A34" s="122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3"/>
      <c r="O34" s="119"/>
      <c r="P34" s="12" t="b">
        <f t="shared" ca="1" si="18"/>
        <v>1</v>
      </c>
      <c r="Q34" s="12" t="e">
        <f t="shared" ca="1" si="19"/>
        <v>#N/A</v>
      </c>
      <c r="R34" s="66"/>
      <c r="S34" s="12">
        <f t="shared" ca="1" si="20"/>
        <v>7</v>
      </c>
      <c r="U34" s="16">
        <f t="shared" ca="1" si="21"/>
        <v>45053</v>
      </c>
      <c r="Y34" s="14">
        <f t="shared" si="22"/>
        <v>45053</v>
      </c>
      <c r="Z34" s="12" t="str">
        <f t="shared" ca="1" si="23"/>
        <v/>
      </c>
      <c r="AA34" s="12" t="str">
        <f t="shared" si="24"/>
        <v/>
      </c>
      <c r="AB34" s="15" t="str">
        <f t="shared" si="25"/>
        <v/>
      </c>
      <c r="AC34" s="15" t="str">
        <f t="shared" si="17"/>
        <v>Week 1</v>
      </c>
      <c r="AD34" s="15"/>
      <c r="AE34" s="15">
        <f t="shared" si="26"/>
        <v>1</v>
      </c>
      <c r="AF34" s="15" t="str">
        <f t="shared" si="27"/>
        <v>Sunday</v>
      </c>
      <c r="AG34" s="16">
        <f t="shared" si="28"/>
        <v>45053</v>
      </c>
      <c r="AH34" s="12" t="b">
        <f t="shared" si="29"/>
        <v>0</v>
      </c>
      <c r="AJ34" s="12" t="str">
        <f ca="1">IFERROR(MATCH($B$114,OFFSET(#REF!,AJ33,0,1000000),0)+AJ33,"")</f>
        <v/>
      </c>
      <c r="AK34" s="17" t="str">
        <f ca="1">IFERROR(_xlfn.SINGLE(INDEX(#REF!,'Monthly Report'!AJ34)),"")</f>
        <v/>
      </c>
      <c r="AL34" s="12" t="str">
        <f ca="1">IFERROR(_xlfn.SINGLE(INDEX(#REF!,'Monthly Report'!AJ34)),"")</f>
        <v/>
      </c>
      <c r="AN34" s="12" t="str">
        <f ca="1">IFERROR(MATCH($G$115,OFFSET(#REF!,AN33,0,1000000),0)+AN33,"")</f>
        <v/>
      </c>
      <c r="AO34" s="17" t="str">
        <f ca="1">IFERROR(_xlfn.SINGLE(INDEX(#REF!,'Monthly Report'!AN34)),"")</f>
        <v/>
      </c>
      <c r="AP34" s="12" t="str">
        <f ca="1">IFERROR(_xlfn.SINGLE(INDEX(#REF!,'Monthly Report'!AN34)),"")</f>
        <v/>
      </c>
      <c r="BM34" s="105"/>
      <c r="BN34" s="23"/>
      <c r="BO34" s="23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3"/>
      <c r="CA34" s="85"/>
      <c r="CF34" s="6" t="s">
        <v>322</v>
      </c>
      <c r="CG34" s="6">
        <f>SUMIFS(Table_Assembly[Specific Amount],Table_Assembly[NG Type],$CF$14,Table_Assembly[Product type],$BP$43,Table_Assembly[NG content],CF34,Table_Assembly[MFG Date],"&gt;="&amp;$R$28,Table_Assembly[MFG Date],"&lt;="&amp;$R$29)</f>
        <v>1</v>
      </c>
      <c r="CH34" s="6">
        <f>SUMIFS(Table_Assembly[Specific Amount],Table_Assembly[NG Type],$CF$14,Table_Assembly[Product type],$BP$43,Table_Assembly[NG content],CF34,Table_Assembly[MFG Date],"&gt;="&amp;$R$36,Table_Assembly[MFG Date],"&lt;="&amp;$R$37)</f>
        <v>4</v>
      </c>
      <c r="CI34" s="6">
        <f>SUMIFS(Table_Assembly[Specific Amount],Table_Assembly[NG Type],$CF$14,Table_Assembly[Product type],$BP$43,Table_Assembly[NG content],CF34,Table_Assembly[MFG Date],"&gt;="&amp;$R$44,Table_Assembly[MFG Date],"&lt;="&amp;$R$45)</f>
        <v>11</v>
      </c>
      <c r="CJ34" s="6">
        <f>SUMIFS(Table_Assembly[Specific Amount],Table_Assembly[NG Type],$CF$14,Table_Assembly[Product type],$BP$43,Table_Assembly[NG content],CF34,Table_Assembly[MFG Date],"&gt;="&amp;$R$52,Table_Assembly[MFG Date],"&lt;="&amp;$R$53)</f>
        <v>10</v>
      </c>
      <c r="CK34" s="6">
        <f>SUMIFS(Table_Assembly[Specific Amount],Table_Assembly[NG Type],$CF$14,Table_Assembly[Product type],$BP$43,Table_Assembly[NG content],CF34,Table_Assembly[MFG Date],"&gt;="&amp;$R$60,Table_Assembly[MFG Date],"&lt;="&amp;$R$61)</f>
        <v>0</v>
      </c>
      <c r="CL34" s="6">
        <f>SUMIFS(Table_Assembly[Specific Amount],Table_Assembly[NG Type],$CF$14,Table_Assembly[Product type],$BP$43,Table_Assembly[NG content],CF34,Table_Assembly[MFG Date],"&gt;="&amp;$R$68,Table_Assembly[MFG Date],"&lt;="&amp;$R$69)</f>
        <v>0</v>
      </c>
    </row>
    <row r="35" spans="1:90">
      <c r="A35" s="122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3"/>
      <c r="O35" s="119"/>
      <c r="R35" s="14" t="e">
        <f ca="1">LOOKUP(T28,1/(1-ISBLANK(U28:U34)),U28:U34)</f>
        <v>#N/A</v>
      </c>
      <c r="Y35" s="14">
        <f t="shared" si="22"/>
        <v>45054</v>
      </c>
      <c r="Z35" s="12" t="str">
        <f t="shared" ca="1" si="23"/>
        <v>Week 2</v>
      </c>
      <c r="AA35" s="12">
        <f t="shared" si="24"/>
        <v>2</v>
      </c>
      <c r="AB35" s="15" t="str">
        <f t="shared" si="25"/>
        <v>Week 2</v>
      </c>
      <c r="AC35" s="15" t="str">
        <f t="shared" si="17"/>
        <v>Week 2</v>
      </c>
      <c r="AD35" s="15"/>
      <c r="AE35" s="15">
        <f t="shared" si="26"/>
        <v>2</v>
      </c>
      <c r="AF35" s="15" t="str">
        <f t="shared" si="27"/>
        <v>Monday</v>
      </c>
      <c r="AG35" s="16">
        <f t="shared" si="28"/>
        <v>45054</v>
      </c>
      <c r="AH35" s="12" t="b">
        <f t="shared" si="29"/>
        <v>0</v>
      </c>
      <c r="AJ35" s="12" t="str">
        <f ca="1">IFERROR(MATCH($B$114,OFFSET(#REF!,AJ34,0,1000000),0)+AJ34,"")</f>
        <v/>
      </c>
      <c r="AK35" s="17" t="str">
        <f ca="1">IFERROR(_xlfn.SINGLE(INDEX(#REF!,'Monthly Report'!AJ35)),"")</f>
        <v/>
      </c>
      <c r="AL35" s="12" t="str">
        <f ca="1">IFERROR(_xlfn.SINGLE(INDEX(#REF!,'Monthly Report'!AJ35)),"")</f>
        <v/>
      </c>
      <c r="AN35" s="12" t="str">
        <f ca="1">IFERROR(MATCH($G$115,OFFSET(#REF!,AN34,0,1000000),0)+AN34,"")</f>
        <v/>
      </c>
      <c r="AO35" s="17" t="str">
        <f ca="1">IFERROR(_xlfn.SINGLE(INDEX(#REF!,'Monthly Report'!AN35)),"")</f>
        <v/>
      </c>
      <c r="AP35" s="12" t="str">
        <f ca="1">IFERROR(_xlfn.SINGLE(INDEX(#REF!,'Monthly Report'!AN35)),"")</f>
        <v/>
      </c>
      <c r="BM35" s="105"/>
      <c r="BN35" s="23"/>
      <c r="BO35" s="23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3"/>
      <c r="CA35" s="85"/>
      <c r="CF35" s="6" t="s">
        <v>185</v>
      </c>
      <c r="CG35" s="6">
        <f>SUMIFS(Table_Assembly[Specific Amount],Table_Assembly[NG Type],$CF$14,Table_Assembly[Product type],$BP$43,Table_Assembly[NG content],CF35,Table_Assembly[MFG Date],"&gt;="&amp;$R$28,Table_Assembly[MFG Date],"&lt;="&amp;$R$29)</f>
        <v>0</v>
      </c>
      <c r="CH35" s="6">
        <f>SUMIFS(Table_Assembly[Specific Amount],Table_Assembly[NG Type],$CF$14,Table_Assembly[Product type],$BP$43,Table_Assembly[NG content],CF35,Table_Assembly[MFG Date],"&gt;="&amp;$R$36,Table_Assembly[MFG Date],"&lt;="&amp;$R$37)</f>
        <v>0</v>
      </c>
      <c r="CI35" s="6">
        <f>SUMIFS(Table_Assembly[Specific Amount],Table_Assembly[NG Type],$CF$14,Table_Assembly[Product type],$BP$43,Table_Assembly[NG content],CF35,Table_Assembly[MFG Date],"&gt;="&amp;$R$44,Table_Assembly[MFG Date],"&lt;="&amp;$R$45)</f>
        <v>0</v>
      </c>
      <c r="CJ35" s="6">
        <f>SUMIFS(Table_Assembly[Specific Amount],Table_Assembly[NG Type],$CF$14,Table_Assembly[Product type],$BP$43,Table_Assembly[NG content],CF35,Table_Assembly[MFG Date],"&gt;="&amp;$R$52,Table_Assembly[MFG Date],"&lt;="&amp;$R$53)</f>
        <v>0</v>
      </c>
      <c r="CK35" s="6">
        <f>SUMIFS(Table_Assembly[Specific Amount],Table_Assembly[NG Type],$CF$14,Table_Assembly[Product type],$BP$43,Table_Assembly[NG content],CF35,Table_Assembly[MFG Date],"&gt;="&amp;$R$60,Table_Assembly[MFG Date],"&lt;="&amp;$R$61)</f>
        <v>0</v>
      </c>
      <c r="CL35" s="6">
        <f>SUMIFS(Table_Assembly[Specific Amount],Table_Assembly[NG Type],$CF$14,Table_Assembly[Product type],$BP$43,Table_Assembly[NG content],CF35,Table_Assembly[MFG Date],"&gt;="&amp;$R$68,Table_Assembly[MFG Date],"&lt;="&amp;$R$69)</f>
        <v>0</v>
      </c>
    </row>
    <row r="36" spans="1:90">
      <c r="A36" s="122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3"/>
      <c r="O36" s="119"/>
      <c r="R36" s="14">
        <f>IFERROR(INDEX($AG$28:$AG$58,MATCH(T36,$AB$28:$AB$58,0)),"")</f>
        <v>45054</v>
      </c>
      <c r="S36" s="12">
        <f ca="1">IFERROR(MATCH($T$36,OFFSET($AC$28:$AC$58,S35,0,1000000),0)+S35,"")</f>
        <v>8</v>
      </c>
      <c r="T36" s="12" t="s">
        <v>104</v>
      </c>
      <c r="U36" s="16">
        <f ca="1">IFERROR(INDEX($AG$28:$AG$58,S36),"")</f>
        <v>45054</v>
      </c>
      <c r="Y36" s="14">
        <f t="shared" si="22"/>
        <v>45055</v>
      </c>
      <c r="Z36" s="12" t="str">
        <f t="shared" ca="1" si="23"/>
        <v/>
      </c>
      <c r="AA36" s="12" t="str">
        <f t="shared" si="24"/>
        <v/>
      </c>
      <c r="AB36" s="15" t="str">
        <f t="shared" si="25"/>
        <v/>
      </c>
      <c r="AC36" s="15" t="str">
        <f t="shared" si="17"/>
        <v>Week 2</v>
      </c>
      <c r="AD36" s="15"/>
      <c r="AE36" s="15">
        <f t="shared" si="26"/>
        <v>2</v>
      </c>
      <c r="AF36" s="15" t="str">
        <f t="shared" si="27"/>
        <v>Tuesday</v>
      </c>
      <c r="AG36" s="16">
        <f t="shared" si="28"/>
        <v>45055</v>
      </c>
      <c r="AH36" s="12" t="b">
        <f t="shared" si="29"/>
        <v>0</v>
      </c>
      <c r="AJ36" s="12" t="str">
        <f ca="1">IFERROR(MATCH($B$114,OFFSET(#REF!,AJ35,0,1000000),0)+AJ35,"")</f>
        <v/>
      </c>
      <c r="AK36" s="17" t="str">
        <f ca="1">IFERROR(_xlfn.SINGLE(INDEX(#REF!,'Monthly Report'!AJ36)),"")</f>
        <v/>
      </c>
      <c r="AL36" s="12" t="str">
        <f ca="1">IFERROR(_xlfn.SINGLE(INDEX(#REF!,'Monthly Report'!AJ36)),"")</f>
        <v/>
      </c>
      <c r="AN36" s="12" t="str">
        <f ca="1">IFERROR(MATCH($G$115,OFFSET(#REF!,AN35,0,1000000),0)+AN35,"")</f>
        <v/>
      </c>
      <c r="AO36" s="17" t="str">
        <f ca="1">IFERROR(_xlfn.SINGLE(INDEX(#REF!,'Monthly Report'!AN36)),"")</f>
        <v/>
      </c>
      <c r="AP36" s="12" t="str">
        <f ca="1">IFERROR(_xlfn.SINGLE(INDEX(#REF!,'Monthly Report'!AN36)),"")</f>
        <v/>
      </c>
      <c r="BM36" s="105"/>
      <c r="BN36" s="23"/>
      <c r="BO36" s="23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3"/>
      <c r="CA36" s="85"/>
      <c r="CF36" s="6" t="s">
        <v>236</v>
      </c>
      <c r="CG36" s="6">
        <f>SUMIFS(Table_Assembly[Specific Amount],Table_Assembly[NG Type],$CF$14,Table_Assembly[Product type],$BP$43,Table_Assembly[NG content],CF36,Table_Assembly[MFG Date],"&gt;="&amp;$R$28,Table_Assembly[MFG Date],"&lt;="&amp;$R$29)</f>
        <v>0</v>
      </c>
      <c r="CH36" s="6">
        <f>SUMIFS(Table_Assembly[Specific Amount],Table_Assembly[NG Type],$CF$14,Table_Assembly[Product type],$BP$43,Table_Assembly[NG content],CF36,Table_Assembly[MFG Date],"&gt;="&amp;$R$36,Table_Assembly[MFG Date],"&lt;="&amp;$R$37)</f>
        <v>0</v>
      </c>
      <c r="CI36" s="6">
        <f>SUMIFS(Table_Assembly[Specific Amount],Table_Assembly[NG Type],$CF$14,Table_Assembly[Product type],$BP$43,Table_Assembly[NG content],CF36,Table_Assembly[MFG Date],"&gt;="&amp;$R$44,Table_Assembly[MFG Date],"&lt;="&amp;$R$45)</f>
        <v>2</v>
      </c>
      <c r="CJ36" s="6">
        <f>SUMIFS(Table_Assembly[Specific Amount],Table_Assembly[NG Type],$CF$14,Table_Assembly[Product type],$BP$43,Table_Assembly[NG content],CF36,Table_Assembly[MFG Date],"&gt;="&amp;$R$52,Table_Assembly[MFG Date],"&lt;="&amp;$R$53)</f>
        <v>0</v>
      </c>
      <c r="CK36" s="6">
        <f>SUMIFS(Table_Assembly[Specific Amount],Table_Assembly[NG Type],$CF$14,Table_Assembly[Product type],$BP$43,Table_Assembly[NG content],CF36,Table_Assembly[MFG Date],"&gt;="&amp;$R$60,Table_Assembly[MFG Date],"&lt;="&amp;$R$61)</f>
        <v>6</v>
      </c>
      <c r="CL36" s="6">
        <f>SUMIFS(Table_Assembly[Specific Amount],Table_Assembly[NG Type],$CF$14,Table_Assembly[Product type],$BP$43,Table_Assembly[NG content],CF36,Table_Assembly[MFG Date],"&gt;="&amp;$R$68,Table_Assembly[MFG Date],"&lt;="&amp;$R$69)</f>
        <v>0</v>
      </c>
    </row>
    <row r="37" spans="1:90">
      <c r="A37" s="122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3"/>
      <c r="O37" s="119"/>
      <c r="R37" s="14">
        <f>IFERROR(INDEX($AG$28:$AG$58-1,MATCH(RIGHT(T36,2)*1+1,$AE$28:$AE$58,0)),$AB$7)</f>
        <v>45060</v>
      </c>
      <c r="S37" s="12">
        <f t="shared" ref="S37:S42" ca="1" si="30">IFERROR(MATCH($T$36,OFFSET($AC$28:$AC$58,S36,0,1000000),0)+S36,"")</f>
        <v>9</v>
      </c>
      <c r="U37" s="16">
        <f t="shared" ref="U37:U42" ca="1" si="31">IFERROR(INDEX($AG$28:$AG$58,S37),"")</f>
        <v>45055</v>
      </c>
      <c r="Y37" s="14">
        <f t="shared" si="22"/>
        <v>45056</v>
      </c>
      <c r="Z37" s="12" t="str">
        <f t="shared" ca="1" si="23"/>
        <v/>
      </c>
      <c r="AA37" s="12" t="str">
        <f t="shared" si="24"/>
        <v/>
      </c>
      <c r="AB37" s="15" t="str">
        <f t="shared" si="25"/>
        <v/>
      </c>
      <c r="AC37" s="15" t="str">
        <f t="shared" si="17"/>
        <v>Week 2</v>
      </c>
      <c r="AD37" s="15"/>
      <c r="AE37" s="15">
        <f t="shared" si="26"/>
        <v>2</v>
      </c>
      <c r="AF37" s="15" t="str">
        <f t="shared" si="27"/>
        <v>Wednesday</v>
      </c>
      <c r="AG37" s="16">
        <f t="shared" si="28"/>
        <v>45056</v>
      </c>
      <c r="AH37" s="12" t="b">
        <f t="shared" si="29"/>
        <v>0</v>
      </c>
      <c r="AJ37" s="12" t="str">
        <f ca="1">IFERROR(MATCH($B$114,OFFSET(#REF!,AJ36,0,1000000),0)+AJ36,"")</f>
        <v/>
      </c>
      <c r="AK37" s="17" t="str">
        <f ca="1">IFERROR(_xlfn.SINGLE(INDEX(#REF!,'Monthly Report'!AJ37)),"")</f>
        <v/>
      </c>
      <c r="AL37" s="12" t="str">
        <f ca="1">IFERROR(_xlfn.SINGLE(INDEX(#REF!,'Monthly Report'!AJ37)),"")</f>
        <v/>
      </c>
      <c r="AN37" s="12" t="str">
        <f ca="1">IFERROR(MATCH($G$115,OFFSET(#REF!,AN36,0,1000000),0)+AN36,"")</f>
        <v/>
      </c>
      <c r="AO37" s="17" t="str">
        <f ca="1">IFERROR(_xlfn.SINGLE(INDEX(#REF!,'Monthly Report'!AN37)),"")</f>
        <v/>
      </c>
      <c r="AP37" s="12" t="str">
        <f ca="1">IFERROR(_xlfn.SINGLE(INDEX(#REF!,'Monthly Report'!AN37)),"")</f>
        <v/>
      </c>
      <c r="BM37" s="105"/>
      <c r="BN37" s="23"/>
      <c r="BO37" s="23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3"/>
      <c r="CA37" s="85"/>
      <c r="CF37" s="6" t="s">
        <v>168</v>
      </c>
      <c r="CG37" s="6">
        <f>SUMIFS(Table_Assembly[Specific Amount],Table_Assembly[NG Type],$CF$14,Table_Assembly[Product type],$BP$43,Table_Assembly[NG content],CF37,Table_Assembly[MFG Date],"&gt;="&amp;$R$28,Table_Assembly[MFG Date],"&lt;="&amp;$R$29)</f>
        <v>0</v>
      </c>
      <c r="CH37" s="6">
        <f>SUMIFS(Table_Assembly[Specific Amount],Table_Assembly[NG Type],$CF$14,Table_Assembly[Product type],$BP$43,Table_Assembly[NG content],CF37,Table_Assembly[MFG Date],"&gt;="&amp;$R$36,Table_Assembly[MFG Date],"&lt;="&amp;$R$37)</f>
        <v>1</v>
      </c>
      <c r="CI37" s="6">
        <f>SUMIFS(Table_Assembly[Specific Amount],Table_Assembly[NG Type],$CF$14,Table_Assembly[Product type],$BP$43,Table_Assembly[NG content],CF37,Table_Assembly[MFG Date],"&gt;="&amp;$R$44,Table_Assembly[MFG Date],"&lt;="&amp;$R$45)</f>
        <v>0</v>
      </c>
      <c r="CJ37" s="6">
        <f>SUMIFS(Table_Assembly[Specific Amount],Table_Assembly[NG Type],$CF$14,Table_Assembly[Product type],$BP$43,Table_Assembly[NG content],CF37,Table_Assembly[MFG Date],"&gt;="&amp;$R$52,Table_Assembly[MFG Date],"&lt;="&amp;$R$53)</f>
        <v>0</v>
      </c>
      <c r="CK37" s="6">
        <f>SUMIFS(Table_Assembly[Specific Amount],Table_Assembly[NG Type],$CF$14,Table_Assembly[Product type],$BP$43,Table_Assembly[NG content],CF37,Table_Assembly[MFG Date],"&gt;="&amp;$R$60,Table_Assembly[MFG Date],"&lt;="&amp;$R$61)</f>
        <v>0</v>
      </c>
      <c r="CL37" s="6">
        <f>SUMIFS(Table_Assembly[Specific Amount],Table_Assembly[NG Type],$CF$14,Table_Assembly[Product type],$BP$43,Table_Assembly[NG content],CF37,Table_Assembly[MFG Date],"&gt;="&amp;$R$68,Table_Assembly[MFG Date],"&lt;="&amp;$R$69)</f>
        <v>0</v>
      </c>
    </row>
    <row r="38" spans="1:90">
      <c r="A38" s="122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3"/>
      <c r="O38" s="119"/>
      <c r="R38" s="14"/>
      <c r="S38" s="12">
        <f t="shared" ca="1" si="30"/>
        <v>10</v>
      </c>
      <c r="U38" s="16">
        <f t="shared" ca="1" si="31"/>
        <v>45056</v>
      </c>
      <c r="Y38" s="14">
        <f t="shared" si="22"/>
        <v>45057</v>
      </c>
      <c r="Z38" s="12" t="str">
        <f t="shared" ca="1" si="23"/>
        <v/>
      </c>
      <c r="AA38" s="12" t="str">
        <f t="shared" si="24"/>
        <v/>
      </c>
      <c r="AB38" s="15" t="str">
        <f t="shared" si="25"/>
        <v/>
      </c>
      <c r="AC38" s="15" t="str">
        <f t="shared" si="17"/>
        <v>Week 2</v>
      </c>
      <c r="AD38" s="15"/>
      <c r="AE38" s="15">
        <f t="shared" si="26"/>
        <v>2</v>
      </c>
      <c r="AF38" s="15" t="str">
        <f t="shared" si="27"/>
        <v>Thursday</v>
      </c>
      <c r="AG38" s="16">
        <f t="shared" si="28"/>
        <v>45057</v>
      </c>
      <c r="AH38" s="12" t="b">
        <f t="shared" si="29"/>
        <v>0</v>
      </c>
      <c r="AJ38" s="12" t="str">
        <f ca="1">IFERROR(MATCH($B$114,OFFSET(#REF!,AJ37,0,1000000),0)+AJ37,"")</f>
        <v/>
      </c>
      <c r="AK38" s="17" t="str">
        <f ca="1">IFERROR(_xlfn.SINGLE(INDEX(#REF!,'Monthly Report'!AJ38)),"")</f>
        <v/>
      </c>
      <c r="AL38" s="12" t="str">
        <f ca="1">IFERROR(_xlfn.SINGLE(INDEX(#REF!,'Monthly Report'!AJ38)),"")</f>
        <v/>
      </c>
      <c r="AN38" s="12" t="str">
        <f ca="1">IFERROR(MATCH($G$115,OFFSET(#REF!,AN37,0,1000000),0)+AN37,"")</f>
        <v/>
      </c>
      <c r="AO38" s="17" t="str">
        <f ca="1">IFERROR(_xlfn.SINGLE(INDEX(#REF!,'Monthly Report'!AN38)),"")</f>
        <v/>
      </c>
      <c r="AP38" s="12" t="str">
        <f ca="1">IFERROR(_xlfn.SINGLE(INDEX(#REF!,'Monthly Report'!AN38)),"")</f>
        <v/>
      </c>
      <c r="BM38" s="105"/>
      <c r="BN38" s="23"/>
      <c r="BO38" s="23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3"/>
      <c r="CA38" s="85"/>
      <c r="CF38" s="6" t="s">
        <v>237</v>
      </c>
      <c r="CG38" s="6">
        <f>SUMIFS(Table_Assembly[Specific Amount],Table_Assembly[NG Type],$CF$14,Table_Assembly[Product type],$BP$43,Table_Assembly[NG content],CF38,Table_Assembly[MFG Date],"&gt;="&amp;$R$28,Table_Assembly[MFG Date],"&lt;="&amp;$R$29)</f>
        <v>0</v>
      </c>
      <c r="CH38" s="6">
        <f>SUMIFS(Table_Assembly[Specific Amount],Table_Assembly[NG Type],$CF$14,Table_Assembly[Product type],$BP$43,Table_Assembly[NG content],CF38,Table_Assembly[MFG Date],"&gt;="&amp;$R$36,Table_Assembly[MFG Date],"&lt;="&amp;$R$37)</f>
        <v>0</v>
      </c>
      <c r="CI38" s="6">
        <f>SUMIFS(Table_Assembly[Specific Amount],Table_Assembly[NG Type],$CF$14,Table_Assembly[Product type],$BP$43,Table_Assembly[NG content],CF38,Table_Assembly[MFG Date],"&gt;="&amp;$R$44,Table_Assembly[MFG Date],"&lt;="&amp;$R$45)</f>
        <v>0</v>
      </c>
      <c r="CJ38" s="6">
        <f>SUMIFS(Table_Assembly[Specific Amount],Table_Assembly[NG Type],$CF$14,Table_Assembly[Product type],$BP$43,Table_Assembly[NG content],CF38,Table_Assembly[MFG Date],"&gt;="&amp;$R$52,Table_Assembly[MFG Date],"&lt;="&amp;$R$53)</f>
        <v>0</v>
      </c>
      <c r="CK38" s="6">
        <f>SUMIFS(Table_Assembly[Specific Amount],Table_Assembly[NG Type],$CF$14,Table_Assembly[Product type],$BP$43,Table_Assembly[NG content],CF38,Table_Assembly[MFG Date],"&gt;="&amp;$R$60,Table_Assembly[MFG Date],"&lt;="&amp;$R$61)</f>
        <v>0</v>
      </c>
      <c r="CL38" s="6">
        <f>SUMIFS(Table_Assembly[Specific Amount],Table_Assembly[NG Type],$CF$14,Table_Assembly[Product type],$BP$43,Table_Assembly[NG content],CF38,Table_Assembly[MFG Date],"&gt;="&amp;$R$68,Table_Assembly[MFG Date],"&lt;="&amp;$R$69)</f>
        <v>0</v>
      </c>
    </row>
    <row r="39" spans="1:90">
      <c r="A39" s="1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19"/>
      <c r="R39" s="14"/>
      <c r="S39" s="12">
        <f t="shared" ca="1" si="30"/>
        <v>11</v>
      </c>
      <c r="U39" s="16">
        <f t="shared" ca="1" si="31"/>
        <v>45057</v>
      </c>
      <c r="Y39" s="14">
        <f t="shared" si="22"/>
        <v>45058</v>
      </c>
      <c r="Z39" s="12" t="str">
        <f t="shared" ca="1" si="23"/>
        <v/>
      </c>
      <c r="AA39" s="12" t="str">
        <f t="shared" si="24"/>
        <v/>
      </c>
      <c r="AB39" s="15" t="str">
        <f t="shared" si="25"/>
        <v/>
      </c>
      <c r="AC39" s="15" t="str">
        <f t="shared" si="17"/>
        <v>Week 2</v>
      </c>
      <c r="AD39" s="15"/>
      <c r="AE39" s="15">
        <f t="shared" si="26"/>
        <v>2</v>
      </c>
      <c r="AF39" s="15" t="str">
        <f t="shared" si="27"/>
        <v>Friday</v>
      </c>
      <c r="AG39" s="16">
        <f t="shared" si="28"/>
        <v>45058</v>
      </c>
      <c r="AH39" s="12" t="b">
        <f t="shared" si="29"/>
        <v>0</v>
      </c>
      <c r="AJ39" s="12" t="str">
        <f ca="1">IFERROR(MATCH($B$114,OFFSET(#REF!,AJ38,0,1000000),0)+AJ38,"")</f>
        <v/>
      </c>
      <c r="AK39" s="17" t="str">
        <f ca="1">IFERROR(_xlfn.SINGLE(INDEX(#REF!,'Monthly Report'!AJ39)),"")</f>
        <v/>
      </c>
      <c r="AL39" s="12" t="str">
        <f ca="1">IFERROR(_xlfn.SINGLE(INDEX(#REF!,'Monthly Report'!AJ39)),"")</f>
        <v/>
      </c>
      <c r="AN39" s="12" t="str">
        <f ca="1">IFERROR(MATCH($G$115,OFFSET(#REF!,AN38,0,1000000),0)+AN38,"")</f>
        <v/>
      </c>
      <c r="AO39" s="17" t="str">
        <f ca="1">IFERROR(_xlfn.SINGLE(INDEX(#REF!,'Monthly Report'!AN39)),"")</f>
        <v/>
      </c>
      <c r="AP39" s="12" t="str">
        <f ca="1">IFERROR(_xlfn.SINGLE(INDEX(#REF!,'Monthly Report'!AN39)),"")</f>
        <v/>
      </c>
      <c r="BM39" s="105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85"/>
      <c r="CF39" s="6" t="s">
        <v>238</v>
      </c>
      <c r="CG39" s="6">
        <f>SUMIFS(Table_Assembly[Specific Amount],Table_Assembly[NG Type],$CF$14,Table_Assembly[Product type],$BP$43,Table_Assembly[NG content],CF39,Table_Assembly[MFG Date],"&gt;="&amp;$R$28,Table_Assembly[MFG Date],"&lt;="&amp;$R$29)</f>
        <v>0</v>
      </c>
      <c r="CH39" s="6">
        <f>SUMIFS(Table_Assembly[Specific Amount],Table_Assembly[NG Type],$CF$14,Table_Assembly[Product type],$BP$43,Table_Assembly[NG content],CF39,Table_Assembly[MFG Date],"&gt;="&amp;$R$36,Table_Assembly[MFG Date],"&lt;="&amp;$R$37)</f>
        <v>0</v>
      </c>
      <c r="CI39" s="6">
        <f>SUMIFS(Table_Assembly[Specific Amount],Table_Assembly[NG Type],$CF$14,Table_Assembly[Product type],$BP$43,Table_Assembly[NG content],CF39,Table_Assembly[MFG Date],"&gt;="&amp;$R$44,Table_Assembly[MFG Date],"&lt;="&amp;$R$45)</f>
        <v>0</v>
      </c>
      <c r="CJ39" s="6">
        <f>SUMIFS(Table_Assembly[Specific Amount],Table_Assembly[NG Type],$CF$14,Table_Assembly[Product type],$BP$43,Table_Assembly[NG content],CF39,Table_Assembly[MFG Date],"&gt;="&amp;$R$52,Table_Assembly[MFG Date],"&lt;="&amp;$R$53)</f>
        <v>0</v>
      </c>
      <c r="CK39" s="6">
        <f>SUMIFS(Table_Assembly[Specific Amount],Table_Assembly[NG Type],$CF$14,Table_Assembly[Product type],$BP$43,Table_Assembly[NG content],CF39,Table_Assembly[MFG Date],"&gt;="&amp;$R$60,Table_Assembly[MFG Date],"&lt;="&amp;$R$61)</f>
        <v>0</v>
      </c>
      <c r="CL39" s="6">
        <f>SUMIFS(Table_Assembly[Specific Amount],Table_Assembly[NG Type],$CF$14,Table_Assembly[Product type],$BP$43,Table_Assembly[NG content],CF39,Table_Assembly[MFG Date],"&gt;="&amp;$R$68,Table_Assembly[MFG Date],"&lt;="&amp;$R$69)</f>
        <v>0</v>
      </c>
    </row>
    <row r="40" spans="1:90" ht="15.5" thickBot="1">
      <c r="A40" s="1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19"/>
      <c r="R40" s="14"/>
      <c r="S40" s="12">
        <f t="shared" ca="1" si="30"/>
        <v>12</v>
      </c>
      <c r="U40" s="16">
        <f t="shared" ca="1" si="31"/>
        <v>45058</v>
      </c>
      <c r="Y40" s="14">
        <f t="shared" si="22"/>
        <v>45059</v>
      </c>
      <c r="Z40" s="12" t="str">
        <f t="shared" ca="1" si="23"/>
        <v/>
      </c>
      <c r="AA40" s="12" t="str">
        <f t="shared" si="24"/>
        <v/>
      </c>
      <c r="AB40" s="15" t="str">
        <f t="shared" si="25"/>
        <v/>
      </c>
      <c r="AC40" s="15" t="str">
        <f t="shared" si="17"/>
        <v>Week 2</v>
      </c>
      <c r="AD40" s="15"/>
      <c r="AE40" s="15">
        <f t="shared" si="26"/>
        <v>2</v>
      </c>
      <c r="AF40" s="15" t="str">
        <f t="shared" si="27"/>
        <v>Saturday</v>
      </c>
      <c r="AG40" s="16">
        <f t="shared" si="28"/>
        <v>45059</v>
      </c>
      <c r="AH40" s="12" t="b">
        <f t="shared" si="29"/>
        <v>0</v>
      </c>
      <c r="AJ40" s="12" t="str">
        <f ca="1">IFERROR(MATCH($B$114,OFFSET(#REF!,AJ39,0,1000000),0)+AJ39,"")</f>
        <v/>
      </c>
      <c r="AK40" s="17" t="str">
        <f ca="1">IFERROR(_xlfn.SINGLE(INDEX(#REF!,'Monthly Report'!AJ40)),"")</f>
        <v/>
      </c>
      <c r="AL40" s="12" t="str">
        <f ca="1">IFERROR(_xlfn.SINGLE(INDEX(#REF!,'Monthly Report'!AJ40)),"")</f>
        <v/>
      </c>
      <c r="AN40" s="12" t="str">
        <f ca="1">IFERROR(MATCH($G$115,OFFSET(#REF!,AN39,0,1000000),0)+AN39,"")</f>
        <v/>
      </c>
      <c r="AO40" s="17" t="str">
        <f ca="1">IFERROR(_xlfn.SINGLE(INDEX(#REF!,'Monthly Report'!AN40)),"")</f>
        <v/>
      </c>
      <c r="AP40" s="12" t="str">
        <f ca="1">IFERROR(_xlfn.SINGLE(INDEX(#REF!,'Monthly Report'!AN40)),"")</f>
        <v/>
      </c>
      <c r="BM40" s="105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85"/>
      <c r="CF40" s="6" t="s">
        <v>186</v>
      </c>
      <c r="CG40" s="6">
        <f>SUMIFS(Table_Assembly[Specific Amount],Table_Assembly[NG Type],$CF$14,Table_Assembly[Product type],$BP$43,Table_Assembly[NG content],CF40,Table_Assembly[MFG Date],"&gt;="&amp;$R$28,Table_Assembly[MFG Date],"&lt;="&amp;$R$29)</f>
        <v>0</v>
      </c>
      <c r="CH40" s="6">
        <f>SUMIFS(Table_Assembly[Specific Amount],Table_Assembly[NG Type],$CF$14,Table_Assembly[Product type],$BP$43,Table_Assembly[NG content],CF40,Table_Assembly[MFG Date],"&gt;="&amp;$R$36,Table_Assembly[MFG Date],"&lt;="&amp;$R$37)</f>
        <v>0</v>
      </c>
      <c r="CI40" s="6">
        <f>SUMIFS(Table_Assembly[Specific Amount],Table_Assembly[NG Type],$CF$14,Table_Assembly[Product type],$BP$43,Table_Assembly[NG content],CF40,Table_Assembly[MFG Date],"&gt;="&amp;$R$44,Table_Assembly[MFG Date],"&lt;="&amp;$R$45)</f>
        <v>0</v>
      </c>
      <c r="CJ40" s="6">
        <f>SUMIFS(Table_Assembly[Specific Amount],Table_Assembly[NG Type],$CF$14,Table_Assembly[Product type],$BP$43,Table_Assembly[NG content],CF40,Table_Assembly[MFG Date],"&gt;="&amp;$R$52,Table_Assembly[MFG Date],"&lt;="&amp;$R$53)</f>
        <v>0</v>
      </c>
      <c r="CK40" s="6">
        <f>SUMIFS(Table_Assembly[Specific Amount],Table_Assembly[NG Type],$CF$14,Table_Assembly[Product type],$BP$43,Table_Assembly[NG content],CF40,Table_Assembly[MFG Date],"&gt;="&amp;$R$60,Table_Assembly[MFG Date],"&lt;="&amp;$R$61)</f>
        <v>0</v>
      </c>
      <c r="CL40" s="6">
        <f>SUMIFS(Table_Assembly[Specific Amount],Table_Assembly[NG Type],$CF$14,Table_Assembly[Product type],$BP$43,Table_Assembly[NG content],CF40,Table_Assembly[MFG Date],"&gt;="&amp;$R$68,Table_Assembly[MFG Date],"&lt;="&amp;$R$69)</f>
        <v>0</v>
      </c>
    </row>
    <row r="41" spans="1:90" ht="15.5">
      <c r="A41" s="122"/>
      <c r="B41" s="23"/>
      <c r="C41" s="23"/>
      <c r="D41" s="213"/>
      <c r="E41" s="215"/>
      <c r="F41" s="200" t="s">
        <v>111</v>
      </c>
      <c r="G41" s="201"/>
      <c r="H41" s="201"/>
      <c r="I41" s="201"/>
      <c r="J41" s="201"/>
      <c r="K41" s="201"/>
      <c r="L41" s="201"/>
      <c r="M41" s="202"/>
      <c r="N41" s="23"/>
      <c r="O41" s="119"/>
      <c r="R41" s="14"/>
      <c r="S41" s="12">
        <f t="shared" ca="1" si="30"/>
        <v>13</v>
      </c>
      <c r="U41" s="16">
        <f t="shared" ca="1" si="31"/>
        <v>45059</v>
      </c>
      <c r="Y41" s="14">
        <f t="shared" si="22"/>
        <v>45060</v>
      </c>
      <c r="Z41" s="12" t="str">
        <f t="shared" ca="1" si="23"/>
        <v/>
      </c>
      <c r="AA41" s="12" t="str">
        <f t="shared" si="24"/>
        <v/>
      </c>
      <c r="AB41" s="15" t="str">
        <f t="shared" si="25"/>
        <v/>
      </c>
      <c r="AC41" s="15" t="str">
        <f t="shared" si="17"/>
        <v>Week 2</v>
      </c>
      <c r="AD41" s="15"/>
      <c r="AE41" s="15">
        <f t="shared" si="26"/>
        <v>2</v>
      </c>
      <c r="AF41" s="15" t="str">
        <f t="shared" si="27"/>
        <v>Sunday</v>
      </c>
      <c r="AG41" s="16">
        <f t="shared" si="28"/>
        <v>45060</v>
      </c>
      <c r="AH41" s="12" t="b">
        <f t="shared" si="29"/>
        <v>0</v>
      </c>
      <c r="AJ41" s="12" t="str">
        <f ca="1">IFERROR(MATCH($B$114,OFFSET(#REF!,AJ40,0,1000000),0)+AJ40,"")</f>
        <v/>
      </c>
      <c r="AK41" s="17" t="str">
        <f ca="1">IFERROR(_xlfn.SINGLE(INDEX(#REF!,'Monthly Report'!AJ41)),"")</f>
        <v/>
      </c>
      <c r="AL41" s="12" t="str">
        <f ca="1">IFERROR(_xlfn.SINGLE(INDEX(#REF!,'Monthly Report'!AJ41)),"")</f>
        <v/>
      </c>
      <c r="AN41" s="12" t="str">
        <f ca="1">IFERROR(MATCH($G$115,OFFSET(#REF!,AN40,0,1000000),0)+AN40,"")</f>
        <v/>
      </c>
      <c r="AO41" s="17" t="str">
        <f ca="1">IFERROR(_xlfn.SINGLE(INDEX(#REF!,'Monthly Report'!AN41)),"")</f>
        <v/>
      </c>
      <c r="AP41" s="12" t="str">
        <f ca="1">IFERROR(_xlfn.SINGLE(INDEX(#REF!,'Monthly Report'!AN41)),"")</f>
        <v/>
      </c>
      <c r="BM41" s="105"/>
      <c r="BN41" s="23"/>
      <c r="BO41" s="23"/>
      <c r="BP41" s="196"/>
      <c r="BQ41" s="198"/>
      <c r="BR41" s="200" t="s">
        <v>111</v>
      </c>
      <c r="BS41" s="201"/>
      <c r="BT41" s="201"/>
      <c r="BU41" s="201"/>
      <c r="BV41" s="201"/>
      <c r="BW41" s="201"/>
      <c r="BX41" s="201"/>
      <c r="BY41" s="202"/>
      <c r="BZ41" s="23"/>
      <c r="CA41" s="85"/>
      <c r="CF41" s="6" t="s">
        <v>187</v>
      </c>
      <c r="CG41" s="6">
        <f>SUMIFS(Table_Assembly[Specific Amount],Table_Assembly[NG Type],$CF$14,Table_Assembly[Product type],$BP$43,Table_Assembly[NG content],CF41,Table_Assembly[MFG Date],"&gt;="&amp;$R$28,Table_Assembly[MFG Date],"&lt;="&amp;$R$29)</f>
        <v>0</v>
      </c>
      <c r="CH41" s="6">
        <f>SUMIFS(Table_Assembly[Specific Amount],Table_Assembly[NG Type],$CF$14,Table_Assembly[Product type],$BP$43,Table_Assembly[NG content],CF41,Table_Assembly[MFG Date],"&gt;="&amp;$R$36,Table_Assembly[MFG Date],"&lt;="&amp;$R$37)</f>
        <v>0</v>
      </c>
      <c r="CI41" s="6">
        <f>SUMIFS(Table_Assembly[Specific Amount],Table_Assembly[NG Type],$CF$14,Table_Assembly[Product type],$BP$43,Table_Assembly[NG content],CF41,Table_Assembly[MFG Date],"&gt;="&amp;$R$44,Table_Assembly[MFG Date],"&lt;="&amp;$R$45)</f>
        <v>0</v>
      </c>
      <c r="CJ41" s="6">
        <f>SUMIFS(Table_Assembly[Specific Amount],Table_Assembly[NG Type],$CF$14,Table_Assembly[Product type],$BP$43,Table_Assembly[NG content],CF41,Table_Assembly[MFG Date],"&gt;="&amp;$R$52,Table_Assembly[MFG Date],"&lt;="&amp;$R$53)</f>
        <v>0</v>
      </c>
      <c r="CK41" s="6">
        <f>SUMIFS(Table_Assembly[Specific Amount],Table_Assembly[NG Type],$CF$14,Table_Assembly[Product type],$BP$43,Table_Assembly[NG content],CF41,Table_Assembly[MFG Date],"&gt;="&amp;$R$60,Table_Assembly[MFG Date],"&lt;="&amp;$R$61)</f>
        <v>0</v>
      </c>
      <c r="CL41" s="6">
        <f>SUMIFS(Table_Assembly[Specific Amount],Table_Assembly[NG Type],$CF$14,Table_Assembly[Product type],$BP$43,Table_Assembly[NG content],CF41,Table_Assembly[MFG Date],"&gt;="&amp;$R$68,Table_Assembly[MFG Date],"&lt;="&amp;$R$69)</f>
        <v>0</v>
      </c>
    </row>
    <row r="42" spans="1:90" ht="15.5" thickBot="1">
      <c r="A42" s="122"/>
      <c r="B42" s="23"/>
      <c r="C42" s="23"/>
      <c r="D42" s="214"/>
      <c r="E42" s="216"/>
      <c r="F42" s="60" t="str">
        <f>IF(F4="","",F4)</f>
        <v>Week 1</v>
      </c>
      <c r="G42" s="61" t="str">
        <f t="shared" ref="G42:L42" si="32">IF(G4="","",G4)</f>
        <v>Week 2</v>
      </c>
      <c r="H42" s="61" t="str">
        <f t="shared" si="32"/>
        <v>Week 3</v>
      </c>
      <c r="I42" s="61" t="str">
        <f t="shared" si="32"/>
        <v>Week 4</v>
      </c>
      <c r="J42" s="61" t="str">
        <f t="shared" si="32"/>
        <v>Week 5</v>
      </c>
      <c r="K42" s="61" t="str">
        <f t="shared" si="32"/>
        <v/>
      </c>
      <c r="L42" s="62" t="str">
        <f t="shared" si="32"/>
        <v/>
      </c>
      <c r="M42" s="63" t="s">
        <v>62</v>
      </c>
      <c r="N42" s="23"/>
      <c r="O42" s="119"/>
      <c r="R42" s="14"/>
      <c r="S42" s="12">
        <f t="shared" ca="1" si="30"/>
        <v>14</v>
      </c>
      <c r="U42" s="16">
        <f t="shared" ca="1" si="31"/>
        <v>45060</v>
      </c>
      <c r="Y42" s="14">
        <f t="shared" si="22"/>
        <v>45061</v>
      </c>
      <c r="Z42" s="12" t="str">
        <f t="shared" ca="1" si="23"/>
        <v>Week 3</v>
      </c>
      <c r="AA42" s="12">
        <f t="shared" si="24"/>
        <v>3</v>
      </c>
      <c r="AB42" s="15" t="str">
        <f t="shared" si="25"/>
        <v>Week 3</v>
      </c>
      <c r="AC42" s="15" t="str">
        <f t="shared" si="17"/>
        <v>Week 3</v>
      </c>
      <c r="AD42" s="15"/>
      <c r="AE42" s="15">
        <f t="shared" si="26"/>
        <v>3</v>
      </c>
      <c r="AF42" s="15" t="str">
        <f t="shared" si="27"/>
        <v>Monday</v>
      </c>
      <c r="AG42" s="16">
        <f t="shared" si="28"/>
        <v>45061</v>
      </c>
      <c r="AH42" s="12" t="b">
        <f t="shared" si="29"/>
        <v>0</v>
      </c>
      <c r="AJ42" s="12" t="str">
        <f ca="1">IFERROR(MATCH($B$114,OFFSET(#REF!,AJ41,0,1000000),0)+AJ41,"")</f>
        <v/>
      </c>
      <c r="AK42" s="17" t="str">
        <f ca="1">IFERROR(_xlfn.SINGLE(INDEX(#REF!,'Monthly Report'!AJ42)),"")</f>
        <v/>
      </c>
      <c r="AL42" s="12" t="str">
        <f ca="1">IFERROR(_xlfn.SINGLE(INDEX(#REF!,'Monthly Report'!AJ42)),"")</f>
        <v/>
      </c>
      <c r="AN42" s="12" t="str">
        <f ca="1">IFERROR(MATCH($G$115,OFFSET(#REF!,AN41,0,1000000),0)+AN41,"")</f>
        <v/>
      </c>
      <c r="AO42" s="17" t="str">
        <f ca="1">IFERROR(_xlfn.SINGLE(INDEX(#REF!,'Monthly Report'!AN42)),"")</f>
        <v/>
      </c>
      <c r="AP42" s="12" t="str">
        <f ca="1">IFERROR(_xlfn.SINGLE(INDEX(#REF!,'Monthly Report'!AN42)),"")</f>
        <v/>
      </c>
      <c r="BM42" s="105"/>
      <c r="BN42" s="23"/>
      <c r="BO42" s="23"/>
      <c r="BP42" s="197"/>
      <c r="BQ42" s="199"/>
      <c r="BR42" s="60" t="str">
        <f>IF(BR4="","",BR4)</f>
        <v>Week 1</v>
      </c>
      <c r="BS42" s="61" t="str">
        <f t="shared" ref="BS42:BW42" si="33">IF(BS4="","",BS4)</f>
        <v>Week 2</v>
      </c>
      <c r="BT42" s="61" t="str">
        <f t="shared" si="33"/>
        <v>Week 3</v>
      </c>
      <c r="BU42" s="61" t="str">
        <f t="shared" si="33"/>
        <v>Week 4</v>
      </c>
      <c r="BV42" s="61" t="str">
        <f t="shared" si="33"/>
        <v>Week 5</v>
      </c>
      <c r="BW42" s="61" t="str">
        <f t="shared" si="33"/>
        <v/>
      </c>
      <c r="BX42" s="62"/>
      <c r="BY42" s="63" t="s">
        <v>62</v>
      </c>
      <c r="BZ42" s="23"/>
      <c r="CA42" s="85"/>
      <c r="CF42" s="6" t="s">
        <v>188</v>
      </c>
      <c r="CG42" s="6">
        <f>SUMIFS(Table_Assembly[Specific Amount],Table_Assembly[NG Type],$CF$14,Table_Assembly[Product type],$BP$43,Table_Assembly[NG content],CF42,Table_Assembly[MFG Date],"&gt;="&amp;$R$28,Table_Assembly[MFG Date],"&lt;="&amp;$R$29)</f>
        <v>0</v>
      </c>
      <c r="CH42" s="6">
        <f>SUMIFS(Table_Assembly[Specific Amount],Table_Assembly[NG Type],$CF$14,Table_Assembly[Product type],$BP$43,Table_Assembly[NG content],CF42,Table_Assembly[MFG Date],"&gt;="&amp;$R$36,Table_Assembly[MFG Date],"&lt;="&amp;$R$37)</f>
        <v>0</v>
      </c>
      <c r="CI42" s="6">
        <f>SUMIFS(Table_Assembly[Specific Amount],Table_Assembly[NG Type],$CF$14,Table_Assembly[Product type],$BP$43,Table_Assembly[NG content],CF42,Table_Assembly[MFG Date],"&gt;="&amp;$R$44,Table_Assembly[MFG Date],"&lt;="&amp;$R$45)</f>
        <v>0</v>
      </c>
      <c r="CJ42" s="6">
        <f>SUMIFS(Table_Assembly[Specific Amount],Table_Assembly[NG Type],$CF$14,Table_Assembly[Product type],$BP$43,Table_Assembly[NG content],CF42,Table_Assembly[MFG Date],"&gt;="&amp;$R$52,Table_Assembly[MFG Date],"&lt;="&amp;$R$53)</f>
        <v>0</v>
      </c>
      <c r="CK42" s="6">
        <f>SUMIFS(Table_Assembly[Specific Amount],Table_Assembly[NG Type],$CF$14,Table_Assembly[Product type],$BP$43,Table_Assembly[NG content],CF42,Table_Assembly[MFG Date],"&gt;="&amp;$R$60,Table_Assembly[MFG Date],"&lt;="&amp;$R$61)</f>
        <v>0</v>
      </c>
      <c r="CL42" s="6">
        <f>SUMIFS(Table_Assembly[Specific Amount],Table_Assembly[NG Type],$CF$14,Table_Assembly[Product type],$BP$43,Table_Assembly[NG content],CF42,Table_Assembly[MFG Date],"&gt;="&amp;$R$68,Table_Assembly[MFG Date],"&lt;="&amp;$R$69)</f>
        <v>0</v>
      </c>
    </row>
    <row r="43" spans="1:90" ht="15.5" thickTop="1">
      <c r="A43" s="122"/>
      <c r="B43" s="23"/>
      <c r="C43" s="23"/>
      <c r="D43" s="209" t="s">
        <v>63</v>
      </c>
      <c r="E43" s="18" t="s">
        <v>31</v>
      </c>
      <c r="F43" s="50">
        <f t="shared" ref="F43:K43" si="34">IF(F6="","",F6)</f>
        <v>1035</v>
      </c>
      <c r="G43" s="50">
        <f>IF(G6="","",G6)</f>
        <v>80</v>
      </c>
      <c r="H43" s="50">
        <f t="shared" si="34"/>
        <v>112</v>
      </c>
      <c r="I43" s="50">
        <f t="shared" si="34"/>
        <v>44</v>
      </c>
      <c r="J43" s="50">
        <f t="shared" si="34"/>
        <v>31</v>
      </c>
      <c r="K43" s="50" t="str">
        <f t="shared" si="34"/>
        <v/>
      </c>
      <c r="L43" s="51"/>
      <c r="M43" s="52">
        <f t="shared" ref="M43:M48" si="35">SUM(F43:L43)</f>
        <v>1302</v>
      </c>
      <c r="N43" s="23"/>
      <c r="O43" s="119"/>
      <c r="R43" s="14"/>
      <c r="Y43" s="14">
        <f t="shared" si="22"/>
        <v>45062</v>
      </c>
      <c r="Z43" s="12" t="str">
        <f t="shared" ca="1" si="23"/>
        <v/>
      </c>
      <c r="AA43" s="12" t="str">
        <f t="shared" si="24"/>
        <v/>
      </c>
      <c r="AB43" s="15" t="str">
        <f t="shared" si="25"/>
        <v/>
      </c>
      <c r="AC43" s="15" t="str">
        <f t="shared" si="17"/>
        <v>Week 3</v>
      </c>
      <c r="AD43" s="15"/>
      <c r="AE43" s="15">
        <f t="shared" si="26"/>
        <v>3</v>
      </c>
      <c r="AF43" s="15" t="str">
        <f t="shared" si="27"/>
        <v>Tuesday</v>
      </c>
      <c r="AG43" s="16">
        <f t="shared" si="28"/>
        <v>45062</v>
      </c>
      <c r="AH43" s="12" t="b">
        <f t="shared" si="29"/>
        <v>0</v>
      </c>
      <c r="AJ43" s="12" t="str">
        <f ca="1">IFERROR(MATCH($B$114,OFFSET(#REF!,AJ42,0,1000000),0)+AJ42,"")</f>
        <v/>
      </c>
      <c r="AK43" s="17" t="str">
        <f ca="1">IFERROR(_xlfn.SINGLE(INDEX(#REF!,'Monthly Report'!AJ43)),"")</f>
        <v/>
      </c>
      <c r="AL43" s="12" t="str">
        <f ca="1">IFERROR(_xlfn.SINGLE(INDEX(#REF!,'Monthly Report'!AJ43)),"")</f>
        <v/>
      </c>
      <c r="AN43" s="12" t="str">
        <f ca="1">IFERROR(MATCH($G$115,OFFSET(#REF!,AN42,0,1000000),0)+AN42,"")</f>
        <v/>
      </c>
      <c r="AO43" s="17" t="str">
        <f ca="1">IFERROR(_xlfn.SINGLE(INDEX(#REF!,'Monthly Report'!AN43)),"")</f>
        <v/>
      </c>
      <c r="AP43" s="12" t="str">
        <f ca="1">IFERROR(_xlfn.SINGLE(INDEX(#REF!,'Monthly Report'!AN43)),"")</f>
        <v/>
      </c>
      <c r="BM43" s="105"/>
      <c r="BN43" s="23"/>
      <c r="BO43" s="23"/>
      <c r="BP43" s="187" t="s">
        <v>63</v>
      </c>
      <c r="BQ43" s="18" t="s">
        <v>31</v>
      </c>
      <c r="BR43" s="50">
        <f>IF(BR6="","",BR6)</f>
        <v>1016</v>
      </c>
      <c r="BS43" s="50">
        <f t="shared" ref="BS43:BW43" si="36">IF(BS6="","",BS6)</f>
        <v>40</v>
      </c>
      <c r="BT43" s="50">
        <f t="shared" si="36"/>
        <v>79</v>
      </c>
      <c r="BU43" s="50">
        <f t="shared" si="36"/>
        <v>32</v>
      </c>
      <c r="BV43" s="50">
        <f t="shared" si="36"/>
        <v>13</v>
      </c>
      <c r="BW43" s="50" t="str">
        <f t="shared" si="36"/>
        <v/>
      </c>
      <c r="BX43" s="51"/>
      <c r="BY43" s="52">
        <f>SUM(BR43:BX43)</f>
        <v>1180</v>
      </c>
      <c r="BZ43" s="23"/>
      <c r="CA43" s="85"/>
      <c r="CF43" s="6" t="s">
        <v>189</v>
      </c>
      <c r="CG43" s="6">
        <f>SUMIFS(Table_Assembly[Specific Amount],Table_Assembly[NG Type],$CF$14,Table_Assembly[Product type],$BP$43,Table_Assembly[NG content],CF43,Table_Assembly[MFG Date],"&gt;="&amp;$R$28,Table_Assembly[MFG Date],"&lt;="&amp;$R$29)</f>
        <v>0</v>
      </c>
      <c r="CH43" s="6">
        <f>SUMIFS(Table_Assembly[Specific Amount],Table_Assembly[NG Type],$CF$14,Table_Assembly[Product type],$BP$43,Table_Assembly[NG content],CF43,Table_Assembly[MFG Date],"&gt;="&amp;$R$36,Table_Assembly[MFG Date],"&lt;="&amp;$R$37)</f>
        <v>0</v>
      </c>
      <c r="CI43" s="6">
        <f>SUMIFS(Table_Assembly[Specific Amount],Table_Assembly[NG Type],$CF$14,Table_Assembly[Product type],$BP$43,Table_Assembly[NG content],CF43,Table_Assembly[MFG Date],"&gt;="&amp;$R$44,Table_Assembly[MFG Date],"&lt;="&amp;$R$45)</f>
        <v>0</v>
      </c>
      <c r="CJ43" s="6">
        <f>SUMIFS(Table_Assembly[Specific Amount],Table_Assembly[NG Type],$CF$14,Table_Assembly[Product type],$BP$43,Table_Assembly[NG content],CF43,Table_Assembly[MFG Date],"&gt;="&amp;$R$52,Table_Assembly[MFG Date],"&lt;="&amp;$R$53)</f>
        <v>0</v>
      </c>
      <c r="CK43" s="6">
        <f>SUMIFS(Table_Assembly[Specific Amount],Table_Assembly[NG Type],$CF$14,Table_Assembly[Product type],$BP$43,Table_Assembly[NG content],CF43,Table_Assembly[MFG Date],"&gt;="&amp;$R$60,Table_Assembly[MFG Date],"&lt;="&amp;$R$61)</f>
        <v>0</v>
      </c>
      <c r="CL43" s="6">
        <f>SUMIFS(Table_Assembly[Specific Amount],Table_Assembly[NG Type],$CF$14,Table_Assembly[Product type],$BP$43,Table_Assembly[NG content],CF43,Table_Assembly[MFG Date],"&gt;="&amp;$R$68,Table_Assembly[MFG Date],"&lt;="&amp;$R$69)</f>
        <v>0</v>
      </c>
    </row>
    <row r="44" spans="1:90">
      <c r="A44" s="122"/>
      <c r="B44" s="23"/>
      <c r="C44" s="23"/>
      <c r="D44" s="204"/>
      <c r="E44" s="19" t="s">
        <v>102</v>
      </c>
      <c r="F44" s="40">
        <f>IF($F$4="","",
IF($BH$4=TRUE,SUMIFS(Table_Assembly[Total NG from material],Table_Assembly[Product type],$D$5,Table_Assembly[MFG Date],"&gt;="&amp;$R$28,Table_Assembly[MFG Date],"&lt;="&amp;$R$29),
IF(AND($BF$5=TRUE,$BI$5=FALSE),SUMIFS(Table_Assembly[Total NG from material],Table_Assembly[Product type],$D$5,Table_Assembly[MFG Date],"&gt;="&amp;$R$28,Table_Assembly[MFG Date],"&lt;="&amp;$R$29),
IF(AND($BF$5=FALSE,$BI$5=TRUE),SUMIFS(Table_Assembly[Total NG from material],Table_Assembly[Product type],$D$5,Table_Assembly[Customer],$B$5,Table_Assembly[MFG Date],"&gt;="&amp;$R$28,Table_Assembly[MFG Date],"&lt;="&amp;$R$29),
IF(AND($BI$5=FALSE,$BH$5=FALSE),SUMIFS(Table_Assembly[Total NG from material],Table_Assembly[Product type],$D$5,Table_Assembly[Customer],$B$5,Table_Assembly[MFG Date],"&gt;="&amp;$R$28,Table_Assembly[MFG Date],"&lt;="&amp;$R$29),"")))))</f>
        <v>19</v>
      </c>
      <c r="G44" s="40">
        <f>IF($G$4="","",
IF($BH$4=TRUE,SUMIFS(Table_Assembly[Total NG from material],Table_Assembly[Product type],$D$5,Table_Assembly[MFG Date],"&gt;="&amp;$R$36,Table_Assembly[MFG Date],"&lt;="&amp;$R$37),
IF(AND($BF$5=TRUE,$BI$5=FALSE),SUMIFS(Table_Assembly[Total NG from material],Table_Assembly[Product type],$D$5,Table_Assembly[MFG Date],"&gt;="&amp;$R$36,Table_Assembly[MFG Date],"&lt;="&amp;$R$37),
IF(AND($BF$5=FALSE,$BI$5=TRUE),SUMIFS(Table_Assembly[Total NG from material],Table_Assembly[Product type],$D$5,Table_Assembly[Customer],$B$5,Table_Assembly[MFG Date],"&gt;="&amp;$R$36,Table_Assembly[MFG Date],"&lt;="&amp;$R$37),
IF(AND($BI$5=FALSE,$BH$5=FALSE),SUMIFS(Table_Assembly[Total NG from material],Table_Assembly[Product type],$D$5,Table_Assembly[Customer],$B$5,Table_Assembly[MFG Date],"&gt;="&amp;$R$36,Table_Assembly[MFG Date],"&lt;="&amp;$R$37),"")))))</f>
        <v>40</v>
      </c>
      <c r="H44" s="40">
        <f>IF($H$4="","",
IF($BH$4=TRUE,SUMIFS(Table_Assembly[Total NG from material],Table_Assembly[Product type],$D$5,Table_Assembly[MFG Date],"&gt;="&amp;$R$44,Table_Assembly[MFG Date],"&lt;="&amp;$R$45),
IF(AND($BF$5=TRUE,$BI$5=FALSE),SUMIFS(Table_Assembly[Total NG from material],Table_Assembly[Product type],$D$5,Table_Assembly[MFG Date],"&gt;="&amp;$R$44,Table_Assembly[MFG Date],"&lt;="&amp;$R$45),
IF(AND($BF$5=FALSE,$BI$5=TRUE),SUMIFS(Table_Assembly[Total NG from material],Table_Assembly[Product type],$D$5,Table_Assembly[Customer],$B$5,Table_Assembly[MFG Date],"&gt;="&amp;$R$44,Table_Assembly[MFG Date],"&lt;="&amp;$R$45),
IF(AND($BI$5=FALSE,$BH$5=FALSE),SUMIFS(Table_Assembly[Total NG from material],Table_Assembly[Product type],$D$5,Table_Assembly[Customer],$B$5,Table_Assembly[MFG Date],"&gt;="&amp;$R$44,Table_Assembly[MFG Date],"&lt;="&amp;$R$45),"")))))</f>
        <v>33</v>
      </c>
      <c r="I44" s="40">
        <f>IF($I$4="","",
IF($BH$4=TRUE,SUMIFS(Table_Assembly[Total NG from material],Table_Assembly[Product type],$D$5,Table_Assembly[MFG Date],"&gt;="&amp;$R$52,Table_Assembly[MFG Date],"&lt;="&amp;$R$53),
IF(AND($BF$5=TRUE,$BI$5=FALSE),SUMIFS(Table_Assembly[Total NG from material],Table_Assembly[Product type],$D$5,Table_Assembly[MFG Date],"&gt;="&amp;$R$52,Table_Assembly[MFG Date],"&lt;="&amp;$R$53),
IF(AND($BF$5=FALSE,$BI$5=TRUE),SUMIFS(Table_Assembly[Total NG from material],Table_Assembly[Product type],$D$5,Table_Assembly[Customer],$B$5,Table_Assembly[MFG Date],"&gt;="&amp;$R$52,Table_Assembly[MFG Date],"&lt;="&amp;$R$53),
IF(AND($BI$5=FALSE,$BH$5=FALSE),SUMIFS(Table_Assembly[Total NG from material],Table_Assembly[Product type],$D$5,Table_Assembly[Customer],$B$5,Table_Assembly[MFG Date],"&gt;="&amp;$R$52,Table_Assembly[MFG Date],"&lt;="&amp;$R$53),"")))))</f>
        <v>12</v>
      </c>
      <c r="J44" s="40">
        <f>IF($J$4="","",
IF($BH$4=TRUE,SUMIFS(Table_Assembly[Total NG from material],Table_Assembly[Product type],$D$5,Table_Assembly[MFG Date],"&gt;="&amp;$R$60,Table_Assembly[MFG Date],"&lt;="&amp;$R$61),
IF(AND($BF$5=TRUE,$BI$5=FALSE),SUMIFS(Table_Assembly[Total NG from material],Table_Assembly[Product type],$D$5,Table_Assembly[MFG Date],"&gt;="&amp;$R$60,Table_Assembly[MFG Date],"&lt;="&amp;$R$61),
IF(AND($BF$5=FALSE,$BI$5=TRUE),SUMIFS(Table_Assembly[Total NG from material],Table_Assembly[Product type],$D$5,Table_Assembly[Customer],$B$5,Table_Assembly[MFG Date],"&gt;="&amp;$R$60,Table_Assembly[MFG Date],"&lt;="&amp;$R$61),
IF(AND($BI$5=FALSE,$BH$5=FALSE),SUMIFS(Table_Assembly[Total NG from material],Table_Assembly[Product type],$D$5,Table_Assembly[Customer],$B$5,Table_Assembly[MFG Date],"&gt;="&amp;$R$60,Table_Assembly[MFG Date],"&lt;="&amp;$R$61),"")))))</f>
        <v>18</v>
      </c>
      <c r="K44" s="40" t="str">
        <f>IF($K$4="","",
IF($BH$4=TRUE,SUMIFS(Table_Assembly[Total NG from material],Table_Assembly[Product type],$D$5,Table_Assembly[MFG Date],"&gt;="&amp;$R$68,Table_Assembly[MFG Date],"&lt;="&amp;$R$69),
IF(AND($BF$5=TRUE,$BI$5=FALSE),SUMIFS(Table_Assembly[Total NG from material],Table_Assembly[Product type],$D$5,Table_Assembly[MFG Date],"&gt;="&amp;$R$68,Table_Assembly[MFG Date],"&lt;="&amp;$R$69),
IF(AND($BF$5=FALSE,$BI$5=TRUE),SUMIFS(Table_Assembly[Total NG from material],Table_Assembly[Product type],$D$5,Table_Assembly[Customer],$B$5,Table_Assembly[MFG Date],"&gt;="&amp;$R$68,Table_Assembly[MFG Date],"&lt;="&amp;$R$69),
IF(AND($BI$5=FALSE,$BH$5=FALSE),SUMIFS(Table_Assembly[Total NG from material],Table_Assembly[Product type],$D$5,Table_Assembly[Customer],$B$5,Table_Assembly[MFG Date],"&gt;="&amp;$R$68,Table_Assembly[MFG Date],"&lt;="&amp;$R$69),"")))))</f>
        <v/>
      </c>
      <c r="L44" s="41"/>
      <c r="M44" s="42">
        <f t="shared" si="35"/>
        <v>122</v>
      </c>
      <c r="N44" s="23"/>
      <c r="O44" s="119"/>
      <c r="R44" s="14">
        <f>IFERROR(INDEX($AG$28:$AG$58,MATCH(T44,$AB$28:$AB$58,0)),"")</f>
        <v>45061</v>
      </c>
      <c r="S44" s="12">
        <f ca="1">IFERROR(MATCH($T$44,OFFSET($AC$28:$AC$58,S43,0,1000000),0)+S43,"")</f>
        <v>15</v>
      </c>
      <c r="T44" s="12" t="s">
        <v>82</v>
      </c>
      <c r="U44" s="16">
        <f ca="1">IFERROR(INDEX($AG$28:$AG$58,S44),"")</f>
        <v>45061</v>
      </c>
      <c r="Y44" s="14">
        <f t="shared" si="22"/>
        <v>45063</v>
      </c>
      <c r="Z44" s="12" t="str">
        <f t="shared" ca="1" si="23"/>
        <v/>
      </c>
      <c r="AA44" s="12" t="str">
        <f t="shared" si="24"/>
        <v/>
      </c>
      <c r="AB44" s="15" t="str">
        <f t="shared" si="25"/>
        <v/>
      </c>
      <c r="AC44" s="15" t="str">
        <f t="shared" si="17"/>
        <v>Week 3</v>
      </c>
      <c r="AD44" s="15"/>
      <c r="AE44" s="15">
        <f t="shared" si="26"/>
        <v>3</v>
      </c>
      <c r="AF44" s="15" t="str">
        <f t="shared" si="27"/>
        <v>Wednesday</v>
      </c>
      <c r="AG44" s="16">
        <f t="shared" si="28"/>
        <v>45063</v>
      </c>
      <c r="AH44" s="12" t="b">
        <f t="shared" si="29"/>
        <v>0</v>
      </c>
      <c r="AJ44" s="12" t="str">
        <f ca="1">IFERROR(MATCH($B$114,OFFSET(#REF!,AJ43,0,1000000),0)+AJ43,"")</f>
        <v/>
      </c>
      <c r="AK44" s="17" t="str">
        <f ca="1">IFERROR(_xlfn.SINGLE(INDEX(#REF!,'Monthly Report'!AJ44)),"")</f>
        <v/>
      </c>
      <c r="AL44" s="12" t="str">
        <f ca="1">IFERROR(_xlfn.SINGLE(INDEX(#REF!,'Monthly Report'!AJ44)),"")</f>
        <v/>
      </c>
      <c r="AN44" s="12" t="str">
        <f ca="1">IFERROR(MATCH($G$115,OFFSET(#REF!,AN43,0,1000000),0)+AN43,"")</f>
        <v/>
      </c>
      <c r="AO44" s="17" t="str">
        <f ca="1">IFERROR(_xlfn.SINGLE(INDEX(#REF!,'Monthly Report'!AN44)),"")</f>
        <v/>
      </c>
      <c r="AP44" s="12" t="str">
        <f ca="1">IFERROR(_xlfn.SINGLE(INDEX(#REF!,'Monthly Report'!AN44)),"")</f>
        <v/>
      </c>
      <c r="BM44" s="105"/>
      <c r="BN44" s="23"/>
      <c r="BO44" s="23"/>
      <c r="BP44" s="188"/>
      <c r="BQ44" s="108" t="s">
        <v>134</v>
      </c>
      <c r="BR44" s="40">
        <f>IF(BR42="","",SUM(CG16:CG17))</f>
        <v>11</v>
      </c>
      <c r="BS44" s="40">
        <f t="shared" ref="BS44:BW44" si="37">IF(BS42="","",SUM(CH16:CH17))</f>
        <v>9</v>
      </c>
      <c r="BT44" s="40">
        <f t="shared" si="37"/>
        <v>33</v>
      </c>
      <c r="BU44" s="40">
        <f t="shared" si="37"/>
        <v>5</v>
      </c>
      <c r="BV44" s="40">
        <f t="shared" si="37"/>
        <v>1</v>
      </c>
      <c r="BW44" s="40" t="str">
        <f t="shared" si="37"/>
        <v/>
      </c>
      <c r="BX44" s="41"/>
      <c r="BY44" s="42">
        <f>SUM(BR44:BX44)</f>
        <v>59</v>
      </c>
      <c r="BZ44" s="23"/>
      <c r="CA44" s="85"/>
      <c r="CF44" s="6" t="s">
        <v>190</v>
      </c>
      <c r="CG44" s="6">
        <f>SUMIFS(Table_Assembly[Specific Amount],Table_Assembly[NG Type],$CF$14,Table_Assembly[Product type],$BP$43,Table_Assembly[NG content],CF44,Table_Assembly[MFG Date],"&gt;="&amp;$R$28,Table_Assembly[MFG Date],"&lt;="&amp;$R$29)</f>
        <v>0</v>
      </c>
      <c r="CH44" s="6">
        <f>SUMIFS(Table_Assembly[Specific Amount],Table_Assembly[NG Type],$CF$14,Table_Assembly[Product type],$BP$43,Table_Assembly[NG content],CF44,Table_Assembly[MFG Date],"&gt;="&amp;$R$36,Table_Assembly[MFG Date],"&lt;="&amp;$R$37)</f>
        <v>3</v>
      </c>
      <c r="CI44" s="6">
        <f>SUMIFS(Table_Assembly[Specific Amount],Table_Assembly[NG Type],$CF$14,Table_Assembly[Product type],$BP$43,Table_Assembly[NG content],CF44,Table_Assembly[MFG Date],"&gt;="&amp;$R$44,Table_Assembly[MFG Date],"&lt;="&amp;$R$45)</f>
        <v>1</v>
      </c>
      <c r="CJ44" s="6">
        <f>SUMIFS(Table_Assembly[Specific Amount],Table_Assembly[NG Type],$CF$14,Table_Assembly[Product type],$BP$43,Table_Assembly[NG content],CF44,Table_Assembly[MFG Date],"&gt;="&amp;$R$52,Table_Assembly[MFG Date],"&lt;="&amp;$R$53)</f>
        <v>2</v>
      </c>
      <c r="CK44" s="6">
        <f>SUMIFS(Table_Assembly[Specific Amount],Table_Assembly[NG Type],$CF$14,Table_Assembly[Product type],$BP$43,Table_Assembly[NG content],CF44,Table_Assembly[MFG Date],"&gt;="&amp;$R$60,Table_Assembly[MFG Date],"&lt;="&amp;$R$61)</f>
        <v>1</v>
      </c>
      <c r="CL44" s="6">
        <f>SUMIFS(Table_Assembly[Specific Amount],Table_Assembly[NG Type],$CF$14,Table_Assembly[Product type],$BP$43,Table_Assembly[NG content],CF44,Table_Assembly[MFG Date],"&gt;="&amp;$R$68,Table_Assembly[MFG Date],"&lt;="&amp;$R$69)</f>
        <v>0</v>
      </c>
    </row>
    <row r="45" spans="1:90" ht="15.5" thickBot="1">
      <c r="A45" s="122"/>
      <c r="B45" s="23"/>
      <c r="C45" s="23"/>
      <c r="D45" s="210"/>
      <c r="E45" s="53" t="s">
        <v>103</v>
      </c>
      <c r="F45" s="54">
        <f>IF($F$4="","",
IF($BH$4=TRUE,SUMIFS(Table_Assembly[Total NG from machine],Table_Assembly[Product type],$D$5,Table_Assembly[MFG Date],"&gt;="&amp;$R$28,Table_Assembly[MFG Date],"&lt;="&amp;$R$29),
IF(AND($BF$5=TRUE,$BI$5=FALSE),SUMIFS(Table_Assembly[Total NG from machine],Table_Assembly[Product type],$D$5,Table_Assembly[MFG Date],"&gt;="&amp;$R$28,Table_Assembly[MFG Date],"&lt;="&amp;$R$29),
IF(AND($BF$5=FALSE,$BI$5=TRUE),SUMIFS(Table_Assembly[Total NG from machine],Table_Assembly[Product type],$D$5,Table_Assembly[Customer],$B$5,Table_Assembly[MFG Date],"&gt;="&amp;$R$28,Table_Assembly[MFG Date],"&lt;="&amp;$R$29),
IF(AND($BI$5=FALSE,$BH$5=FALSE),SUMIFS(Table_Assembly[Total NG from machine],Table_Assembly[Product type],$D$5,Table_Assembly[Customer],$B$5,Table_Assembly[MFG Date],"&gt;="&amp;$R$28,Table_Assembly[MFG Date],"&lt;="&amp;$R$29),"")))))</f>
        <v>1016</v>
      </c>
      <c r="G45" s="54">
        <f>IF($G$4="","",
IF($BH$4=TRUE,SUMIFS(Table_Assembly[Total NG from machine],Table_Assembly[Product type],$D$5,Table_Assembly[MFG Date],"&gt;="&amp;$R$36,Table_Assembly[MFG Date],"&lt;="&amp;$R$37),
IF(AND($BF$5=TRUE,$BI$5=FALSE),SUMIFS(Table_Assembly[Total NG from machine],Table_Assembly[Product type],$D$5,Table_Assembly[MFG Date],"&gt;="&amp;$R$36,Table_Assembly[MFG Date],"&lt;="&amp;$R$37),
IF(AND($BF$5=FALSE,$BI$5=TRUE),SUMIFS(Table_Assembly[Total NG from machine],Table_Assembly[Product type],$D$5,Table_Assembly[Customer],$B$5,Table_Assembly[MFG Date],"&gt;="&amp;$R$36,Table_Assembly[MFG Date],"&lt;="&amp;$R$37),
IF(AND($BI$5=FALSE,$BH$5=FALSE),SUMIFS(Table_Assembly[Total NG from machine],Table_Assembly[Product type],$D$5,Table_Assembly[Customer],$B$5,Table_Assembly[MFG Date],"&gt;="&amp;$R$36,Table_Assembly[MFG Date],"&lt;="&amp;$R$37),"")))))</f>
        <v>40</v>
      </c>
      <c r="H45" s="54">
        <f>IF($H$4="","",
IF($BH$4=TRUE,SUMIFS(Table_Assembly[Total NG from machine],Table_Assembly[Product type],$D$5,Table_Assembly[MFG Date],"&gt;="&amp;$R$44,Table_Assembly[MFG Date],"&lt;="&amp;$R$45),
IF(AND($BF$5=TRUE,$BI$5=FALSE),SUMIFS(Table_Assembly[Total NG from machine],Table_Assembly[Product type],$D$5,Table_Assembly[MFG Date],"&gt;="&amp;$R$44,Table_Assembly[MFG Date],"&lt;="&amp;$R$45),
IF(AND($BF$5=FALSE,$BI$5=TRUE),SUMIFS(Table_Assembly[Total NG from machine],Table_Assembly[Product type],$D$5,Table_Assembly[Customer],$B$5,Table_Assembly[MFG Date],"&gt;="&amp;$R$44,Table_Assembly[MFG Date],"&lt;="&amp;$R$45),
IF(AND($BI$5=FALSE,$BH$5=FALSE),SUMIFS(Table_Assembly[Total NG from machine],Table_Assembly[Product type],$D$5,Table_Assembly[Customer],$B$5,Table_Assembly[MFG Date],"&gt;="&amp;$R$44,Table_Assembly[MFG Date],"&lt;="&amp;$R$45),"")))))</f>
        <v>79</v>
      </c>
      <c r="I45" s="54">
        <f>IF($I$4="","",
IF($BH$4=TRUE,SUMIFS(Table_Assembly[Total NG from machine],Table_Assembly[Product type],$D$5,Table_Assembly[MFG Date],"&gt;="&amp;$R$52,Table_Assembly[MFG Date],"&lt;="&amp;$R$53),
IF(AND($BF$5=TRUE,$BI$5=FALSE),SUMIFS(Table_Assembly[Total NG from machine],Table_Assembly[Product type],$D$5,Table_Assembly[MFG Date],"&gt;="&amp;$R$52,Table_Assembly[MFG Date],"&lt;="&amp;$R$53),
IF(AND($BF$5=FALSE,$BI$5=TRUE),SUMIFS(Table_Assembly[Total NG from machine],Table_Assembly[Product type],$D$5,Table_Assembly[Customer],$B$5,Table_Assembly[MFG Date],"&gt;="&amp;$R$52,Table_Assembly[MFG Date],"&lt;="&amp;$R$53),
IF(AND($BI$5=FALSE,$BH$5=FALSE),SUMIFS(Table_Assembly[Total NG from machine],Table_Assembly[Product type],$D$5,Table_Assembly[Customer],$B$5,Table_Assembly[MFG Date],"&gt;="&amp;$R$52,Table_Assembly[MFG Date],"&lt;="&amp;$R$53),"")))))</f>
        <v>32</v>
      </c>
      <c r="J45" s="54">
        <f>IF($J$4="","",
IF($BH$4=TRUE,SUMIFS(Table_Assembly[Total NG from machine],Table_Assembly[Product type],$D$5,Table_Assembly[MFG Date],"&gt;="&amp;$R$60,Table_Assembly[MFG Date],"&lt;="&amp;$R$61),
IF(AND($BF$5=TRUE,$BI$5=FALSE),SUMIFS(Table_Assembly[Total NG from machine],Table_Assembly[Product type],$D$5,Table_Assembly[MFG Date],"&gt;="&amp;$R$60,Table_Assembly[MFG Date],"&lt;="&amp;$R$61),
IF(AND($BF$5=FALSE,$BI$5=TRUE),SUMIFS(Table_Assembly[Total NG from machine],Table_Assembly[Product type],$D$5,Table_Assembly[Customer],$B$5,Table_Assembly[MFG Date],"&gt;="&amp;$R$60,Table_Assembly[MFG Date],"&lt;="&amp;$R$61),
IF(AND($BI$5=FALSE,$BH$5=FALSE),SUMIFS(Table_Assembly[Total NG from machine],Table_Assembly[Product type],$D$5,Table_Assembly[Customer],$B$5,Table_Assembly[MFG Date],"&gt;="&amp;$R$60,Table_Assembly[MFG Date],"&lt;="&amp;$R$61),"")))))</f>
        <v>13</v>
      </c>
      <c r="K45" s="54" t="str">
        <f>IF($K$4="","",
IF($BH$4=TRUE,SUMIFS(Table_Assembly[Total NG from machine],Table_Assembly[Product type],$D$5,Table_Assembly[MFG Date],"&gt;="&amp;$R$68,Table_Assembly[MFG Date],"&lt;="&amp;$R$69),
IF(AND($BF$5=TRUE,$BI$5=FALSE),SUMIFS(Table_Assembly[Total NG from machine],Table_Assembly[Product type],$D$5,Table_Assembly[MFG Date],"&gt;="&amp;$R$68,Table_Assembly[MFG Date],"&lt;="&amp;$R$69),
IF(AND($BF$5=FALSE,$BI$5=TRUE),SUMIFS(Table_Assembly[Total NG from machine],Table_Assembly[Product type],$D$5,Table_Assembly[Customer],$B$5,Table_Assembly[MFG Date],"&gt;="&amp;$R$68,Table_Assembly[MFG Date],"&lt;="&amp;$R$69),
IF(AND($BI$5=FALSE,$BH$5=FALSE),SUMIFS(Table_Assembly[Total NG from machine],Table_Assembly[Product type],$D$5,Table_Assembly[Customer],$B$5,Table_Assembly[MFG Date],"&gt;="&amp;$R$68,Table_Assembly[MFG Date],"&lt;="&amp;$R$69),"")))))</f>
        <v/>
      </c>
      <c r="L45" s="55"/>
      <c r="M45" s="56">
        <f t="shared" si="35"/>
        <v>1180</v>
      </c>
      <c r="N45" s="23"/>
      <c r="O45" s="119"/>
      <c r="R45" s="14">
        <f>IFERROR(INDEX($AG$28:$AG$58-1,MATCH(RIGHT(T44,2)*1+1,$AE$28:$AE$58,0)),$AB$7)</f>
        <v>45067</v>
      </c>
      <c r="S45" s="12">
        <f t="shared" ref="S45:S50" ca="1" si="38">IFERROR(MATCH($T$44,OFFSET($AC$28:$AC$58,S44,0,1000000),0)+S44,"")</f>
        <v>16</v>
      </c>
      <c r="U45" s="16">
        <f t="shared" ref="U45:U50" ca="1" si="39">IFERROR(INDEX($AG$28:$AG$58,S45),"")</f>
        <v>45062</v>
      </c>
      <c r="Y45" s="14">
        <f t="shared" si="22"/>
        <v>45064</v>
      </c>
      <c r="Z45" s="12" t="str">
        <f t="shared" ca="1" si="23"/>
        <v/>
      </c>
      <c r="AA45" s="12" t="str">
        <f t="shared" si="24"/>
        <v/>
      </c>
      <c r="AB45" s="15" t="str">
        <f t="shared" si="25"/>
        <v/>
      </c>
      <c r="AC45" s="15" t="str">
        <f t="shared" si="17"/>
        <v>Week 3</v>
      </c>
      <c r="AD45" s="15"/>
      <c r="AE45" s="15">
        <f t="shared" si="26"/>
        <v>3</v>
      </c>
      <c r="AF45" s="15" t="str">
        <f t="shared" si="27"/>
        <v>Thursday</v>
      </c>
      <c r="AG45" s="16">
        <f t="shared" si="28"/>
        <v>45064</v>
      </c>
      <c r="AH45" s="12" t="b">
        <f t="shared" si="29"/>
        <v>0</v>
      </c>
      <c r="AJ45" s="12" t="str">
        <f ca="1">IFERROR(MATCH($B$114,OFFSET(#REF!,AJ44,0,1000000),0)+AJ44,"")</f>
        <v/>
      </c>
      <c r="AK45" s="17" t="str">
        <f ca="1">IFERROR(_xlfn.SINGLE(INDEX(#REF!,'Monthly Report'!AJ45)),"")</f>
        <v/>
      </c>
      <c r="AL45" s="12" t="str">
        <f ca="1">IFERROR(_xlfn.SINGLE(INDEX(#REF!,'Monthly Report'!AJ45)),"")</f>
        <v/>
      </c>
      <c r="AN45" s="12" t="str">
        <f ca="1">IFERROR(MATCH($G$115,OFFSET(#REF!,AN44,0,1000000),0)+AN44,"")</f>
        <v/>
      </c>
      <c r="AO45" s="17" t="str">
        <f ca="1">IFERROR(_xlfn.SINGLE(INDEX(#REF!,'Monthly Report'!AN45)),"")</f>
        <v/>
      </c>
      <c r="AP45" s="12" t="str">
        <f ca="1">IFERROR(_xlfn.SINGLE(INDEX(#REF!,'Monthly Report'!AN45)),"")</f>
        <v/>
      </c>
      <c r="BM45" s="105"/>
      <c r="BN45" s="23"/>
      <c r="BO45" s="23"/>
      <c r="BP45" s="188"/>
      <c r="BQ45" s="108" t="s">
        <v>318</v>
      </c>
      <c r="BR45" s="40">
        <f>IF(BR42="","",SUM(CG18:CG21))</f>
        <v>0</v>
      </c>
      <c r="BS45" s="40">
        <f t="shared" ref="BS45:BW45" si="40">IF(BS42="","",SUM(CH18:CH21))</f>
        <v>2</v>
      </c>
      <c r="BT45" s="40">
        <f t="shared" si="40"/>
        <v>1</v>
      </c>
      <c r="BU45" s="40">
        <f t="shared" si="40"/>
        <v>4</v>
      </c>
      <c r="BV45" s="40">
        <f t="shared" si="40"/>
        <v>0</v>
      </c>
      <c r="BW45" s="40" t="str">
        <f t="shared" si="40"/>
        <v/>
      </c>
      <c r="BX45" s="41"/>
      <c r="BY45" s="42">
        <f t="shared" ref="BY45:BY49" si="41">SUM(BR45:BX45)</f>
        <v>7</v>
      </c>
      <c r="BZ45" s="23"/>
      <c r="CA45" s="85"/>
      <c r="CF45" s="6" t="s">
        <v>191</v>
      </c>
      <c r="CG45" s="6">
        <f>SUMIFS(Table_Assembly[Specific Amount],Table_Assembly[NG Type],$CF$14,Table_Assembly[Product type],$BP$43,Table_Assembly[NG content],CF45,Table_Assembly[MFG Date],"&gt;="&amp;$R$28,Table_Assembly[MFG Date],"&lt;="&amp;$R$29)</f>
        <v>0</v>
      </c>
      <c r="CH45" s="6">
        <f>SUMIFS(Table_Assembly[Specific Amount],Table_Assembly[NG Type],$CF$14,Table_Assembly[Product type],$BP$43,Table_Assembly[NG content],CF45,Table_Assembly[MFG Date],"&gt;="&amp;$R$36,Table_Assembly[MFG Date],"&lt;="&amp;$R$37)</f>
        <v>0</v>
      </c>
      <c r="CI45" s="6">
        <f>SUMIFS(Table_Assembly[Specific Amount],Table_Assembly[NG Type],$CF$14,Table_Assembly[Product type],$BP$43,Table_Assembly[NG content],CF45,Table_Assembly[MFG Date],"&gt;="&amp;$R$44,Table_Assembly[MFG Date],"&lt;="&amp;$R$45)</f>
        <v>0</v>
      </c>
      <c r="CJ45" s="6">
        <f>SUMIFS(Table_Assembly[Specific Amount],Table_Assembly[NG Type],$CF$14,Table_Assembly[Product type],$BP$43,Table_Assembly[NG content],CF45,Table_Assembly[MFG Date],"&gt;="&amp;$R$52,Table_Assembly[MFG Date],"&lt;="&amp;$R$53)</f>
        <v>0</v>
      </c>
      <c r="CK45" s="6">
        <f>SUMIFS(Table_Assembly[Specific Amount],Table_Assembly[NG Type],$CF$14,Table_Assembly[Product type],$BP$43,Table_Assembly[NG content],CF45,Table_Assembly[MFG Date],"&gt;="&amp;$R$60,Table_Assembly[MFG Date],"&lt;="&amp;$R$61)</f>
        <v>0</v>
      </c>
      <c r="CL45" s="6">
        <f>SUMIFS(Table_Assembly[Specific Amount],Table_Assembly[NG Type],$CF$14,Table_Assembly[Product type],$BP$43,Table_Assembly[NG content],CF45,Table_Assembly[MFG Date],"&gt;="&amp;$R$68,Table_Assembly[MFG Date],"&lt;="&amp;$R$69)</f>
        <v>0</v>
      </c>
    </row>
    <row r="46" spans="1:90" ht="15.5" thickTop="1">
      <c r="A46" s="122"/>
      <c r="B46" s="23"/>
      <c r="C46" s="23"/>
      <c r="D46" s="203" t="s">
        <v>67</v>
      </c>
      <c r="E46" s="36" t="s">
        <v>31</v>
      </c>
      <c r="F46" s="37">
        <f t="shared" ref="F46:K46" si="42">IF(F9="","",F9)</f>
        <v>20</v>
      </c>
      <c r="G46" s="37">
        <f t="shared" si="42"/>
        <v>28</v>
      </c>
      <c r="H46" s="37">
        <f t="shared" si="42"/>
        <v>139</v>
      </c>
      <c r="I46" s="37">
        <f t="shared" si="42"/>
        <v>36</v>
      </c>
      <c r="J46" s="37">
        <f t="shared" si="42"/>
        <v>4</v>
      </c>
      <c r="K46" s="37" t="str">
        <f t="shared" si="42"/>
        <v/>
      </c>
      <c r="L46" s="38"/>
      <c r="M46" s="39">
        <f t="shared" si="35"/>
        <v>227</v>
      </c>
      <c r="N46" s="23"/>
      <c r="O46" s="119"/>
      <c r="R46" s="14"/>
      <c r="S46" s="12">
        <f t="shared" ca="1" si="38"/>
        <v>17</v>
      </c>
      <c r="U46" s="16">
        <f t="shared" ca="1" si="39"/>
        <v>45063</v>
      </c>
      <c r="Y46" s="14">
        <f t="shared" si="22"/>
        <v>45065</v>
      </c>
      <c r="Z46" s="12" t="str">
        <f t="shared" ca="1" si="23"/>
        <v/>
      </c>
      <c r="AA46" s="12" t="str">
        <f t="shared" si="24"/>
        <v/>
      </c>
      <c r="AB46" s="15" t="str">
        <f t="shared" si="25"/>
        <v/>
      </c>
      <c r="AC46" s="15" t="str">
        <f t="shared" si="17"/>
        <v>Week 3</v>
      </c>
      <c r="AD46" s="15"/>
      <c r="AE46" s="15">
        <f t="shared" si="26"/>
        <v>3</v>
      </c>
      <c r="AF46" s="15" t="str">
        <f t="shared" si="27"/>
        <v>Friday</v>
      </c>
      <c r="AG46" s="16">
        <f t="shared" si="28"/>
        <v>45065</v>
      </c>
      <c r="AH46" s="12" t="b">
        <f t="shared" si="29"/>
        <v>0</v>
      </c>
      <c r="AJ46" s="12" t="str">
        <f ca="1">IFERROR(MATCH($B$114,OFFSET(#REF!,AJ45,0,1000000),0)+AJ45,"")</f>
        <v/>
      </c>
      <c r="AK46" s="17" t="str">
        <f ca="1">IFERROR(_xlfn.SINGLE(INDEX(#REF!,'Monthly Report'!AJ46)),"")</f>
        <v/>
      </c>
      <c r="AL46" s="12" t="str">
        <f ca="1">IFERROR(_xlfn.SINGLE(INDEX(#REF!,'Monthly Report'!AJ46)),"")</f>
        <v/>
      </c>
      <c r="AN46" s="12" t="str">
        <f ca="1">IFERROR(MATCH($G$115,OFFSET(#REF!,AN45,0,1000000),0)+AN45,"")</f>
        <v/>
      </c>
      <c r="AO46" s="17" t="str">
        <f ca="1">IFERROR(_xlfn.SINGLE(INDEX(#REF!,'Monthly Report'!AN46)),"")</f>
        <v/>
      </c>
      <c r="AP46" s="12" t="str">
        <f ca="1">IFERROR(_xlfn.SINGLE(INDEX(#REF!,'Monthly Report'!AN46)),"")</f>
        <v/>
      </c>
      <c r="BM46" s="105"/>
      <c r="BN46" s="23"/>
      <c r="BO46" s="23"/>
      <c r="BP46" s="188"/>
      <c r="BQ46" s="108" t="s">
        <v>135</v>
      </c>
      <c r="BR46" s="40">
        <f>IF(BR42="","",SUM(CG23:CG26))</f>
        <v>4</v>
      </c>
      <c r="BS46" s="40">
        <f t="shared" ref="BS46:BW46" si="43">IF(BS42="","",SUM(CH23:CH26))</f>
        <v>7</v>
      </c>
      <c r="BT46" s="40">
        <f t="shared" si="43"/>
        <v>19</v>
      </c>
      <c r="BU46" s="40">
        <f t="shared" si="43"/>
        <v>4</v>
      </c>
      <c r="BV46" s="40">
        <f t="shared" si="43"/>
        <v>0</v>
      </c>
      <c r="BW46" s="40" t="str">
        <f t="shared" si="43"/>
        <v/>
      </c>
      <c r="BX46" s="41"/>
      <c r="BY46" s="42">
        <f t="shared" si="41"/>
        <v>34</v>
      </c>
      <c r="BZ46" s="23"/>
      <c r="CA46" s="85"/>
      <c r="CF46" s="6" t="s">
        <v>240</v>
      </c>
      <c r="CG46" s="6">
        <f>SUMIFS(Table_Assembly[Specific Amount],Table_Assembly[NG Type],$CF$14,Table_Assembly[Product type],$BP$43,Table_Assembly[NG content],CF46,Table_Assembly[MFG Date],"&gt;="&amp;$R$28,Table_Assembly[MFG Date],"&lt;="&amp;$R$29)</f>
        <v>0</v>
      </c>
      <c r="CH46" s="6">
        <f>SUMIFS(Table_Assembly[Specific Amount],Table_Assembly[NG Type],$CF$14,Table_Assembly[Product type],$BP$43,Table_Assembly[NG content],CF46,Table_Assembly[MFG Date],"&gt;="&amp;$R$36,Table_Assembly[MFG Date],"&lt;="&amp;$R$37)</f>
        <v>0</v>
      </c>
      <c r="CI46" s="6">
        <f>SUMIFS(Table_Assembly[Specific Amount],Table_Assembly[NG Type],$CF$14,Table_Assembly[Product type],$BP$43,Table_Assembly[NG content],CF46,Table_Assembly[MFG Date],"&gt;="&amp;$R$44,Table_Assembly[MFG Date],"&lt;="&amp;$R$45)</f>
        <v>0</v>
      </c>
      <c r="CJ46" s="6">
        <f>SUMIFS(Table_Assembly[Specific Amount],Table_Assembly[NG Type],$CF$14,Table_Assembly[Product type],$BP$43,Table_Assembly[NG content],CF46,Table_Assembly[MFG Date],"&gt;="&amp;$R$52,Table_Assembly[MFG Date],"&lt;="&amp;$R$53)</f>
        <v>0</v>
      </c>
      <c r="CK46" s="6">
        <f>SUMIFS(Table_Assembly[Specific Amount],Table_Assembly[NG Type],$CF$14,Table_Assembly[Product type],$BP$43,Table_Assembly[NG content],CF46,Table_Assembly[MFG Date],"&gt;="&amp;$R$60,Table_Assembly[MFG Date],"&lt;="&amp;$R$61)</f>
        <v>0</v>
      </c>
      <c r="CL46" s="6">
        <f>SUMIFS(Table_Assembly[Specific Amount],Table_Assembly[NG Type],$CF$14,Table_Assembly[Product type],$BP$43,Table_Assembly[NG content],CF46,Table_Assembly[MFG Date],"&gt;="&amp;$R$68,Table_Assembly[MFG Date],"&lt;="&amp;$R$69)</f>
        <v>0</v>
      </c>
    </row>
    <row r="47" spans="1:90">
      <c r="A47" s="122"/>
      <c r="B47" s="23"/>
      <c r="C47" s="23"/>
      <c r="D47" s="204"/>
      <c r="E47" s="19" t="s">
        <v>102</v>
      </c>
      <c r="F47" s="40">
        <f>IF($F$4="","",
IF($BH$4=TRUE,SUMIFS(Table_Assembly[Total NG from material],Table_Assembly[Product type],$D$8,Table_Assembly[MFG Date],"&gt;="&amp;$R$28,Table_Assembly[MFG Date],"&lt;="&amp;$R$29),
IF(AND($BF$5=TRUE,$BI$5=FALSE),SUMIFS(Table_Assembly[Total NG from material],Table_Assembly[Product type],$D$8,Table_Assembly[MFG Date],"&gt;="&amp;$R$28,Table_Assembly[MFG Date],"&lt;="&amp;$R$29),
IF(AND($BF$5=FALSE,$BI$5=TRUE),SUMIFS(Table_Assembly[Total NG from material],Table_Assembly[Product type],$D$8,Table_Assembly[Customer],$B$5,Table_Assembly[MFG Date],"&gt;="&amp;$R$28,Table_Assembly[MFG Date],"&lt;="&amp;$R$29),
IF(AND($BI$5=FALSE,$BH$5=FALSE),SUMIFS(Table_Assembly[Total NG from material],Table_Assembly[Product type],$D$8,Table_Assembly[Customer],$B$5,Table_Assembly[MFG Date],"&gt;="&amp;$R$28,Table_Assembly[MFG Date],"&lt;="&amp;$R$29),"")))))</f>
        <v>5</v>
      </c>
      <c r="G47" s="40">
        <f>IF($G$4="","",
IF($BH$4=TRUE,SUMIFS(Table_Assembly[Total NG from material],Table_Assembly[Product type],$D$8,Table_Assembly[MFG Date],"&gt;="&amp;$R$36,Table_Assembly[MFG Date],"&lt;="&amp;$R$37),
IF(AND($BF$5=TRUE,$BI$5=FALSE),SUMIFS(Table_Assembly[Total NG from material],Table_Assembly[Product type],$D$8,Table_Assembly[MFG Date],"&gt;="&amp;$R$36,Table_Assembly[MFG Date],"&lt;="&amp;$R$37),
IF(AND($BF$5=FALSE,$BI$5=TRUE),SUMIFS(Table_Assembly[Total NG from material],Table_Assembly[Product type],$D$8,Table_Assembly[Customer],$B$5,Table_Assembly[MFG Date],"&gt;="&amp;$R$36,Table_Assembly[MFG Date],"&lt;="&amp;$R$37),
IF(AND($BI$5=FALSE,$BH$5=FALSE),SUMIFS(Table_Assembly[Total NG from material],Table_Assembly[Product type],$D$8,Table_Assembly[Customer],$B$5,Table_Assembly[MFG Date],"&gt;="&amp;$R$36,Table_Assembly[MFG Date],"&lt;="&amp;$R$37),"")))))</f>
        <v>20</v>
      </c>
      <c r="H47" s="40">
        <f>IF($H$4="","",
IF($BH$4=TRUE,SUMIFS(Table_Assembly[Total NG from material],Table_Assembly[Product type],$D$8,Table_Assembly[MFG Date],"&gt;="&amp;$R$44,Table_Assembly[MFG Date],"&lt;="&amp;$R$45),
IF(AND($BF$5=TRUE,$BI$5=FALSE),SUMIFS(Table_Assembly[Total NG from material],Table_Assembly[Product type],$D$8,Table_Assembly[MFG Date],"&gt;="&amp;$R$44,Table_Assembly[MFG Date],"&lt;="&amp;$R$45),
IF(AND($BF$5=FALSE,$BI$5=TRUE),SUMIFS(Table_Assembly[Total NG from material],Table_Assembly[Product type],$D$8,Table_Assembly[Customer],$B$5,Table_Assembly[MFG Date],"&gt;="&amp;$R$44,Table_Assembly[MFG Date],"&lt;="&amp;$R$45),
IF(AND($BI$5=FALSE,$BH$5=FALSE),SUMIFS(Table_Assembly[Total NG from material],Table_Assembly[Product type],$D$8,Table_Assembly[Customer],$B$5,Table_Assembly[MFG Date],"&gt;="&amp;$R$44,Table_Assembly[MFG Date],"&lt;="&amp;$R$45),"")))))</f>
        <v>112</v>
      </c>
      <c r="I47" s="40">
        <f>IF($I$4="","",
IF($BH$4=TRUE,SUMIFS(Table_Assembly[Total NG from material],Table_Assembly[Product type],$D$8,Table_Assembly[MFG Date],"&gt;="&amp;$R$52,Table_Assembly[MFG Date],"&lt;="&amp;$R$53),
IF(AND($BF$5=TRUE,$BI$5=FALSE),SUMIFS(Table_Assembly[Total NG from material],Table_Assembly[Product type],$D$8,Table_Assembly[MFG Date],"&gt;="&amp;$R$52,Table_Assembly[MFG Date],"&lt;="&amp;$R$53),
IF(AND($BF$5=FALSE,$BI$5=TRUE),SUMIFS(Table_Assembly[Total NG from material],Table_Assembly[Product type],$D$8,Table_Assembly[Customer],$B$5,Table_Assembly[MFG Date],"&gt;="&amp;$R$52,Table_Assembly[MFG Date],"&lt;="&amp;$R$53),
IF(AND($BI$5=FALSE,$BH$5=FALSE),SUMIFS(Table_Assembly[Total NG from material],Table_Assembly[Product type],$D$8,Table_Assembly[Customer],$B$5,Table_Assembly[MFG Date],"&gt;="&amp;$R$52,Table_Assembly[MFG Date],"&lt;="&amp;$R$53),"")))))</f>
        <v>1</v>
      </c>
      <c r="J47" s="40">
        <f>IF($J$4="","",
IF($BH$4=TRUE,SUMIFS(Table_Assembly[Total NG from material],Table_Assembly[Product type],$D$8,Table_Assembly[MFG Date],"&gt;="&amp;$R$60,Table_Assembly[MFG Date],"&lt;="&amp;$R$61),
IF(AND($BF$5=TRUE,$BI$5=FALSE),SUMIFS(Table_Assembly[Total NG from material],Table_Assembly[Product type],$D$8,Table_Assembly[MFG Date],"&gt;="&amp;$R$60,Table_Assembly[MFG Date],"&lt;="&amp;$R$61),
IF(AND($BF$5=FALSE,$BI$5=TRUE),SUMIFS(Table_Assembly[Total NG from material],Table_Assembly[Product type],$D$8,Table_Assembly[Customer],$B$5,Table_Assembly[MFG Date],"&gt;="&amp;$R$60,Table_Assembly[MFG Date],"&lt;="&amp;$R$61),
IF(AND($BI$5=FALSE,$BH$5=FALSE),SUMIFS(Table_Assembly[Total NG from material],Table_Assembly[Product type],$D$8,Table_Assembly[Customer],$B$5,Table_Assembly[MFG Date],"&gt;="&amp;$R$60,Table_Assembly[MFG Date],"&lt;="&amp;$R$61),"")))))</f>
        <v>2</v>
      </c>
      <c r="K47" s="40" t="str">
        <f>IF($K$4="","",
IF($BH$4=TRUE,SUMIFS(Table_Assembly[Total NG from material],Table_Assembly[Product type],$D$8,Table_Assembly[MFG Date],"&gt;="&amp;$R$68,Table_Assembly[MFG Date],"&lt;="&amp;$R$69),
IF(AND($BF$5=TRUE,$BI$5=FALSE),SUMIFS(Table_Assembly[Total NG from material],Table_Assembly[Product type],$D$8,Table_Assembly[MFG Date],"&gt;="&amp;$R$68,Table_Assembly[MFG Date],"&lt;="&amp;$R$69),
IF(AND($BF$5=FALSE,$BI$5=TRUE),SUMIFS(Table_Assembly[Total NG from material],Table_Assembly[Product type],$D$8,Table_Assembly[Customer],$B$5,Table_Assembly[MFG Date],"&gt;="&amp;$R$68,Table_Assembly[MFG Date],"&lt;="&amp;$R$69),
IF(AND($BI$5=FALSE,$BH$5=FALSE),SUMIFS(Table_Assembly[Total NG from material],Table_Assembly[Product type],$D$8,Table_Assembly[Customer],$B$5,Table_Assembly[MFG Date],"&gt;="&amp;$R$68,Table_Assembly[MFG Date],"&lt;="&amp;$R$69),"")))))</f>
        <v/>
      </c>
      <c r="L47" s="41"/>
      <c r="M47" s="42">
        <f t="shared" si="35"/>
        <v>140</v>
      </c>
      <c r="N47" s="23"/>
      <c r="O47" s="119"/>
      <c r="R47" s="14"/>
      <c r="S47" s="12">
        <f t="shared" ca="1" si="38"/>
        <v>18</v>
      </c>
      <c r="U47" s="16">
        <f t="shared" ca="1" si="39"/>
        <v>45064</v>
      </c>
      <c r="Y47" s="14">
        <f t="shared" si="22"/>
        <v>45066</v>
      </c>
      <c r="Z47" s="12" t="str">
        <f t="shared" ca="1" si="23"/>
        <v/>
      </c>
      <c r="AA47" s="12" t="str">
        <f t="shared" si="24"/>
        <v/>
      </c>
      <c r="AB47" s="15" t="str">
        <f t="shared" si="25"/>
        <v/>
      </c>
      <c r="AC47" s="15" t="str">
        <f t="shared" si="17"/>
        <v>Week 3</v>
      </c>
      <c r="AD47" s="15"/>
      <c r="AE47" s="15">
        <f t="shared" si="26"/>
        <v>3</v>
      </c>
      <c r="AF47" s="15" t="str">
        <f t="shared" si="27"/>
        <v>Saturday</v>
      </c>
      <c r="AG47" s="16">
        <f t="shared" si="28"/>
        <v>45066</v>
      </c>
      <c r="AH47" s="12" t="b">
        <f t="shared" si="29"/>
        <v>0</v>
      </c>
      <c r="AJ47" s="12" t="str">
        <f ca="1">IFERROR(MATCH($B$114,OFFSET(#REF!,AJ46,0,1000000),0)+AJ46,"")</f>
        <v/>
      </c>
      <c r="AK47" s="17" t="str">
        <f ca="1">IFERROR(_xlfn.SINGLE(INDEX(#REF!,'Monthly Report'!AJ47)),"")</f>
        <v/>
      </c>
      <c r="AL47" s="12" t="str">
        <f ca="1">IFERROR(_xlfn.SINGLE(INDEX(#REF!,'Monthly Report'!AJ47)),"")</f>
        <v/>
      </c>
      <c r="AN47" s="12" t="str">
        <f ca="1">IFERROR(MATCH($G$115,OFFSET(#REF!,AN46,0,1000000),0)+AN46,"")</f>
        <v/>
      </c>
      <c r="AO47" s="17" t="str">
        <f ca="1">IFERROR(_xlfn.SINGLE(INDEX(#REF!,'Monthly Report'!AN47)),"")</f>
        <v/>
      </c>
      <c r="AP47" s="12" t="str">
        <f ca="1">IFERROR(_xlfn.SINGLE(INDEX(#REF!,'Monthly Report'!AN47)),"")</f>
        <v/>
      </c>
      <c r="BM47" s="105"/>
      <c r="BN47" s="23"/>
      <c r="BO47" s="23"/>
      <c r="BP47" s="188"/>
      <c r="BQ47" s="108" t="s">
        <v>197</v>
      </c>
      <c r="BR47" s="40">
        <f>IF(BR42="","",SUM(CG22,CG32))</f>
        <v>0</v>
      </c>
      <c r="BS47" s="40">
        <f t="shared" ref="BS47:BW47" si="44">IF(BS42="","",SUM(CH22,CH32))</f>
        <v>0</v>
      </c>
      <c r="BT47" s="40">
        <f t="shared" si="44"/>
        <v>1</v>
      </c>
      <c r="BU47" s="40">
        <f t="shared" si="44"/>
        <v>0</v>
      </c>
      <c r="BV47" s="40">
        <f t="shared" si="44"/>
        <v>0</v>
      </c>
      <c r="BW47" s="40" t="str">
        <f t="shared" si="44"/>
        <v/>
      </c>
      <c r="BX47" s="41"/>
      <c r="BY47" s="42">
        <f t="shared" si="41"/>
        <v>1</v>
      </c>
      <c r="BZ47" s="23"/>
      <c r="CA47" s="85"/>
      <c r="CF47" s="6" t="s">
        <v>192</v>
      </c>
      <c r="CG47" s="6">
        <f>SUMIFS(Table_Assembly[Specific Amount],Table_Assembly[NG Type],$CF$14,Table_Assembly[Product type],$BP$43,Table_Assembly[NG content],CF47,Table_Assembly[MFG Date],"&gt;="&amp;$R$28,Table_Assembly[MFG Date],"&lt;="&amp;$R$29)</f>
        <v>0</v>
      </c>
      <c r="CH47" s="6">
        <f>SUMIFS(Table_Assembly[Specific Amount],Table_Assembly[NG Type],$CF$14,Table_Assembly[Product type],$BP$43,Table_Assembly[NG content],CF47,Table_Assembly[MFG Date],"&gt;="&amp;$R$36,Table_Assembly[MFG Date],"&lt;="&amp;$R$37)</f>
        <v>0</v>
      </c>
      <c r="CI47" s="6">
        <f>SUMIFS(Table_Assembly[Specific Amount],Table_Assembly[NG Type],$CF$14,Table_Assembly[Product type],$BP$43,Table_Assembly[NG content],CF47,Table_Assembly[MFG Date],"&gt;="&amp;$R$44,Table_Assembly[MFG Date],"&lt;="&amp;$R$45)</f>
        <v>0</v>
      </c>
      <c r="CJ47" s="6">
        <f>SUMIFS(Table_Assembly[Specific Amount],Table_Assembly[NG Type],$CF$14,Table_Assembly[Product type],$BP$43,Table_Assembly[NG content],CF47,Table_Assembly[MFG Date],"&gt;="&amp;$R$52,Table_Assembly[MFG Date],"&lt;="&amp;$R$53)</f>
        <v>0</v>
      </c>
      <c r="CK47" s="6">
        <f>SUMIFS(Table_Assembly[Specific Amount],Table_Assembly[NG Type],$CF$14,Table_Assembly[Product type],$BP$43,Table_Assembly[NG content],CF47,Table_Assembly[MFG Date],"&gt;="&amp;$R$60,Table_Assembly[MFG Date],"&lt;="&amp;$R$61)</f>
        <v>0</v>
      </c>
      <c r="CL47" s="6">
        <f>SUMIFS(Table_Assembly[Specific Amount],Table_Assembly[NG Type],$CF$14,Table_Assembly[Product type],$BP$43,Table_Assembly[NG content],CF47,Table_Assembly[MFG Date],"&gt;="&amp;$R$68,Table_Assembly[MFG Date],"&lt;="&amp;$R$69)</f>
        <v>0</v>
      </c>
    </row>
    <row r="48" spans="1:90" ht="15.5" thickBot="1">
      <c r="A48" s="122"/>
      <c r="B48" s="23"/>
      <c r="C48" s="23"/>
      <c r="D48" s="205"/>
      <c r="E48" s="43" t="s">
        <v>103</v>
      </c>
      <c r="F48" s="44">
        <f>IF($F$4="","",
IF($BH$4=TRUE,SUMIFS(Table_Assembly[Total NG from machine],Table_Assembly[Product type],$D$8,Table_Assembly[MFG Date],"&gt;="&amp;$R$28,Table_Assembly[MFG Date],"&lt;="&amp;$R$29),
IF(AND($BF$5=TRUE,$BI$5=FALSE),SUMIFS(Table_Assembly[Total NG from machine],Table_Assembly[Product type],$D$8,Table_Assembly[MFG Date],"&gt;="&amp;$R$28,Table_Assembly[MFG Date],"&lt;="&amp;$R$29),
IF(AND($BF$5=FALSE,$BI$5=TRUE),SUMIFS(Table_Assembly[Total NG from machine],Table_Assembly[Product type],$D$8,Table_Assembly[Customer],$B$5,Table_Assembly[MFG Date],"&gt;="&amp;$R$28,Table_Assembly[MFG Date],"&lt;="&amp;$R$29),
IF(AND($BI$5=FALSE,$BH$5=FALSE),SUMIFS(Table_Assembly[Total NG from machine],Table_Assembly[Product type],$D$8,Table_Assembly[Customer],$B$5,Table_Assembly[MFG Date],"&gt;="&amp;$R$28,Table_Assembly[MFG Date],"&lt;="&amp;$R$29),"")))))</f>
        <v>15</v>
      </c>
      <c r="G48" s="44">
        <f>IF($G$4="","",
IF($BH$4=TRUE,SUMIFS(Table_Assembly[Total NG from machine],Table_Assembly[Product type],$D$8,Table_Assembly[MFG Date],"&gt;="&amp;$R$36,Table_Assembly[MFG Date],"&lt;="&amp;$R$37),
IF(AND($BF$5=TRUE,$BI$5=FALSE),SUMIFS(Table_Assembly[Total NG from machine],Table_Assembly[Product type],$D$8,Table_Assembly[MFG Date],"&gt;="&amp;$R$36,Table_Assembly[MFG Date],"&lt;="&amp;$R$37),
IF(AND($BF$5=FALSE,$BI$5=TRUE),SUMIFS(Table_Assembly[Total NG from machine],Table_Assembly[Product type],$D$8,Table_Assembly[Customer],$B$5,Table_Assembly[MFG Date],"&gt;="&amp;$R$36,Table_Assembly[MFG Date],"&lt;="&amp;$R$37),
IF(AND($BI$5=FALSE,$BH$5=FALSE),SUMIFS(Table_Assembly[Total NG from machine],Table_Assembly[Product type],$D$8,Table_Assembly[Customer],$B$5,Table_Assembly[MFG Date],"&gt;="&amp;$R$36,Table_Assembly[MFG Date],"&lt;="&amp;$R$37),"")))))</f>
        <v>8</v>
      </c>
      <c r="H48" s="44">
        <f>IF($H$4="","",
IF($BH$4=TRUE,SUMIFS(Table_Assembly[Total NG from machine],Table_Assembly[Product type],$D$8,Table_Assembly[MFG Date],"&gt;="&amp;$R$44,Table_Assembly[MFG Date],"&lt;="&amp;$R$45),
IF(AND($BF$5=TRUE,$BI$5=FALSE),SUMIFS(Table_Assembly[Total NG from machine],Table_Assembly[Product type],$D$8,Table_Assembly[MFG Date],"&gt;="&amp;$R$44,Table_Assembly[MFG Date],"&lt;="&amp;$R$45),
IF(AND($BF$5=FALSE,$BI$5=TRUE),SUMIFS(Table_Assembly[Total NG from machine],Table_Assembly[Product type],$D$8,Table_Assembly[Customer],$B$5,Table_Assembly[MFG Date],"&gt;="&amp;$R$44,Table_Assembly[MFG Date],"&lt;="&amp;$R$45),
IF(AND($BI$5=FALSE,$BH$5=FALSE),SUMIFS(Table_Assembly[Total NG from machine],Table_Assembly[Product type],$D$8,Table_Assembly[Customer],$B$5,Table_Assembly[MFG Date],"&gt;="&amp;$R$44,Table_Assembly[MFG Date],"&lt;="&amp;$R$45),"")))))</f>
        <v>27</v>
      </c>
      <c r="I48" s="44">
        <f>IF($I$4="","",
IF($BH$4=TRUE,SUMIFS(Table_Assembly[Total NG from machine],Table_Assembly[Product type],$D$8,Table_Assembly[MFG Date],"&gt;="&amp;$R$52,Table_Assembly[MFG Date],"&lt;="&amp;$R$53),
IF(AND($BF$5=TRUE,$BI$5=FALSE),SUMIFS(Table_Assembly[Total NG from machine],Table_Assembly[Product type],$D$8,Table_Assembly[MFG Date],"&gt;="&amp;$R$52,Table_Assembly[MFG Date],"&lt;="&amp;$R$53),
IF(AND($BF$5=FALSE,$BI$5=TRUE),SUMIFS(Table_Assembly[Total NG from machine],Table_Assembly[Product type],$D$8,Table_Assembly[Customer],$B$5,Table_Assembly[MFG Date],"&gt;="&amp;$R$52,Table_Assembly[MFG Date],"&lt;="&amp;$R$53),
IF(AND($BI$5=FALSE,$BH$5=FALSE),SUMIFS(Table_Assembly[Total NG from machine],Table_Assembly[Product type],$D$8,Table_Assembly[Customer],$B$5,Table_Assembly[MFG Date],"&gt;="&amp;$R$52,Table_Assembly[MFG Date],"&lt;="&amp;$R$53),"")))))</f>
        <v>35</v>
      </c>
      <c r="J48" s="44">
        <f>IF($J$4="","",
IF($BH$4=TRUE,SUMIFS(Table_Assembly[Total NG from machine],Table_Assembly[Product type],$D$8,Table_Assembly[MFG Date],"&gt;="&amp;$R$60,Table_Assembly[MFG Date],"&lt;="&amp;$R$61),
IF(AND($BF$5=TRUE,$BI$5=FALSE),SUMIFS(Table_Assembly[Total NG from machine],Table_Assembly[Product type],$D$8,Table_Assembly[MFG Date],"&gt;="&amp;$R$60,Table_Assembly[MFG Date],"&lt;="&amp;$R$61),
IF(AND($BF$5=FALSE,$BI$5=TRUE),SUMIFS(Table_Assembly[Total NG from machine],Table_Assembly[Product type],$D$8,Table_Assembly[Customer],$B$5,Table_Assembly[MFG Date],"&gt;="&amp;$R$60,Table_Assembly[MFG Date],"&lt;="&amp;$R$61),
IF(AND($BI$5=FALSE,$BH$5=FALSE),SUMIFS(Table_Assembly[Total NG from machine],Table_Assembly[Product type],$D$8,Table_Assembly[Customer],$B$5,Table_Assembly[MFG Date],"&gt;="&amp;$R$60,Table_Assembly[MFG Date],"&lt;="&amp;$R$61),"")))))</f>
        <v>2</v>
      </c>
      <c r="K48" s="44" t="str">
        <f>IF($K$4="","",
IF($BH$4=TRUE,SUMIFS(Table_Assembly[Total NG from machine],Table_Assembly[Product type],$D$8,Table_Assembly[MFG Date],"&gt;="&amp;$R$68,Table_Assembly[MFG Date],"&lt;="&amp;$R$69),
IF(AND($BF$5=TRUE,$BI$5=FALSE),SUMIFS(Table_Assembly[Total NG from machine],Table_Assembly[Product type],$D$8,Table_Assembly[MFG Date],"&gt;="&amp;$R$68,Table_Assembly[MFG Date],"&lt;="&amp;$R$69),
IF(AND($BF$5=FALSE,$BI$5=TRUE),SUMIFS(Table_Assembly[Total NG from machine],Table_Assembly[Product type],$D$8,Table_Assembly[Customer],$B$5,Table_Assembly[MFG Date],"&gt;="&amp;$R$68,Table_Assembly[MFG Date],"&lt;="&amp;$R$69),
IF(AND($BI$5=FALSE,$BH$5=FALSE),SUMIFS(Table_Assembly[Total NG from machine],Table_Assembly[Product type],$D$8,Table_Assembly[Customer],$B$5,Table_Assembly[MFG Date],"&gt;="&amp;$R$68,Table_Assembly[MFG Date],"&lt;="&amp;$R$69),"")))))</f>
        <v/>
      </c>
      <c r="L48" s="45"/>
      <c r="M48" s="46">
        <f t="shared" si="35"/>
        <v>87</v>
      </c>
      <c r="N48" s="23"/>
      <c r="O48" s="119"/>
      <c r="R48" s="14"/>
      <c r="S48" s="12">
        <f t="shared" ca="1" si="38"/>
        <v>19</v>
      </c>
      <c r="U48" s="16">
        <f t="shared" ca="1" si="39"/>
        <v>45065</v>
      </c>
      <c r="Y48" s="14">
        <f t="shared" si="22"/>
        <v>45067</v>
      </c>
      <c r="Z48" s="12" t="str">
        <f t="shared" ca="1" si="23"/>
        <v/>
      </c>
      <c r="AA48" s="12" t="str">
        <f t="shared" si="24"/>
        <v/>
      </c>
      <c r="AB48" s="15" t="str">
        <f t="shared" si="25"/>
        <v/>
      </c>
      <c r="AC48" s="15" t="str">
        <f t="shared" si="17"/>
        <v>Week 3</v>
      </c>
      <c r="AD48" s="15"/>
      <c r="AE48" s="15">
        <f t="shared" si="26"/>
        <v>3</v>
      </c>
      <c r="AF48" s="15" t="str">
        <f t="shared" si="27"/>
        <v>Sunday</v>
      </c>
      <c r="AG48" s="16">
        <f t="shared" si="28"/>
        <v>45067</v>
      </c>
      <c r="AH48" s="12" t="b">
        <f t="shared" si="29"/>
        <v>0</v>
      </c>
      <c r="AJ48" s="12" t="str">
        <f ca="1">IFERROR(MATCH($B$114,OFFSET(#REF!,AJ47,0,1000000),0)+AJ47,"")</f>
        <v/>
      </c>
      <c r="AK48" s="17" t="str">
        <f ca="1">IFERROR(_xlfn.SINGLE(INDEX(#REF!,'Monthly Report'!AJ48)),"")</f>
        <v/>
      </c>
      <c r="AL48" s="12" t="str">
        <f ca="1">IFERROR(_xlfn.SINGLE(INDEX(#REF!,'Monthly Report'!AJ48)),"")</f>
        <v/>
      </c>
      <c r="AN48" s="12" t="str">
        <f ca="1">IFERROR(MATCH($G$115,OFFSET(#REF!,AN47,0,1000000),0)+AN47,"")</f>
        <v/>
      </c>
      <c r="AO48" s="17" t="str">
        <f ca="1">IFERROR(_xlfn.SINGLE(INDEX(#REF!,'Monthly Report'!AN48)),"")</f>
        <v/>
      </c>
      <c r="AP48" s="12" t="str">
        <f ca="1">IFERROR(_xlfn.SINGLE(INDEX(#REF!,'Monthly Report'!AN48)),"")</f>
        <v/>
      </c>
      <c r="BM48" s="105"/>
      <c r="BN48" s="23"/>
      <c r="BO48" s="23"/>
      <c r="BP48" s="188"/>
      <c r="BQ48" s="108" t="s">
        <v>319</v>
      </c>
      <c r="BR48" s="40">
        <f>IF(BR43="","",SUM(CG27:CG31,CG33:CG47))</f>
        <v>1</v>
      </c>
      <c r="BS48" s="40">
        <f t="shared" ref="BS48:BW48" si="45">IF(BS43="","",SUM(CH27:CH31,CH33:CH47))</f>
        <v>10</v>
      </c>
      <c r="BT48" s="40">
        <f t="shared" si="45"/>
        <v>17</v>
      </c>
      <c r="BU48" s="40">
        <f t="shared" si="45"/>
        <v>12</v>
      </c>
      <c r="BV48" s="40">
        <f t="shared" si="45"/>
        <v>7</v>
      </c>
      <c r="BW48" s="40" t="str">
        <f t="shared" si="45"/>
        <v/>
      </c>
      <c r="BX48" s="41"/>
      <c r="BY48" s="42">
        <f t="shared" si="41"/>
        <v>47</v>
      </c>
      <c r="BZ48" s="23"/>
      <c r="CA48" s="85"/>
      <c r="CF48" s="6" t="s">
        <v>193</v>
      </c>
      <c r="CG48" s="6">
        <f>SUMIFS(Table_Assembly[Specific Amount],Table_Assembly[NG Type],$CF$14,Table_Assembly[Product type],$BP$43,Table_Assembly[NG content],CF48,Table_Assembly[MFG Date],"&gt;="&amp;$R$28,Table_Assembly[MFG Date],"&lt;="&amp;$R$29)</f>
        <v>0</v>
      </c>
      <c r="CH48" s="6">
        <f>SUMIFS(Table_Assembly[Specific Amount],Table_Assembly[NG Type],$CF$14,Table_Assembly[Product type],$BP$43,Table_Assembly[NG content],CF48,Table_Assembly[MFG Date],"&gt;="&amp;$R$36,Table_Assembly[MFG Date],"&lt;="&amp;$R$37)</f>
        <v>0</v>
      </c>
      <c r="CI48" s="6">
        <f>SUMIFS(Table_Assembly[Specific Amount],Table_Assembly[NG Type],$CF$14,Table_Assembly[Product type],$BP$43,Table_Assembly[NG content],CF48,Table_Assembly[MFG Date],"&gt;="&amp;$R$44,Table_Assembly[MFG Date],"&lt;="&amp;$R$45)</f>
        <v>0</v>
      </c>
      <c r="CJ48" s="6">
        <f>SUMIFS(Table_Assembly[Specific Amount],Table_Assembly[NG Type],$CF$14,Table_Assembly[Product type],$BP$43,Table_Assembly[NG content],CF48,Table_Assembly[MFG Date],"&gt;="&amp;$R$52,Table_Assembly[MFG Date],"&lt;="&amp;$R$53)</f>
        <v>0</v>
      </c>
      <c r="CK48" s="6">
        <f>SUMIFS(Table_Assembly[Specific Amount],Table_Assembly[NG Type],$CF$14,Table_Assembly[Product type],$BP$43,Table_Assembly[NG content],CF48,Table_Assembly[MFG Date],"&gt;="&amp;$R$60,Table_Assembly[MFG Date],"&lt;="&amp;$R$61)</f>
        <v>0</v>
      </c>
      <c r="CL48" s="6">
        <f>SUMIFS(Table_Assembly[Specific Amount],Table_Assembly[NG Type],$CF$14,Table_Assembly[Product type],$BP$43,Table_Assembly[NG content],CF48,Table_Assembly[MFG Date],"&gt;="&amp;$R$68,Table_Assembly[MFG Date],"&lt;="&amp;$R$69)</f>
        <v>0</v>
      </c>
    </row>
    <row r="49" spans="1:90" ht="15.5" thickBot="1">
      <c r="A49" s="1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119"/>
      <c r="R49" s="14"/>
      <c r="S49" s="12">
        <f t="shared" ca="1" si="38"/>
        <v>20</v>
      </c>
      <c r="U49" s="16">
        <f t="shared" ca="1" si="39"/>
        <v>45066</v>
      </c>
      <c r="Y49" s="14">
        <f t="shared" si="22"/>
        <v>45068</v>
      </c>
      <c r="Z49" s="12" t="str">
        <f t="shared" ca="1" si="23"/>
        <v>Week 4</v>
      </c>
      <c r="AA49" s="12">
        <f t="shared" si="24"/>
        <v>4</v>
      </c>
      <c r="AB49" s="15" t="str">
        <f t="shared" si="25"/>
        <v>Week 4</v>
      </c>
      <c r="AC49" s="15" t="str">
        <f t="shared" si="17"/>
        <v>Week 4</v>
      </c>
      <c r="AD49" s="15"/>
      <c r="AE49" s="15">
        <f t="shared" si="26"/>
        <v>4</v>
      </c>
      <c r="AF49" s="15" t="str">
        <f t="shared" si="27"/>
        <v>Monday</v>
      </c>
      <c r="AG49" s="16">
        <f t="shared" si="28"/>
        <v>45068</v>
      </c>
      <c r="AH49" s="12" t="b">
        <f t="shared" si="29"/>
        <v>0</v>
      </c>
      <c r="AJ49" s="12" t="str">
        <f ca="1">IFERROR(MATCH($B$114,OFFSET(#REF!,AJ48,0,1000000),0)+AJ48,"")</f>
        <v/>
      </c>
      <c r="AK49" s="17" t="str">
        <f ca="1">IFERROR(_xlfn.SINGLE(INDEX(#REF!,'Monthly Report'!AJ49)),"")</f>
        <v/>
      </c>
      <c r="AL49" s="12" t="str">
        <f ca="1">IFERROR(_xlfn.SINGLE(INDEX(#REF!,'Monthly Report'!AJ49)),"")</f>
        <v/>
      </c>
      <c r="AN49" s="12" t="str">
        <f ca="1">IFERROR(MATCH($G$115,OFFSET(#REF!,AN48,0,1000000),0)+AN48,"")</f>
        <v/>
      </c>
      <c r="AO49" s="17" t="str">
        <f ca="1">IFERROR(_xlfn.SINGLE(INDEX(#REF!,'Monthly Report'!AN49)),"")</f>
        <v/>
      </c>
      <c r="AP49" s="12" t="str">
        <f ca="1">IFERROR(_xlfn.SINGLE(INDEX(#REF!,'Monthly Report'!AN49)),"")</f>
        <v/>
      </c>
      <c r="BM49" s="105"/>
      <c r="BN49" s="23"/>
      <c r="BO49" s="23"/>
      <c r="BP49" s="190"/>
      <c r="BQ49" s="109" t="s">
        <v>136</v>
      </c>
      <c r="BR49" s="54">
        <f>IF(BR42="","",SUM(CG51:CG52))</f>
        <v>1000</v>
      </c>
      <c r="BS49" s="54">
        <f t="shared" ref="BS49:BW49" si="46">IF(BS42="","",SUM(CH51:CH52))</f>
        <v>12</v>
      </c>
      <c r="BT49" s="54">
        <f t="shared" si="46"/>
        <v>8</v>
      </c>
      <c r="BU49" s="54">
        <f t="shared" si="46"/>
        <v>7</v>
      </c>
      <c r="BV49" s="54">
        <f t="shared" si="46"/>
        <v>5</v>
      </c>
      <c r="BW49" s="54" t="str">
        <f t="shared" si="46"/>
        <v/>
      </c>
      <c r="BX49" s="55"/>
      <c r="BY49" s="56">
        <f t="shared" si="41"/>
        <v>1032</v>
      </c>
      <c r="BZ49" s="23"/>
      <c r="CA49" s="85"/>
      <c r="CF49" s="6" t="s">
        <v>241</v>
      </c>
      <c r="CG49" s="6">
        <f>SUMIFS(Table_Assembly[Specific Amount],Table_Assembly[NG Type],$CF$14,Table_Assembly[Product type],$BP$43,Table_Assembly[NG content],CF49,Table_Assembly[MFG Date],"&gt;="&amp;$R$28,Table_Assembly[MFG Date],"&lt;="&amp;$R$29)</f>
        <v>0</v>
      </c>
      <c r="CH49" s="6">
        <f>SUMIFS(Table_Assembly[Specific Amount],Table_Assembly[NG Type],$CF$14,Table_Assembly[Product type],$BP$43,Table_Assembly[NG content],CF49,Table_Assembly[MFG Date],"&gt;="&amp;$R$36,Table_Assembly[MFG Date],"&lt;="&amp;$R$37)</f>
        <v>0</v>
      </c>
      <c r="CI49" s="6">
        <f>SUMIFS(Table_Assembly[Specific Amount],Table_Assembly[NG Type],$CF$14,Table_Assembly[Product type],$BP$43,Table_Assembly[NG content],CF49,Table_Assembly[MFG Date],"&gt;="&amp;$R$44,Table_Assembly[MFG Date],"&lt;="&amp;$R$45)</f>
        <v>0</v>
      </c>
      <c r="CJ49" s="6">
        <f>SUMIFS(Table_Assembly[Specific Amount],Table_Assembly[NG Type],$CF$14,Table_Assembly[Product type],$BP$43,Table_Assembly[NG content],CF49,Table_Assembly[MFG Date],"&gt;="&amp;$R$52,Table_Assembly[MFG Date],"&lt;="&amp;$R$53)</f>
        <v>0</v>
      </c>
      <c r="CK49" s="6">
        <f>SUMIFS(Table_Assembly[Specific Amount],Table_Assembly[NG Type],$CF$14,Table_Assembly[Product type],$BP$43,Table_Assembly[NG content],CF49,Table_Assembly[MFG Date],"&gt;="&amp;$R$60,Table_Assembly[MFG Date],"&lt;="&amp;$R$61)</f>
        <v>0</v>
      </c>
      <c r="CL49" s="6">
        <f>SUMIFS(Table_Assembly[Specific Amount],Table_Assembly[NG Type],$CF$14,Table_Assembly[Product type],$BP$43,Table_Assembly[NG content],CF49,Table_Assembly[MFG Date],"&gt;="&amp;$R$68,Table_Assembly[MFG Date],"&lt;="&amp;$R$69)</f>
        <v>0</v>
      </c>
    </row>
    <row r="50" spans="1:90" ht="15.5" thickTop="1">
      <c r="A50" s="1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119"/>
      <c r="R50" s="14"/>
      <c r="S50" s="12">
        <f t="shared" ca="1" si="38"/>
        <v>21</v>
      </c>
      <c r="U50" s="16">
        <f t="shared" ca="1" si="39"/>
        <v>45067</v>
      </c>
      <c r="Y50" s="14">
        <f t="shared" si="22"/>
        <v>45069</v>
      </c>
      <c r="Z50" s="12" t="str">
        <f t="shared" ca="1" si="23"/>
        <v/>
      </c>
      <c r="AA50" s="12" t="str">
        <f t="shared" si="24"/>
        <v/>
      </c>
      <c r="AB50" s="15" t="str">
        <f t="shared" si="25"/>
        <v/>
      </c>
      <c r="AC50" s="15" t="str">
        <f t="shared" si="17"/>
        <v>Week 4</v>
      </c>
      <c r="AD50" s="15"/>
      <c r="AE50" s="15">
        <f t="shared" si="26"/>
        <v>4</v>
      </c>
      <c r="AF50" s="15" t="str">
        <f t="shared" si="27"/>
        <v>Tuesday</v>
      </c>
      <c r="AG50" s="16">
        <f t="shared" si="28"/>
        <v>45069</v>
      </c>
      <c r="AH50" s="12" t="b">
        <f t="shared" si="29"/>
        <v>0</v>
      </c>
      <c r="AJ50" s="12" t="str">
        <f ca="1">IFERROR(MATCH($B$114,OFFSET(#REF!,AJ49,0,1000000),0)+AJ49,"")</f>
        <v/>
      </c>
      <c r="AK50" s="17" t="str">
        <f ca="1">IFERROR(_xlfn.SINGLE(INDEX(#REF!,'Monthly Report'!AJ50)),"")</f>
        <v/>
      </c>
      <c r="AL50" s="12" t="str">
        <f ca="1">IFERROR(_xlfn.SINGLE(INDEX(#REF!,'Monthly Report'!AJ50)),"")</f>
        <v/>
      </c>
      <c r="AN50" s="12" t="str">
        <f ca="1">IFERROR(MATCH($G$115,OFFSET(#REF!,AN49,0,1000000),0)+AN49,"")</f>
        <v/>
      </c>
      <c r="AO50" s="17" t="str">
        <f ca="1">IFERROR(_xlfn.SINGLE(INDEX(#REF!,'Monthly Report'!AN50)),"")</f>
        <v/>
      </c>
      <c r="AP50" s="12" t="str">
        <f ca="1">IFERROR(_xlfn.SINGLE(INDEX(#REF!,'Monthly Report'!AN50)),"")</f>
        <v/>
      </c>
      <c r="BM50" s="105"/>
      <c r="BN50" s="23"/>
      <c r="BO50" s="23"/>
      <c r="BP50" s="187" t="s">
        <v>67</v>
      </c>
      <c r="BQ50" s="36" t="s">
        <v>31</v>
      </c>
      <c r="BR50" s="37">
        <f t="shared" ref="BR50:BW50" si="47">IF(BR9="","",BR9)</f>
        <v>15</v>
      </c>
      <c r="BS50" s="37">
        <f t="shared" si="47"/>
        <v>8</v>
      </c>
      <c r="BT50" s="37">
        <f t="shared" si="47"/>
        <v>27</v>
      </c>
      <c r="BU50" s="37">
        <f t="shared" si="47"/>
        <v>35</v>
      </c>
      <c r="BV50" s="37">
        <f t="shared" si="47"/>
        <v>2</v>
      </c>
      <c r="BW50" s="37" t="str">
        <f t="shared" si="47"/>
        <v/>
      </c>
      <c r="BX50" s="38"/>
      <c r="BY50" s="39">
        <f t="shared" ref="BY50" si="48">SUM(BR50:BX50)</f>
        <v>87</v>
      </c>
      <c r="BZ50" s="23"/>
      <c r="CA50" s="85"/>
      <c r="CF50" s="6" t="s">
        <v>194</v>
      </c>
      <c r="CG50" s="6">
        <f>SUMIFS(Table_Assembly[Specific Amount],Table_Assembly[NG Type],$CF$14,Table_Assembly[Product type],$BP$43,Table_Assembly[NG content],CF50,Table_Assembly[MFG Date],"&gt;="&amp;$R$28,Table_Assembly[MFG Date],"&lt;="&amp;$R$29)</f>
        <v>0</v>
      </c>
      <c r="CH50" s="6">
        <f>SUMIFS(Table_Assembly[Specific Amount],Table_Assembly[NG Type],$CF$14,Table_Assembly[Product type],$BP$43,Table_Assembly[NG content],CF50,Table_Assembly[MFG Date],"&gt;="&amp;$R$36,Table_Assembly[MFG Date],"&lt;="&amp;$R$37)</f>
        <v>0</v>
      </c>
      <c r="CI50" s="6">
        <f>SUMIFS(Table_Assembly[Specific Amount],Table_Assembly[NG Type],$CF$14,Table_Assembly[Product type],$BP$43,Table_Assembly[NG content],CF50,Table_Assembly[MFG Date],"&gt;="&amp;$R$44,Table_Assembly[MFG Date],"&lt;="&amp;$R$45)</f>
        <v>0</v>
      </c>
      <c r="CJ50" s="6">
        <f>SUMIFS(Table_Assembly[Specific Amount],Table_Assembly[NG Type],$CF$14,Table_Assembly[Product type],$BP$43,Table_Assembly[NG content],CF50,Table_Assembly[MFG Date],"&gt;="&amp;$R$52,Table_Assembly[MFG Date],"&lt;="&amp;$R$53)</f>
        <v>0</v>
      </c>
      <c r="CK50" s="6">
        <f>SUMIFS(Table_Assembly[Specific Amount],Table_Assembly[NG Type],$CF$14,Table_Assembly[Product type],$BP$43,Table_Assembly[NG content],CF50,Table_Assembly[MFG Date],"&gt;="&amp;$R$60,Table_Assembly[MFG Date],"&lt;="&amp;$R$61)</f>
        <v>0</v>
      </c>
      <c r="CL50" s="6">
        <f>SUMIFS(Table_Assembly[Specific Amount],Table_Assembly[NG Type],$CF$14,Table_Assembly[Product type],$BP$43,Table_Assembly[NG content],CF50,Table_Assembly[MFG Date],"&gt;="&amp;$R$68,Table_Assembly[MFG Date],"&lt;="&amp;$R$69)</f>
        <v>0</v>
      </c>
    </row>
    <row r="51" spans="1:90">
      <c r="A51" s="1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119"/>
      <c r="R51" s="14"/>
      <c r="Y51" s="14">
        <f t="shared" si="22"/>
        <v>45070</v>
      </c>
      <c r="Z51" s="12" t="str">
        <f t="shared" ca="1" si="23"/>
        <v/>
      </c>
      <c r="AA51" s="12" t="str">
        <f t="shared" si="24"/>
        <v/>
      </c>
      <c r="AB51" s="15" t="str">
        <f t="shared" si="25"/>
        <v/>
      </c>
      <c r="AC51" s="15" t="str">
        <f t="shared" si="17"/>
        <v>Week 4</v>
      </c>
      <c r="AD51" s="15"/>
      <c r="AE51" s="15">
        <f t="shared" si="26"/>
        <v>4</v>
      </c>
      <c r="AF51" s="15" t="str">
        <f t="shared" si="27"/>
        <v>Wednesday</v>
      </c>
      <c r="AG51" s="16">
        <f t="shared" si="28"/>
        <v>45070</v>
      </c>
      <c r="AH51" s="12" t="b">
        <f t="shared" si="29"/>
        <v>0</v>
      </c>
      <c r="AJ51" s="12" t="str">
        <f ca="1">IFERROR(MATCH($B$114,OFFSET(#REF!,AJ50,0,1000000),0)+AJ50,"")</f>
        <v/>
      </c>
      <c r="AK51" s="17" t="str">
        <f ca="1">IFERROR(_xlfn.SINGLE(INDEX(#REF!,'Monthly Report'!AJ51)),"")</f>
        <v/>
      </c>
      <c r="AL51" s="12" t="str">
        <f ca="1">IFERROR(_xlfn.SINGLE(INDEX(#REF!,'Monthly Report'!AJ51)),"")</f>
        <v/>
      </c>
      <c r="AN51" s="12" t="str">
        <f ca="1">IFERROR(MATCH($G$115,OFFSET(#REF!,AN50,0,1000000),0)+AN50,"")</f>
        <v/>
      </c>
      <c r="AO51" s="17" t="str">
        <f ca="1">IFERROR(_xlfn.SINGLE(INDEX(#REF!,'Monthly Report'!AN51)),"")</f>
        <v/>
      </c>
      <c r="AP51" s="12" t="str">
        <f ca="1">IFERROR(_xlfn.SINGLE(INDEX(#REF!,'Monthly Report'!AN51)),"")</f>
        <v/>
      </c>
      <c r="BM51" s="105"/>
      <c r="BN51" s="23"/>
      <c r="BO51" s="23"/>
      <c r="BP51" s="188"/>
      <c r="BQ51" s="108" t="s">
        <v>134</v>
      </c>
      <c r="BR51" s="40">
        <f>IF(BR49="","",SUM(CG54:CG55))</f>
        <v>0</v>
      </c>
      <c r="BS51" s="40">
        <f t="shared" ref="BS51:BW51" si="49">IF(BS49="","",SUM(CH54:CH55))</f>
        <v>0</v>
      </c>
      <c r="BT51" s="40">
        <f t="shared" si="49"/>
        <v>0</v>
      </c>
      <c r="BU51" s="40">
        <f t="shared" si="49"/>
        <v>0</v>
      </c>
      <c r="BV51" s="40">
        <f t="shared" si="49"/>
        <v>0</v>
      </c>
      <c r="BW51" s="40" t="str">
        <f t="shared" si="49"/>
        <v/>
      </c>
      <c r="BX51" s="41"/>
      <c r="BY51" s="42">
        <f>SUM(BR51:BX51)</f>
        <v>0</v>
      </c>
      <c r="BZ51" s="23"/>
      <c r="CA51" s="85"/>
      <c r="CF51" s="6" t="s">
        <v>195</v>
      </c>
      <c r="CG51" s="6">
        <f>SUMIFS(Table_Assembly[Specific Amount],Table_Assembly[NG Type],$CF$14,Table_Assembly[Product type],$BP$43,Table_Assembly[NG content],CF51,Table_Assembly[MFG Date],"&gt;="&amp;$R$28,Table_Assembly[MFG Date],"&lt;="&amp;$R$29)</f>
        <v>0</v>
      </c>
      <c r="CH51" s="6">
        <f>SUMIFS(Table_Assembly[Specific Amount],Table_Assembly[NG Type],$CF$14,Table_Assembly[Product type],$BP$43,Table_Assembly[NG content],CF51,Table_Assembly[MFG Date],"&gt;="&amp;$R$36,Table_Assembly[MFG Date],"&lt;="&amp;$R$37)</f>
        <v>0</v>
      </c>
      <c r="CI51" s="6">
        <f>SUMIFS(Table_Assembly[Specific Amount],Table_Assembly[NG Type],$CF$14,Table_Assembly[Product type],$BP$43,Table_Assembly[NG content],CF51,Table_Assembly[MFG Date],"&gt;="&amp;$R$44,Table_Assembly[MFG Date],"&lt;="&amp;$R$45)</f>
        <v>0</v>
      </c>
      <c r="CJ51" s="6">
        <f>SUMIFS(Table_Assembly[Specific Amount],Table_Assembly[NG Type],$CF$14,Table_Assembly[Product type],$BP$43,Table_Assembly[NG content],CF51,Table_Assembly[MFG Date],"&gt;="&amp;$R$52,Table_Assembly[MFG Date],"&lt;="&amp;$R$53)</f>
        <v>0</v>
      </c>
      <c r="CK51" s="6">
        <f>SUMIFS(Table_Assembly[Specific Amount],Table_Assembly[NG Type],$CF$14,Table_Assembly[Product type],$BP$43,Table_Assembly[NG content],CF51,Table_Assembly[MFG Date],"&gt;="&amp;$R$60,Table_Assembly[MFG Date],"&lt;="&amp;$R$61)</f>
        <v>0</v>
      </c>
      <c r="CL51" s="6">
        <f>SUMIFS(Table_Assembly[Specific Amount],Table_Assembly[NG Type],$CF$14,Table_Assembly[Product type],$BP$43,Table_Assembly[NG content],CF51,Table_Assembly[MFG Date],"&gt;="&amp;$R$68,Table_Assembly[MFG Date],"&lt;="&amp;$R$69)</f>
        <v>0</v>
      </c>
    </row>
    <row r="52" spans="1:90">
      <c r="A52" s="1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119"/>
      <c r="R52" s="14">
        <f>IFERROR(INDEX($AG$28:$AG$58,MATCH(T52,$AB$28:$AB$58,0)),"")</f>
        <v>45068</v>
      </c>
      <c r="S52" s="12">
        <f ca="1">IFERROR(MATCH($T$52,OFFSET($AC$28:$AC$58,S51,0,1000000),0)+S51,"")</f>
        <v>22</v>
      </c>
      <c r="T52" s="12" t="s">
        <v>106</v>
      </c>
      <c r="U52" s="16">
        <f ca="1">IFERROR(INDEX($AG$28:$AG$58,S52),"")</f>
        <v>45068</v>
      </c>
      <c r="Y52" s="14">
        <f t="shared" si="22"/>
        <v>45071</v>
      </c>
      <c r="Z52" s="12" t="str">
        <f t="shared" ca="1" si="23"/>
        <v/>
      </c>
      <c r="AA52" s="12" t="str">
        <f t="shared" si="24"/>
        <v/>
      </c>
      <c r="AB52" s="15" t="str">
        <f t="shared" si="25"/>
        <v/>
      </c>
      <c r="AC52" s="15" t="str">
        <f t="shared" si="17"/>
        <v>Week 4</v>
      </c>
      <c r="AD52" s="15"/>
      <c r="AE52" s="15">
        <f t="shared" si="26"/>
        <v>4</v>
      </c>
      <c r="AF52" s="15" t="str">
        <f t="shared" si="27"/>
        <v>Thursday</v>
      </c>
      <c r="AG52" s="16">
        <f t="shared" si="28"/>
        <v>45071</v>
      </c>
      <c r="AH52" s="12" t="b">
        <f t="shared" si="29"/>
        <v>0</v>
      </c>
      <c r="AJ52" s="12" t="str">
        <f ca="1">IFERROR(MATCH($B$114,OFFSET(#REF!,AJ51,0,1000000),0)+AJ51,"")</f>
        <v/>
      </c>
      <c r="AK52" s="17" t="str">
        <f ca="1">IFERROR(_xlfn.SINGLE(INDEX(#REF!,'Monthly Report'!AJ52)),"")</f>
        <v/>
      </c>
      <c r="AL52" s="12" t="str">
        <f ca="1">IFERROR(_xlfn.SINGLE(INDEX(#REF!,'Monthly Report'!AJ52)),"")</f>
        <v/>
      </c>
      <c r="AN52" s="12" t="str">
        <f ca="1">IFERROR(MATCH($G$115,OFFSET(#REF!,AN51,0,1000000),0)+AN51,"")</f>
        <v/>
      </c>
      <c r="AO52" s="17" t="str">
        <f ca="1">IFERROR(_xlfn.SINGLE(INDEX(#REF!,'Monthly Report'!AN52)),"")</f>
        <v/>
      </c>
      <c r="AP52" s="12" t="str">
        <f ca="1">IFERROR(_xlfn.SINGLE(INDEX(#REF!,'Monthly Report'!AN52)),"")</f>
        <v/>
      </c>
      <c r="BM52" s="105"/>
      <c r="BN52" s="23"/>
      <c r="BO52" s="23"/>
      <c r="BP52" s="188"/>
      <c r="BQ52" s="108" t="s">
        <v>318</v>
      </c>
      <c r="BR52" s="40">
        <f>IF(BR49="","",SUM(CG56:CG59))</f>
        <v>0</v>
      </c>
      <c r="BS52" s="40">
        <f t="shared" ref="BS52:BW52" si="50">IF(BS49="","",SUM(CH56:CH59))</f>
        <v>0</v>
      </c>
      <c r="BT52" s="40">
        <f t="shared" si="50"/>
        <v>0</v>
      </c>
      <c r="BU52" s="40">
        <f t="shared" si="50"/>
        <v>0</v>
      </c>
      <c r="BV52" s="40">
        <f t="shared" si="50"/>
        <v>0</v>
      </c>
      <c r="BW52" s="40" t="str">
        <f t="shared" si="50"/>
        <v/>
      </c>
      <c r="BX52" s="41"/>
      <c r="BY52" s="20">
        <f t="shared" ref="BY52:BY56" si="51">SUM(BR52:BX52)</f>
        <v>0</v>
      </c>
      <c r="BZ52" s="23"/>
      <c r="CA52" s="85"/>
      <c r="CF52" s="6" t="s">
        <v>123</v>
      </c>
      <c r="CG52" s="6">
        <f>SUMIFS(Table_Assembly[Specific Amount],Table_Assembly[NG Type],$CF$14,Table_Assembly[Product type],$BP$43,Table_Assembly[NG content],"Others",Table_Assembly[MFG Date],"&gt;="&amp;$R$28,Table_Assembly[MFG Date],"&lt;="&amp;$R$29)</f>
        <v>1000</v>
      </c>
      <c r="CH52" s="6">
        <f>SUMIFS(Table_Assembly[Specific Amount],Table_Assembly[NG Type],$CF$14,Table_Assembly[Product type],$BP$43,Table_Assembly[NG content],"Others",Table_Assembly[MFG Date],"&gt;="&amp;$R$36,Table_Assembly[MFG Date],"&lt;="&amp;$R$37)</f>
        <v>12</v>
      </c>
      <c r="CI52" s="6">
        <f>SUMIFS(Table_Assembly[Specific Amount],Table_Assembly[NG Type],$CF$14,Table_Assembly[Product type],$BP$43,Table_Assembly[NG content],"Others",Table_Assembly[MFG Date],"&gt;="&amp;$R$44,Table_Assembly[MFG Date],"&lt;="&amp;$R$45)</f>
        <v>8</v>
      </c>
      <c r="CJ52" s="6">
        <f>SUMIFS(Table_Assembly[Specific Amount],Table_Assembly[NG Type],$CF$14,Table_Assembly[Product type],$BP$43,Table_Assembly[NG content],"Others",Table_Assembly[MFG Date],"&gt;="&amp;$R$52,Table_Assembly[MFG Date],"&lt;="&amp;$R$53)</f>
        <v>7</v>
      </c>
      <c r="CK52" s="6">
        <f>SUMIFS(Table_Assembly[Specific Amount],Table_Assembly[NG Type],$CF$14,Table_Assembly[Product type],$BP$43,Table_Assembly[NG content],"Others",Table_Assembly[MFG Date],"&gt;="&amp;$R$60,Table_Assembly[MFG Date],"&lt;="&amp;$R$61)</f>
        <v>5</v>
      </c>
      <c r="CL52" s="6">
        <f>SUMIFS(Table_Assembly[Specific Amount],Table_Assembly[NG Type],$CF$14,Table_Assembly[Product type],$BP$43,Table_Assembly[NG content],"Others",Table_Assembly[MFG Date],"&gt;="&amp;$R$68,Table_Assembly[MFG Date],"&lt;="&amp;$R$69)</f>
        <v>0</v>
      </c>
    </row>
    <row r="53" spans="1:90">
      <c r="A53" s="1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119"/>
      <c r="R53" s="14">
        <f>IFERROR(INDEX($AG$28:$AG$58-1,MATCH(RIGHT(T52,2)*1+1,$AE$28:$AE$58,0)),$AB$7)</f>
        <v>45074</v>
      </c>
      <c r="S53" s="12">
        <f t="shared" ref="S53:S58" ca="1" si="52">IFERROR(MATCH($T$52,OFFSET($AC$28:$AC$58,S52,0,1000000),0)+S52,"")</f>
        <v>23</v>
      </c>
      <c r="U53" s="16">
        <f t="shared" ref="U53:U58" ca="1" si="53">IFERROR(INDEX($AG$28:$AG$58,S53),"")</f>
        <v>45069</v>
      </c>
      <c r="Y53" s="14">
        <f t="shared" si="22"/>
        <v>45072</v>
      </c>
      <c r="Z53" s="12" t="str">
        <f t="shared" ca="1" si="23"/>
        <v/>
      </c>
      <c r="AA53" s="12" t="str">
        <f t="shared" si="24"/>
        <v/>
      </c>
      <c r="AB53" s="15" t="str">
        <f t="shared" si="25"/>
        <v/>
      </c>
      <c r="AC53" s="15" t="str">
        <f t="shared" si="17"/>
        <v>Week 4</v>
      </c>
      <c r="AD53" s="15"/>
      <c r="AE53" s="15">
        <f t="shared" si="26"/>
        <v>4</v>
      </c>
      <c r="AF53" s="15" t="str">
        <f t="shared" si="27"/>
        <v>Friday</v>
      </c>
      <c r="AG53" s="16">
        <f t="shared" si="28"/>
        <v>45072</v>
      </c>
      <c r="AH53" s="12" t="b">
        <f t="shared" si="29"/>
        <v>0</v>
      </c>
      <c r="AJ53" s="12" t="str">
        <f ca="1">IFERROR(MATCH($B$114,OFFSET(#REF!,AJ52,0,1000000),0)+AJ52,"")</f>
        <v/>
      </c>
      <c r="AK53" s="17" t="str">
        <f ca="1">IFERROR(_xlfn.SINGLE(INDEX(#REF!,'Monthly Report'!AJ53)),"")</f>
        <v/>
      </c>
      <c r="AL53" s="12" t="str">
        <f ca="1">IFERROR(_xlfn.SINGLE(INDEX(#REF!,'Monthly Report'!AJ53)),"")</f>
        <v/>
      </c>
      <c r="AN53" s="12" t="str">
        <f ca="1">IFERROR(MATCH($G$115,OFFSET(#REF!,AN52,0,1000000),0)+AN52,"")</f>
        <v/>
      </c>
      <c r="AO53" s="17" t="str">
        <f ca="1">IFERROR(_xlfn.SINGLE(INDEX(#REF!,'Monthly Report'!AN53)),"")</f>
        <v/>
      </c>
      <c r="AP53" s="12" t="str">
        <f ca="1">IFERROR(_xlfn.SINGLE(INDEX(#REF!,'Monthly Report'!AN53)),"")</f>
        <v/>
      </c>
      <c r="BM53" s="105"/>
      <c r="BN53" s="23"/>
      <c r="BO53" s="23"/>
      <c r="BP53" s="188"/>
      <c r="BQ53" s="108" t="s">
        <v>135</v>
      </c>
      <c r="BR53" s="40">
        <f>IF(BR49="","",SUM(CG61:CG64))</f>
        <v>3</v>
      </c>
      <c r="BS53" s="40">
        <f t="shared" ref="BS53:BW53" si="54">IF(BS49="","",SUM(CH61:CH64))</f>
        <v>6</v>
      </c>
      <c r="BT53" s="40">
        <f t="shared" si="54"/>
        <v>9</v>
      </c>
      <c r="BU53" s="40">
        <f t="shared" si="54"/>
        <v>8</v>
      </c>
      <c r="BV53" s="40">
        <f t="shared" si="54"/>
        <v>1</v>
      </c>
      <c r="BW53" s="40" t="str">
        <f t="shared" si="54"/>
        <v/>
      </c>
      <c r="BX53" s="41"/>
      <c r="BY53" s="42">
        <f t="shared" si="51"/>
        <v>27</v>
      </c>
      <c r="BZ53" s="23"/>
      <c r="CA53" s="85"/>
    </row>
    <row r="54" spans="1:90">
      <c r="A54" s="1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119"/>
      <c r="R54" s="14"/>
      <c r="S54" s="12">
        <f t="shared" ca="1" si="52"/>
        <v>24</v>
      </c>
      <c r="U54" s="16">
        <f t="shared" ca="1" si="53"/>
        <v>45070</v>
      </c>
      <c r="Y54" s="14">
        <f t="shared" si="22"/>
        <v>45073</v>
      </c>
      <c r="Z54" s="12" t="str">
        <f t="shared" ca="1" si="23"/>
        <v/>
      </c>
      <c r="AA54" s="12" t="str">
        <f t="shared" si="24"/>
        <v/>
      </c>
      <c r="AB54" s="15" t="str">
        <f t="shared" si="25"/>
        <v/>
      </c>
      <c r="AC54" s="15" t="str">
        <f t="shared" si="17"/>
        <v>Week 4</v>
      </c>
      <c r="AD54" s="15"/>
      <c r="AE54" s="15">
        <f t="shared" si="26"/>
        <v>4</v>
      </c>
      <c r="AF54" s="15" t="str">
        <f t="shared" si="27"/>
        <v>Saturday</v>
      </c>
      <c r="AG54" s="16">
        <f t="shared" si="28"/>
        <v>45073</v>
      </c>
      <c r="AH54" s="12" t="b">
        <f t="shared" si="29"/>
        <v>0</v>
      </c>
      <c r="AJ54" s="12" t="str">
        <f ca="1">IFERROR(MATCH($B$114,OFFSET(#REF!,AJ53,0,1000000),0)+AJ53,"")</f>
        <v/>
      </c>
      <c r="AK54" s="17" t="str">
        <f ca="1">IFERROR(_xlfn.SINGLE(INDEX(#REF!,'Monthly Report'!AJ54)),"")</f>
        <v/>
      </c>
      <c r="AL54" s="12" t="str">
        <f ca="1">IFERROR(_xlfn.SINGLE(INDEX(#REF!,'Monthly Report'!AJ54)),"")</f>
        <v/>
      </c>
      <c r="AN54" s="12" t="str">
        <f ca="1">IFERROR(MATCH($G$115,OFFSET(#REF!,AN53,0,1000000),0)+AN53,"")</f>
        <v/>
      </c>
      <c r="AO54" s="17" t="str">
        <f ca="1">IFERROR(_xlfn.SINGLE(INDEX(#REF!,'Monthly Report'!AN54)),"")</f>
        <v/>
      </c>
      <c r="AP54" s="12" t="str">
        <f ca="1">IFERROR(_xlfn.SINGLE(INDEX(#REF!,'Monthly Report'!AN54)),"")</f>
        <v/>
      </c>
      <c r="BM54" s="105"/>
      <c r="BN54" s="23"/>
      <c r="BO54" s="23"/>
      <c r="BP54" s="188"/>
      <c r="BQ54" s="108" t="s">
        <v>197</v>
      </c>
      <c r="BR54" s="40">
        <f>IF(BR49="","",SUM(CG60,CG70))</f>
        <v>0</v>
      </c>
      <c r="BS54" s="40">
        <f t="shared" ref="BS54:BW54" si="55">IF(BS49="","",SUM(CH60,CH70))</f>
        <v>0</v>
      </c>
      <c r="BT54" s="40">
        <f t="shared" si="55"/>
        <v>0</v>
      </c>
      <c r="BU54" s="40">
        <f t="shared" si="55"/>
        <v>0</v>
      </c>
      <c r="BV54" s="40">
        <f t="shared" si="55"/>
        <v>0</v>
      </c>
      <c r="BW54" s="40" t="str">
        <f t="shared" si="55"/>
        <v/>
      </c>
      <c r="BX54" s="41"/>
      <c r="BY54" s="20">
        <f t="shared" si="51"/>
        <v>0</v>
      </c>
      <c r="BZ54" s="23"/>
      <c r="CA54" s="85"/>
      <c r="CF54" s="6" t="s">
        <v>172</v>
      </c>
      <c r="CG54" s="6">
        <f>SUMIFS(Table_Assembly[Specific Amount],Table_Assembly[NG Type],$CF$14,Table_Assembly[Product type],$BP$50,Table_Assembly[NG content],CF54,Table_Assembly[MFG Date],"&gt;="&amp;$R$28,Table_Assembly[MFG Date],"&lt;="&amp;$R$29)</f>
        <v>0</v>
      </c>
      <c r="CH54" s="6">
        <f>SUMIFS(Table_Assembly[Specific Amount],Table_Assembly[NG Type],$CF$14,Table_Assembly[Product type],$BP$50,Table_Assembly[NG content],CF54,Table_Assembly[MFG Date],"&gt;="&amp;$R$36,Table_Assembly[MFG Date],"&lt;="&amp;$R$37)</f>
        <v>0</v>
      </c>
      <c r="CI54" s="6">
        <f>SUMIFS(Table_Assembly[Specific Amount],Table_Assembly[NG Type],$CF$14,Table_Assembly[Product type],$BP$50,Table_Assembly[NG content],CF54,Table_Assembly[MFG Date],"&gt;="&amp;$R$44,Table_Assembly[MFG Date],"&lt;="&amp;$R$45)</f>
        <v>0</v>
      </c>
      <c r="CJ54" s="6">
        <f>SUMIFS(Table_Assembly[Specific Amount],Table_Assembly[NG Type],$CF$14,Table_Assembly[Product type],$BP$50,Table_Assembly[NG content],CF54,Table_Assembly[MFG Date],"&gt;="&amp;$R$52,Table_Assembly[MFG Date],"&lt;="&amp;$R$53)</f>
        <v>0</v>
      </c>
      <c r="CK54" s="6">
        <f>SUMIFS(Table_Assembly[Specific Amount],Table_Assembly[NG Type],$CF$14,Table_Assembly[Product type],$BP$50,Table_Assembly[NG content],CF54,Table_Assembly[MFG Date],"&gt;="&amp;$R$60,Table_Assembly[MFG Date],"&lt;="&amp;$R$61)</f>
        <v>0</v>
      </c>
      <c r="CL54" s="6">
        <f>SUMIFS(Table_Assembly[Specific Amount],Table_Assembly[NG Type],$CF$14,Table_Assembly[Product type],$BP$50,Table_Assembly[NG content],CF54,Table_Assembly[MFG Date],"&gt;="&amp;$R$68,Table_Assembly[MFG Date],"&lt;="&amp;$R$69)</f>
        <v>0</v>
      </c>
    </row>
    <row r="55" spans="1:90">
      <c r="A55" s="1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119"/>
      <c r="R55" s="14"/>
      <c r="S55" s="12">
        <f t="shared" ca="1" si="52"/>
        <v>25</v>
      </c>
      <c r="U55" s="16">
        <f t="shared" ca="1" si="53"/>
        <v>45071</v>
      </c>
      <c r="Y55" s="14">
        <f t="shared" si="22"/>
        <v>45074</v>
      </c>
      <c r="Z55" s="12" t="str">
        <f t="shared" ca="1" si="23"/>
        <v/>
      </c>
      <c r="AA55" s="12" t="str">
        <f t="shared" si="24"/>
        <v/>
      </c>
      <c r="AB55" s="15" t="str">
        <f t="shared" si="25"/>
        <v/>
      </c>
      <c r="AC55" s="15" t="str">
        <f t="shared" si="17"/>
        <v>Week 4</v>
      </c>
      <c r="AD55" s="15"/>
      <c r="AE55" s="15">
        <f t="shared" si="26"/>
        <v>4</v>
      </c>
      <c r="AF55" s="15" t="str">
        <f t="shared" si="27"/>
        <v>Sunday</v>
      </c>
      <c r="AG55" s="16">
        <f t="shared" si="28"/>
        <v>45074</v>
      </c>
      <c r="AH55" s="12" t="b">
        <f t="shared" si="29"/>
        <v>0</v>
      </c>
      <c r="AJ55" s="12" t="str">
        <f ca="1">IFERROR(MATCH($B$114,OFFSET(#REF!,AJ54,0,1000000),0)+AJ54,"")</f>
        <v/>
      </c>
      <c r="AK55" s="17" t="str">
        <f ca="1">IFERROR(_xlfn.SINGLE(INDEX(#REF!,'Monthly Report'!AJ55)),"")</f>
        <v/>
      </c>
      <c r="AL55" s="12" t="str">
        <f ca="1">IFERROR(_xlfn.SINGLE(INDEX(#REF!,'Monthly Report'!AJ55)),"")</f>
        <v/>
      </c>
      <c r="AN55" s="12" t="str">
        <f ca="1">IFERROR(MATCH($G$115,OFFSET(#REF!,AN54,0,1000000),0)+AN54,"")</f>
        <v/>
      </c>
      <c r="AO55" s="17" t="str">
        <f ca="1">IFERROR(_xlfn.SINGLE(INDEX(#REF!,'Monthly Report'!AN55)),"")</f>
        <v/>
      </c>
      <c r="AP55" s="12" t="str">
        <f ca="1">IFERROR(_xlfn.SINGLE(INDEX(#REF!,'Monthly Report'!AN55)),"")</f>
        <v/>
      </c>
      <c r="BM55" s="105"/>
      <c r="BN55" s="23"/>
      <c r="BO55" s="23"/>
      <c r="BP55" s="188"/>
      <c r="BQ55" s="108" t="s">
        <v>319</v>
      </c>
      <c r="BR55" s="40">
        <f>IF(BR50="","",SUM(CG65:CG69,CG71:CG85))</f>
        <v>12</v>
      </c>
      <c r="BS55" s="40">
        <f t="shared" ref="BS55:BW55" si="56">IF(BS50="","",SUM(CH65:CH69,CH71:CH85))</f>
        <v>2</v>
      </c>
      <c r="BT55" s="40">
        <f t="shared" si="56"/>
        <v>18</v>
      </c>
      <c r="BU55" s="40">
        <f t="shared" si="56"/>
        <v>27</v>
      </c>
      <c r="BV55" s="40">
        <f t="shared" si="56"/>
        <v>1</v>
      </c>
      <c r="BW55" s="40" t="str">
        <f t="shared" si="56"/>
        <v/>
      </c>
      <c r="BX55" s="41"/>
      <c r="BY55" s="20">
        <f t="shared" si="51"/>
        <v>60</v>
      </c>
      <c r="BZ55" s="23"/>
      <c r="CA55" s="85"/>
      <c r="CF55" s="6" t="s">
        <v>173</v>
      </c>
      <c r="CG55" s="6">
        <f>SUMIFS(Table_Assembly[Specific Amount],Table_Assembly[NG Type],$CF$14,Table_Assembly[Product type],$BP$50,Table_Assembly[NG content],CF55,Table_Assembly[MFG Date],"&gt;="&amp;$R$28,Table_Assembly[MFG Date],"&lt;="&amp;$R$29)</f>
        <v>0</v>
      </c>
      <c r="CH55" s="6">
        <f>SUMIFS(Table_Assembly[Specific Amount],Table_Assembly[NG Type],$CF$14,Table_Assembly[Product type],$BP$50,Table_Assembly[NG content],CF55,Table_Assembly[MFG Date],"&gt;="&amp;$R$36,Table_Assembly[MFG Date],"&lt;="&amp;$R$37)</f>
        <v>0</v>
      </c>
      <c r="CI55" s="6">
        <f>SUMIFS(Table_Assembly[Specific Amount],Table_Assembly[NG Type],$CF$14,Table_Assembly[Product type],$BP$50,Table_Assembly[NG content],CF55,Table_Assembly[MFG Date],"&gt;="&amp;$R$44,Table_Assembly[MFG Date],"&lt;="&amp;$R$45)</f>
        <v>0</v>
      </c>
      <c r="CJ55" s="6">
        <f>SUMIFS(Table_Assembly[Specific Amount],Table_Assembly[NG Type],$CF$14,Table_Assembly[Product type],$BP$50,Table_Assembly[NG content],CF55,Table_Assembly[MFG Date],"&gt;="&amp;$R$52,Table_Assembly[MFG Date],"&lt;="&amp;$R$53)</f>
        <v>0</v>
      </c>
      <c r="CK55" s="6">
        <f>SUMIFS(Table_Assembly[Specific Amount],Table_Assembly[NG Type],$CF$14,Table_Assembly[Product type],$BP$50,Table_Assembly[NG content],CF55,Table_Assembly[MFG Date],"&gt;="&amp;$R$60,Table_Assembly[MFG Date],"&lt;="&amp;$R$61)</f>
        <v>0</v>
      </c>
      <c r="CL55" s="6">
        <f>SUMIFS(Table_Assembly[Specific Amount],Table_Assembly[NG Type],$CF$14,Table_Assembly[Product type],$BP$50,Table_Assembly[NG content],CF55,Table_Assembly[MFG Date],"&gt;="&amp;$R$68,Table_Assembly[MFG Date],"&lt;="&amp;$R$69)</f>
        <v>0</v>
      </c>
    </row>
    <row r="56" spans="1:90" ht="15.5" thickBot="1">
      <c r="A56" s="1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119"/>
      <c r="R56" s="14"/>
      <c r="S56" s="12">
        <f t="shared" ca="1" si="52"/>
        <v>26</v>
      </c>
      <c r="U56" s="16">
        <f t="shared" ca="1" si="53"/>
        <v>45072</v>
      </c>
      <c r="Y56" s="14">
        <f t="shared" si="22"/>
        <v>45075</v>
      </c>
      <c r="Z56" s="12" t="str">
        <f t="shared" ca="1" si="23"/>
        <v>Week 5</v>
      </c>
      <c r="AA56" s="12">
        <f t="shared" si="24"/>
        <v>5</v>
      </c>
      <c r="AB56" s="15" t="str">
        <f t="shared" si="25"/>
        <v>Week 5</v>
      </c>
      <c r="AC56" s="15" t="str">
        <f t="shared" si="17"/>
        <v>Week 5</v>
      </c>
      <c r="AD56" s="15"/>
      <c r="AE56" s="15">
        <f t="shared" si="26"/>
        <v>5</v>
      </c>
      <c r="AF56" s="15" t="str">
        <f t="shared" si="27"/>
        <v>Monday</v>
      </c>
      <c r="AG56" s="16">
        <f t="shared" si="28"/>
        <v>45075</v>
      </c>
      <c r="AH56" s="12" t="b">
        <f t="shared" si="29"/>
        <v>0</v>
      </c>
      <c r="AJ56" s="12" t="str">
        <f ca="1">IFERROR(MATCH($B$114,OFFSET(#REF!,AJ55,0,1000000),0)+AJ55,"")</f>
        <v/>
      </c>
      <c r="AK56" s="17" t="str">
        <f ca="1">IFERROR(_xlfn.SINGLE(INDEX(#REF!,'Monthly Report'!AJ56)),"")</f>
        <v/>
      </c>
      <c r="AL56" s="12" t="str">
        <f ca="1">IFERROR(_xlfn.SINGLE(INDEX(#REF!,'Monthly Report'!AJ56)),"")</f>
        <v/>
      </c>
      <c r="AN56" s="12" t="str">
        <f ca="1">IFERROR(MATCH($G$115,OFFSET(#REF!,AN55,0,1000000),0)+AN55,"")</f>
        <v/>
      </c>
      <c r="AO56" s="17" t="str">
        <f ca="1">IFERROR(_xlfn.SINGLE(INDEX(#REF!,'Monthly Report'!AN56)),"")</f>
        <v/>
      </c>
      <c r="AP56" s="12" t="str">
        <f ca="1">IFERROR(_xlfn.SINGLE(INDEX(#REF!,'Monthly Report'!AN56)),"")</f>
        <v/>
      </c>
      <c r="BM56" s="105"/>
      <c r="BN56" s="23"/>
      <c r="BO56" s="23"/>
      <c r="BP56" s="189"/>
      <c r="BQ56" s="110" t="s">
        <v>136</v>
      </c>
      <c r="BR56" s="44">
        <f>IF(BR49="","",SUM(CG89:CG90))</f>
        <v>0</v>
      </c>
      <c r="BS56" s="44">
        <f t="shared" ref="BS56:BW56" si="57">IF(BS49="","",SUM(CH89:CH90))</f>
        <v>0</v>
      </c>
      <c r="BT56" s="44">
        <f t="shared" si="57"/>
        <v>0</v>
      </c>
      <c r="BU56" s="44">
        <f t="shared" si="57"/>
        <v>0</v>
      </c>
      <c r="BV56" s="44">
        <f t="shared" si="57"/>
        <v>0</v>
      </c>
      <c r="BW56" s="44" t="str">
        <f t="shared" si="57"/>
        <v/>
      </c>
      <c r="BX56" s="45"/>
      <c r="BY56" s="46">
        <f t="shared" si="51"/>
        <v>0</v>
      </c>
      <c r="BZ56" s="23"/>
      <c r="CA56" s="85"/>
      <c r="CF56" s="6" t="s">
        <v>230</v>
      </c>
      <c r="CG56" s="6">
        <f>SUMIFS(Table_Assembly[Specific Amount],Table_Assembly[NG Type],$CF$14,Table_Assembly[Product type],$BP$50,Table_Assembly[NG content],CF56,Table_Assembly[MFG Date],"&gt;="&amp;$R$28,Table_Assembly[MFG Date],"&lt;="&amp;$R$29)</f>
        <v>0</v>
      </c>
      <c r="CH56" s="6">
        <f>SUMIFS(Table_Assembly[Specific Amount],Table_Assembly[NG Type],$CF$14,Table_Assembly[Product type],$BP$50,Table_Assembly[NG content],CF56,Table_Assembly[MFG Date],"&gt;="&amp;$R$36,Table_Assembly[MFG Date],"&lt;="&amp;$R$37)</f>
        <v>0</v>
      </c>
      <c r="CI56" s="6">
        <f>SUMIFS(Table_Assembly[Specific Amount],Table_Assembly[NG Type],$CF$14,Table_Assembly[Product type],$BP$50,Table_Assembly[NG content],CF56,Table_Assembly[MFG Date],"&gt;="&amp;$R$44,Table_Assembly[MFG Date],"&lt;="&amp;$R$45)</f>
        <v>0</v>
      </c>
      <c r="CJ56" s="6">
        <f>SUMIFS(Table_Assembly[Specific Amount],Table_Assembly[NG Type],$CF$14,Table_Assembly[Product type],$BP$50,Table_Assembly[NG content],CF56,Table_Assembly[MFG Date],"&gt;="&amp;$R$52,Table_Assembly[MFG Date],"&lt;="&amp;$R$53)</f>
        <v>0</v>
      </c>
      <c r="CK56" s="6">
        <f>SUMIFS(Table_Assembly[Specific Amount],Table_Assembly[NG Type],$CF$14,Table_Assembly[Product type],$BP$50,Table_Assembly[NG content],CF56,Table_Assembly[MFG Date],"&gt;="&amp;$R$60,Table_Assembly[MFG Date],"&lt;="&amp;$R$61)</f>
        <v>0</v>
      </c>
      <c r="CL56" s="6">
        <f>SUMIFS(Table_Assembly[Specific Amount],Table_Assembly[NG Type],$CF$14,Table_Assembly[Product type],$BP$50,Table_Assembly[NG content],CF56,Table_Assembly[MFG Date],"&gt;="&amp;$R$68,Table_Assembly[MFG Date],"&lt;="&amp;$R$69)</f>
        <v>0</v>
      </c>
    </row>
    <row r="57" spans="1:90">
      <c r="A57" s="1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119"/>
      <c r="R57" s="14"/>
      <c r="S57" s="12">
        <f t="shared" ca="1" si="52"/>
        <v>27</v>
      </c>
      <c r="U57" s="16">
        <f t="shared" ca="1" si="53"/>
        <v>45073</v>
      </c>
      <c r="Y57" s="14">
        <f t="shared" si="22"/>
        <v>45076</v>
      </c>
      <c r="Z57" s="12" t="str">
        <f t="shared" ca="1" si="23"/>
        <v/>
      </c>
      <c r="AA57" s="12" t="str">
        <f t="shared" si="24"/>
        <v/>
      </c>
      <c r="AB57" s="15" t="str">
        <f t="shared" si="25"/>
        <v/>
      </c>
      <c r="AC57" s="15" t="str">
        <f t="shared" si="17"/>
        <v>Week 5</v>
      </c>
      <c r="AD57" s="15"/>
      <c r="AE57" s="15">
        <f t="shared" si="26"/>
        <v>5</v>
      </c>
      <c r="AF57" s="15" t="str">
        <f t="shared" si="27"/>
        <v>Tuesday</v>
      </c>
      <c r="AG57" s="16">
        <f t="shared" si="28"/>
        <v>45076</v>
      </c>
      <c r="AH57" s="12" t="b">
        <f t="shared" si="29"/>
        <v>0</v>
      </c>
      <c r="AJ57" s="12" t="str">
        <f ca="1">IFERROR(MATCH($B$114,OFFSET(#REF!,AJ56,0,1000000),0)+AJ56,"")</f>
        <v/>
      </c>
      <c r="AK57" s="17" t="str">
        <f ca="1">IFERROR(_xlfn.SINGLE(INDEX(#REF!,'Monthly Report'!AJ57)),"")</f>
        <v/>
      </c>
      <c r="AL57" s="12" t="str">
        <f ca="1">IFERROR(_xlfn.SINGLE(INDEX(#REF!,'Monthly Report'!AJ57)),"")</f>
        <v/>
      </c>
      <c r="AN57" s="12" t="str">
        <f ca="1">IFERROR(MATCH($G$115,OFFSET(#REF!,AN56,0,1000000),0)+AN56,"")</f>
        <v/>
      </c>
      <c r="AO57" s="17" t="str">
        <f ca="1">IFERROR(_xlfn.SINGLE(INDEX(#REF!,'Monthly Report'!AN57)),"")</f>
        <v/>
      </c>
      <c r="AP57" s="12" t="str">
        <f ca="1">IFERROR(_xlfn.SINGLE(INDEX(#REF!,'Monthly Report'!AN57)),"")</f>
        <v/>
      </c>
      <c r="BM57" s="105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85"/>
      <c r="CF57" s="6" t="s">
        <v>174</v>
      </c>
      <c r="CG57" s="6">
        <f>SUMIFS(Table_Assembly[Specific Amount],Table_Assembly[NG Type],$CF$14,Table_Assembly[Product type],$BP$50,Table_Assembly[NG content],CF57,Table_Assembly[MFG Date],"&gt;="&amp;$R$28,Table_Assembly[MFG Date],"&lt;="&amp;$R$29)</f>
        <v>0</v>
      </c>
      <c r="CH57" s="6">
        <f>SUMIFS(Table_Assembly[Specific Amount],Table_Assembly[NG Type],$CF$14,Table_Assembly[Product type],$BP$50,Table_Assembly[NG content],CF57,Table_Assembly[MFG Date],"&gt;="&amp;$R$36,Table_Assembly[MFG Date],"&lt;="&amp;$R$37)</f>
        <v>0</v>
      </c>
      <c r="CI57" s="6">
        <f>SUMIFS(Table_Assembly[Specific Amount],Table_Assembly[NG Type],$CF$14,Table_Assembly[Product type],$BP$50,Table_Assembly[NG content],CF57,Table_Assembly[MFG Date],"&gt;="&amp;$R$44,Table_Assembly[MFG Date],"&lt;="&amp;$R$45)</f>
        <v>0</v>
      </c>
      <c r="CJ57" s="6">
        <f>SUMIFS(Table_Assembly[Specific Amount],Table_Assembly[NG Type],$CF$14,Table_Assembly[Product type],$BP$50,Table_Assembly[NG content],CF57,Table_Assembly[MFG Date],"&gt;="&amp;$R$52,Table_Assembly[MFG Date],"&lt;="&amp;$R$53)</f>
        <v>0</v>
      </c>
      <c r="CK57" s="6">
        <f>SUMIFS(Table_Assembly[Specific Amount],Table_Assembly[NG Type],$CF$14,Table_Assembly[Product type],$BP$50,Table_Assembly[NG content],CF57,Table_Assembly[MFG Date],"&gt;="&amp;$R$60,Table_Assembly[MFG Date],"&lt;="&amp;$R$61)</f>
        <v>0</v>
      </c>
      <c r="CL57" s="6">
        <f>SUMIFS(Table_Assembly[Specific Amount],Table_Assembly[NG Type],$CF$14,Table_Assembly[Product type],$BP$50,Table_Assembly[NG content],CF57,Table_Assembly[MFG Date],"&gt;="&amp;$R$68,Table_Assembly[MFG Date],"&lt;="&amp;$R$69)</f>
        <v>0</v>
      </c>
    </row>
    <row r="58" spans="1:90">
      <c r="A58" s="1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119"/>
      <c r="R58" s="14"/>
      <c r="S58" s="12">
        <f t="shared" ca="1" si="52"/>
        <v>28</v>
      </c>
      <c r="U58" s="16">
        <f t="shared" ca="1" si="53"/>
        <v>45074</v>
      </c>
      <c r="Y58" s="14">
        <f t="shared" si="22"/>
        <v>45077</v>
      </c>
      <c r="Z58" s="12" t="str">
        <f t="shared" ca="1" si="23"/>
        <v/>
      </c>
      <c r="AA58" s="12" t="str">
        <f t="shared" si="24"/>
        <v/>
      </c>
      <c r="AB58" s="15" t="str">
        <f t="shared" si="25"/>
        <v/>
      </c>
      <c r="AC58" s="15" t="str">
        <f t="shared" si="17"/>
        <v>Week 5</v>
      </c>
      <c r="AD58" s="15"/>
      <c r="AE58" s="15">
        <f t="shared" si="26"/>
        <v>5</v>
      </c>
      <c r="AF58" s="15" t="str">
        <f t="shared" si="27"/>
        <v>Wednesday</v>
      </c>
      <c r="AG58" s="16">
        <f t="shared" si="28"/>
        <v>45077</v>
      </c>
      <c r="AH58" s="12" t="b">
        <f t="shared" si="29"/>
        <v>0</v>
      </c>
      <c r="AJ58" s="12" t="str">
        <f ca="1">IFERROR(MATCH($B$114,OFFSET(#REF!,AJ57,0,1000000),0)+AJ57,"")</f>
        <v/>
      </c>
      <c r="AK58" s="17" t="str">
        <f ca="1">IFERROR(_xlfn.SINGLE(INDEX(#REF!,'Monthly Report'!AJ58)),"")</f>
        <v/>
      </c>
      <c r="AL58" s="12" t="str">
        <f ca="1">IFERROR(_xlfn.SINGLE(INDEX(#REF!,'Monthly Report'!AJ58)),"")</f>
        <v/>
      </c>
      <c r="AN58" s="12" t="str">
        <f ca="1">IFERROR(MATCH($G$115,OFFSET(#REF!,AN57,0,1000000),0)+AN57,"")</f>
        <v/>
      </c>
      <c r="AO58" s="17" t="str">
        <f ca="1">IFERROR(_xlfn.SINGLE(INDEX(#REF!,'Monthly Report'!AN58)),"")</f>
        <v/>
      </c>
      <c r="AP58" s="12" t="str">
        <f ca="1">IFERROR(_xlfn.SINGLE(INDEX(#REF!,'Monthly Report'!AN58)),"")</f>
        <v/>
      </c>
      <c r="BM58" s="105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85"/>
      <c r="CF58" s="6" t="s">
        <v>231</v>
      </c>
      <c r="CG58" s="6">
        <f>SUMIFS(Table_Assembly[Specific Amount],Table_Assembly[NG Type],$CF$14,Table_Assembly[Product type],$BP$50,Table_Assembly[NG content],CF58,Table_Assembly[MFG Date],"&gt;="&amp;$R$28,Table_Assembly[MFG Date],"&lt;="&amp;$R$29)</f>
        <v>0</v>
      </c>
      <c r="CH58" s="6">
        <f>SUMIFS(Table_Assembly[Specific Amount],Table_Assembly[NG Type],$CF$14,Table_Assembly[Product type],$BP$50,Table_Assembly[NG content],CF58,Table_Assembly[MFG Date],"&gt;="&amp;$R$36,Table_Assembly[MFG Date],"&lt;="&amp;$R$37)</f>
        <v>0</v>
      </c>
      <c r="CI58" s="6">
        <f>SUMIFS(Table_Assembly[Specific Amount],Table_Assembly[NG Type],$CF$14,Table_Assembly[Product type],$BP$50,Table_Assembly[NG content],CF58,Table_Assembly[MFG Date],"&gt;="&amp;$R$44,Table_Assembly[MFG Date],"&lt;="&amp;$R$45)</f>
        <v>0</v>
      </c>
      <c r="CJ58" s="6">
        <f>SUMIFS(Table_Assembly[Specific Amount],Table_Assembly[NG Type],$CF$14,Table_Assembly[Product type],$BP$50,Table_Assembly[NG content],CF58,Table_Assembly[MFG Date],"&gt;="&amp;$R$52,Table_Assembly[MFG Date],"&lt;="&amp;$R$53)</f>
        <v>0</v>
      </c>
      <c r="CK58" s="6">
        <f>SUMIFS(Table_Assembly[Specific Amount],Table_Assembly[NG Type],$CF$14,Table_Assembly[Product type],$BP$50,Table_Assembly[NG content],CF58,Table_Assembly[MFG Date],"&gt;="&amp;$R$60,Table_Assembly[MFG Date],"&lt;="&amp;$R$61)</f>
        <v>0</v>
      </c>
      <c r="CL58" s="6">
        <f>SUMIFS(Table_Assembly[Specific Amount],Table_Assembly[NG Type],$CF$14,Table_Assembly[Product type],$BP$50,Table_Assembly[NG content],CF58,Table_Assembly[MFG Date],"&gt;="&amp;$R$68,Table_Assembly[MFG Date],"&lt;="&amp;$R$69)</f>
        <v>0</v>
      </c>
    </row>
    <row r="59" spans="1:90">
      <c r="A59" s="1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119"/>
      <c r="R59" s="14"/>
      <c r="AJ59" s="12" t="str">
        <f ca="1">IFERROR(MATCH($B$114,OFFSET(#REF!,AJ58,0,1000000),0)+AJ58,"")</f>
        <v/>
      </c>
      <c r="AK59" s="17" t="str">
        <f ca="1">IFERROR(_xlfn.SINGLE(INDEX(#REF!,'Monthly Report'!AJ59)),"")</f>
        <v/>
      </c>
      <c r="AL59" s="12" t="str">
        <f ca="1">IFERROR(_xlfn.SINGLE(INDEX(#REF!,'Monthly Report'!AJ59)),"")</f>
        <v/>
      </c>
      <c r="AN59" s="12" t="str">
        <f ca="1">IFERROR(MATCH($G$115,OFFSET(#REF!,AN58,0,1000000),0)+AN58,"")</f>
        <v/>
      </c>
      <c r="AO59" s="17" t="str">
        <f ca="1">IFERROR(_xlfn.SINGLE(INDEX(#REF!,'Monthly Report'!AN59)),"")</f>
        <v/>
      </c>
      <c r="AP59" s="12" t="str">
        <f ca="1">IFERROR(_xlfn.SINGLE(INDEX(#REF!,'Monthly Report'!AN59)),"")</f>
        <v/>
      </c>
      <c r="BM59" s="105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85"/>
      <c r="CF59" s="6" t="s">
        <v>175</v>
      </c>
      <c r="CG59" s="6">
        <f>SUMIFS(Table_Assembly[Specific Amount],Table_Assembly[NG Type],$CF$14,Table_Assembly[Product type],$BP$50,Table_Assembly[NG content],CF59,Table_Assembly[MFG Date],"&gt;="&amp;$R$28,Table_Assembly[MFG Date],"&lt;="&amp;$R$29)</f>
        <v>0</v>
      </c>
      <c r="CH59" s="6">
        <f>SUMIFS(Table_Assembly[Specific Amount],Table_Assembly[NG Type],$CF$14,Table_Assembly[Product type],$BP$50,Table_Assembly[NG content],CF59,Table_Assembly[MFG Date],"&gt;="&amp;$R$36,Table_Assembly[MFG Date],"&lt;="&amp;$R$37)</f>
        <v>0</v>
      </c>
      <c r="CI59" s="6">
        <f>SUMIFS(Table_Assembly[Specific Amount],Table_Assembly[NG Type],$CF$14,Table_Assembly[Product type],$BP$50,Table_Assembly[NG content],CF59,Table_Assembly[MFG Date],"&gt;="&amp;$R$44,Table_Assembly[MFG Date],"&lt;="&amp;$R$45)</f>
        <v>0</v>
      </c>
      <c r="CJ59" s="6">
        <f>SUMIFS(Table_Assembly[Specific Amount],Table_Assembly[NG Type],$CF$14,Table_Assembly[Product type],$BP$50,Table_Assembly[NG content],CF59,Table_Assembly[MFG Date],"&gt;="&amp;$R$52,Table_Assembly[MFG Date],"&lt;="&amp;$R$53)</f>
        <v>0</v>
      </c>
      <c r="CK59" s="6">
        <f>SUMIFS(Table_Assembly[Specific Amount],Table_Assembly[NG Type],$CF$14,Table_Assembly[Product type],$BP$50,Table_Assembly[NG content],CF59,Table_Assembly[MFG Date],"&gt;="&amp;$R$60,Table_Assembly[MFG Date],"&lt;="&amp;$R$61)</f>
        <v>0</v>
      </c>
      <c r="CL59" s="6">
        <f>SUMIFS(Table_Assembly[Specific Amount],Table_Assembly[NG Type],$CF$14,Table_Assembly[Product type],$BP$50,Table_Assembly[NG content],CF59,Table_Assembly[MFG Date],"&gt;="&amp;$R$68,Table_Assembly[MFG Date],"&lt;="&amp;$R$69)</f>
        <v>0</v>
      </c>
    </row>
    <row r="60" spans="1:90">
      <c r="A60" s="1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119"/>
      <c r="R60" s="14">
        <f>IFERROR(INDEX($AG$28:$AG$58,MATCH(T60,$AB$28:$AB$58,0)),"")</f>
        <v>45075</v>
      </c>
      <c r="S60" s="12">
        <f ca="1">IFERROR(MATCH($T$60,OFFSET($AC$28:$AC$58,S59,0,1000000),0)+S59,"")</f>
        <v>29</v>
      </c>
      <c r="T60" s="12" t="s">
        <v>112</v>
      </c>
      <c r="U60" s="16">
        <f ca="1">IFERROR(INDEX($AG$28:$AG$58,S60),"")</f>
        <v>45075</v>
      </c>
      <c r="AJ60" s="12" t="str">
        <f ca="1">IFERROR(MATCH($B$114,OFFSET(#REF!,AJ59,0,1000000),0)+AJ59,"")</f>
        <v/>
      </c>
      <c r="AK60" s="17" t="str">
        <f ca="1">IFERROR(_xlfn.SINGLE(INDEX(#REF!,'Monthly Report'!AJ60)),"")</f>
        <v/>
      </c>
      <c r="AL60" s="12" t="str">
        <f ca="1">IFERROR(_xlfn.SINGLE(INDEX(#REF!,'Monthly Report'!AJ60)),"")</f>
        <v/>
      </c>
      <c r="AN60" s="12" t="str">
        <f ca="1">IFERROR(MATCH($G$115,OFFSET(#REF!,AN59,0,1000000),0)+AN59,"")</f>
        <v/>
      </c>
      <c r="AO60" s="17" t="str">
        <f ca="1">IFERROR(_xlfn.SINGLE(INDEX(#REF!,'Monthly Report'!AN60)),"")</f>
        <v/>
      </c>
      <c r="AP60" s="12" t="str">
        <f ca="1">IFERROR(_xlfn.SINGLE(INDEX(#REF!,'Monthly Report'!AN60)),"")</f>
        <v/>
      </c>
      <c r="BM60" s="105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85"/>
      <c r="CF60" s="6" t="s">
        <v>232</v>
      </c>
      <c r="CG60" s="6">
        <f>SUMIFS(Table_Assembly[Specific Amount],Table_Assembly[NG Type],$CF$14,Table_Assembly[Product type],$BP$50,Table_Assembly[NG content],CF60,Table_Assembly[MFG Date],"&gt;="&amp;$R$28,Table_Assembly[MFG Date],"&lt;="&amp;$R$29)</f>
        <v>0</v>
      </c>
      <c r="CH60" s="6">
        <f>SUMIFS(Table_Assembly[Specific Amount],Table_Assembly[NG Type],$CF$14,Table_Assembly[Product type],$BP$50,Table_Assembly[NG content],CF60,Table_Assembly[MFG Date],"&gt;="&amp;$R$36,Table_Assembly[MFG Date],"&lt;="&amp;$R$37)</f>
        <v>0</v>
      </c>
      <c r="CI60" s="6">
        <f>SUMIFS(Table_Assembly[Specific Amount],Table_Assembly[NG Type],$CF$14,Table_Assembly[Product type],$BP$50,Table_Assembly[NG content],CF60,Table_Assembly[MFG Date],"&gt;="&amp;$R$44,Table_Assembly[MFG Date],"&lt;="&amp;$R$45)</f>
        <v>0</v>
      </c>
      <c r="CJ60" s="6">
        <f>SUMIFS(Table_Assembly[Specific Amount],Table_Assembly[NG Type],$CF$14,Table_Assembly[Product type],$BP$50,Table_Assembly[NG content],CF60,Table_Assembly[MFG Date],"&gt;="&amp;$R$52,Table_Assembly[MFG Date],"&lt;="&amp;$R$53)</f>
        <v>0</v>
      </c>
      <c r="CK60" s="6">
        <f>SUMIFS(Table_Assembly[Specific Amount],Table_Assembly[NG Type],$CF$14,Table_Assembly[Product type],$BP$50,Table_Assembly[NG content],CF60,Table_Assembly[MFG Date],"&gt;="&amp;$R$60,Table_Assembly[MFG Date],"&lt;="&amp;$R$61)</f>
        <v>0</v>
      </c>
      <c r="CL60" s="6">
        <f>SUMIFS(Table_Assembly[Specific Amount],Table_Assembly[NG Type],$CF$14,Table_Assembly[Product type],$BP$50,Table_Assembly[NG content],CF60,Table_Assembly[MFG Date],"&gt;="&amp;$R$68,Table_Assembly[MFG Date],"&lt;="&amp;$R$69)</f>
        <v>0</v>
      </c>
    </row>
    <row r="61" spans="1:90">
      <c r="A61" s="1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9"/>
      <c r="R61" s="14">
        <f>IFERROR(INDEX($AG$28:$AG$58-1,MATCH(RIGHT(T60,2)*1+1,$AE$28:$AE$58,0)),$AB$7)</f>
        <v>45077</v>
      </c>
      <c r="S61" s="12">
        <f t="shared" ref="S61:S66" ca="1" si="58">IFERROR(MATCH($T$60,OFFSET($AC$28:$AC$58,S60,0,1000000),0)+S60,"")</f>
        <v>30</v>
      </c>
      <c r="U61" s="16">
        <f t="shared" ref="U61:U66" ca="1" si="59">IFERROR(INDEX($AG$28:$AG$58,S61),"")</f>
        <v>45076</v>
      </c>
      <c r="AJ61" s="12" t="str">
        <f ca="1">IFERROR(MATCH($B$114,OFFSET(#REF!,AJ60,0,1000000),0)+AJ60,"")</f>
        <v/>
      </c>
      <c r="AK61" s="17" t="str">
        <f ca="1">IFERROR(_xlfn.SINGLE(INDEX(#REF!,'Monthly Report'!AJ61)),"")</f>
        <v/>
      </c>
      <c r="AL61" s="12" t="str">
        <f ca="1">IFERROR(_xlfn.SINGLE(INDEX(#REF!,'Monthly Report'!AJ61)),"")</f>
        <v/>
      </c>
      <c r="AN61" s="12" t="str">
        <f ca="1">IFERROR(MATCH($G$115,OFFSET(#REF!,AN60,0,1000000),0)+AN60,"")</f>
        <v/>
      </c>
      <c r="AO61" s="17" t="str">
        <f ca="1">IFERROR(_xlfn.SINGLE(INDEX(#REF!,'Monthly Report'!AN61)),"")</f>
        <v/>
      </c>
      <c r="AP61" s="12" t="str">
        <f ca="1">IFERROR(_xlfn.SINGLE(INDEX(#REF!,'Monthly Report'!AN61)),"")</f>
        <v/>
      </c>
      <c r="BM61" s="105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85"/>
      <c r="CF61" s="6" t="s">
        <v>176</v>
      </c>
      <c r="CG61" s="6">
        <f>SUMIFS(Table_Assembly[Specific Amount],Table_Assembly[NG Type],$CF$14,Table_Assembly[Product type],$BP$50,Table_Assembly[NG content],CF61,Table_Assembly[MFG Date],"&gt;="&amp;$R$28,Table_Assembly[MFG Date],"&lt;="&amp;$R$29)</f>
        <v>0</v>
      </c>
      <c r="CH61" s="6">
        <f>SUMIFS(Table_Assembly[Specific Amount],Table_Assembly[NG Type],$CF$14,Table_Assembly[Product type],$BP$50,Table_Assembly[NG content],CF61,Table_Assembly[MFG Date],"&gt;="&amp;$R$36,Table_Assembly[MFG Date],"&lt;="&amp;$R$37)</f>
        <v>0</v>
      </c>
      <c r="CI61" s="6">
        <f>SUMIFS(Table_Assembly[Specific Amount],Table_Assembly[NG Type],$CF$14,Table_Assembly[Product type],$BP$50,Table_Assembly[NG content],CF61,Table_Assembly[MFG Date],"&gt;="&amp;$R$44,Table_Assembly[MFG Date],"&lt;="&amp;$R$45)</f>
        <v>0</v>
      </c>
      <c r="CJ61" s="6">
        <f>SUMIFS(Table_Assembly[Specific Amount],Table_Assembly[NG Type],$CF$14,Table_Assembly[Product type],$BP$50,Table_Assembly[NG content],CF61,Table_Assembly[MFG Date],"&gt;="&amp;$R$52,Table_Assembly[MFG Date],"&lt;="&amp;$R$53)</f>
        <v>0</v>
      </c>
      <c r="CK61" s="6">
        <f>SUMIFS(Table_Assembly[Specific Amount],Table_Assembly[NG Type],$CF$14,Table_Assembly[Product type],$BP$50,Table_Assembly[NG content],CF61,Table_Assembly[MFG Date],"&gt;="&amp;$R$60,Table_Assembly[MFG Date],"&lt;="&amp;$R$61)</f>
        <v>0</v>
      </c>
      <c r="CL61" s="6">
        <f>SUMIFS(Table_Assembly[Specific Amount],Table_Assembly[NG Type],$CF$14,Table_Assembly[Product type],$BP$50,Table_Assembly[NG content],CF61,Table_Assembly[MFG Date],"&gt;="&amp;$R$68,Table_Assembly[MFG Date],"&lt;="&amp;$R$69)</f>
        <v>0</v>
      </c>
    </row>
    <row r="62" spans="1:90">
      <c r="A62" s="1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119"/>
      <c r="R62" s="14"/>
      <c r="S62" s="12">
        <f t="shared" ca="1" si="58"/>
        <v>31</v>
      </c>
      <c r="U62" s="16">
        <f t="shared" ca="1" si="59"/>
        <v>45077</v>
      </c>
      <c r="AJ62" s="12" t="str">
        <f ca="1">IFERROR(MATCH($B$114,OFFSET(#REF!,AJ61,0,1000000),0)+AJ61,"")</f>
        <v/>
      </c>
      <c r="AK62" s="17" t="str">
        <f ca="1">IFERROR(_xlfn.SINGLE(INDEX(#REF!,'Monthly Report'!AJ62)),"")</f>
        <v/>
      </c>
      <c r="AL62" s="12" t="str">
        <f ca="1">IFERROR(_xlfn.SINGLE(INDEX(#REF!,'Monthly Report'!AJ62)),"")</f>
        <v/>
      </c>
      <c r="AN62" s="12" t="str">
        <f ca="1">IFERROR(MATCH($G$115,OFFSET(#REF!,AN61,0,1000000),0)+AN61,"")</f>
        <v/>
      </c>
      <c r="AO62" s="17" t="str">
        <f ca="1">IFERROR(_xlfn.SINGLE(INDEX(#REF!,'Monthly Report'!AN62)),"")</f>
        <v/>
      </c>
      <c r="AP62" s="12" t="str">
        <f ca="1">IFERROR(_xlfn.SINGLE(INDEX(#REF!,'Monthly Report'!AN62)),"")</f>
        <v/>
      </c>
      <c r="BM62" s="105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85"/>
      <c r="CF62" s="6" t="s">
        <v>177</v>
      </c>
      <c r="CG62" s="6">
        <f>SUMIFS(Table_Assembly[Specific Amount],Table_Assembly[NG Type],$CF$14,Table_Assembly[Product type],$BP$50,Table_Assembly[NG content],CF62,Table_Assembly[MFG Date],"&gt;="&amp;$R$28,Table_Assembly[MFG Date],"&lt;="&amp;$R$29)</f>
        <v>0</v>
      </c>
      <c r="CH62" s="6">
        <f>SUMIFS(Table_Assembly[Specific Amount],Table_Assembly[NG Type],$CF$14,Table_Assembly[Product type],$BP$50,Table_Assembly[NG content],CF62,Table_Assembly[MFG Date],"&gt;="&amp;$R$36,Table_Assembly[MFG Date],"&lt;="&amp;$R$37)</f>
        <v>0</v>
      </c>
      <c r="CI62" s="6">
        <f>SUMIFS(Table_Assembly[Specific Amount],Table_Assembly[NG Type],$CF$14,Table_Assembly[Product type],$BP$50,Table_Assembly[NG content],CF62,Table_Assembly[MFG Date],"&gt;="&amp;$R$44,Table_Assembly[MFG Date],"&lt;="&amp;$R$45)</f>
        <v>0</v>
      </c>
      <c r="CJ62" s="6">
        <f>SUMIFS(Table_Assembly[Specific Amount],Table_Assembly[NG Type],$CF$14,Table_Assembly[Product type],$BP$50,Table_Assembly[NG content],CF62,Table_Assembly[MFG Date],"&gt;="&amp;$R$52,Table_Assembly[MFG Date],"&lt;="&amp;$R$53)</f>
        <v>0</v>
      </c>
      <c r="CK62" s="6">
        <f>SUMIFS(Table_Assembly[Specific Amount],Table_Assembly[NG Type],$CF$14,Table_Assembly[Product type],$BP$50,Table_Assembly[NG content],CF62,Table_Assembly[MFG Date],"&gt;="&amp;$R$60,Table_Assembly[MFG Date],"&lt;="&amp;$R$61)</f>
        <v>0</v>
      </c>
      <c r="CL62" s="6">
        <f>SUMIFS(Table_Assembly[Specific Amount],Table_Assembly[NG Type],$CF$14,Table_Assembly[Product type],$BP$50,Table_Assembly[NG content],CF62,Table_Assembly[MFG Date],"&gt;="&amp;$R$68,Table_Assembly[MFG Date],"&lt;="&amp;$R$69)</f>
        <v>0</v>
      </c>
    </row>
    <row r="63" spans="1:90">
      <c r="A63" s="1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119"/>
      <c r="R63" s="14"/>
      <c r="S63" s="12" t="str">
        <f t="shared" ca="1" si="58"/>
        <v/>
      </c>
      <c r="U63" s="16" t="str">
        <f t="shared" ca="1" si="59"/>
        <v/>
      </c>
      <c r="AJ63" s="12" t="str">
        <f ca="1">IFERROR(MATCH($B$114,OFFSET(#REF!,AJ62,0,1000000),0)+AJ62,"")</f>
        <v/>
      </c>
      <c r="AK63" s="17" t="str">
        <f ca="1">IFERROR(_xlfn.SINGLE(INDEX(#REF!,'Monthly Report'!AJ63)),"")</f>
        <v/>
      </c>
      <c r="AL63" s="12" t="str">
        <f ca="1">IFERROR(_xlfn.SINGLE(INDEX(#REF!,'Monthly Report'!AJ63)),"")</f>
        <v/>
      </c>
      <c r="AN63" s="12" t="str">
        <f ca="1">IFERROR(MATCH($G$115,OFFSET(#REF!,AN62,0,1000000),0)+AN62,"")</f>
        <v/>
      </c>
      <c r="AO63" s="17" t="str">
        <f ca="1">IFERROR(_xlfn.SINGLE(INDEX(#REF!,'Monthly Report'!AN63)),"")</f>
        <v/>
      </c>
      <c r="AP63" s="12" t="str">
        <f ca="1">IFERROR(_xlfn.SINGLE(INDEX(#REF!,'Monthly Report'!AN63)),"")</f>
        <v/>
      </c>
      <c r="BM63" s="105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85"/>
      <c r="CF63" s="6" t="s">
        <v>178</v>
      </c>
      <c r="CG63" s="6">
        <f>SUMIFS(Table_Assembly[Specific Amount],Table_Assembly[NG Type],$CF$14,Table_Assembly[Product type],$BP$50,Table_Assembly[NG content],CF63,Table_Assembly[MFG Date],"&gt;="&amp;$R$28,Table_Assembly[MFG Date],"&lt;="&amp;$R$29)</f>
        <v>0</v>
      </c>
      <c r="CH63" s="6">
        <f>SUMIFS(Table_Assembly[Specific Amount],Table_Assembly[NG Type],$CF$14,Table_Assembly[Product type],$BP$50,Table_Assembly[NG content],CF63,Table_Assembly[MFG Date],"&gt;="&amp;$R$36,Table_Assembly[MFG Date],"&lt;="&amp;$R$37)</f>
        <v>0</v>
      </c>
      <c r="CI63" s="6">
        <f>SUMIFS(Table_Assembly[Specific Amount],Table_Assembly[NG Type],$CF$14,Table_Assembly[Product type],$BP$50,Table_Assembly[NG content],CF63,Table_Assembly[MFG Date],"&gt;="&amp;$R$44,Table_Assembly[MFG Date],"&lt;="&amp;$R$45)</f>
        <v>0</v>
      </c>
      <c r="CJ63" s="6">
        <f>SUMIFS(Table_Assembly[Specific Amount],Table_Assembly[NG Type],$CF$14,Table_Assembly[Product type],$BP$50,Table_Assembly[NG content],CF63,Table_Assembly[MFG Date],"&gt;="&amp;$R$52,Table_Assembly[MFG Date],"&lt;="&amp;$R$53)</f>
        <v>0</v>
      </c>
      <c r="CK63" s="6">
        <f>SUMIFS(Table_Assembly[Specific Amount],Table_Assembly[NG Type],$CF$14,Table_Assembly[Product type],$BP$50,Table_Assembly[NG content],CF63,Table_Assembly[MFG Date],"&gt;="&amp;$R$60,Table_Assembly[MFG Date],"&lt;="&amp;$R$61)</f>
        <v>0</v>
      </c>
      <c r="CL63" s="6">
        <f>SUMIFS(Table_Assembly[Specific Amount],Table_Assembly[NG Type],$CF$14,Table_Assembly[Product type],$BP$50,Table_Assembly[NG content],CF63,Table_Assembly[MFG Date],"&gt;="&amp;$R$68,Table_Assembly[MFG Date],"&lt;="&amp;$R$69)</f>
        <v>0</v>
      </c>
    </row>
    <row r="64" spans="1:90">
      <c r="A64" s="1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119"/>
      <c r="R64" s="14"/>
      <c r="S64" s="12" t="str">
        <f t="shared" ca="1" si="58"/>
        <v/>
      </c>
      <c r="U64" s="16" t="str">
        <f t="shared" ca="1" si="59"/>
        <v/>
      </c>
      <c r="AJ64" s="12" t="str">
        <f ca="1">IFERROR(MATCH($B$114,OFFSET(#REF!,AJ63,0,1000000),0)+AJ63,"")</f>
        <v/>
      </c>
      <c r="AK64" s="17" t="str">
        <f ca="1">IFERROR(_xlfn.SINGLE(INDEX(#REF!,'Monthly Report'!AJ64)),"")</f>
        <v/>
      </c>
      <c r="AL64" s="12" t="str">
        <f ca="1">IFERROR(_xlfn.SINGLE(INDEX(#REF!,'Monthly Report'!AJ64)),"")</f>
        <v/>
      </c>
      <c r="AN64" s="12" t="str">
        <f ca="1">IFERROR(MATCH($G$115,OFFSET(#REF!,AN63,0,1000000),0)+AN63,"")</f>
        <v/>
      </c>
      <c r="AO64" s="17" t="str">
        <f ca="1">IFERROR(_xlfn.SINGLE(INDEX(#REF!,'Monthly Report'!AN64)),"")</f>
        <v/>
      </c>
      <c r="AP64" s="12" t="str">
        <f ca="1">IFERROR(_xlfn.SINGLE(INDEX(#REF!,'Monthly Report'!AN64)),"")</f>
        <v/>
      </c>
      <c r="BM64" s="105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85"/>
      <c r="CF64" s="6" t="s">
        <v>233</v>
      </c>
      <c r="CG64" s="6">
        <f>SUMIFS(Table_Assembly[Specific Amount],Table_Assembly[NG Type],$CF$14,Table_Assembly[Product type],$BP$50,Table_Assembly[NG content],CF64,Table_Assembly[MFG Date],"&gt;="&amp;$R$28,Table_Assembly[MFG Date],"&lt;="&amp;$R$29)</f>
        <v>3</v>
      </c>
      <c r="CH64" s="6">
        <f>SUMIFS(Table_Assembly[Specific Amount],Table_Assembly[NG Type],$CF$14,Table_Assembly[Product type],$BP$50,Table_Assembly[NG content],CF64,Table_Assembly[MFG Date],"&gt;="&amp;$R$36,Table_Assembly[MFG Date],"&lt;="&amp;$R$37)</f>
        <v>6</v>
      </c>
      <c r="CI64" s="6">
        <f>SUMIFS(Table_Assembly[Specific Amount],Table_Assembly[NG Type],$CF$14,Table_Assembly[Product type],$BP$50,Table_Assembly[NG content],CF64,Table_Assembly[MFG Date],"&gt;="&amp;$R$44,Table_Assembly[MFG Date],"&lt;="&amp;$R$45)</f>
        <v>9</v>
      </c>
      <c r="CJ64" s="6">
        <f>SUMIFS(Table_Assembly[Specific Amount],Table_Assembly[NG Type],$CF$14,Table_Assembly[Product type],$BP$50,Table_Assembly[NG content],CF64,Table_Assembly[MFG Date],"&gt;="&amp;$R$52,Table_Assembly[MFG Date],"&lt;="&amp;$R$53)</f>
        <v>8</v>
      </c>
      <c r="CK64" s="6">
        <f>SUMIFS(Table_Assembly[Specific Amount],Table_Assembly[NG Type],$CF$14,Table_Assembly[Product type],$BP$50,Table_Assembly[NG content],CF64,Table_Assembly[MFG Date],"&gt;="&amp;$R$60,Table_Assembly[MFG Date],"&lt;="&amp;$R$61)</f>
        <v>1</v>
      </c>
      <c r="CL64" s="6">
        <f>SUMIFS(Table_Assembly[Specific Amount],Table_Assembly[NG Type],$CF$14,Table_Assembly[Product type],$BP$50,Table_Assembly[NG content],CF64,Table_Assembly[MFG Date],"&gt;="&amp;$R$68,Table_Assembly[MFG Date],"&lt;="&amp;$R$69)</f>
        <v>0</v>
      </c>
    </row>
    <row r="65" spans="1:90">
      <c r="A65" s="1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19"/>
      <c r="R65" s="14"/>
      <c r="S65" s="12" t="str">
        <f t="shared" ca="1" si="58"/>
        <v/>
      </c>
      <c r="U65" s="16" t="str">
        <f t="shared" ca="1" si="59"/>
        <v/>
      </c>
      <c r="AJ65" s="12" t="str">
        <f ca="1">IFERROR(MATCH($B$114,OFFSET(#REF!,AJ64,0,1000000),0)+AJ64,"")</f>
        <v/>
      </c>
      <c r="AK65" s="17" t="str">
        <f ca="1">IFERROR(_xlfn.SINGLE(INDEX(#REF!,'Monthly Report'!AJ65)),"")</f>
        <v/>
      </c>
      <c r="AL65" s="12" t="str">
        <f ca="1">IFERROR(_xlfn.SINGLE(INDEX(#REF!,'Monthly Report'!AJ65)),"")</f>
        <v/>
      </c>
      <c r="AN65" s="12" t="str">
        <f ca="1">IFERROR(MATCH($G$115,OFFSET(#REF!,AN64,0,1000000),0)+AN64,"")</f>
        <v/>
      </c>
      <c r="AO65" s="17" t="str">
        <f ca="1">IFERROR(_xlfn.SINGLE(INDEX(#REF!,'Monthly Report'!AN65)),"")</f>
        <v/>
      </c>
      <c r="AP65" s="12" t="str">
        <f ca="1">IFERROR(_xlfn.SINGLE(INDEX(#REF!,'Monthly Report'!AN65)),"")</f>
        <v/>
      </c>
      <c r="BM65" s="105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85"/>
      <c r="CF65" s="6" t="s">
        <v>179</v>
      </c>
      <c r="CG65" s="6">
        <f>SUMIFS(Table_Assembly[Specific Amount],Table_Assembly[NG Type],$CF$14,Table_Assembly[Product type],$BP$50,Table_Assembly[NG content],CF65,Table_Assembly[MFG Date],"&gt;="&amp;$R$28,Table_Assembly[MFG Date],"&lt;="&amp;$R$29)</f>
        <v>0</v>
      </c>
      <c r="CH65" s="6">
        <f>SUMIFS(Table_Assembly[Specific Amount],Table_Assembly[NG Type],$CF$14,Table_Assembly[Product type],$BP$50,Table_Assembly[NG content],CF65,Table_Assembly[MFG Date],"&gt;="&amp;$R$36,Table_Assembly[MFG Date],"&lt;="&amp;$R$37)</f>
        <v>0</v>
      </c>
      <c r="CI65" s="6">
        <f>SUMIFS(Table_Assembly[Specific Amount],Table_Assembly[NG Type],$CF$14,Table_Assembly[Product type],$BP$50,Table_Assembly[NG content],CF65,Table_Assembly[MFG Date],"&gt;="&amp;$R$44,Table_Assembly[MFG Date],"&lt;="&amp;$R$45)</f>
        <v>0</v>
      </c>
      <c r="CJ65" s="6">
        <f>SUMIFS(Table_Assembly[Specific Amount],Table_Assembly[NG Type],$CF$14,Table_Assembly[Product type],$BP$50,Table_Assembly[NG content],CF65,Table_Assembly[MFG Date],"&gt;="&amp;$R$52,Table_Assembly[MFG Date],"&lt;="&amp;$R$53)</f>
        <v>0</v>
      </c>
      <c r="CK65" s="6">
        <f>SUMIFS(Table_Assembly[Specific Amount],Table_Assembly[NG Type],$CF$14,Table_Assembly[Product type],$BP$50,Table_Assembly[NG content],CF65,Table_Assembly[MFG Date],"&gt;="&amp;$R$60,Table_Assembly[MFG Date],"&lt;="&amp;$R$61)</f>
        <v>0</v>
      </c>
      <c r="CL65" s="6">
        <f>SUMIFS(Table_Assembly[Specific Amount],Table_Assembly[NG Type],$CF$14,Table_Assembly[Product type],$BP$50,Table_Assembly[NG content],CF65,Table_Assembly[MFG Date],"&gt;="&amp;$R$68,Table_Assembly[MFG Date],"&lt;="&amp;$R$69)</f>
        <v>0</v>
      </c>
    </row>
    <row r="66" spans="1:90">
      <c r="A66" s="1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119"/>
      <c r="R66" s="14"/>
      <c r="S66" s="12" t="str">
        <f t="shared" ca="1" si="58"/>
        <v/>
      </c>
      <c r="U66" s="16" t="str">
        <f t="shared" ca="1" si="59"/>
        <v/>
      </c>
      <c r="AJ66" s="12" t="str">
        <f ca="1">IFERROR(MATCH($B$114,OFFSET(#REF!,AJ65,0,1000000),0)+AJ65,"")</f>
        <v/>
      </c>
      <c r="AK66" s="17" t="str">
        <f ca="1">IFERROR(_xlfn.SINGLE(INDEX(#REF!,'Monthly Report'!AJ66)),"")</f>
        <v/>
      </c>
      <c r="AL66" s="12" t="str">
        <f ca="1">IFERROR(_xlfn.SINGLE(INDEX(#REF!,'Monthly Report'!AJ66)),"")</f>
        <v/>
      </c>
      <c r="AN66" s="12" t="str">
        <f ca="1">IFERROR(MATCH($G$115,OFFSET(#REF!,AN65,0,1000000),0)+AN65,"")</f>
        <v/>
      </c>
      <c r="AO66" s="17" t="str">
        <f ca="1">IFERROR(_xlfn.SINGLE(INDEX(#REF!,'Monthly Report'!AN66)),"")</f>
        <v/>
      </c>
      <c r="AP66" s="12" t="str">
        <f ca="1">IFERROR(_xlfn.SINGLE(INDEX(#REF!,'Monthly Report'!AN66)),"")</f>
        <v/>
      </c>
      <c r="BM66" s="105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85"/>
      <c r="CF66" s="6" t="s">
        <v>180</v>
      </c>
      <c r="CG66" s="6">
        <f>SUMIFS(Table_Assembly[Specific Amount],Table_Assembly[NG Type],$CF$14,Table_Assembly[Product type],$BP$50,Table_Assembly[NG content],CF66,Table_Assembly[MFG Date],"&gt;="&amp;$R$28,Table_Assembly[MFG Date],"&lt;="&amp;$R$29)</f>
        <v>0</v>
      </c>
      <c r="CH66" s="6">
        <f>SUMIFS(Table_Assembly[Specific Amount],Table_Assembly[NG Type],$CF$14,Table_Assembly[Product type],$BP$50,Table_Assembly[NG content],CF66,Table_Assembly[MFG Date],"&gt;="&amp;$R$36,Table_Assembly[MFG Date],"&lt;="&amp;$R$37)</f>
        <v>0</v>
      </c>
      <c r="CI66" s="6">
        <f>SUMIFS(Table_Assembly[Specific Amount],Table_Assembly[NG Type],$CF$14,Table_Assembly[Product type],$BP$50,Table_Assembly[NG content],CF66,Table_Assembly[MFG Date],"&gt;="&amp;$R$44,Table_Assembly[MFG Date],"&lt;="&amp;$R$45)</f>
        <v>0</v>
      </c>
      <c r="CJ66" s="6">
        <f>SUMIFS(Table_Assembly[Specific Amount],Table_Assembly[NG Type],$CF$14,Table_Assembly[Product type],$BP$50,Table_Assembly[NG content],CF66,Table_Assembly[MFG Date],"&gt;="&amp;$R$52,Table_Assembly[MFG Date],"&lt;="&amp;$R$53)</f>
        <v>0</v>
      </c>
      <c r="CK66" s="6">
        <f>SUMIFS(Table_Assembly[Specific Amount],Table_Assembly[NG Type],$CF$14,Table_Assembly[Product type],$BP$50,Table_Assembly[NG content],CF66,Table_Assembly[MFG Date],"&gt;="&amp;$R$60,Table_Assembly[MFG Date],"&lt;="&amp;$R$61)</f>
        <v>0</v>
      </c>
      <c r="CL66" s="6">
        <f>SUMIFS(Table_Assembly[Specific Amount],Table_Assembly[NG Type],$CF$14,Table_Assembly[Product type],$BP$50,Table_Assembly[NG content],CF66,Table_Assembly[MFG Date],"&gt;="&amp;$R$68,Table_Assembly[MFG Date],"&lt;="&amp;$R$69)</f>
        <v>0</v>
      </c>
    </row>
    <row r="67" spans="1:90">
      <c r="A67" s="23"/>
      <c r="B67" s="23"/>
      <c r="C67" s="23"/>
      <c r="D67" s="23"/>
      <c r="E67" s="32" t="s">
        <v>117</v>
      </c>
      <c r="F67" s="32"/>
      <c r="G67" s="32"/>
      <c r="H67" s="32"/>
      <c r="I67" s="23"/>
      <c r="J67" s="32" t="s">
        <v>118</v>
      </c>
      <c r="K67" s="32"/>
      <c r="L67" s="32"/>
      <c r="M67" s="32"/>
      <c r="N67" s="23"/>
      <c r="O67" s="85"/>
      <c r="R67" s="14"/>
      <c r="AJ67" s="12" t="str">
        <f ca="1">IFERROR(MATCH($B$114,OFFSET(#REF!,AJ66,0,1000000),0)+AJ66,"")</f>
        <v/>
      </c>
      <c r="AK67" s="17" t="str">
        <f ca="1">IFERROR(_xlfn.SINGLE(INDEX(#REF!,'Monthly Report'!AJ67)),"")</f>
        <v/>
      </c>
      <c r="AL67" s="12" t="str">
        <f ca="1">IFERROR(_xlfn.SINGLE(INDEX(#REF!,'Monthly Report'!AJ67)),"")</f>
        <v/>
      </c>
      <c r="AN67" s="12" t="str">
        <f ca="1">IFERROR(MATCH($G$115,OFFSET(#REF!,AN66,0,1000000),0)+AN66,"")</f>
        <v/>
      </c>
      <c r="AO67" s="17" t="str">
        <f ca="1">IFERROR(_xlfn.SINGLE(INDEX(#REF!,'Monthly Report'!AN67)),"")</f>
        <v/>
      </c>
      <c r="AP67" s="12" t="str">
        <f ca="1">IFERROR(_xlfn.SINGLE(INDEX(#REF!,'Monthly Report'!AN67)),"")</f>
        <v/>
      </c>
      <c r="BM67" s="105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85"/>
      <c r="CF67" s="6" t="s">
        <v>181</v>
      </c>
      <c r="CG67" s="6">
        <f>SUMIFS(Table_Assembly[Specific Amount],Table_Assembly[NG Type],$CF$14,Table_Assembly[Product type],$BP$50,Table_Assembly[NG content],CF67,Table_Assembly[MFG Date],"&gt;="&amp;$R$28,Table_Assembly[MFG Date],"&lt;="&amp;$R$29)</f>
        <v>0</v>
      </c>
      <c r="CH67" s="6">
        <f>SUMIFS(Table_Assembly[Specific Amount],Table_Assembly[NG Type],$CF$14,Table_Assembly[Product type],$BP$50,Table_Assembly[NG content],CF67,Table_Assembly[MFG Date],"&gt;="&amp;$R$36,Table_Assembly[MFG Date],"&lt;="&amp;$R$37)</f>
        <v>0</v>
      </c>
      <c r="CI67" s="6">
        <f>SUMIFS(Table_Assembly[Specific Amount],Table_Assembly[NG Type],$CF$14,Table_Assembly[Product type],$BP$50,Table_Assembly[NG content],CF67,Table_Assembly[MFG Date],"&gt;="&amp;$R$44,Table_Assembly[MFG Date],"&lt;="&amp;$R$45)</f>
        <v>0</v>
      </c>
      <c r="CJ67" s="6">
        <f>SUMIFS(Table_Assembly[Specific Amount],Table_Assembly[NG Type],$CF$14,Table_Assembly[Product type],$BP$50,Table_Assembly[NG content],CF67,Table_Assembly[MFG Date],"&gt;="&amp;$R$52,Table_Assembly[MFG Date],"&lt;="&amp;$R$53)</f>
        <v>0</v>
      </c>
      <c r="CK67" s="6">
        <f>SUMIFS(Table_Assembly[Specific Amount],Table_Assembly[NG Type],$CF$14,Table_Assembly[Product type],$BP$50,Table_Assembly[NG content],CF67,Table_Assembly[MFG Date],"&gt;="&amp;$R$60,Table_Assembly[MFG Date],"&lt;="&amp;$R$61)</f>
        <v>0</v>
      </c>
      <c r="CL67" s="6">
        <f>SUMIFS(Table_Assembly[Specific Amount],Table_Assembly[NG Type],$CF$14,Table_Assembly[Product type],$BP$50,Table_Assembly[NG content],CF67,Table_Assembly[MFG Date],"&gt;="&amp;$R$68,Table_Assembly[MFG Date],"&lt;="&amp;$R$69)</f>
        <v>0</v>
      </c>
    </row>
    <row r="68" spans="1:90">
      <c r="A68" s="23"/>
      <c r="B68" s="23"/>
      <c r="C68" s="23"/>
      <c r="D68" s="23"/>
      <c r="E68" s="33" t="s">
        <v>107</v>
      </c>
      <c r="F68" s="33" t="s">
        <v>29</v>
      </c>
      <c r="G68" s="33" t="s">
        <v>108</v>
      </c>
      <c r="H68" s="33" t="s">
        <v>110</v>
      </c>
      <c r="I68" s="23"/>
      <c r="J68" s="33" t="s">
        <v>107</v>
      </c>
      <c r="K68" s="33" t="s">
        <v>29</v>
      </c>
      <c r="L68" s="33" t="s">
        <v>108</v>
      </c>
      <c r="M68" s="33" t="s">
        <v>110</v>
      </c>
      <c r="N68" s="23"/>
      <c r="O68" s="85"/>
      <c r="R68" s="14" t="str">
        <f>IFERROR(INDEX($AG$28:$AG$58,MATCH(T68,$AB$28:$AB$58,0)),"")</f>
        <v/>
      </c>
      <c r="S68" s="12" t="str">
        <f ca="1">IFERROR(MATCH($T$68,OFFSET($AC$28:$AC$58,S67,0,1000000),0)+S67,"")</f>
        <v/>
      </c>
      <c r="T68" s="12" t="s">
        <v>113</v>
      </c>
      <c r="U68" s="16" t="str">
        <f ca="1">IFERROR(INDEX($AG$28:$AG$58,S68),"")</f>
        <v/>
      </c>
      <c r="AJ68" s="12" t="str">
        <f ca="1">IFERROR(MATCH($B$114,OFFSET(#REF!,AJ67,0,1000000),0)+AJ67,"")</f>
        <v/>
      </c>
      <c r="AK68" s="17" t="str">
        <f ca="1">IFERROR(_xlfn.SINGLE(INDEX(#REF!,'Monthly Report'!AJ68)),"")</f>
        <v/>
      </c>
      <c r="AL68" s="12" t="str">
        <f ca="1">IFERROR(_xlfn.SINGLE(INDEX(#REF!,'Monthly Report'!AJ68)),"")</f>
        <v/>
      </c>
      <c r="AN68" s="12" t="str">
        <f ca="1">IFERROR(MATCH($G$115,OFFSET(#REF!,AN67,0,1000000),0)+AN67,"")</f>
        <v/>
      </c>
      <c r="AO68" s="17" t="str">
        <f ca="1">IFERROR(_xlfn.SINGLE(INDEX(#REF!,'Monthly Report'!AN68)),"")</f>
        <v/>
      </c>
      <c r="AP68" s="12" t="str">
        <f ca="1">IFERROR(_xlfn.SINGLE(INDEX(#REF!,'Monthly Report'!AN68)),"")</f>
        <v/>
      </c>
      <c r="BM68" s="105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85"/>
      <c r="CF68" s="6" t="s">
        <v>182</v>
      </c>
      <c r="CG68" s="6">
        <f>SUMIFS(Table_Assembly[Specific Amount],Table_Assembly[NG Type],$CF$14,Table_Assembly[Product type],$BP$50,Table_Assembly[NG content],CF68,Table_Assembly[MFG Date],"&gt;="&amp;$R$28,Table_Assembly[MFG Date],"&lt;="&amp;$R$29)</f>
        <v>0</v>
      </c>
      <c r="CH68" s="6">
        <f>SUMIFS(Table_Assembly[Specific Amount],Table_Assembly[NG Type],$CF$14,Table_Assembly[Product type],$BP$50,Table_Assembly[NG content],CF68,Table_Assembly[MFG Date],"&gt;="&amp;$R$36,Table_Assembly[MFG Date],"&lt;="&amp;$R$37)</f>
        <v>0</v>
      </c>
      <c r="CI68" s="6">
        <f>SUMIFS(Table_Assembly[Specific Amount],Table_Assembly[NG Type],$CF$14,Table_Assembly[Product type],$BP$50,Table_Assembly[NG content],CF68,Table_Assembly[MFG Date],"&gt;="&amp;$R$44,Table_Assembly[MFG Date],"&lt;="&amp;$R$45)</f>
        <v>0</v>
      </c>
      <c r="CJ68" s="6">
        <f>SUMIFS(Table_Assembly[Specific Amount],Table_Assembly[NG Type],$CF$14,Table_Assembly[Product type],$BP$50,Table_Assembly[NG content],CF68,Table_Assembly[MFG Date],"&gt;="&amp;$R$52,Table_Assembly[MFG Date],"&lt;="&amp;$R$53)</f>
        <v>0</v>
      </c>
      <c r="CK68" s="6">
        <f>SUMIFS(Table_Assembly[Specific Amount],Table_Assembly[NG Type],$CF$14,Table_Assembly[Product type],$BP$50,Table_Assembly[NG content],CF68,Table_Assembly[MFG Date],"&gt;="&amp;$R$60,Table_Assembly[MFG Date],"&lt;="&amp;$R$61)</f>
        <v>0</v>
      </c>
      <c r="CL68" s="6">
        <f>SUMIFS(Table_Assembly[Specific Amount],Table_Assembly[NG Type],$CF$14,Table_Assembly[Product type],$BP$50,Table_Assembly[NG content],CF68,Table_Assembly[MFG Date],"&gt;="&amp;$R$68,Table_Assembly[MFG Date],"&lt;="&amp;$R$69)</f>
        <v>0</v>
      </c>
    </row>
    <row r="69" spans="1:90">
      <c r="A69" s="23"/>
      <c r="B69" s="23"/>
      <c r="C69" s="23"/>
      <c r="D69" s="23"/>
      <c r="E69" s="67" t="str">
        <f>Pareto!T57</f>
        <v>Others for Processing</v>
      </c>
      <c r="F69" s="68">
        <f>Pareto!U57</f>
        <v>1032</v>
      </c>
      <c r="G69" s="69">
        <f>Pareto!V57</f>
        <v>79.262672811059915</v>
      </c>
      <c r="H69" s="69">
        <f>G69</f>
        <v>79.262672811059915</v>
      </c>
      <c r="I69" s="23"/>
      <c r="J69" s="67" t="str">
        <f>Pareto!Y57</f>
        <v>NG, dính dơ, dị vật do NL</v>
      </c>
      <c r="K69" s="68">
        <f>Pareto!Z57</f>
        <v>116</v>
      </c>
      <c r="L69" s="69">
        <f>Pareto!AA57</f>
        <v>51.101321585903079</v>
      </c>
      <c r="M69" s="69">
        <f>L69</f>
        <v>51.101321585903079</v>
      </c>
      <c r="N69" s="23"/>
      <c r="O69" s="85"/>
      <c r="R69" s="14">
        <f>IFERROR(INDEX($AG$28:$AG$58-1,MATCH(RIGHT(T68,2)*1+1,$AE$28:$AE$58,0)),$AB$7)</f>
        <v>45077</v>
      </c>
      <c r="S69" s="12" t="str">
        <f t="shared" ref="S69:S74" ca="1" si="60">IFERROR(MATCH($T$68,OFFSET($AC$28:$AC$58,S68,0,1000000),0)+S68,"")</f>
        <v/>
      </c>
      <c r="U69" s="16" t="str">
        <f t="shared" ref="U69:U74" ca="1" si="61">IFERROR(INDEX($AG$28:$AG$58,S69),"")</f>
        <v/>
      </c>
      <c r="AJ69" s="12" t="str">
        <f ca="1">IFERROR(MATCH($B$114,OFFSET(#REF!,AJ68,0,1000000),0)+AJ68,"")</f>
        <v/>
      </c>
      <c r="AK69" s="17" t="str">
        <f ca="1">IFERROR(_xlfn.SINGLE(INDEX(#REF!,'Monthly Report'!AJ69)),"")</f>
        <v/>
      </c>
      <c r="AL69" s="12" t="str">
        <f ca="1">IFERROR(_xlfn.SINGLE(INDEX(#REF!,'Monthly Report'!AJ69)),"")</f>
        <v/>
      </c>
      <c r="AN69" s="12" t="str">
        <f ca="1">IFERROR(MATCH($G$115,OFFSET(#REF!,AN68,0,1000000),0)+AN68,"")</f>
        <v/>
      </c>
      <c r="AO69" s="17" t="str">
        <f ca="1">IFERROR(_xlfn.SINGLE(INDEX(#REF!,'Monthly Report'!AN69)),"")</f>
        <v/>
      </c>
      <c r="AP69" s="12" t="str">
        <f ca="1">IFERROR(_xlfn.SINGLE(INDEX(#REF!,'Monthly Report'!AN69)),"")</f>
        <v/>
      </c>
      <c r="BM69" s="105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85"/>
      <c r="CF69" s="6" t="s">
        <v>183</v>
      </c>
      <c r="CG69" s="6">
        <f>SUMIFS(Table_Assembly[Specific Amount],Table_Assembly[NG Type],$CF$14,Table_Assembly[Product type],$BP$50,Table_Assembly[NG content],CF69,Table_Assembly[MFG Date],"&gt;="&amp;$R$28,Table_Assembly[MFG Date],"&lt;="&amp;$R$29)</f>
        <v>0</v>
      </c>
      <c r="CH69" s="6">
        <f>SUMIFS(Table_Assembly[Specific Amount],Table_Assembly[NG Type],$CF$14,Table_Assembly[Product type],$BP$50,Table_Assembly[NG content],CF69,Table_Assembly[MFG Date],"&gt;="&amp;$R$36,Table_Assembly[MFG Date],"&lt;="&amp;$R$37)</f>
        <v>0</v>
      </c>
      <c r="CI69" s="6">
        <f>SUMIFS(Table_Assembly[Specific Amount],Table_Assembly[NG Type],$CF$14,Table_Assembly[Product type],$BP$50,Table_Assembly[NG content],CF69,Table_Assembly[MFG Date],"&gt;="&amp;$R$44,Table_Assembly[MFG Date],"&lt;="&amp;$R$45)</f>
        <v>0</v>
      </c>
      <c r="CJ69" s="6">
        <f>SUMIFS(Table_Assembly[Specific Amount],Table_Assembly[NG Type],$CF$14,Table_Assembly[Product type],$BP$50,Table_Assembly[NG content],CF69,Table_Assembly[MFG Date],"&gt;="&amp;$R$52,Table_Assembly[MFG Date],"&lt;="&amp;$R$53)</f>
        <v>0</v>
      </c>
      <c r="CK69" s="6">
        <f>SUMIFS(Table_Assembly[Specific Amount],Table_Assembly[NG Type],$CF$14,Table_Assembly[Product type],$BP$50,Table_Assembly[NG content],CF69,Table_Assembly[MFG Date],"&gt;="&amp;$R$60,Table_Assembly[MFG Date],"&lt;="&amp;$R$61)</f>
        <v>0</v>
      </c>
      <c r="CL69" s="6">
        <f>SUMIFS(Table_Assembly[Specific Amount],Table_Assembly[NG Type],$CF$14,Table_Assembly[Product type],$BP$50,Table_Assembly[NG content],CF69,Table_Assembly[MFG Date],"&gt;="&amp;$R$68,Table_Assembly[MFG Date],"&lt;="&amp;$R$69)</f>
        <v>0</v>
      </c>
    </row>
    <row r="70" spans="1:90">
      <c r="A70" s="23"/>
      <c r="B70" s="23"/>
      <c r="C70" s="23"/>
      <c r="D70" s="23"/>
      <c r="E70" s="70" t="str">
        <f>Pareto!T58</f>
        <v>Sai phối màu 誤配色</v>
      </c>
      <c r="F70" s="71">
        <f>Pareto!U58</f>
        <v>58</v>
      </c>
      <c r="G70" s="72">
        <f>Pareto!V58</f>
        <v>4.4546850998463903</v>
      </c>
      <c r="H70" s="72">
        <f>IFERROR(H69+G70,"")</f>
        <v>83.717357910906301</v>
      </c>
      <c r="I70" s="23"/>
      <c r="J70" s="70" t="str">
        <f>Pareto!Y58</f>
        <v>Cháy dây</v>
      </c>
      <c r="K70" s="71">
        <f>Pareto!Z58</f>
        <v>46</v>
      </c>
      <c r="L70" s="72">
        <f>Pareto!AA58</f>
        <v>20.264317180616739</v>
      </c>
      <c r="M70" s="72">
        <f>IFERROR(M69+L70,"")</f>
        <v>71.365638766519822</v>
      </c>
      <c r="N70" s="23"/>
      <c r="O70" s="85"/>
      <c r="R70" s="14"/>
      <c r="S70" s="12" t="str">
        <f t="shared" ca="1" si="60"/>
        <v/>
      </c>
      <c r="U70" s="16" t="str">
        <f t="shared" ca="1" si="61"/>
        <v/>
      </c>
      <c r="AJ70" s="12" t="str">
        <f ca="1">IFERROR(MATCH($B$114,OFFSET(#REF!,AJ69,0,1000000),0)+AJ69,"")</f>
        <v/>
      </c>
      <c r="AK70" s="17" t="str">
        <f ca="1">IFERROR(_xlfn.SINGLE(INDEX(#REF!,'Monthly Report'!AJ70)),"")</f>
        <v/>
      </c>
      <c r="AL70" s="12" t="str">
        <f ca="1">IFERROR(_xlfn.SINGLE(INDEX(#REF!,'Monthly Report'!AJ70)),"")</f>
        <v/>
      </c>
      <c r="AN70" s="12" t="str">
        <f ca="1">IFERROR(MATCH($G$115,OFFSET(#REF!,AN69,0,1000000),0)+AN69,"")</f>
        <v/>
      </c>
      <c r="AO70" s="17" t="str">
        <f ca="1">IFERROR(_xlfn.SINGLE(INDEX(#REF!,'Monthly Report'!AN70)),"")</f>
        <v/>
      </c>
      <c r="AP70" s="12" t="str">
        <f ca="1">IFERROR(_xlfn.SINGLE(INDEX(#REF!,'Monthly Report'!AN70)),"")</f>
        <v/>
      </c>
      <c r="BM70" s="105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85"/>
      <c r="CF70" s="6" t="s">
        <v>234</v>
      </c>
      <c r="CG70" s="6">
        <f>SUMIFS(Table_Assembly[Specific Amount],Table_Assembly[NG Type],$CF$14,Table_Assembly[Product type],$BP$50,Table_Assembly[NG content],CF70,Table_Assembly[MFG Date],"&gt;="&amp;$R$28,Table_Assembly[MFG Date],"&lt;="&amp;$R$29)</f>
        <v>0</v>
      </c>
      <c r="CH70" s="6">
        <f>SUMIFS(Table_Assembly[Specific Amount],Table_Assembly[NG Type],$CF$14,Table_Assembly[Product type],$BP$50,Table_Assembly[NG content],CF70,Table_Assembly[MFG Date],"&gt;="&amp;$R$36,Table_Assembly[MFG Date],"&lt;="&amp;$R$37)</f>
        <v>0</v>
      </c>
      <c r="CI70" s="6">
        <f>SUMIFS(Table_Assembly[Specific Amount],Table_Assembly[NG Type],$CF$14,Table_Assembly[Product type],$BP$50,Table_Assembly[NG content],CF70,Table_Assembly[MFG Date],"&gt;="&amp;$R$44,Table_Assembly[MFG Date],"&lt;="&amp;$R$45)</f>
        <v>0</v>
      </c>
      <c r="CJ70" s="6">
        <f>SUMIFS(Table_Assembly[Specific Amount],Table_Assembly[NG Type],$CF$14,Table_Assembly[Product type],$BP$50,Table_Assembly[NG content],CF70,Table_Assembly[MFG Date],"&gt;="&amp;$R$52,Table_Assembly[MFG Date],"&lt;="&amp;$R$53)</f>
        <v>0</v>
      </c>
      <c r="CK70" s="6">
        <f>SUMIFS(Table_Assembly[Specific Amount],Table_Assembly[NG Type],$CF$14,Table_Assembly[Product type],$BP$50,Table_Assembly[NG content],CF70,Table_Assembly[MFG Date],"&gt;="&amp;$R$60,Table_Assembly[MFG Date],"&lt;="&amp;$R$61)</f>
        <v>0</v>
      </c>
      <c r="CL70" s="6">
        <f>SUMIFS(Table_Assembly[Specific Amount],Table_Assembly[NG Type],$CF$14,Table_Assembly[Product type],$BP$50,Table_Assembly[NG content],CF70,Table_Assembly[MFG Date],"&gt;="&amp;$R$68,Table_Assembly[MFG Date],"&lt;="&amp;$R$69)</f>
        <v>0</v>
      </c>
    </row>
    <row r="71" spans="1:90">
      <c r="A71" s="23"/>
      <c r="B71" s="23"/>
      <c r="C71" s="23"/>
      <c r="D71" s="23"/>
      <c r="E71" s="70" t="str">
        <f>Pareto!T59</f>
        <v>Đội gờ HS</v>
      </c>
      <c r="F71" s="71">
        <f>Pareto!U59</f>
        <v>47</v>
      </c>
      <c r="G71" s="72">
        <f>Pareto!V59</f>
        <v>3.6098310291858677</v>
      </c>
      <c r="H71" s="72">
        <f t="shared" ref="H71:H113" si="62">IFERROR(H70+G71,"")</f>
        <v>87.327188940092171</v>
      </c>
      <c r="I71" s="23"/>
      <c r="J71" s="70" t="str">
        <f>Pareto!Y59</f>
        <v>Dây ngắn/dài</v>
      </c>
      <c r="K71" s="71">
        <f>Pareto!Z59</f>
        <v>27</v>
      </c>
      <c r="L71" s="72">
        <f>Pareto!AA59</f>
        <v>11.894273127753303</v>
      </c>
      <c r="M71" s="72">
        <f t="shared" ref="M71:M113" si="63">IFERROR(M70+L71,"")</f>
        <v>83.259911894273131</v>
      </c>
      <c r="N71" s="23"/>
      <c r="O71" s="85"/>
      <c r="R71" s="14"/>
      <c r="S71" s="12" t="str">
        <f t="shared" ca="1" si="60"/>
        <v/>
      </c>
      <c r="U71" s="16" t="str">
        <f t="shared" ca="1" si="61"/>
        <v/>
      </c>
      <c r="AJ71" s="12" t="str">
        <f ca="1">IFERROR(MATCH($B$114,OFFSET(#REF!,AJ70,0,1000000),0)+AJ70,"")</f>
        <v/>
      </c>
      <c r="AK71" s="17" t="str">
        <f ca="1">IFERROR(_xlfn.SINGLE(INDEX(#REF!,'Monthly Report'!AJ71)),"")</f>
        <v/>
      </c>
      <c r="AL71" s="12" t="str">
        <f ca="1">IFERROR(_xlfn.SINGLE(INDEX(#REF!,'Monthly Report'!AJ71)),"")</f>
        <v/>
      </c>
      <c r="AN71" s="12" t="str">
        <f ca="1">IFERROR(MATCH($G$115,OFFSET(#REF!,AN70,0,1000000),0)+AN70,"")</f>
        <v/>
      </c>
      <c r="AO71" s="17" t="str">
        <f ca="1">IFERROR(_xlfn.SINGLE(INDEX(#REF!,'Monthly Report'!AN71)),"")</f>
        <v/>
      </c>
      <c r="AP71" s="12" t="str">
        <f ca="1">IFERROR(_xlfn.SINGLE(INDEX(#REF!,'Monthly Report'!AN71)),"")</f>
        <v/>
      </c>
      <c r="BM71" s="105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85"/>
      <c r="CF71" s="6" t="s">
        <v>184</v>
      </c>
      <c r="CG71" s="6">
        <f>SUMIFS(Table_Assembly[Specific Amount],Table_Assembly[NG Type],$CF$14,Table_Assembly[Product type],$BP$50,Table_Assembly[NG content],CF71,Table_Assembly[MFG Date],"&gt;="&amp;$R$28,Table_Assembly[MFG Date],"&lt;="&amp;$R$29)</f>
        <v>0</v>
      </c>
      <c r="CH71" s="6">
        <f>SUMIFS(Table_Assembly[Specific Amount],Table_Assembly[NG Type],$CF$14,Table_Assembly[Product type],$BP$50,Table_Assembly[NG content],CF71,Table_Assembly[MFG Date],"&gt;="&amp;$R$36,Table_Assembly[MFG Date],"&lt;="&amp;$R$37)</f>
        <v>0</v>
      </c>
      <c r="CI71" s="6">
        <f>SUMIFS(Table_Assembly[Specific Amount],Table_Assembly[NG Type],$CF$14,Table_Assembly[Product type],$BP$50,Table_Assembly[NG content],CF71,Table_Assembly[MFG Date],"&gt;="&amp;$R$44,Table_Assembly[MFG Date],"&lt;="&amp;$R$45)</f>
        <v>0</v>
      </c>
      <c r="CJ71" s="6">
        <f>SUMIFS(Table_Assembly[Specific Amount],Table_Assembly[NG Type],$CF$14,Table_Assembly[Product type],$BP$50,Table_Assembly[NG content],CF71,Table_Assembly[MFG Date],"&gt;="&amp;$R$52,Table_Assembly[MFG Date],"&lt;="&amp;$R$53)</f>
        <v>0</v>
      </c>
      <c r="CK71" s="6">
        <f>SUMIFS(Table_Assembly[Specific Amount],Table_Assembly[NG Type],$CF$14,Table_Assembly[Product type],$BP$50,Table_Assembly[NG content],CF71,Table_Assembly[MFG Date],"&gt;="&amp;$R$60,Table_Assembly[MFG Date],"&lt;="&amp;$R$61)</f>
        <v>0</v>
      </c>
      <c r="CL71" s="6">
        <f>SUMIFS(Table_Assembly[Specific Amount],Table_Assembly[NG Type],$CF$14,Table_Assembly[Product type],$BP$50,Table_Assembly[NG content],CF71,Table_Assembly[MFG Date],"&gt;="&amp;$R$68,Table_Assembly[MFG Date],"&lt;="&amp;$R$69)</f>
        <v>0</v>
      </c>
    </row>
    <row r="72" spans="1:90">
      <c r="A72" s="23"/>
      <c r="B72" s="23"/>
      <c r="C72" s="23"/>
      <c r="D72" s="23"/>
      <c r="E72" s="70" t="str">
        <f>Pareto!T60</f>
        <v>Oxi hóa</v>
      </c>
      <c r="F72" s="71">
        <f>Pareto!U60</f>
        <v>28</v>
      </c>
      <c r="G72" s="72">
        <f>Pareto!V60</f>
        <v>2.1505376344086025</v>
      </c>
      <c r="H72" s="72">
        <f t="shared" si="62"/>
        <v>89.477726574500778</v>
      </c>
      <c r="I72" s="23"/>
      <c r="J72" s="70" t="str">
        <f>Pareto!Y60</f>
        <v>Trầy, dơ do NL</v>
      </c>
      <c r="K72" s="71">
        <f>Pareto!Z60</f>
        <v>11</v>
      </c>
      <c r="L72" s="72">
        <f>Pareto!AA60</f>
        <v>4.8458149779735686</v>
      </c>
      <c r="M72" s="72">
        <f t="shared" si="63"/>
        <v>88.105726872246706</v>
      </c>
      <c r="N72" s="23"/>
      <c r="O72" s="85"/>
      <c r="R72" s="14"/>
      <c r="S72" s="12" t="str">
        <f t="shared" ca="1" si="60"/>
        <v/>
      </c>
      <c r="U72" s="16" t="str">
        <f t="shared" ca="1" si="61"/>
        <v/>
      </c>
      <c r="AJ72" s="12" t="str">
        <f ca="1">IFERROR(MATCH($B$114,OFFSET(#REF!,AJ71,0,1000000),0)+AJ71,"")</f>
        <v/>
      </c>
      <c r="AK72" s="17" t="str">
        <f ca="1">IFERROR(_xlfn.SINGLE(INDEX(#REF!,'Monthly Report'!AJ72)),"")</f>
        <v/>
      </c>
      <c r="AL72" s="12" t="str">
        <f ca="1">IFERROR(_xlfn.SINGLE(INDEX(#REF!,'Monthly Report'!AJ72)),"")</f>
        <v/>
      </c>
      <c r="AN72" s="12" t="str">
        <f ca="1">IFERROR(MATCH($G$115,OFFSET(#REF!,AN71,0,1000000),0)+AN71,"")</f>
        <v/>
      </c>
      <c r="AO72" s="17" t="str">
        <f ca="1">IFERROR(_xlfn.SINGLE(INDEX(#REF!,'Monthly Report'!AN72)),"")</f>
        <v/>
      </c>
      <c r="AP72" s="12" t="str">
        <f ca="1">IFERROR(_xlfn.SINGLE(INDEX(#REF!,'Monthly Report'!AN72)),"")</f>
        <v/>
      </c>
      <c r="BM72" s="105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85"/>
      <c r="CF72" s="6" t="s">
        <v>322</v>
      </c>
      <c r="CG72" s="6">
        <f>SUMIFS(Table_Assembly[Specific Amount],Table_Assembly[NG Type],$CF$14,Table_Assembly[Product type],$BP$50,Table_Assembly[NG content],CF72,Table_Assembly[MFG Date],"&gt;="&amp;$R$28,Table_Assembly[MFG Date],"&lt;="&amp;$R$29)</f>
        <v>0</v>
      </c>
      <c r="CH72" s="6">
        <f>SUMIFS(Table_Assembly[Specific Amount],Table_Assembly[NG Type],$CF$14,Table_Assembly[Product type],$BP$50,Table_Assembly[NG content],CF72,Table_Assembly[MFG Date],"&gt;="&amp;$R$36,Table_Assembly[MFG Date],"&lt;="&amp;$R$37)</f>
        <v>0</v>
      </c>
      <c r="CI72" s="6">
        <f>SUMIFS(Table_Assembly[Specific Amount],Table_Assembly[NG Type],$CF$14,Table_Assembly[Product type],$BP$50,Table_Assembly[NG content],CF72,Table_Assembly[MFG Date],"&gt;="&amp;$R$44,Table_Assembly[MFG Date],"&lt;="&amp;$R$45)</f>
        <v>0</v>
      </c>
      <c r="CJ72" s="6">
        <f>SUMIFS(Table_Assembly[Specific Amount],Table_Assembly[NG Type],$CF$14,Table_Assembly[Product type],$BP$50,Table_Assembly[NG content],CF72,Table_Assembly[MFG Date],"&gt;="&amp;$R$52,Table_Assembly[MFG Date],"&lt;="&amp;$R$53)</f>
        <v>0</v>
      </c>
      <c r="CK72" s="6">
        <f>SUMIFS(Table_Assembly[Specific Amount],Table_Assembly[NG Type],$CF$14,Table_Assembly[Product type],$BP$50,Table_Assembly[NG content],CF72,Table_Assembly[MFG Date],"&gt;="&amp;$R$60,Table_Assembly[MFG Date],"&lt;="&amp;$R$61)</f>
        <v>0</v>
      </c>
      <c r="CL72" s="6">
        <f>SUMIFS(Table_Assembly[Specific Amount],Table_Assembly[NG Type],$CF$14,Table_Assembly[Product type],$BP$50,Table_Assembly[NG content],CF72,Table_Assembly[MFG Date],"&gt;="&amp;$R$68,Table_Assembly[MFG Date],"&lt;="&amp;$R$69)</f>
        <v>0</v>
      </c>
    </row>
    <row r="73" spans="1:90">
      <c r="A73" s="23"/>
      <c r="B73" s="23"/>
      <c r="C73" s="23"/>
      <c r="D73" s="23"/>
      <c r="E73" s="70" t="str">
        <f>Pareto!T61</f>
        <v>Dây ngắn/dài</v>
      </c>
      <c r="F73" s="71">
        <f>Pareto!U61</f>
        <v>27</v>
      </c>
      <c r="G73" s="72">
        <f>Pareto!V61</f>
        <v>2.0737327188940093</v>
      </c>
      <c r="H73" s="72">
        <f t="shared" si="62"/>
        <v>91.551459293394785</v>
      </c>
      <c r="I73" s="23"/>
      <c r="J73" s="70" t="str">
        <f>Pareto!Y61</f>
        <v>Đứt Lõi</v>
      </c>
      <c r="K73" s="71">
        <f>Pareto!Z61</f>
        <v>9</v>
      </c>
      <c r="L73" s="72">
        <f>Pareto!AA61</f>
        <v>3.9647577092511015</v>
      </c>
      <c r="M73" s="72">
        <f t="shared" si="63"/>
        <v>92.070484581497809</v>
      </c>
      <c r="N73" s="23"/>
      <c r="O73" s="85"/>
      <c r="R73" s="14"/>
      <c r="S73" s="12" t="str">
        <f t="shared" ca="1" si="60"/>
        <v/>
      </c>
      <c r="U73" s="16" t="str">
        <f t="shared" ca="1" si="61"/>
        <v/>
      </c>
      <c r="AJ73" s="12" t="str">
        <f ca="1">IFERROR(MATCH($B$114,OFFSET(#REF!,AJ72,0,1000000),0)+AJ72,"")</f>
        <v/>
      </c>
      <c r="AK73" s="17" t="str">
        <f ca="1">IFERROR(_xlfn.SINGLE(INDEX(#REF!,'Monthly Report'!AJ73)),"")</f>
        <v/>
      </c>
      <c r="AL73" s="12" t="str">
        <f ca="1">IFERROR(_xlfn.SINGLE(INDEX(#REF!,'Monthly Report'!AJ73)),"")</f>
        <v/>
      </c>
      <c r="AN73" s="12" t="str">
        <f ca="1">IFERROR(MATCH($G$115,OFFSET(#REF!,AN72,0,1000000),0)+AN72,"")</f>
        <v/>
      </c>
      <c r="AO73" s="17" t="str">
        <f ca="1">IFERROR(_xlfn.SINGLE(INDEX(#REF!,'Monthly Report'!AN73)),"")</f>
        <v/>
      </c>
      <c r="AP73" s="12" t="str">
        <f ca="1">IFERROR(_xlfn.SINGLE(INDEX(#REF!,'Monthly Report'!AN73)),"")</f>
        <v/>
      </c>
      <c r="BM73" s="105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85"/>
      <c r="CF73" s="6" t="s">
        <v>185</v>
      </c>
      <c r="CG73" s="6">
        <f>SUMIFS(Table_Assembly[Specific Amount],Table_Assembly[NG Type],$CF$14,Table_Assembly[Product type],$BP$50,Table_Assembly[NG content],CF73,Table_Assembly[MFG Date],"&gt;="&amp;$R$28,Table_Assembly[MFG Date],"&lt;="&amp;$R$29)</f>
        <v>0</v>
      </c>
      <c r="CH73" s="6">
        <f>SUMIFS(Table_Assembly[Specific Amount],Table_Assembly[NG Type],$CF$14,Table_Assembly[Product type],$BP$50,Table_Assembly[NG content],CF73,Table_Assembly[MFG Date],"&gt;="&amp;$R$36,Table_Assembly[MFG Date],"&lt;="&amp;$R$37)</f>
        <v>0</v>
      </c>
      <c r="CI73" s="6">
        <f>SUMIFS(Table_Assembly[Specific Amount],Table_Assembly[NG Type],$CF$14,Table_Assembly[Product type],$BP$50,Table_Assembly[NG content],CF73,Table_Assembly[MFG Date],"&gt;="&amp;$R$44,Table_Assembly[MFG Date],"&lt;="&amp;$R$45)</f>
        <v>0</v>
      </c>
      <c r="CJ73" s="6">
        <f>SUMIFS(Table_Assembly[Specific Amount],Table_Assembly[NG Type],$CF$14,Table_Assembly[Product type],$BP$50,Table_Assembly[NG content],CF73,Table_Assembly[MFG Date],"&gt;="&amp;$R$52,Table_Assembly[MFG Date],"&lt;="&amp;$R$53)</f>
        <v>0</v>
      </c>
      <c r="CK73" s="6">
        <f>SUMIFS(Table_Assembly[Specific Amount],Table_Assembly[NG Type],$CF$14,Table_Assembly[Product type],$BP$50,Table_Assembly[NG content],CF73,Table_Assembly[MFG Date],"&gt;="&amp;$R$60,Table_Assembly[MFG Date],"&lt;="&amp;$R$61)</f>
        <v>0</v>
      </c>
      <c r="CL73" s="6">
        <f>SUMIFS(Table_Assembly[Specific Amount],Table_Assembly[NG Type],$CF$14,Table_Assembly[Product type],$BP$50,Table_Assembly[NG content],CF73,Table_Assembly[MFG Date],"&gt;="&amp;$R$68,Table_Assembly[MFG Date],"&lt;="&amp;$R$69)</f>
        <v>0</v>
      </c>
    </row>
    <row r="74" spans="1:90">
      <c r="A74" s="23"/>
      <c r="B74" s="23"/>
      <c r="C74" s="23"/>
      <c r="D74" s="23"/>
      <c r="E74" s="70" t="str">
        <f>Pareto!T62</f>
        <v>Tanshi biến dạng</v>
      </c>
      <c r="F74" s="71">
        <f>Pareto!U62</f>
        <v>26</v>
      </c>
      <c r="G74" s="72">
        <f>Pareto!V62</f>
        <v>1.9969278033794162</v>
      </c>
      <c r="H74" s="72">
        <f t="shared" si="62"/>
        <v>93.548387096774206</v>
      </c>
      <c r="I74" s="23"/>
      <c r="J74" s="70" t="str">
        <f>Pareto!Y62</f>
        <v>Oxi hóa</v>
      </c>
      <c r="K74" s="71">
        <f>Pareto!Z62</f>
        <v>8</v>
      </c>
      <c r="L74" s="72">
        <f>Pareto!AA62</f>
        <v>3.5242290748898681</v>
      </c>
      <c r="M74" s="72">
        <f t="shared" si="63"/>
        <v>95.594713656387682</v>
      </c>
      <c r="N74" s="23"/>
      <c r="O74" s="85"/>
      <c r="R74" s="14"/>
      <c r="S74" s="12" t="str">
        <f t="shared" ca="1" si="60"/>
        <v/>
      </c>
      <c r="U74" s="16" t="str">
        <f t="shared" ca="1" si="61"/>
        <v/>
      </c>
      <c r="AJ74" s="12" t="str">
        <f ca="1">IFERROR(MATCH($B$114,OFFSET(#REF!,AJ73,0,1000000),0)+AJ73,"")</f>
        <v/>
      </c>
      <c r="AK74" s="17" t="str">
        <f ca="1">IFERROR(_xlfn.SINGLE(INDEX(#REF!,'Monthly Report'!AJ74)),"")</f>
        <v/>
      </c>
      <c r="AL74" s="12" t="str">
        <f ca="1">IFERROR(_xlfn.SINGLE(INDEX(#REF!,'Monthly Report'!AJ74)),"")</f>
        <v/>
      </c>
      <c r="AN74" s="12" t="str">
        <f ca="1">IFERROR(MATCH($G$115,OFFSET(#REF!,AN73,0,1000000),0)+AN73,"")</f>
        <v/>
      </c>
      <c r="AO74" s="17" t="str">
        <f ca="1">IFERROR(_xlfn.SINGLE(INDEX(#REF!,'Monthly Report'!AN74)),"")</f>
        <v/>
      </c>
      <c r="AP74" s="12" t="str">
        <f ca="1">IFERROR(_xlfn.SINGLE(INDEX(#REF!,'Monthly Report'!AN74)),"")</f>
        <v/>
      </c>
      <c r="BM74" s="105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85"/>
      <c r="CF74" s="6" t="s">
        <v>236</v>
      </c>
      <c r="CG74" s="6">
        <f>SUMIFS(Table_Assembly[Specific Amount],Table_Assembly[NG Type],$CF$14,Table_Assembly[Product type],$BP$50,Table_Assembly[NG content],CF74,Table_Assembly[MFG Date],"&gt;="&amp;$R$28,Table_Assembly[MFG Date],"&lt;="&amp;$R$29)</f>
        <v>3</v>
      </c>
      <c r="CH74" s="6">
        <f>SUMIFS(Table_Assembly[Specific Amount],Table_Assembly[NG Type],$CF$14,Table_Assembly[Product type],$BP$50,Table_Assembly[NG content],CF74,Table_Assembly[MFG Date],"&gt;="&amp;$R$36,Table_Assembly[MFG Date],"&lt;="&amp;$R$37)</f>
        <v>0</v>
      </c>
      <c r="CI74" s="6">
        <f>SUMIFS(Table_Assembly[Specific Amount],Table_Assembly[NG Type],$CF$14,Table_Assembly[Product type],$BP$50,Table_Assembly[NG content],CF74,Table_Assembly[MFG Date],"&gt;="&amp;$R$44,Table_Assembly[MFG Date],"&lt;="&amp;$R$45)</f>
        <v>2</v>
      </c>
      <c r="CJ74" s="6">
        <f>SUMIFS(Table_Assembly[Specific Amount],Table_Assembly[NG Type],$CF$14,Table_Assembly[Product type],$BP$50,Table_Assembly[NG content],CF74,Table_Assembly[MFG Date],"&gt;="&amp;$R$52,Table_Assembly[MFG Date],"&lt;="&amp;$R$53)</f>
        <v>0</v>
      </c>
      <c r="CK74" s="6">
        <f>SUMIFS(Table_Assembly[Specific Amount],Table_Assembly[NG Type],$CF$14,Table_Assembly[Product type],$BP$50,Table_Assembly[NG content],CF74,Table_Assembly[MFG Date],"&gt;="&amp;$R$60,Table_Assembly[MFG Date],"&lt;="&amp;$R$61)</f>
        <v>0</v>
      </c>
      <c r="CL74" s="6">
        <f>SUMIFS(Table_Assembly[Specific Amount],Table_Assembly[NG Type],$CF$14,Table_Assembly[Product type],$BP$50,Table_Assembly[NG content],CF74,Table_Assembly[MFG Date],"&gt;="&amp;$R$68,Table_Assembly[MFG Date],"&lt;="&amp;$R$69)</f>
        <v>0</v>
      </c>
    </row>
    <row r="75" spans="1:90">
      <c r="A75" s="23"/>
      <c r="B75" s="23"/>
      <c r="C75" s="23"/>
      <c r="D75" s="23"/>
      <c r="E75" s="70" t="str">
        <f>Pareto!T63</f>
        <v>Mẻ, lõm, biến dạng</v>
      </c>
      <c r="F75" s="71">
        <f>Pareto!U63</f>
        <v>20</v>
      </c>
      <c r="G75" s="72">
        <f>Pareto!V63</f>
        <v>1.5360983102918586</v>
      </c>
      <c r="H75" s="72">
        <f t="shared" si="62"/>
        <v>95.084485407066069</v>
      </c>
      <c r="I75" s="23"/>
      <c r="J75" s="70" t="str">
        <f>Pareto!Y63</f>
        <v>Others for IC</v>
      </c>
      <c r="K75" s="71">
        <f>Pareto!Z63</f>
        <v>5</v>
      </c>
      <c r="L75" s="72">
        <f>Pareto!AA63</f>
        <v>2.2026431718061676</v>
      </c>
      <c r="M75" s="72">
        <f t="shared" si="63"/>
        <v>97.797356828193855</v>
      </c>
      <c r="N75" s="23"/>
      <c r="O75" s="85"/>
      <c r="AJ75" s="12" t="str">
        <f ca="1">IFERROR(MATCH($B$114,OFFSET(#REF!,AJ74,0,1000000),0)+AJ74,"")</f>
        <v/>
      </c>
      <c r="AK75" s="17" t="str">
        <f ca="1">IFERROR(_xlfn.SINGLE(INDEX(#REF!,'Monthly Report'!AJ75)),"")</f>
        <v/>
      </c>
      <c r="AL75" s="12" t="str">
        <f ca="1">IFERROR(_xlfn.SINGLE(INDEX(#REF!,'Monthly Report'!AJ75)),"")</f>
        <v/>
      </c>
      <c r="AN75" s="12" t="str">
        <f ca="1">IFERROR(MATCH($G$115,OFFSET(#REF!,AN74,0,1000000),0)+AN74,"")</f>
        <v/>
      </c>
      <c r="AO75" s="17" t="str">
        <f ca="1">IFERROR(_xlfn.SINGLE(INDEX(#REF!,'Monthly Report'!AN75)),"")</f>
        <v/>
      </c>
      <c r="AP75" s="12" t="str">
        <f ca="1">IFERROR(_xlfn.SINGLE(INDEX(#REF!,'Monthly Report'!AN75)),"")</f>
        <v/>
      </c>
      <c r="BM75" s="105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85"/>
      <c r="CF75" s="6" t="s">
        <v>168</v>
      </c>
      <c r="CG75" s="6">
        <f>SUMIFS(Table_Assembly[Specific Amount],Table_Assembly[NG Type],$CF$14,Table_Assembly[Product type],$BP$50,Table_Assembly[NG content],CF75,Table_Assembly[MFG Date],"&gt;="&amp;$R$28,Table_Assembly[MFG Date],"&lt;="&amp;$R$29)</f>
        <v>4</v>
      </c>
      <c r="CH75" s="6">
        <f>SUMIFS(Table_Assembly[Specific Amount],Table_Assembly[NG Type],$CF$14,Table_Assembly[Product type],$BP$50,Table_Assembly[NG content],CF75,Table_Assembly[MFG Date],"&gt;="&amp;$R$36,Table_Assembly[MFG Date],"&lt;="&amp;$R$37)</f>
        <v>0</v>
      </c>
      <c r="CI75" s="6">
        <f>SUMIFS(Table_Assembly[Specific Amount],Table_Assembly[NG Type],$CF$14,Table_Assembly[Product type],$BP$50,Table_Assembly[NG content],CF75,Table_Assembly[MFG Date],"&gt;="&amp;$R$44,Table_Assembly[MFG Date],"&lt;="&amp;$R$45)</f>
        <v>16</v>
      </c>
      <c r="CJ75" s="6">
        <f>SUMIFS(Table_Assembly[Specific Amount],Table_Assembly[NG Type],$CF$14,Table_Assembly[Product type],$BP$50,Table_Assembly[NG content],CF75,Table_Assembly[MFG Date],"&gt;="&amp;$R$52,Table_Assembly[MFG Date],"&lt;="&amp;$R$53)</f>
        <v>26</v>
      </c>
      <c r="CK75" s="6">
        <f>SUMIFS(Table_Assembly[Specific Amount],Table_Assembly[NG Type],$CF$14,Table_Assembly[Product type],$BP$50,Table_Assembly[NG content],CF75,Table_Assembly[MFG Date],"&gt;="&amp;$R$60,Table_Assembly[MFG Date],"&lt;="&amp;$R$61)</f>
        <v>0</v>
      </c>
      <c r="CL75" s="6">
        <f>SUMIFS(Table_Assembly[Specific Amount],Table_Assembly[NG Type],$CF$14,Table_Assembly[Product type],$BP$50,Table_Assembly[NG content],CF75,Table_Assembly[MFG Date],"&gt;="&amp;$R$68,Table_Assembly[MFG Date],"&lt;="&amp;$R$69)</f>
        <v>0</v>
      </c>
    </row>
    <row r="76" spans="1:90">
      <c r="A76" s="23"/>
      <c r="B76" s="23"/>
      <c r="C76" s="23"/>
      <c r="D76" s="23"/>
      <c r="E76" s="70" t="str">
        <f>Pareto!T64</f>
        <v>NG, dính dơ, dị vật do NL</v>
      </c>
      <c r="F76" s="71">
        <f>Pareto!U64</f>
        <v>15</v>
      </c>
      <c r="G76" s="72">
        <f>Pareto!V64</f>
        <v>1.1520737327188941</v>
      </c>
      <c r="H76" s="72">
        <f t="shared" si="62"/>
        <v>96.236559139784958</v>
      </c>
      <c r="I76" s="23"/>
      <c r="J76" s="70" t="str">
        <f>Pareto!Y64</f>
        <v>Cấn, trầy</v>
      </c>
      <c r="K76" s="71">
        <f>Pareto!Z64</f>
        <v>5</v>
      </c>
      <c r="L76" s="72">
        <f>Pareto!AA64</f>
        <v>2.2026431718061676</v>
      </c>
      <c r="M76" s="72">
        <f t="shared" si="63"/>
        <v>100.00000000000003</v>
      </c>
      <c r="N76" s="23"/>
      <c r="O76" s="85"/>
      <c r="AJ76" s="12" t="str">
        <f ca="1">IFERROR(MATCH($B$114,OFFSET(#REF!,AJ75,0,1000000),0)+AJ75,"")</f>
        <v/>
      </c>
      <c r="AK76" s="17" t="str">
        <f ca="1">IFERROR(_xlfn.SINGLE(INDEX(#REF!,'Monthly Report'!AJ76)),"")</f>
        <v/>
      </c>
      <c r="AL76" s="12" t="str">
        <f ca="1">IFERROR(_xlfn.SINGLE(INDEX(#REF!,'Monthly Report'!AJ76)),"")</f>
        <v/>
      </c>
      <c r="AN76" s="12" t="str">
        <f ca="1">IFERROR(MATCH($G$115,OFFSET(#REF!,AN75,0,1000000),0)+AN75,"")</f>
        <v/>
      </c>
      <c r="AO76" s="17" t="str">
        <f ca="1">IFERROR(_xlfn.SINGLE(INDEX(#REF!,'Monthly Report'!AN76)),"")</f>
        <v/>
      </c>
      <c r="AP76" s="12" t="str">
        <f ca="1">IFERROR(_xlfn.SINGLE(INDEX(#REF!,'Monthly Report'!AN76)),"")</f>
        <v/>
      </c>
      <c r="BM76" s="105"/>
      <c r="BN76" s="23"/>
      <c r="BO76" s="23"/>
      <c r="BP76" s="23"/>
      <c r="BQ76" s="32" t="s">
        <v>117</v>
      </c>
      <c r="BR76" s="32"/>
      <c r="BS76" s="32"/>
      <c r="BT76" s="32"/>
      <c r="BU76" s="23"/>
      <c r="BV76" s="32" t="s">
        <v>118</v>
      </c>
      <c r="BW76" s="32"/>
      <c r="BX76" s="32"/>
      <c r="BY76" s="32"/>
      <c r="BZ76" s="23"/>
      <c r="CA76" s="85"/>
      <c r="CF76" s="6" t="s">
        <v>237</v>
      </c>
      <c r="CG76" s="6">
        <f>SUMIFS(Table_Assembly[Specific Amount],Table_Assembly[NG Type],$CF$14,Table_Assembly[Product type],$BP$50,Table_Assembly[NG content],CF76,Table_Assembly[MFG Date],"&gt;="&amp;$R$28,Table_Assembly[MFG Date],"&lt;="&amp;$R$29)</f>
        <v>0</v>
      </c>
      <c r="CH76" s="6">
        <f>SUMIFS(Table_Assembly[Specific Amount],Table_Assembly[NG Type],$CF$14,Table_Assembly[Product type],$BP$50,Table_Assembly[NG content],CF76,Table_Assembly[MFG Date],"&gt;="&amp;$R$36,Table_Assembly[MFG Date],"&lt;="&amp;$R$37)</f>
        <v>0</v>
      </c>
      <c r="CI76" s="6">
        <f>SUMIFS(Table_Assembly[Specific Amount],Table_Assembly[NG Type],$CF$14,Table_Assembly[Product type],$BP$50,Table_Assembly[NG content],CF76,Table_Assembly[MFG Date],"&gt;="&amp;$R$44,Table_Assembly[MFG Date],"&lt;="&amp;$R$45)</f>
        <v>0</v>
      </c>
      <c r="CJ76" s="6">
        <f>SUMIFS(Table_Assembly[Specific Amount],Table_Assembly[NG Type],$CF$14,Table_Assembly[Product type],$BP$50,Table_Assembly[NG content],CF76,Table_Assembly[MFG Date],"&gt;="&amp;$R$52,Table_Assembly[MFG Date],"&lt;="&amp;$R$53)</f>
        <v>0</v>
      </c>
      <c r="CK76" s="6">
        <f>SUMIFS(Table_Assembly[Specific Amount],Table_Assembly[NG Type],$CF$14,Table_Assembly[Product type],$BP$50,Table_Assembly[NG content],CF76,Table_Assembly[MFG Date],"&gt;="&amp;$R$60,Table_Assembly[MFG Date],"&lt;="&amp;$R$61)</f>
        <v>0</v>
      </c>
      <c r="CL76" s="6">
        <f>SUMIFS(Table_Assembly[Specific Amount],Table_Assembly[NG Type],$CF$14,Table_Assembly[Product type],$BP$50,Table_Assembly[NG content],CF76,Table_Assembly[MFG Date],"&gt;="&amp;$R$68,Table_Assembly[MFG Date],"&lt;="&amp;$R$69)</f>
        <v>0</v>
      </c>
    </row>
    <row r="77" spans="1:90">
      <c r="A77" s="23"/>
      <c r="B77" s="23"/>
      <c r="C77" s="23"/>
      <c r="D77" s="23"/>
      <c r="E77" s="70" t="str">
        <f>Pareto!T65</f>
        <v>Others for IC</v>
      </c>
      <c r="F77" s="71">
        <f>Pareto!U65</f>
        <v>8</v>
      </c>
      <c r="G77" s="72">
        <f>Pareto!V65</f>
        <v>0.61443932411674351</v>
      </c>
      <c r="H77" s="72">
        <f t="shared" si="62"/>
        <v>96.850998463901703</v>
      </c>
      <c r="I77" s="23"/>
      <c r="J77" s="70" t="str">
        <f>Pareto!Y65</f>
        <v>Không đạt do NL</v>
      </c>
      <c r="K77" s="71">
        <f>Pareto!Z65</f>
        <v>0</v>
      </c>
      <c r="L77" s="72">
        <f>Pareto!AA65</f>
        <v>0</v>
      </c>
      <c r="M77" s="72">
        <f t="shared" si="63"/>
        <v>100.00000000000003</v>
      </c>
      <c r="N77" s="23"/>
      <c r="O77" s="85"/>
      <c r="AJ77" s="12" t="str">
        <f ca="1">IFERROR(MATCH($B$114,OFFSET(#REF!,AJ76,0,1000000),0)+AJ76,"")</f>
        <v/>
      </c>
      <c r="AK77" s="17" t="str">
        <f ca="1">IFERROR(_xlfn.SINGLE(INDEX(#REF!,'Monthly Report'!AJ77)),"")</f>
        <v/>
      </c>
      <c r="AL77" s="12" t="str">
        <f ca="1">IFERROR(_xlfn.SINGLE(INDEX(#REF!,'Monthly Report'!AJ77)),"")</f>
        <v/>
      </c>
      <c r="AN77" s="12" t="str">
        <f ca="1">IFERROR(MATCH($G$115,OFFSET(#REF!,AN76,0,1000000),0)+AN76,"")</f>
        <v/>
      </c>
      <c r="AO77" s="17" t="str">
        <f ca="1">IFERROR(_xlfn.SINGLE(INDEX(#REF!,'Monthly Report'!AN77)),"")</f>
        <v/>
      </c>
      <c r="AP77" s="12" t="str">
        <f ca="1">IFERROR(_xlfn.SINGLE(INDEX(#REF!,'Monthly Report'!AN77)),"")</f>
        <v/>
      </c>
      <c r="BM77" s="105"/>
      <c r="BN77" s="23"/>
      <c r="BO77" s="23"/>
      <c r="BP77" s="23"/>
      <c r="BQ77" s="33" t="s">
        <v>107</v>
      </c>
      <c r="BR77" s="33" t="s">
        <v>29</v>
      </c>
      <c r="BS77" s="33" t="s">
        <v>108</v>
      </c>
      <c r="BT77" s="33" t="s">
        <v>110</v>
      </c>
      <c r="BU77" s="23"/>
      <c r="BV77" s="33" t="s">
        <v>107</v>
      </c>
      <c r="BW77" s="33" t="s">
        <v>29</v>
      </c>
      <c r="BX77" s="33" t="s">
        <v>108</v>
      </c>
      <c r="BY77" s="33" t="s">
        <v>110</v>
      </c>
      <c r="BZ77" s="23"/>
      <c r="CA77" s="85"/>
      <c r="CF77" s="6" t="s">
        <v>238</v>
      </c>
      <c r="CG77" s="6">
        <f>SUMIFS(Table_Assembly[Specific Amount],Table_Assembly[NG Type],$CF$14,Table_Assembly[Product type],$BP$50,Table_Assembly[NG content],CF77,Table_Assembly[MFG Date],"&gt;="&amp;$R$28,Table_Assembly[MFG Date],"&lt;="&amp;$R$29)</f>
        <v>5</v>
      </c>
      <c r="CH77" s="6">
        <f>SUMIFS(Table_Assembly[Specific Amount],Table_Assembly[NG Type],$CF$14,Table_Assembly[Product type],$BP$50,Table_Assembly[NG content],CF77,Table_Assembly[MFG Date],"&gt;="&amp;$R$36,Table_Assembly[MFG Date],"&lt;="&amp;$R$37)</f>
        <v>2</v>
      </c>
      <c r="CI77" s="6">
        <f>SUMIFS(Table_Assembly[Specific Amount],Table_Assembly[NG Type],$CF$14,Table_Assembly[Product type],$BP$50,Table_Assembly[NG content],CF77,Table_Assembly[MFG Date],"&gt;="&amp;$R$44,Table_Assembly[MFG Date],"&lt;="&amp;$R$45)</f>
        <v>0</v>
      </c>
      <c r="CJ77" s="6">
        <f>SUMIFS(Table_Assembly[Specific Amount],Table_Assembly[NG Type],$CF$14,Table_Assembly[Product type],$BP$50,Table_Assembly[NG content],CF77,Table_Assembly[MFG Date],"&gt;="&amp;$R$52,Table_Assembly[MFG Date],"&lt;="&amp;$R$53)</f>
        <v>1</v>
      </c>
      <c r="CK77" s="6">
        <f>SUMIFS(Table_Assembly[Specific Amount],Table_Assembly[NG Type],$CF$14,Table_Assembly[Product type],$BP$50,Table_Assembly[NG content],CF77,Table_Assembly[MFG Date],"&gt;="&amp;$R$60,Table_Assembly[MFG Date],"&lt;="&amp;$R$61)</f>
        <v>1</v>
      </c>
      <c r="CL77" s="6">
        <f>SUMIFS(Table_Assembly[Specific Amount],Table_Assembly[NG Type],$CF$14,Table_Assembly[Product type],$BP$50,Table_Assembly[NG content],CF77,Table_Assembly[MFG Date],"&gt;="&amp;$R$68,Table_Assembly[MFG Date],"&lt;="&amp;$R$69)</f>
        <v>0</v>
      </c>
    </row>
    <row r="78" spans="1:90">
      <c r="A78" s="23"/>
      <c r="B78" s="23"/>
      <c r="C78" s="23"/>
      <c r="D78" s="23"/>
      <c r="E78" s="70" t="str">
        <f>Pareto!T66</f>
        <v>Cấn, trầy</v>
      </c>
      <c r="F78" s="71">
        <f>Pareto!U66</f>
        <v>8</v>
      </c>
      <c r="G78" s="72">
        <f>Pareto!V66</f>
        <v>0.61443932411674351</v>
      </c>
      <c r="H78" s="72">
        <f t="shared" si="62"/>
        <v>97.465437788018448</v>
      </c>
      <c r="I78" s="23"/>
      <c r="J78" s="70" t="str">
        <f>Pareto!Y66</f>
        <v>Mẻ, lõm, biến dạng</v>
      </c>
      <c r="K78" s="71">
        <f>Pareto!Z66</f>
        <v>0</v>
      </c>
      <c r="L78" s="72">
        <f>Pareto!AA66</f>
        <v>0</v>
      </c>
      <c r="M78" s="72">
        <f t="shared" si="63"/>
        <v>100.00000000000003</v>
      </c>
      <c r="N78" s="23"/>
      <c r="O78" s="85"/>
      <c r="AJ78" s="12" t="str">
        <f ca="1">IFERROR(MATCH($B$114,OFFSET(#REF!,AJ77,0,1000000),0)+AJ77,"")</f>
        <v/>
      </c>
      <c r="AK78" s="17" t="str">
        <f ca="1">IFERROR(_xlfn.SINGLE(INDEX(#REF!,'Monthly Report'!AJ78)),"")</f>
        <v/>
      </c>
      <c r="AL78" s="12" t="str">
        <f ca="1">IFERROR(_xlfn.SINGLE(INDEX(#REF!,'Monthly Report'!AJ78)),"")</f>
        <v/>
      </c>
      <c r="AN78" s="12" t="str">
        <f ca="1">IFERROR(MATCH($G$115,OFFSET(#REF!,AN77,0,1000000),0)+AN77,"")</f>
        <v/>
      </c>
      <c r="AO78" s="17" t="str">
        <f ca="1">IFERROR(_xlfn.SINGLE(INDEX(#REF!,'Monthly Report'!AN78)),"")</f>
        <v/>
      </c>
      <c r="AP78" s="12" t="str">
        <f ca="1">IFERROR(_xlfn.SINGLE(INDEX(#REF!,'Monthly Report'!AN78)),"")</f>
        <v/>
      </c>
      <c r="BM78" s="105"/>
      <c r="BN78" s="23"/>
      <c r="BO78" s="23"/>
      <c r="BP78" s="23"/>
      <c r="BQ78" s="67" t="str">
        <f>Pareto!T154</f>
        <v>Others for Processing</v>
      </c>
      <c r="BR78" s="68">
        <f>Pareto!U154</f>
        <v>1032</v>
      </c>
      <c r="BS78" s="69">
        <f>Pareto!V154</f>
        <v>87.457627118644069</v>
      </c>
      <c r="BT78" s="69">
        <f>BS78</f>
        <v>87.457627118644069</v>
      </c>
      <c r="BU78" s="23"/>
      <c r="BV78" s="67" t="str">
        <f>Pareto!Y154</f>
        <v>Cháy dây</v>
      </c>
      <c r="BW78" s="68">
        <f>Pareto!Z154</f>
        <v>46</v>
      </c>
      <c r="BX78" s="69">
        <f>Pareto!AA154</f>
        <v>52.873563218390807</v>
      </c>
      <c r="BY78" s="69">
        <f>BX78</f>
        <v>52.873563218390807</v>
      </c>
      <c r="BZ78" s="23"/>
      <c r="CA78" s="85"/>
      <c r="CF78" s="6" t="s">
        <v>186</v>
      </c>
      <c r="CG78" s="6">
        <f>SUMIFS(Table_Assembly[Specific Amount],Table_Assembly[NG Type],$CF$14,Table_Assembly[Product type],$BP$50,Table_Assembly[NG content],CF78,Table_Assembly[MFG Date],"&gt;="&amp;$R$28,Table_Assembly[MFG Date],"&lt;="&amp;$R$29)</f>
        <v>0</v>
      </c>
      <c r="CH78" s="6">
        <f>SUMIFS(Table_Assembly[Specific Amount],Table_Assembly[NG Type],$CF$14,Table_Assembly[Product type],$BP$50,Table_Assembly[NG content],CF78,Table_Assembly[MFG Date],"&gt;="&amp;$R$36,Table_Assembly[MFG Date],"&lt;="&amp;$R$37)</f>
        <v>0</v>
      </c>
      <c r="CI78" s="6">
        <f>SUMIFS(Table_Assembly[Specific Amount],Table_Assembly[NG Type],$CF$14,Table_Assembly[Product type],$BP$50,Table_Assembly[NG content],CF78,Table_Assembly[MFG Date],"&gt;="&amp;$R$44,Table_Assembly[MFG Date],"&lt;="&amp;$R$45)</f>
        <v>0</v>
      </c>
      <c r="CJ78" s="6">
        <f>SUMIFS(Table_Assembly[Specific Amount],Table_Assembly[NG Type],$CF$14,Table_Assembly[Product type],$BP$50,Table_Assembly[NG content],CF78,Table_Assembly[MFG Date],"&gt;="&amp;$R$52,Table_Assembly[MFG Date],"&lt;="&amp;$R$53)</f>
        <v>0</v>
      </c>
      <c r="CK78" s="6">
        <f>SUMIFS(Table_Assembly[Specific Amount],Table_Assembly[NG Type],$CF$14,Table_Assembly[Product type],$BP$50,Table_Assembly[NG content],CF78,Table_Assembly[MFG Date],"&gt;="&amp;$R$60,Table_Assembly[MFG Date],"&lt;="&amp;$R$61)</f>
        <v>0</v>
      </c>
      <c r="CL78" s="6">
        <f>SUMIFS(Table_Assembly[Specific Amount],Table_Assembly[NG Type],$CF$14,Table_Assembly[Product type],$BP$50,Table_Assembly[NG content],CF78,Table_Assembly[MFG Date],"&gt;="&amp;$R$68,Table_Assembly[MFG Date],"&lt;="&amp;$R$69)</f>
        <v>0</v>
      </c>
    </row>
    <row r="79" spans="1:90">
      <c r="A79" s="23"/>
      <c r="B79" s="23"/>
      <c r="C79" s="23"/>
      <c r="D79" s="23"/>
      <c r="E79" s="70" t="str">
        <f>Pareto!T67</f>
        <v>Dập sai</v>
      </c>
      <c r="F79" s="71">
        <f>Pareto!U67</f>
        <v>7</v>
      </c>
      <c r="G79" s="72">
        <f>Pareto!V67</f>
        <v>0.53763440860215062</v>
      </c>
      <c r="H79" s="72">
        <f t="shared" si="62"/>
        <v>98.003072196620593</v>
      </c>
      <c r="I79" s="23"/>
      <c r="J79" s="70" t="str">
        <f>Pareto!Y67</f>
        <v>Đội gờ HS</v>
      </c>
      <c r="K79" s="71">
        <f>Pareto!Z67</f>
        <v>0</v>
      </c>
      <c r="L79" s="72">
        <f>Pareto!AA67</f>
        <v>0</v>
      </c>
      <c r="M79" s="72">
        <f t="shared" si="63"/>
        <v>100.00000000000003</v>
      </c>
      <c r="N79" s="23"/>
      <c r="O79" s="85"/>
      <c r="AJ79" s="12" t="str">
        <f ca="1">IFERROR(MATCH($B$114,OFFSET(#REF!,AJ78,0,1000000),0)+AJ78,"")</f>
        <v/>
      </c>
      <c r="AK79" s="17" t="str">
        <f ca="1">IFERROR(_xlfn.SINGLE(INDEX(#REF!,'Monthly Report'!AJ79)),"")</f>
        <v/>
      </c>
      <c r="AL79" s="12" t="str">
        <f ca="1">IFERROR(_xlfn.SINGLE(INDEX(#REF!,'Monthly Report'!AJ79)),"")</f>
        <v/>
      </c>
      <c r="AN79" s="12" t="str">
        <f ca="1">IFERROR(MATCH($G$115,OFFSET(#REF!,AN78,0,1000000),0)+AN78,"")</f>
        <v/>
      </c>
      <c r="AO79" s="17" t="str">
        <f ca="1">IFERROR(_xlfn.SINGLE(INDEX(#REF!,'Monthly Report'!AN79)),"")</f>
        <v/>
      </c>
      <c r="AP79" s="12" t="str">
        <f ca="1">IFERROR(_xlfn.SINGLE(INDEX(#REF!,'Monthly Report'!AN79)),"")</f>
        <v/>
      </c>
      <c r="BM79" s="105"/>
      <c r="BN79" s="23"/>
      <c r="BO79" s="23"/>
      <c r="BP79" s="23"/>
      <c r="BQ79" s="70" t="str">
        <f>Pareto!T155</f>
        <v>Sai phối màu 誤配色</v>
      </c>
      <c r="BR79" s="71">
        <f>Pareto!U155</f>
        <v>58</v>
      </c>
      <c r="BS79" s="72">
        <f>Pareto!V155</f>
        <v>4.9152542372881358</v>
      </c>
      <c r="BT79" s="72">
        <f>IFERROR(BT78+BS79,"")</f>
        <v>92.372881355932208</v>
      </c>
      <c r="BU79" s="23"/>
      <c r="BV79" s="70" t="str">
        <f>Pareto!Y155</f>
        <v>Dây ngắn/dài</v>
      </c>
      <c r="BW79" s="71">
        <f>Pareto!Z155</f>
        <v>27</v>
      </c>
      <c r="BX79" s="72">
        <f>Pareto!AA155</f>
        <v>31.03448275862069</v>
      </c>
      <c r="BY79" s="72">
        <f>IFERROR(BY78+BX79,"")</f>
        <v>83.908045977011497</v>
      </c>
      <c r="BZ79" s="23"/>
      <c r="CA79" s="85"/>
      <c r="CF79" s="6" t="s">
        <v>187</v>
      </c>
      <c r="CG79" s="6">
        <f>SUMIFS(Table_Assembly[Specific Amount],Table_Assembly[NG Type],$CF$14,Table_Assembly[Product type],$BP$50,Table_Assembly[NG content],CF79,Table_Assembly[MFG Date],"&gt;="&amp;$R$28,Table_Assembly[MFG Date],"&lt;="&amp;$R$29)</f>
        <v>0</v>
      </c>
      <c r="CH79" s="6">
        <f>SUMIFS(Table_Assembly[Specific Amount],Table_Assembly[NG Type],$CF$14,Table_Assembly[Product type],$BP$50,Table_Assembly[NG content],CF79,Table_Assembly[MFG Date],"&gt;="&amp;$R$36,Table_Assembly[MFG Date],"&lt;="&amp;$R$37)</f>
        <v>0</v>
      </c>
      <c r="CI79" s="6">
        <f>SUMIFS(Table_Assembly[Specific Amount],Table_Assembly[NG Type],$CF$14,Table_Assembly[Product type],$BP$50,Table_Assembly[NG content],CF79,Table_Assembly[MFG Date],"&gt;="&amp;$R$44,Table_Assembly[MFG Date],"&lt;="&amp;$R$45)</f>
        <v>0</v>
      </c>
      <c r="CJ79" s="6">
        <f>SUMIFS(Table_Assembly[Specific Amount],Table_Assembly[NG Type],$CF$14,Table_Assembly[Product type],$BP$50,Table_Assembly[NG content],CF79,Table_Assembly[MFG Date],"&gt;="&amp;$R$52,Table_Assembly[MFG Date],"&lt;="&amp;$R$53)</f>
        <v>0</v>
      </c>
      <c r="CK79" s="6">
        <f>SUMIFS(Table_Assembly[Specific Amount],Table_Assembly[NG Type],$CF$14,Table_Assembly[Product type],$BP$50,Table_Assembly[NG content],CF79,Table_Assembly[MFG Date],"&gt;="&amp;$R$60,Table_Assembly[MFG Date],"&lt;="&amp;$R$61)</f>
        <v>0</v>
      </c>
      <c r="CL79" s="6">
        <f>SUMIFS(Table_Assembly[Specific Amount],Table_Assembly[NG Type],$CF$14,Table_Assembly[Product type],$BP$50,Table_Assembly[NG content],CF79,Table_Assembly[MFG Date],"&gt;="&amp;$R$68,Table_Assembly[MFG Date],"&lt;="&amp;$R$69)</f>
        <v>0</v>
      </c>
    </row>
    <row r="80" spans="1:90">
      <c r="A80" s="23"/>
      <c r="B80" s="23"/>
      <c r="C80" s="23"/>
      <c r="D80" s="23"/>
      <c r="E80" s="70" t="str">
        <f>Pareto!T68</f>
        <v>Bị trầy xước</v>
      </c>
      <c r="F80" s="71">
        <f>Pareto!U68</f>
        <v>7</v>
      </c>
      <c r="G80" s="72">
        <f>Pareto!V68</f>
        <v>0.53763440860215062</v>
      </c>
      <c r="H80" s="72">
        <f t="shared" si="62"/>
        <v>98.540706605222738</v>
      </c>
      <c r="I80" s="23"/>
      <c r="J80" s="70" t="str">
        <f>Pareto!Y68</f>
        <v>MTD</v>
      </c>
      <c r="K80" s="71">
        <f>Pareto!Z68</f>
        <v>0</v>
      </c>
      <c r="L80" s="72">
        <f>Pareto!AA68</f>
        <v>0</v>
      </c>
      <c r="M80" s="72">
        <f t="shared" si="63"/>
        <v>100.00000000000003</v>
      </c>
      <c r="N80" s="23"/>
      <c r="O80" s="85"/>
      <c r="AJ80" s="12" t="str">
        <f ca="1">IFERROR(MATCH($B$114,OFFSET(#REF!,AJ79,0,1000000),0)+AJ79,"")</f>
        <v/>
      </c>
      <c r="AK80" s="17" t="str">
        <f ca="1">IFERROR(_xlfn.SINGLE(INDEX(#REF!,'Monthly Report'!AJ80)),"")</f>
        <v/>
      </c>
      <c r="AL80" s="12" t="str">
        <f ca="1">IFERROR(_xlfn.SINGLE(INDEX(#REF!,'Monthly Report'!AJ80)),"")</f>
        <v/>
      </c>
      <c r="AN80" s="12" t="str">
        <f ca="1">IFERROR(MATCH($G$115,OFFSET(#REF!,AN79,0,1000000),0)+AN79,"")</f>
        <v/>
      </c>
      <c r="AO80" s="17" t="str">
        <f ca="1">IFERROR(_xlfn.SINGLE(INDEX(#REF!,'Monthly Report'!AN80)),"")</f>
        <v/>
      </c>
      <c r="AP80" s="12" t="str">
        <f ca="1">IFERROR(_xlfn.SINGLE(INDEX(#REF!,'Monthly Report'!AN80)),"")</f>
        <v/>
      </c>
      <c r="BM80" s="105"/>
      <c r="BN80" s="23"/>
      <c r="BO80" s="23"/>
      <c r="BP80" s="23"/>
      <c r="BQ80" s="70" t="str">
        <f>Pareto!T156</f>
        <v>Dây ngắn/dài</v>
      </c>
      <c r="BR80" s="71">
        <f>Pareto!U156</f>
        <v>27</v>
      </c>
      <c r="BS80" s="72">
        <f>Pareto!V156</f>
        <v>2.2881355932203391</v>
      </c>
      <c r="BT80" s="72">
        <f t="shared" ref="BT80:BT114" si="64">IFERROR(BT79+BS80,"")</f>
        <v>94.661016949152554</v>
      </c>
      <c r="BU80" s="23"/>
      <c r="BV80" s="70" t="str">
        <f>Pareto!Y156</f>
        <v>Đứt Lõi</v>
      </c>
      <c r="BW80" s="71">
        <f>Pareto!Z156</f>
        <v>9</v>
      </c>
      <c r="BX80" s="72">
        <f>Pareto!AA156</f>
        <v>10.344827586206897</v>
      </c>
      <c r="BY80" s="72">
        <f t="shared" ref="BY80:BY114" si="65">IFERROR(BY79+BX80,"")</f>
        <v>94.252873563218401</v>
      </c>
      <c r="BZ80" s="23"/>
      <c r="CA80" s="85"/>
      <c r="CF80" s="6" t="s">
        <v>188</v>
      </c>
      <c r="CG80" s="6">
        <f>SUMIFS(Table_Assembly[Specific Amount],Table_Assembly[NG Type],$CF$14,Table_Assembly[Product type],$BP$50,Table_Assembly[NG content],CF80,Table_Assembly[MFG Date],"&gt;="&amp;$R$28,Table_Assembly[MFG Date],"&lt;="&amp;$R$29)</f>
        <v>0</v>
      </c>
      <c r="CH80" s="6">
        <f>SUMIFS(Table_Assembly[Specific Amount],Table_Assembly[NG Type],$CF$14,Table_Assembly[Product type],$BP$50,Table_Assembly[NG content],CF80,Table_Assembly[MFG Date],"&gt;="&amp;$R$36,Table_Assembly[MFG Date],"&lt;="&amp;$R$37)</f>
        <v>0</v>
      </c>
      <c r="CI80" s="6">
        <f>SUMIFS(Table_Assembly[Specific Amount],Table_Assembly[NG Type],$CF$14,Table_Assembly[Product type],$BP$50,Table_Assembly[NG content],CF80,Table_Assembly[MFG Date],"&gt;="&amp;$R$44,Table_Assembly[MFG Date],"&lt;="&amp;$R$45)</f>
        <v>0</v>
      </c>
      <c r="CJ80" s="6">
        <f>SUMIFS(Table_Assembly[Specific Amount],Table_Assembly[NG Type],$CF$14,Table_Assembly[Product type],$BP$50,Table_Assembly[NG content],CF80,Table_Assembly[MFG Date],"&gt;="&amp;$R$52,Table_Assembly[MFG Date],"&lt;="&amp;$R$53)</f>
        <v>0</v>
      </c>
      <c r="CK80" s="6">
        <f>SUMIFS(Table_Assembly[Specific Amount],Table_Assembly[NG Type],$CF$14,Table_Assembly[Product type],$BP$50,Table_Assembly[NG content],CF80,Table_Assembly[MFG Date],"&gt;="&amp;$R$60,Table_Assembly[MFG Date],"&lt;="&amp;$R$61)</f>
        <v>0</v>
      </c>
      <c r="CL80" s="6">
        <f>SUMIFS(Table_Assembly[Specific Amount],Table_Assembly[NG Type],$CF$14,Table_Assembly[Product type],$BP$50,Table_Assembly[NG content],CF80,Table_Assembly[MFG Date],"&gt;="&amp;$R$68,Table_Assembly[MFG Date],"&lt;="&amp;$R$69)</f>
        <v>0</v>
      </c>
    </row>
    <row r="81" spans="1:90">
      <c r="A81" s="23"/>
      <c r="B81" s="23"/>
      <c r="C81" s="23"/>
      <c r="D81" s="23"/>
      <c r="E81" s="70" t="str">
        <f>Pareto!T69</f>
        <v>Ngắn, dài</v>
      </c>
      <c r="F81" s="71">
        <f>Pareto!U69</f>
        <v>4</v>
      </c>
      <c r="G81" s="72">
        <f>Pareto!V69</f>
        <v>0.30721966205837176</v>
      </c>
      <c r="H81" s="72">
        <f t="shared" si="62"/>
        <v>98.84792626728111</v>
      </c>
      <c r="I81" s="23"/>
      <c r="J81" s="70" t="str">
        <f>Pareto!Y69</f>
        <v>Sai phối màu 誤配色</v>
      </c>
      <c r="K81" s="71">
        <f>Pareto!Z69</f>
        <v>0</v>
      </c>
      <c r="L81" s="72">
        <f>Pareto!AA69</f>
        <v>0</v>
      </c>
      <c r="M81" s="72">
        <f t="shared" si="63"/>
        <v>100.00000000000003</v>
      </c>
      <c r="N81" s="23"/>
      <c r="O81" s="85"/>
      <c r="AJ81" s="12" t="str">
        <f ca="1">IFERROR(MATCH($B$114,OFFSET(#REF!,AJ80,0,1000000),0)+AJ80,"")</f>
        <v/>
      </c>
      <c r="AK81" s="17" t="str">
        <f ca="1">IFERROR(_xlfn.SINGLE(INDEX(#REF!,'Monthly Report'!AJ81)),"")</f>
        <v/>
      </c>
      <c r="AL81" s="12" t="str">
        <f ca="1">IFERROR(_xlfn.SINGLE(INDEX(#REF!,'Monthly Report'!AJ81)),"")</f>
        <v/>
      </c>
      <c r="AN81" s="12" t="str">
        <f ca="1">IFERROR(MATCH($G$115,OFFSET(#REF!,AN80,0,1000000),0)+AN80,"")</f>
        <v/>
      </c>
      <c r="AO81" s="17" t="str">
        <f ca="1">IFERROR(_xlfn.SINGLE(INDEX(#REF!,'Monthly Report'!AN81)),"")</f>
        <v/>
      </c>
      <c r="AP81" s="12" t="str">
        <f ca="1">IFERROR(_xlfn.SINGLE(INDEX(#REF!,'Monthly Report'!AN81)),"")</f>
        <v/>
      </c>
      <c r="BM81" s="105"/>
      <c r="BN81" s="23"/>
      <c r="BO81" s="23"/>
      <c r="BP81" s="23"/>
      <c r="BQ81" s="70" t="str">
        <f>Pareto!T157</f>
        <v>Tanshi biến dạng</v>
      </c>
      <c r="BR81" s="71">
        <f>Pareto!U157</f>
        <v>26</v>
      </c>
      <c r="BS81" s="72">
        <f>Pareto!V157</f>
        <v>2.2033898305084745</v>
      </c>
      <c r="BT81" s="72">
        <f t="shared" si="64"/>
        <v>96.864406779661024</v>
      </c>
      <c r="BU81" s="23"/>
      <c r="BV81" s="70" t="str">
        <f>Pareto!Y157</f>
        <v>Cấn, trầy</v>
      </c>
      <c r="BW81" s="71">
        <f>Pareto!Z157</f>
        <v>5</v>
      </c>
      <c r="BX81" s="72">
        <f>Pareto!AA157</f>
        <v>5.7471264367816088</v>
      </c>
      <c r="BY81" s="72">
        <f t="shared" si="65"/>
        <v>100.00000000000001</v>
      </c>
      <c r="BZ81" s="23"/>
      <c r="CA81" s="85"/>
      <c r="CF81" s="6" t="s">
        <v>189</v>
      </c>
      <c r="CG81" s="6">
        <f>SUMIFS(Table_Assembly[Specific Amount],Table_Assembly[NG Type],$CF$14,Table_Assembly[Product type],$BP$50,Table_Assembly[NG content],CF81,Table_Assembly[MFG Date],"&gt;="&amp;$R$28,Table_Assembly[MFG Date],"&lt;="&amp;$R$29)</f>
        <v>0</v>
      </c>
      <c r="CH81" s="6">
        <f>SUMIFS(Table_Assembly[Specific Amount],Table_Assembly[NG Type],$CF$14,Table_Assembly[Product type],$BP$50,Table_Assembly[NG content],CF81,Table_Assembly[MFG Date],"&gt;="&amp;$R$36,Table_Assembly[MFG Date],"&lt;="&amp;$R$37)</f>
        <v>0</v>
      </c>
      <c r="CI81" s="6">
        <f>SUMIFS(Table_Assembly[Specific Amount],Table_Assembly[NG Type],$CF$14,Table_Assembly[Product type],$BP$50,Table_Assembly[NG content],CF81,Table_Assembly[MFG Date],"&gt;="&amp;$R$44,Table_Assembly[MFG Date],"&lt;="&amp;$R$45)</f>
        <v>0</v>
      </c>
      <c r="CJ81" s="6">
        <f>SUMIFS(Table_Assembly[Specific Amount],Table_Assembly[NG Type],$CF$14,Table_Assembly[Product type],$BP$50,Table_Assembly[NG content],CF81,Table_Assembly[MFG Date],"&gt;="&amp;$R$52,Table_Assembly[MFG Date],"&lt;="&amp;$R$53)</f>
        <v>0</v>
      </c>
      <c r="CK81" s="6">
        <f>SUMIFS(Table_Assembly[Specific Amount],Table_Assembly[NG Type],$CF$14,Table_Assembly[Product type],$BP$50,Table_Assembly[NG content],CF81,Table_Assembly[MFG Date],"&gt;="&amp;$R$60,Table_Assembly[MFG Date],"&lt;="&amp;$R$61)</f>
        <v>0</v>
      </c>
      <c r="CL81" s="6">
        <f>SUMIFS(Table_Assembly[Specific Amount],Table_Assembly[NG Type],$CF$14,Table_Assembly[Product type],$BP$50,Table_Assembly[NG content],CF81,Table_Assembly[MFG Date],"&gt;="&amp;$R$68,Table_Assembly[MFG Date],"&lt;="&amp;$R$69)</f>
        <v>0</v>
      </c>
    </row>
    <row r="82" spans="1:90">
      <c r="A82" s="23"/>
      <c r="B82" s="23"/>
      <c r="C82" s="23"/>
      <c r="D82" s="23"/>
      <c r="E82" s="70" t="str">
        <f>Pareto!T70</f>
        <v>Dính dị vật 端子が異物付き</v>
      </c>
      <c r="F82" s="71">
        <f>Pareto!U70</f>
        <v>4</v>
      </c>
      <c r="G82" s="72">
        <f>Pareto!V70</f>
        <v>0.30721966205837176</v>
      </c>
      <c r="H82" s="72">
        <f t="shared" si="62"/>
        <v>99.155145929339483</v>
      </c>
      <c r="I82" s="23"/>
      <c r="J82" s="70" t="str">
        <f>Pareto!Y70</f>
        <v>Sai ống チューブ間違い</v>
      </c>
      <c r="K82" s="71">
        <f>Pareto!Z70</f>
        <v>0</v>
      </c>
      <c r="L82" s="72">
        <f>Pareto!AA70</f>
        <v>0</v>
      </c>
      <c r="M82" s="72">
        <f t="shared" si="63"/>
        <v>100.00000000000003</v>
      </c>
      <c r="N82" s="23"/>
      <c r="O82" s="85"/>
      <c r="AJ82" s="12" t="str">
        <f ca="1">IFERROR(MATCH($B$114,OFFSET(#REF!,AJ81,0,1000000),0)+AJ81,"")</f>
        <v/>
      </c>
      <c r="AK82" s="17" t="str">
        <f ca="1">IFERROR(_xlfn.SINGLE(INDEX(#REF!,'Monthly Report'!AJ82)),"")</f>
        <v/>
      </c>
      <c r="AL82" s="12" t="str">
        <f ca="1">IFERROR(_xlfn.SINGLE(INDEX(#REF!,'Monthly Report'!AJ82)),"")</f>
        <v/>
      </c>
      <c r="AN82" s="12" t="str">
        <f ca="1">IFERROR(MATCH($G$115,OFFSET(#REF!,AN81,0,1000000),0)+AN81,"")</f>
        <v/>
      </c>
      <c r="AO82" s="17" t="str">
        <f ca="1">IFERROR(_xlfn.SINGLE(INDEX(#REF!,'Monthly Report'!AN82)),"")</f>
        <v/>
      </c>
      <c r="AP82" s="12" t="str">
        <f ca="1">IFERROR(_xlfn.SINGLE(INDEX(#REF!,'Monthly Report'!AN82)),"")</f>
        <v/>
      </c>
      <c r="BM82" s="105"/>
      <c r="BN82" s="23"/>
      <c r="BO82" s="23"/>
      <c r="BP82" s="23"/>
      <c r="BQ82" s="70" t="str">
        <f>Pareto!T158</f>
        <v>Cấn, trầy</v>
      </c>
      <c r="BR82" s="71">
        <f>Pareto!U158</f>
        <v>8</v>
      </c>
      <c r="BS82" s="72">
        <f>Pareto!V158</f>
        <v>0.67796610169491522</v>
      </c>
      <c r="BT82" s="72">
        <f t="shared" si="64"/>
        <v>97.542372881355945</v>
      </c>
      <c r="BU82" s="23"/>
      <c r="BV82" s="70" t="str">
        <f>Pareto!Y158</f>
        <v>Sai phối màu 誤配色</v>
      </c>
      <c r="BW82" s="71">
        <f>Pareto!Z158</f>
        <v>0</v>
      </c>
      <c r="BX82" s="72">
        <f>Pareto!AA158</f>
        <v>0</v>
      </c>
      <c r="BY82" s="72">
        <f t="shared" si="65"/>
        <v>100.00000000000001</v>
      </c>
      <c r="BZ82" s="23"/>
      <c r="CA82" s="85"/>
      <c r="CF82" s="6" t="s">
        <v>190</v>
      </c>
      <c r="CG82" s="6">
        <f>SUMIFS(Table_Assembly[Specific Amount],Table_Assembly[NG Type],$CF$14,Table_Assembly[Product type],$BP$50,Table_Assembly[NG content],CF82,Table_Assembly[MFG Date],"&gt;="&amp;$R$28,Table_Assembly[MFG Date],"&lt;="&amp;$R$29)</f>
        <v>0</v>
      </c>
      <c r="CH82" s="6">
        <f>SUMIFS(Table_Assembly[Specific Amount],Table_Assembly[NG Type],$CF$14,Table_Assembly[Product type],$BP$50,Table_Assembly[NG content],CF82,Table_Assembly[MFG Date],"&gt;="&amp;$R$36,Table_Assembly[MFG Date],"&lt;="&amp;$R$37)</f>
        <v>0</v>
      </c>
      <c r="CI82" s="6">
        <f>SUMIFS(Table_Assembly[Specific Amount],Table_Assembly[NG Type],$CF$14,Table_Assembly[Product type],$BP$50,Table_Assembly[NG content],CF82,Table_Assembly[MFG Date],"&gt;="&amp;$R$44,Table_Assembly[MFG Date],"&lt;="&amp;$R$45)</f>
        <v>0</v>
      </c>
      <c r="CJ82" s="6">
        <f>SUMIFS(Table_Assembly[Specific Amount],Table_Assembly[NG Type],$CF$14,Table_Assembly[Product type],$BP$50,Table_Assembly[NG content],CF82,Table_Assembly[MFG Date],"&gt;="&amp;$R$52,Table_Assembly[MFG Date],"&lt;="&amp;$R$53)</f>
        <v>0</v>
      </c>
      <c r="CK82" s="6">
        <f>SUMIFS(Table_Assembly[Specific Amount],Table_Assembly[NG Type],$CF$14,Table_Assembly[Product type],$BP$50,Table_Assembly[NG content],CF82,Table_Assembly[MFG Date],"&gt;="&amp;$R$60,Table_Assembly[MFG Date],"&lt;="&amp;$R$61)</f>
        <v>0</v>
      </c>
      <c r="CL82" s="6">
        <f>SUMIFS(Table_Assembly[Specific Amount],Table_Assembly[NG Type],$CF$14,Table_Assembly[Product type],$BP$50,Table_Assembly[NG content],CF82,Table_Assembly[MFG Date],"&gt;="&amp;$R$68,Table_Assembly[MFG Date],"&lt;="&amp;$R$69)</f>
        <v>0</v>
      </c>
    </row>
    <row r="83" spans="1:90">
      <c r="A83" s="23"/>
      <c r="B83" s="23"/>
      <c r="C83" s="23"/>
      <c r="D83" s="23"/>
      <c r="E83" s="70" t="str">
        <f>Pareto!T71</f>
        <v>Trầy, dơ do NL</v>
      </c>
      <c r="F83" s="71">
        <f>Pareto!U71</f>
        <v>3</v>
      </c>
      <c r="G83" s="72">
        <f>Pareto!V71</f>
        <v>0.2304147465437788</v>
      </c>
      <c r="H83" s="72">
        <f t="shared" si="62"/>
        <v>99.385560675883255</v>
      </c>
      <c r="I83" s="23"/>
      <c r="J83" s="70" t="str">
        <f>Pareto!Y71</f>
        <v>Ngược nút bọc</v>
      </c>
      <c r="K83" s="71">
        <f>Pareto!Z71</f>
        <v>0</v>
      </c>
      <c r="L83" s="72">
        <f>Pareto!AA71</f>
        <v>0</v>
      </c>
      <c r="M83" s="72">
        <f t="shared" si="63"/>
        <v>100.00000000000003</v>
      </c>
      <c r="N83" s="23"/>
      <c r="O83" s="85"/>
      <c r="AJ83" s="12" t="str">
        <f ca="1">IFERROR(MATCH($B$114,OFFSET(#REF!,AJ82,0,1000000),0)+AJ82,"")</f>
        <v/>
      </c>
      <c r="AK83" s="17" t="str">
        <f ca="1">IFERROR(_xlfn.SINGLE(INDEX(#REF!,'Monthly Report'!AJ83)),"")</f>
        <v/>
      </c>
      <c r="AL83" s="12" t="str">
        <f ca="1">IFERROR(_xlfn.SINGLE(INDEX(#REF!,'Monthly Report'!AJ83)),"")</f>
        <v/>
      </c>
      <c r="AN83" s="12" t="str">
        <f ca="1">IFERROR(MATCH($G$115,OFFSET(#REF!,AN82,0,1000000),0)+AN82,"")</f>
        <v/>
      </c>
      <c r="AO83" s="17" t="str">
        <f ca="1">IFERROR(_xlfn.SINGLE(INDEX(#REF!,'Monthly Report'!AN83)),"")</f>
        <v/>
      </c>
      <c r="AP83" s="12" t="str">
        <f ca="1">IFERROR(_xlfn.SINGLE(INDEX(#REF!,'Monthly Report'!AN83)),"")</f>
        <v/>
      </c>
      <c r="BM83" s="105"/>
      <c r="BN83" s="23"/>
      <c r="BO83" s="23"/>
      <c r="BP83" s="23"/>
      <c r="BQ83" s="70" t="str">
        <f>Pareto!T159</f>
        <v>Dập sai</v>
      </c>
      <c r="BR83" s="71">
        <f>Pareto!U159</f>
        <v>7</v>
      </c>
      <c r="BS83" s="72">
        <f>Pareto!V159</f>
        <v>0.59322033898305082</v>
      </c>
      <c r="BT83" s="72">
        <f t="shared" si="64"/>
        <v>98.13559322033899</v>
      </c>
      <c r="BU83" s="23"/>
      <c r="BV83" s="70" t="str">
        <f>Pareto!Y159</f>
        <v>Sai ống チューブ間違い</v>
      </c>
      <c r="BW83" s="71">
        <f>Pareto!Z159</f>
        <v>0</v>
      </c>
      <c r="BX83" s="72">
        <f>Pareto!AA159</f>
        <v>0</v>
      </c>
      <c r="BY83" s="72">
        <f t="shared" si="65"/>
        <v>100.00000000000001</v>
      </c>
      <c r="BZ83" s="23"/>
      <c r="CA83" s="85"/>
      <c r="CF83" s="6" t="s">
        <v>191</v>
      </c>
      <c r="CG83" s="6">
        <f>SUMIFS(Table_Assembly[Specific Amount],Table_Assembly[NG Type],$CF$14,Table_Assembly[Product type],$BP$50,Table_Assembly[NG content],CF83,Table_Assembly[MFG Date],"&gt;="&amp;$R$28,Table_Assembly[MFG Date],"&lt;="&amp;$R$29)</f>
        <v>0</v>
      </c>
      <c r="CH83" s="6">
        <f>SUMIFS(Table_Assembly[Specific Amount],Table_Assembly[NG Type],$CF$14,Table_Assembly[Product type],$BP$50,Table_Assembly[NG content],CF83,Table_Assembly[MFG Date],"&gt;="&amp;$R$36,Table_Assembly[MFG Date],"&lt;="&amp;$R$37)</f>
        <v>0</v>
      </c>
      <c r="CI83" s="6">
        <f>SUMIFS(Table_Assembly[Specific Amount],Table_Assembly[NG Type],$CF$14,Table_Assembly[Product type],$BP$50,Table_Assembly[NG content],CF83,Table_Assembly[MFG Date],"&gt;="&amp;$R$44,Table_Assembly[MFG Date],"&lt;="&amp;$R$45)</f>
        <v>0</v>
      </c>
      <c r="CJ83" s="6">
        <f>SUMIFS(Table_Assembly[Specific Amount],Table_Assembly[NG Type],$CF$14,Table_Assembly[Product type],$BP$50,Table_Assembly[NG content],CF83,Table_Assembly[MFG Date],"&gt;="&amp;$R$52,Table_Assembly[MFG Date],"&lt;="&amp;$R$53)</f>
        <v>0</v>
      </c>
      <c r="CK83" s="6">
        <f>SUMIFS(Table_Assembly[Specific Amount],Table_Assembly[NG Type],$CF$14,Table_Assembly[Product type],$BP$50,Table_Assembly[NG content],CF83,Table_Assembly[MFG Date],"&gt;="&amp;$R$60,Table_Assembly[MFG Date],"&lt;="&amp;$R$61)</f>
        <v>0</v>
      </c>
      <c r="CL83" s="6">
        <f>SUMIFS(Table_Assembly[Specific Amount],Table_Assembly[NG Type],$CF$14,Table_Assembly[Product type],$BP$50,Table_Assembly[NG content],CF83,Table_Assembly[MFG Date],"&gt;="&amp;$R$68,Table_Assembly[MFG Date],"&lt;="&amp;$R$69)</f>
        <v>0</v>
      </c>
    </row>
    <row r="84" spans="1:90">
      <c r="A84" s="23"/>
      <c r="B84" s="23"/>
      <c r="C84" s="23"/>
      <c r="D84" s="23"/>
      <c r="E84" s="70" t="str">
        <f>Pareto!T72</f>
        <v>Sai kích thước</v>
      </c>
      <c r="F84" s="71">
        <f>Pareto!U72</f>
        <v>3</v>
      </c>
      <c r="G84" s="72">
        <f>Pareto!V72</f>
        <v>0.2304147465437788</v>
      </c>
      <c r="H84" s="72">
        <f t="shared" si="62"/>
        <v>99.615975422427027</v>
      </c>
      <c r="I84" s="23"/>
      <c r="J84" s="70" t="str">
        <f>Pareto!Y72</f>
        <v>Thông dòng NG</v>
      </c>
      <c r="K84" s="71">
        <f>Pareto!Z72</f>
        <v>0</v>
      </c>
      <c r="L84" s="72">
        <f>Pareto!AA72</f>
        <v>0</v>
      </c>
      <c r="M84" s="72">
        <f t="shared" si="63"/>
        <v>100.00000000000003</v>
      </c>
      <c r="N84" s="23"/>
      <c r="O84" s="85"/>
      <c r="AJ84" s="12" t="str">
        <f ca="1">IFERROR(MATCH($B$114,OFFSET(#REF!,AJ83,0,1000000),0)+AJ83,"")</f>
        <v/>
      </c>
      <c r="AK84" s="17" t="str">
        <f ca="1">IFERROR(_xlfn.SINGLE(INDEX(#REF!,'Monthly Report'!AJ84)),"")</f>
        <v/>
      </c>
      <c r="AL84" s="12" t="str">
        <f ca="1">IFERROR(_xlfn.SINGLE(INDEX(#REF!,'Monthly Report'!AJ84)),"")</f>
        <v/>
      </c>
      <c r="AN84" s="12" t="str">
        <f ca="1">IFERROR(MATCH($G$115,OFFSET(#REF!,AN83,0,1000000),0)+AN83,"")</f>
        <v/>
      </c>
      <c r="AO84" s="17" t="str">
        <f ca="1">IFERROR(_xlfn.SINGLE(INDEX(#REF!,'Monthly Report'!AN84)),"")</f>
        <v/>
      </c>
      <c r="AP84" s="12" t="str">
        <f ca="1">IFERROR(_xlfn.SINGLE(INDEX(#REF!,'Monthly Report'!AN84)),"")</f>
        <v/>
      </c>
      <c r="BM84" s="105"/>
      <c r="BN84" s="23"/>
      <c r="BO84" s="23"/>
      <c r="BP84" s="23"/>
      <c r="BQ84" s="70" t="str">
        <f>Pareto!T160</f>
        <v>Bị trầy xước</v>
      </c>
      <c r="BR84" s="71">
        <f>Pareto!U160</f>
        <v>7</v>
      </c>
      <c r="BS84" s="72">
        <f>Pareto!V160</f>
        <v>0.59322033898305082</v>
      </c>
      <c r="BT84" s="72">
        <f t="shared" si="64"/>
        <v>98.728813559322035</v>
      </c>
      <c r="BU84" s="23"/>
      <c r="BV84" s="70" t="str">
        <f>Pareto!Y160</f>
        <v>Ngược nút bọc</v>
      </c>
      <c r="BW84" s="71">
        <f>Pareto!Z160</f>
        <v>0</v>
      </c>
      <c r="BX84" s="72">
        <f>Pareto!AA160</f>
        <v>0</v>
      </c>
      <c r="BY84" s="72">
        <f t="shared" si="65"/>
        <v>100.00000000000001</v>
      </c>
      <c r="BZ84" s="23"/>
      <c r="CA84" s="85"/>
      <c r="CF84" s="6" t="s">
        <v>240</v>
      </c>
      <c r="CG84" s="6">
        <f>SUMIFS(Table_Assembly[Specific Amount],Table_Assembly[NG Type],$CF$14,Table_Assembly[Product type],$BP$50,Table_Assembly[NG content],CF84,Table_Assembly[MFG Date],"&gt;="&amp;$R$28,Table_Assembly[MFG Date],"&lt;="&amp;$R$29)</f>
        <v>0</v>
      </c>
      <c r="CH84" s="6">
        <f>SUMIFS(Table_Assembly[Specific Amount],Table_Assembly[NG Type],$CF$14,Table_Assembly[Product type],$BP$50,Table_Assembly[NG content],CF84,Table_Assembly[MFG Date],"&gt;="&amp;$R$36,Table_Assembly[MFG Date],"&lt;="&amp;$R$37)</f>
        <v>0</v>
      </c>
      <c r="CI84" s="6">
        <f>SUMIFS(Table_Assembly[Specific Amount],Table_Assembly[NG Type],$CF$14,Table_Assembly[Product type],$BP$50,Table_Assembly[NG content],CF84,Table_Assembly[MFG Date],"&gt;="&amp;$R$44,Table_Assembly[MFG Date],"&lt;="&amp;$R$45)</f>
        <v>0</v>
      </c>
      <c r="CJ84" s="6">
        <f>SUMIFS(Table_Assembly[Specific Amount],Table_Assembly[NG Type],$CF$14,Table_Assembly[Product type],$BP$50,Table_Assembly[NG content],CF84,Table_Assembly[MFG Date],"&gt;="&amp;$R$52,Table_Assembly[MFG Date],"&lt;="&amp;$R$53)</f>
        <v>0</v>
      </c>
      <c r="CK84" s="6">
        <f>SUMIFS(Table_Assembly[Specific Amount],Table_Assembly[NG Type],$CF$14,Table_Assembly[Product type],$BP$50,Table_Assembly[NG content],CF84,Table_Assembly[MFG Date],"&gt;="&amp;$R$60,Table_Assembly[MFG Date],"&lt;="&amp;$R$61)</f>
        <v>0</v>
      </c>
      <c r="CL84" s="6">
        <f>SUMIFS(Table_Assembly[Specific Amount],Table_Assembly[NG Type],$CF$14,Table_Assembly[Product type],$BP$50,Table_Assembly[NG content],CF84,Table_Assembly[MFG Date],"&gt;="&amp;$R$68,Table_Assembly[MFG Date],"&lt;="&amp;$R$69)</f>
        <v>0</v>
      </c>
    </row>
    <row r="85" spans="1:90">
      <c r="A85" s="23"/>
      <c r="B85" s="23"/>
      <c r="C85" s="23"/>
      <c r="D85" s="23"/>
      <c r="E85" s="70" t="str">
        <f>Pareto!T73</f>
        <v>MTD</v>
      </c>
      <c r="F85" s="71">
        <f>Pareto!U73</f>
        <v>1</v>
      </c>
      <c r="G85" s="72">
        <f>Pareto!V73</f>
        <v>7.6804915514592939E-2</v>
      </c>
      <c r="H85" s="72">
        <f t="shared" si="62"/>
        <v>99.692780337941613</v>
      </c>
      <c r="I85" s="23"/>
      <c r="J85" s="70" t="str">
        <f>Pareto!Y73</f>
        <v>Ngược Diode</v>
      </c>
      <c r="K85" s="71">
        <f>Pareto!Z73</f>
        <v>0</v>
      </c>
      <c r="L85" s="72">
        <f>Pareto!AA73</f>
        <v>0</v>
      </c>
      <c r="M85" s="72">
        <f t="shared" si="63"/>
        <v>100.00000000000003</v>
      </c>
      <c r="N85" s="23"/>
      <c r="O85" s="85"/>
      <c r="AJ85" s="12" t="str">
        <f ca="1">IFERROR(MATCH($B$114,OFFSET(#REF!,AJ84,0,1000000),0)+AJ84,"")</f>
        <v/>
      </c>
      <c r="AK85" s="17" t="str">
        <f ca="1">IFERROR(_xlfn.SINGLE(INDEX(#REF!,'Monthly Report'!AJ85)),"")</f>
        <v/>
      </c>
      <c r="AL85" s="12" t="str">
        <f ca="1">IFERROR(_xlfn.SINGLE(INDEX(#REF!,'Monthly Report'!AJ85)),"")</f>
        <v/>
      </c>
      <c r="AN85" s="12" t="str">
        <f ca="1">IFERROR(MATCH($G$115,OFFSET(#REF!,AN84,0,1000000),0)+AN84,"")</f>
        <v/>
      </c>
      <c r="AO85" s="17" t="str">
        <f ca="1">IFERROR(_xlfn.SINGLE(INDEX(#REF!,'Monthly Report'!AN85)),"")</f>
        <v/>
      </c>
      <c r="AP85" s="12" t="str">
        <f ca="1">IFERROR(_xlfn.SINGLE(INDEX(#REF!,'Monthly Report'!AN85)),"")</f>
        <v/>
      </c>
      <c r="BM85" s="105"/>
      <c r="BN85" s="23"/>
      <c r="BO85" s="23"/>
      <c r="BP85" s="23"/>
      <c r="BQ85" s="70" t="str">
        <f>Pareto!T161</f>
        <v>Ngắn, dài</v>
      </c>
      <c r="BR85" s="71">
        <f>Pareto!U161</f>
        <v>4</v>
      </c>
      <c r="BS85" s="72">
        <f>Pareto!V161</f>
        <v>0.33898305084745761</v>
      </c>
      <c r="BT85" s="72">
        <f t="shared" si="64"/>
        <v>99.067796610169495</v>
      </c>
      <c r="BU85" s="23"/>
      <c r="BV85" s="70" t="str">
        <f>Pareto!Y161</f>
        <v>Thông dòng NG</v>
      </c>
      <c r="BW85" s="71">
        <f>Pareto!Z161</f>
        <v>0</v>
      </c>
      <c r="BX85" s="72">
        <f>Pareto!AA161</f>
        <v>0</v>
      </c>
      <c r="BY85" s="72">
        <f t="shared" si="65"/>
        <v>100.00000000000001</v>
      </c>
      <c r="BZ85" s="23"/>
      <c r="CA85" s="85"/>
      <c r="CF85" s="6" t="s">
        <v>192</v>
      </c>
      <c r="CG85" s="6">
        <f>SUMIFS(Table_Assembly[Specific Amount],Table_Assembly[NG Type],$CF$14,Table_Assembly[Product type],$BP$50,Table_Assembly[NG content],CF85,Table_Assembly[MFG Date],"&gt;="&amp;$R$28,Table_Assembly[MFG Date],"&lt;="&amp;$R$29)</f>
        <v>0</v>
      </c>
      <c r="CH85" s="6">
        <f>SUMIFS(Table_Assembly[Specific Amount],Table_Assembly[NG Type],$CF$14,Table_Assembly[Product type],$BP$50,Table_Assembly[NG content],CF85,Table_Assembly[MFG Date],"&gt;="&amp;$R$36,Table_Assembly[MFG Date],"&lt;="&amp;$R$37)</f>
        <v>0</v>
      </c>
      <c r="CI85" s="6">
        <f>SUMIFS(Table_Assembly[Specific Amount],Table_Assembly[NG Type],$CF$14,Table_Assembly[Product type],$BP$50,Table_Assembly[NG content],CF85,Table_Assembly[MFG Date],"&gt;="&amp;$R$44,Table_Assembly[MFG Date],"&lt;="&amp;$R$45)</f>
        <v>0</v>
      </c>
      <c r="CJ85" s="6">
        <f>SUMIFS(Table_Assembly[Specific Amount],Table_Assembly[NG Type],$CF$14,Table_Assembly[Product type],$BP$50,Table_Assembly[NG content],CF85,Table_Assembly[MFG Date],"&gt;="&amp;$R$52,Table_Assembly[MFG Date],"&lt;="&amp;$R$53)</f>
        <v>0</v>
      </c>
      <c r="CK85" s="6">
        <f>SUMIFS(Table_Assembly[Specific Amount],Table_Assembly[NG Type],$CF$14,Table_Assembly[Product type],$BP$50,Table_Assembly[NG content],CF85,Table_Assembly[MFG Date],"&gt;="&amp;$R$60,Table_Assembly[MFG Date],"&lt;="&amp;$R$61)</f>
        <v>0</v>
      </c>
      <c r="CL85" s="6">
        <f>SUMIFS(Table_Assembly[Specific Amount],Table_Assembly[NG Type],$CF$14,Table_Assembly[Product type],$BP$50,Table_Assembly[NG content],CF85,Table_Assembly[MFG Date],"&gt;="&amp;$R$68,Table_Assembly[MFG Date],"&lt;="&amp;$R$69)</f>
        <v>0</v>
      </c>
    </row>
    <row r="86" spans="1:90">
      <c r="A86" s="23"/>
      <c r="B86" s="23"/>
      <c r="C86" s="23"/>
      <c r="D86" s="23"/>
      <c r="E86" s="70" t="str">
        <f>Pareto!T74</f>
        <v>Sai ống チューブ間違い</v>
      </c>
      <c r="F86" s="71">
        <f>Pareto!U74</f>
        <v>1</v>
      </c>
      <c r="G86" s="72">
        <f>Pareto!V74</f>
        <v>7.6804915514592939E-2</v>
      </c>
      <c r="H86" s="72">
        <f t="shared" si="62"/>
        <v>99.769585253456199</v>
      </c>
      <c r="I86" s="23"/>
      <c r="J86" s="70" t="str">
        <f>Pareto!Y74</f>
        <v>Dập sai</v>
      </c>
      <c r="K86" s="71">
        <f>Pareto!Z74</f>
        <v>0</v>
      </c>
      <c r="L86" s="72">
        <f>Pareto!AA74</f>
        <v>0</v>
      </c>
      <c r="M86" s="72">
        <f t="shared" si="63"/>
        <v>100.00000000000003</v>
      </c>
      <c r="N86" s="23"/>
      <c r="O86" s="85"/>
      <c r="AJ86" s="12" t="str">
        <f ca="1">IFERROR(MATCH($B$114,OFFSET(#REF!,AJ85,0,1000000),0)+AJ85,"")</f>
        <v/>
      </c>
      <c r="AK86" s="17" t="str">
        <f ca="1">IFERROR(_xlfn.SINGLE(INDEX(#REF!,'Monthly Report'!AJ86)),"")</f>
        <v/>
      </c>
      <c r="AL86" s="12" t="str">
        <f ca="1">IFERROR(_xlfn.SINGLE(INDEX(#REF!,'Monthly Report'!AJ86)),"")</f>
        <v/>
      </c>
      <c r="AN86" s="12" t="str">
        <f ca="1">IFERROR(MATCH($G$115,OFFSET(#REF!,AN85,0,1000000),0)+AN85,"")</f>
        <v/>
      </c>
      <c r="AO86" s="17" t="str">
        <f ca="1">IFERROR(_xlfn.SINGLE(INDEX(#REF!,'Monthly Report'!AN86)),"")</f>
        <v/>
      </c>
      <c r="AP86" s="12" t="str">
        <f ca="1">IFERROR(_xlfn.SINGLE(INDEX(#REF!,'Monthly Report'!AN86)),"")</f>
        <v/>
      </c>
      <c r="BM86" s="105"/>
      <c r="BN86" s="23"/>
      <c r="BO86" s="23"/>
      <c r="BP86" s="23"/>
      <c r="BQ86" s="70" t="str">
        <f>Pareto!T162</f>
        <v>Dính dị vật 端子が異物付き</v>
      </c>
      <c r="BR86" s="71">
        <f>Pareto!U162</f>
        <v>4</v>
      </c>
      <c r="BS86" s="72">
        <f>Pareto!V162</f>
        <v>0.33898305084745761</v>
      </c>
      <c r="BT86" s="72">
        <f t="shared" si="64"/>
        <v>99.406779661016955</v>
      </c>
      <c r="BU86" s="23"/>
      <c r="BV86" s="70" t="str">
        <f>Pareto!Y162</f>
        <v>Ngược Diode</v>
      </c>
      <c r="BW86" s="71">
        <f>Pareto!Z162</f>
        <v>0</v>
      </c>
      <c r="BX86" s="72">
        <f>Pareto!AA162</f>
        <v>0</v>
      </c>
      <c r="BY86" s="72">
        <f t="shared" si="65"/>
        <v>100.00000000000001</v>
      </c>
      <c r="BZ86" s="23"/>
      <c r="CA86" s="85"/>
      <c r="CF86" s="6" t="s">
        <v>193</v>
      </c>
      <c r="CG86" s="6">
        <f>SUMIFS(Table_Assembly[Specific Amount],Table_Assembly[NG Type],$CF$14,Table_Assembly[Product type],$BP$50,Table_Assembly[NG content],CF86,Table_Assembly[MFG Date],"&gt;="&amp;$R$28,Table_Assembly[MFG Date],"&lt;="&amp;$R$29)</f>
        <v>0</v>
      </c>
      <c r="CH86" s="6">
        <f>SUMIFS(Table_Assembly[Specific Amount],Table_Assembly[NG Type],$CF$14,Table_Assembly[Product type],$BP$50,Table_Assembly[NG content],CF86,Table_Assembly[MFG Date],"&gt;="&amp;$R$36,Table_Assembly[MFG Date],"&lt;="&amp;$R$37)</f>
        <v>0</v>
      </c>
      <c r="CI86" s="6">
        <f>SUMIFS(Table_Assembly[Specific Amount],Table_Assembly[NG Type],$CF$14,Table_Assembly[Product type],$BP$50,Table_Assembly[NG content],CF86,Table_Assembly[MFG Date],"&gt;="&amp;$R$44,Table_Assembly[MFG Date],"&lt;="&amp;$R$45)</f>
        <v>0</v>
      </c>
      <c r="CJ86" s="6">
        <f>SUMIFS(Table_Assembly[Specific Amount],Table_Assembly[NG Type],$CF$14,Table_Assembly[Product type],$BP$50,Table_Assembly[NG content],CF86,Table_Assembly[MFG Date],"&gt;="&amp;$R$52,Table_Assembly[MFG Date],"&lt;="&amp;$R$53)</f>
        <v>0</v>
      </c>
      <c r="CK86" s="6">
        <f>SUMIFS(Table_Assembly[Specific Amount],Table_Assembly[NG Type],$CF$14,Table_Assembly[Product type],$BP$50,Table_Assembly[NG content],CF86,Table_Assembly[MFG Date],"&gt;="&amp;$R$60,Table_Assembly[MFG Date],"&lt;="&amp;$R$61)</f>
        <v>0</v>
      </c>
      <c r="CL86" s="6">
        <f>SUMIFS(Table_Assembly[Specific Amount],Table_Assembly[NG Type],$CF$14,Table_Assembly[Product type],$BP$50,Table_Assembly[NG content],CF86,Table_Assembly[MFG Date],"&gt;="&amp;$R$68,Table_Assembly[MFG Date],"&lt;="&amp;$R$69)</f>
        <v>0</v>
      </c>
    </row>
    <row r="87" spans="1:90">
      <c r="A87" s="23"/>
      <c r="B87" s="23"/>
      <c r="C87" s="23"/>
      <c r="D87" s="23"/>
      <c r="E87" s="70" t="str">
        <f>Pareto!T75</f>
        <v>Thiếu dây</v>
      </c>
      <c r="F87" s="71">
        <f>Pareto!U75</f>
        <v>1</v>
      </c>
      <c r="G87" s="72">
        <f>Pareto!V75</f>
        <v>7.6804915514592939E-2</v>
      </c>
      <c r="H87" s="72">
        <f t="shared" si="62"/>
        <v>99.846390168970785</v>
      </c>
      <c r="I87" s="23"/>
      <c r="J87" s="70" t="str">
        <f>Pareto!Y75</f>
        <v>Thiếu dây</v>
      </c>
      <c r="K87" s="71">
        <f>Pareto!Z75</f>
        <v>0</v>
      </c>
      <c r="L87" s="72">
        <f>Pareto!AA75</f>
        <v>0</v>
      </c>
      <c r="M87" s="72">
        <f t="shared" si="63"/>
        <v>100.00000000000003</v>
      </c>
      <c r="N87" s="23"/>
      <c r="O87" s="85"/>
      <c r="AJ87" s="12" t="str">
        <f ca="1">IFERROR(MATCH($B$114,OFFSET(#REF!,AJ86,0,1000000),0)+AJ86,"")</f>
        <v/>
      </c>
      <c r="AK87" s="17" t="str">
        <f ca="1">IFERROR(_xlfn.SINGLE(INDEX(#REF!,'Monthly Report'!AJ87)),"")</f>
        <v/>
      </c>
      <c r="AL87" s="12" t="str">
        <f ca="1">IFERROR(_xlfn.SINGLE(INDEX(#REF!,'Monthly Report'!AJ87)),"")</f>
        <v/>
      </c>
      <c r="AN87" s="12" t="str">
        <f ca="1">IFERROR(MATCH($G$115,OFFSET(#REF!,AN86,0,1000000),0)+AN86,"")</f>
        <v/>
      </c>
      <c r="AO87" s="17" t="str">
        <f ca="1">IFERROR(_xlfn.SINGLE(INDEX(#REF!,'Monthly Report'!AN87)),"")</f>
        <v/>
      </c>
      <c r="AP87" s="12" t="str">
        <f ca="1">IFERROR(_xlfn.SINGLE(INDEX(#REF!,'Monthly Report'!AN87)),"")</f>
        <v/>
      </c>
      <c r="BM87" s="105"/>
      <c r="BN87" s="23"/>
      <c r="BO87" s="23"/>
      <c r="BP87" s="23"/>
      <c r="BQ87" s="70" t="str">
        <f>Pareto!T163</f>
        <v>Sai kích thước</v>
      </c>
      <c r="BR87" s="71">
        <f>Pareto!U163</f>
        <v>3</v>
      </c>
      <c r="BS87" s="72">
        <f>Pareto!V163</f>
        <v>0.25423728813559321</v>
      </c>
      <c r="BT87" s="72">
        <f t="shared" si="64"/>
        <v>99.661016949152554</v>
      </c>
      <c r="BU87" s="23"/>
      <c r="BV87" s="70" t="str">
        <f>Pareto!Y163</f>
        <v>Dập sai</v>
      </c>
      <c r="BW87" s="71">
        <f>Pareto!Z163</f>
        <v>0</v>
      </c>
      <c r="BX87" s="72">
        <f>Pareto!AA163</f>
        <v>0</v>
      </c>
      <c r="BY87" s="72">
        <f t="shared" si="65"/>
        <v>100.00000000000001</v>
      </c>
      <c r="BZ87" s="23"/>
      <c r="CA87" s="85"/>
      <c r="CF87" s="6" t="s">
        <v>241</v>
      </c>
      <c r="CG87" s="6">
        <f>SUMIFS(Table_Assembly[Specific Amount],Table_Assembly[NG Type],$CF$14,Table_Assembly[Product type],$BP$50,Table_Assembly[NG content],CF87,Table_Assembly[MFG Date],"&gt;="&amp;$R$28,Table_Assembly[MFG Date],"&lt;="&amp;$R$29)</f>
        <v>0</v>
      </c>
      <c r="CH87" s="6">
        <f>SUMIFS(Table_Assembly[Specific Amount],Table_Assembly[NG Type],$CF$14,Table_Assembly[Product type],$BP$50,Table_Assembly[NG content],CF87,Table_Assembly[MFG Date],"&gt;="&amp;$R$36,Table_Assembly[MFG Date],"&lt;="&amp;$R$37)</f>
        <v>0</v>
      </c>
      <c r="CI87" s="6">
        <f>SUMIFS(Table_Assembly[Specific Amount],Table_Assembly[NG Type],$CF$14,Table_Assembly[Product type],$BP$50,Table_Assembly[NG content],CF87,Table_Assembly[MFG Date],"&gt;="&amp;$R$44,Table_Assembly[MFG Date],"&lt;="&amp;$R$45)</f>
        <v>0</v>
      </c>
      <c r="CJ87" s="6">
        <f>SUMIFS(Table_Assembly[Specific Amount],Table_Assembly[NG Type],$CF$14,Table_Assembly[Product type],$BP$50,Table_Assembly[NG content],CF87,Table_Assembly[MFG Date],"&gt;="&amp;$R$52,Table_Assembly[MFG Date],"&lt;="&amp;$R$53)</f>
        <v>0</v>
      </c>
      <c r="CK87" s="6">
        <f>SUMIFS(Table_Assembly[Specific Amount],Table_Assembly[NG Type],$CF$14,Table_Assembly[Product type],$BP$50,Table_Assembly[NG content],CF87,Table_Assembly[MFG Date],"&gt;="&amp;$R$60,Table_Assembly[MFG Date],"&lt;="&amp;$R$61)</f>
        <v>0</v>
      </c>
      <c r="CL87" s="6">
        <f>SUMIFS(Table_Assembly[Specific Amount],Table_Assembly[NG Type],$CF$14,Table_Assembly[Product type],$BP$50,Table_Assembly[NG content],CF87,Table_Assembly[MFG Date],"&gt;="&amp;$R$68,Table_Assembly[MFG Date],"&lt;="&amp;$R$69)</f>
        <v>0</v>
      </c>
    </row>
    <row r="88" spans="1:90">
      <c r="A88" s="23"/>
      <c r="B88" s="23"/>
      <c r="C88" s="23"/>
      <c r="D88" s="23"/>
      <c r="E88" s="73" t="str">
        <f>Pareto!T76</f>
        <v>Tuột mấu ôm vỏ do tán cạn 浅打ちで被覆カシメ外れ</v>
      </c>
      <c r="F88" s="71">
        <f>Pareto!U76</f>
        <v>1</v>
      </c>
      <c r="G88" s="72">
        <f>Pareto!V76</f>
        <v>7.6804915514592939E-2</v>
      </c>
      <c r="H88" s="128">
        <f t="shared" si="62"/>
        <v>99.923195084485371</v>
      </c>
      <c r="I88" s="23"/>
      <c r="J88" s="73" t="str">
        <f>Pareto!Y76</f>
        <v>Sai vị trí</v>
      </c>
      <c r="K88" s="71">
        <f>Pareto!Z76</f>
        <v>0</v>
      </c>
      <c r="L88" s="72">
        <f>Pareto!AA76</f>
        <v>0</v>
      </c>
      <c r="M88" s="128">
        <f t="shared" si="63"/>
        <v>100.00000000000003</v>
      </c>
      <c r="N88" s="23"/>
      <c r="O88" s="85"/>
      <c r="AJ88" s="12" t="str">
        <f ca="1">IFERROR(MATCH($B$114,OFFSET(#REF!,AJ87,0,1000000),0)+AJ87,"")</f>
        <v/>
      </c>
      <c r="AK88" s="17" t="str">
        <f ca="1">IFERROR(_xlfn.SINGLE(INDEX(#REF!,'Monthly Report'!AJ88)),"")</f>
        <v/>
      </c>
      <c r="AL88" s="12" t="str">
        <f ca="1">IFERROR(_xlfn.SINGLE(INDEX(#REF!,'Monthly Report'!AJ88)),"")</f>
        <v/>
      </c>
      <c r="AN88" s="12" t="str">
        <f ca="1">IFERROR(MATCH($G$115,OFFSET(#REF!,AN87,0,1000000),0)+AN87,"")</f>
        <v/>
      </c>
      <c r="AO88" s="17" t="str">
        <f ca="1">IFERROR(_xlfn.SINGLE(INDEX(#REF!,'Monthly Report'!AN88)),"")</f>
        <v/>
      </c>
      <c r="AP88" s="12" t="str">
        <f ca="1">IFERROR(_xlfn.SINGLE(INDEX(#REF!,'Monthly Report'!AN88)),"")</f>
        <v/>
      </c>
      <c r="BM88" s="105"/>
      <c r="BN88" s="23"/>
      <c r="BO88" s="23"/>
      <c r="BP88" s="23"/>
      <c r="BQ88" s="70" t="str">
        <f>Pareto!T164</f>
        <v>Sai ống チューブ間違い</v>
      </c>
      <c r="BR88" s="71">
        <f>Pareto!U164</f>
        <v>1</v>
      </c>
      <c r="BS88" s="72">
        <f>Pareto!V164</f>
        <v>8.4745762711864403E-2</v>
      </c>
      <c r="BT88" s="72">
        <f t="shared" si="64"/>
        <v>99.745762711864415</v>
      </c>
      <c r="BU88" s="23"/>
      <c r="BV88" s="70" t="str">
        <f>Pareto!Y164</f>
        <v>Thiếu dây</v>
      </c>
      <c r="BW88" s="71">
        <f>Pareto!Z164</f>
        <v>0</v>
      </c>
      <c r="BX88" s="72">
        <f>Pareto!AA164</f>
        <v>0</v>
      </c>
      <c r="BY88" s="72">
        <f t="shared" si="65"/>
        <v>100.00000000000001</v>
      </c>
      <c r="BZ88" s="23"/>
      <c r="CA88" s="85"/>
      <c r="CF88" s="6" t="s">
        <v>194</v>
      </c>
      <c r="CG88" s="6">
        <f>SUMIFS(Table_Assembly[Specific Amount],Table_Assembly[NG Type],$CF$14,Table_Assembly[Product type],$BP$50,Table_Assembly[NG content],CF88,Table_Assembly[MFG Date],"&gt;="&amp;$R$28,Table_Assembly[MFG Date],"&lt;="&amp;$R$29)</f>
        <v>0</v>
      </c>
      <c r="CH88" s="6">
        <f>SUMIFS(Table_Assembly[Specific Amount],Table_Assembly[NG Type],$CF$14,Table_Assembly[Product type],$BP$50,Table_Assembly[NG content],CF88,Table_Assembly[MFG Date],"&gt;="&amp;$R$36,Table_Assembly[MFG Date],"&lt;="&amp;$R$37)</f>
        <v>0</v>
      </c>
      <c r="CI88" s="6">
        <f>SUMIFS(Table_Assembly[Specific Amount],Table_Assembly[NG Type],$CF$14,Table_Assembly[Product type],$BP$50,Table_Assembly[NG content],CF88,Table_Assembly[MFG Date],"&gt;="&amp;$R$44,Table_Assembly[MFG Date],"&lt;="&amp;$R$45)</f>
        <v>0</v>
      </c>
      <c r="CJ88" s="6">
        <f>SUMIFS(Table_Assembly[Specific Amount],Table_Assembly[NG Type],$CF$14,Table_Assembly[Product type],$BP$50,Table_Assembly[NG content],CF88,Table_Assembly[MFG Date],"&gt;="&amp;$R$52,Table_Assembly[MFG Date],"&lt;="&amp;$R$53)</f>
        <v>0</v>
      </c>
      <c r="CK88" s="6">
        <f>SUMIFS(Table_Assembly[Specific Amount],Table_Assembly[NG Type],$CF$14,Table_Assembly[Product type],$BP$50,Table_Assembly[NG content],CF88,Table_Assembly[MFG Date],"&gt;="&amp;$R$60,Table_Assembly[MFG Date],"&lt;="&amp;$R$61)</f>
        <v>0</v>
      </c>
      <c r="CL88" s="6">
        <f>SUMIFS(Table_Assembly[Specific Amount],Table_Assembly[NG Type],$CF$14,Table_Assembly[Product type],$BP$50,Table_Assembly[NG content],CF88,Table_Assembly[MFG Date],"&gt;="&amp;$R$68,Table_Assembly[MFG Date],"&lt;="&amp;$R$69)</f>
        <v>0</v>
      </c>
    </row>
    <row r="89" spans="1:90">
      <c r="A89" s="23"/>
      <c r="B89" s="23"/>
      <c r="C89" s="23"/>
      <c r="D89" s="23"/>
      <c r="E89" s="73" t="str">
        <f>Pareto!T77</f>
        <v>Cháy dây</v>
      </c>
      <c r="F89" s="71">
        <f>Pareto!U77</f>
        <v>1</v>
      </c>
      <c r="G89" s="72">
        <f>Pareto!V77</f>
        <v>7.6804915514592939E-2</v>
      </c>
      <c r="H89" s="128">
        <f t="shared" si="62"/>
        <v>99.999999999999957</v>
      </c>
      <c r="I89" s="23"/>
      <c r="J89" s="73" t="str">
        <f>Pareto!Y77</f>
        <v>Sai kích thước</v>
      </c>
      <c r="K89" s="71">
        <f>Pareto!Z77</f>
        <v>0</v>
      </c>
      <c r="L89" s="72">
        <f>Pareto!AA77</f>
        <v>0</v>
      </c>
      <c r="M89" s="128">
        <f t="shared" si="63"/>
        <v>100.00000000000003</v>
      </c>
      <c r="N89" s="23"/>
      <c r="O89" s="85"/>
      <c r="AJ89" s="12" t="str">
        <f ca="1">IFERROR(MATCH($B$114,OFFSET(#REF!,AJ88,0,1000000),0)+AJ88,"")</f>
        <v/>
      </c>
      <c r="AK89" s="17" t="str">
        <f ca="1">IFERROR(_xlfn.SINGLE(INDEX(#REF!,'Monthly Report'!AJ89)),"")</f>
        <v/>
      </c>
      <c r="AL89" s="12" t="str">
        <f ca="1">IFERROR(_xlfn.SINGLE(INDEX(#REF!,'Monthly Report'!AJ89)),"")</f>
        <v/>
      </c>
      <c r="AN89" s="12" t="str">
        <f ca="1">IFERROR(MATCH($G$115,OFFSET(#REF!,AN88,0,1000000),0)+AN88,"")</f>
        <v/>
      </c>
      <c r="AO89" s="17" t="str">
        <f ca="1">IFERROR(_xlfn.SINGLE(INDEX(#REF!,'Monthly Report'!AN89)),"")</f>
        <v/>
      </c>
      <c r="AP89" s="12" t="str">
        <f ca="1">IFERROR(_xlfn.SINGLE(INDEX(#REF!,'Monthly Report'!AN89)),"")</f>
        <v/>
      </c>
      <c r="BM89" s="105"/>
      <c r="BN89" s="23"/>
      <c r="BO89" s="23"/>
      <c r="BP89" s="23"/>
      <c r="BQ89" s="70" t="str">
        <f>Pareto!T165</f>
        <v>Thiếu dây</v>
      </c>
      <c r="BR89" s="71">
        <f>Pareto!U165</f>
        <v>1</v>
      </c>
      <c r="BS89" s="72">
        <f>Pareto!V165</f>
        <v>8.4745762711864403E-2</v>
      </c>
      <c r="BT89" s="72">
        <f t="shared" si="64"/>
        <v>99.830508474576277</v>
      </c>
      <c r="BU89" s="23"/>
      <c r="BV89" s="70" t="str">
        <f>Pareto!Y165</f>
        <v>Sai vị trí</v>
      </c>
      <c r="BW89" s="71">
        <f>Pareto!Z165</f>
        <v>0</v>
      </c>
      <c r="BX89" s="72">
        <f>Pareto!AA165</f>
        <v>0</v>
      </c>
      <c r="BY89" s="72">
        <f t="shared" si="65"/>
        <v>100.00000000000001</v>
      </c>
      <c r="BZ89" s="23"/>
      <c r="CA89" s="85"/>
      <c r="CF89" s="6" t="s">
        <v>195</v>
      </c>
      <c r="CG89" s="6">
        <f>SUMIFS(Table_Assembly[Specific Amount],Table_Assembly[NG Type],$CF$14,Table_Assembly[Product type],$BP$50,Table_Assembly[NG content],CF89,Table_Assembly[MFG Date],"&gt;="&amp;$R$28,Table_Assembly[MFG Date],"&lt;="&amp;$R$29)</f>
        <v>0</v>
      </c>
      <c r="CH89" s="6">
        <f>SUMIFS(Table_Assembly[Specific Amount],Table_Assembly[NG Type],$CF$14,Table_Assembly[Product type],$BP$50,Table_Assembly[NG content],CF89,Table_Assembly[MFG Date],"&gt;="&amp;$R$36,Table_Assembly[MFG Date],"&lt;="&amp;$R$37)</f>
        <v>0</v>
      </c>
      <c r="CI89" s="6">
        <f>SUMIFS(Table_Assembly[Specific Amount],Table_Assembly[NG Type],$CF$14,Table_Assembly[Product type],$BP$50,Table_Assembly[NG content],CF89,Table_Assembly[MFG Date],"&gt;="&amp;$R$44,Table_Assembly[MFG Date],"&lt;="&amp;$R$45)</f>
        <v>0</v>
      </c>
      <c r="CJ89" s="6">
        <f>SUMIFS(Table_Assembly[Specific Amount],Table_Assembly[NG Type],$CF$14,Table_Assembly[Product type],$BP$50,Table_Assembly[NG content],CF89,Table_Assembly[MFG Date],"&gt;="&amp;$R$52,Table_Assembly[MFG Date],"&lt;="&amp;$R$53)</f>
        <v>0</v>
      </c>
      <c r="CK89" s="6">
        <f>SUMIFS(Table_Assembly[Specific Amount],Table_Assembly[NG Type],$CF$14,Table_Assembly[Product type],$BP$50,Table_Assembly[NG content],CF89,Table_Assembly[MFG Date],"&gt;="&amp;$R$60,Table_Assembly[MFG Date],"&lt;="&amp;$R$61)</f>
        <v>0</v>
      </c>
      <c r="CL89" s="6">
        <f>SUMIFS(Table_Assembly[Specific Amount],Table_Assembly[NG Type],$CF$14,Table_Assembly[Product type],$BP$50,Table_Assembly[NG content],CF89,Table_Assembly[MFG Date],"&gt;="&amp;$R$68,Table_Assembly[MFG Date],"&lt;="&amp;$R$69)</f>
        <v>0</v>
      </c>
    </row>
    <row r="90" spans="1:90">
      <c r="A90" s="23"/>
      <c r="B90" s="23"/>
      <c r="C90" s="23"/>
      <c r="D90" s="23"/>
      <c r="E90" s="73" t="str">
        <f>Pareto!T78</f>
        <v>Không đạt do NL</v>
      </c>
      <c r="F90" s="71">
        <f>Pareto!U78</f>
        <v>0</v>
      </c>
      <c r="G90" s="72">
        <f>Pareto!V78</f>
        <v>0</v>
      </c>
      <c r="H90" s="128">
        <f t="shared" si="62"/>
        <v>99.999999999999957</v>
      </c>
      <c r="I90" s="23"/>
      <c r="J90" s="73" t="str">
        <f>Pareto!Y78</f>
        <v>Ngắn, dài</v>
      </c>
      <c r="K90" s="71">
        <f>Pareto!Z78</f>
        <v>0</v>
      </c>
      <c r="L90" s="72">
        <f>Pareto!AA78</f>
        <v>0</v>
      </c>
      <c r="M90" s="128">
        <f t="shared" si="63"/>
        <v>100.00000000000003</v>
      </c>
      <c r="N90" s="23"/>
      <c r="O90" s="85"/>
      <c r="AJ90" s="12" t="str">
        <f ca="1">IFERROR(MATCH($B$114,OFFSET(#REF!,AJ89,0,1000000),0)+AJ89,"")</f>
        <v/>
      </c>
      <c r="AK90" s="17" t="str">
        <f ca="1">IFERROR(_xlfn.SINGLE(INDEX(#REF!,'Monthly Report'!AJ90)),"")</f>
        <v/>
      </c>
      <c r="AL90" s="12" t="str">
        <f ca="1">IFERROR(_xlfn.SINGLE(INDEX(#REF!,'Monthly Report'!AJ90)),"")</f>
        <v/>
      </c>
      <c r="AN90" s="12" t="str">
        <f ca="1">IFERROR(MATCH($G$115,OFFSET(#REF!,AN89,0,1000000),0)+AN89,"")</f>
        <v/>
      </c>
      <c r="AO90" s="17" t="str">
        <f ca="1">IFERROR(_xlfn.SINGLE(INDEX(#REF!,'Monthly Report'!AN90)),"")</f>
        <v/>
      </c>
      <c r="AP90" s="12" t="str">
        <f ca="1">IFERROR(_xlfn.SINGLE(INDEX(#REF!,'Monthly Report'!AN90)),"")</f>
        <v/>
      </c>
      <c r="BM90" s="105"/>
      <c r="BN90" s="23"/>
      <c r="BO90" s="23"/>
      <c r="BP90" s="23"/>
      <c r="BQ90" s="70" t="str">
        <f>Pareto!T166</f>
        <v>Tuột mấu ôm vỏ do tán cạn 浅打ちで被覆カシメ外れ</v>
      </c>
      <c r="BR90" s="71">
        <f>Pareto!U166</f>
        <v>1</v>
      </c>
      <c r="BS90" s="72">
        <f>Pareto!V166</f>
        <v>8.4745762711864403E-2</v>
      </c>
      <c r="BT90" s="72">
        <f t="shared" si="64"/>
        <v>99.915254237288138</v>
      </c>
      <c r="BU90" s="23"/>
      <c r="BV90" s="70" t="str">
        <f>Pareto!Y166</f>
        <v>Sai kích thước</v>
      </c>
      <c r="BW90" s="71">
        <f>Pareto!Z166</f>
        <v>0</v>
      </c>
      <c r="BX90" s="72">
        <f>Pareto!AA166</f>
        <v>0</v>
      </c>
      <c r="BY90" s="72">
        <f t="shared" si="65"/>
        <v>100.00000000000001</v>
      </c>
      <c r="BZ90" s="23"/>
      <c r="CA90" s="85"/>
      <c r="CF90" s="6" t="s">
        <v>123</v>
      </c>
      <c r="CG90" s="6">
        <f>SUMIFS(Table_Assembly[Specific Amount],Table_Assembly[NG Type],$CF$14,Table_Assembly[Product type],$BP$50,Table_Assembly[NG content],"Others",Table_Assembly[MFG Date],"&gt;="&amp;$R$28,Table_Assembly[MFG Date],"&lt;="&amp;$R$29)</f>
        <v>0</v>
      </c>
      <c r="CH90" s="6">
        <f>SUMIFS(Table_Assembly[Specific Amount],Table_Assembly[NG Type],$CF$14,Table_Assembly[Product type],$BP$50,Table_Assembly[NG content],"Others",Table_Assembly[MFG Date],"&gt;="&amp;$R$36,Table_Assembly[MFG Date],"&lt;="&amp;$R$37)</f>
        <v>0</v>
      </c>
      <c r="CI90" s="6">
        <f>SUMIFS(Table_Assembly[Specific Amount],Table_Assembly[NG Type],$CF$14,Table_Assembly[Product type],$BP$50,Table_Assembly[NG content],"Others",Table_Assembly[MFG Date],"&gt;="&amp;$R$44,Table_Assembly[MFG Date],"&lt;="&amp;$R$45)</f>
        <v>0</v>
      </c>
      <c r="CJ90" s="6">
        <f>SUMIFS(Table_Assembly[Specific Amount],Table_Assembly[NG Type],$CF$14,Table_Assembly[Product type],$BP$50,Table_Assembly[NG content],"Others",Table_Assembly[MFG Date],"&gt;="&amp;$R$52,Table_Assembly[MFG Date],"&lt;="&amp;$R$53)</f>
        <v>0</v>
      </c>
      <c r="CK90" s="6">
        <f>SUMIFS(Table_Assembly[Specific Amount],Table_Assembly[NG Type],$CF$14,Table_Assembly[Product type],$BP$50,Table_Assembly[NG content],"Others",Table_Assembly[MFG Date],"&gt;="&amp;$R$60,Table_Assembly[MFG Date],"&lt;="&amp;$R$61)</f>
        <v>0</v>
      </c>
      <c r="CL90" s="6">
        <f>SUMIFS(Table_Assembly[Specific Amount],Table_Assembly[NG Type],$CF$14,Table_Assembly[Product type],$BP$50,Table_Assembly[NG content],"Others",Table_Assembly[MFG Date],"&gt;="&amp;$R$68,Table_Assembly[MFG Date],"&lt;="&amp;$R$69)</f>
        <v>0</v>
      </c>
    </row>
    <row r="91" spans="1:90">
      <c r="A91" s="23"/>
      <c r="B91" s="23"/>
      <c r="C91" s="23"/>
      <c r="D91" s="23"/>
      <c r="E91" s="73" t="str">
        <f>Pareto!T79</f>
        <v>Ngược nút bọc</v>
      </c>
      <c r="F91" s="71">
        <f>Pareto!U79</f>
        <v>0</v>
      </c>
      <c r="G91" s="72">
        <f>Pareto!V79</f>
        <v>0</v>
      </c>
      <c r="H91" s="128">
        <f t="shared" si="62"/>
        <v>99.999999999999957</v>
      </c>
      <c r="I91" s="23"/>
      <c r="J91" s="73" t="str">
        <f>Pareto!Y79</f>
        <v>Sút</v>
      </c>
      <c r="K91" s="71">
        <f>Pareto!Z79</f>
        <v>0</v>
      </c>
      <c r="L91" s="72">
        <f>Pareto!AA79</f>
        <v>0</v>
      </c>
      <c r="M91" s="128">
        <f t="shared" si="63"/>
        <v>100.00000000000003</v>
      </c>
      <c r="N91" s="23"/>
      <c r="O91" s="85"/>
      <c r="AJ91" s="12" t="str">
        <f ca="1">IFERROR(MATCH($B$114,OFFSET(#REF!,AJ90,0,1000000),0)+AJ90,"")</f>
        <v/>
      </c>
      <c r="AK91" s="17" t="str">
        <f ca="1">IFERROR(_xlfn.SINGLE(INDEX(#REF!,'Monthly Report'!AJ91)),"")</f>
        <v/>
      </c>
      <c r="AL91" s="12" t="str">
        <f ca="1">IFERROR(_xlfn.SINGLE(INDEX(#REF!,'Monthly Report'!AJ91)),"")</f>
        <v/>
      </c>
      <c r="AN91" s="12" t="str">
        <f ca="1">IFERROR(MATCH($G$115,OFFSET(#REF!,AN90,0,1000000),0)+AN90,"")</f>
        <v/>
      </c>
      <c r="AO91" s="17" t="str">
        <f ca="1">IFERROR(_xlfn.SINGLE(INDEX(#REF!,'Monthly Report'!AN91)),"")</f>
        <v/>
      </c>
      <c r="AP91" s="12" t="str">
        <f ca="1">IFERROR(_xlfn.SINGLE(INDEX(#REF!,'Monthly Report'!AN91)),"")</f>
        <v/>
      </c>
      <c r="BM91" s="105"/>
      <c r="BN91" s="23"/>
      <c r="BO91" s="23"/>
      <c r="BP91" s="23"/>
      <c r="BQ91" s="70" t="str">
        <f>Pareto!T167</f>
        <v>Cháy dây</v>
      </c>
      <c r="BR91" s="71">
        <f>Pareto!U167</f>
        <v>1</v>
      </c>
      <c r="BS91" s="72">
        <f>Pareto!V167</f>
        <v>8.4745762711864403E-2</v>
      </c>
      <c r="BT91" s="72">
        <f t="shared" si="64"/>
        <v>100</v>
      </c>
      <c r="BU91" s="23"/>
      <c r="BV91" s="70" t="str">
        <f>Pareto!Y167</f>
        <v>Ngắn, dài</v>
      </c>
      <c r="BW91" s="71">
        <f>Pareto!Z167</f>
        <v>0</v>
      </c>
      <c r="BX91" s="72">
        <f>Pareto!AA167</f>
        <v>0</v>
      </c>
      <c r="BY91" s="72">
        <f t="shared" si="65"/>
        <v>100.00000000000001</v>
      </c>
      <c r="BZ91" s="23"/>
      <c r="CA91" s="85"/>
    </row>
    <row r="92" spans="1:90">
      <c r="A92" s="23"/>
      <c r="B92" s="23"/>
      <c r="C92" s="23"/>
      <c r="D92" s="23"/>
      <c r="E92" s="73" t="str">
        <f>Pareto!T80</f>
        <v>Thông dòng NG</v>
      </c>
      <c r="F92" s="71">
        <f>Pareto!U80</f>
        <v>0</v>
      </c>
      <c r="G92" s="72">
        <f>Pareto!V80</f>
        <v>0</v>
      </c>
      <c r="H92" s="128">
        <f t="shared" si="62"/>
        <v>99.999999999999957</v>
      </c>
      <c r="I92" s="23"/>
      <c r="J92" s="73" t="str">
        <f>Pareto!Y80</f>
        <v>Biến dạng</v>
      </c>
      <c r="K92" s="71">
        <f>Pareto!Z80</f>
        <v>0</v>
      </c>
      <c r="L92" s="72">
        <f>Pareto!AA80</f>
        <v>0</v>
      </c>
      <c r="M92" s="128">
        <f t="shared" si="63"/>
        <v>100.00000000000003</v>
      </c>
      <c r="N92" s="23"/>
      <c r="O92" s="85"/>
      <c r="AJ92" s="12" t="str">
        <f ca="1">IFERROR(MATCH($B$114,OFFSET(#REF!,AJ91,0,1000000),0)+AJ91,"")</f>
        <v/>
      </c>
      <c r="AK92" s="17" t="str">
        <f ca="1">IFERROR(_xlfn.SINGLE(INDEX(#REF!,'Monthly Report'!AJ92)),"")</f>
        <v/>
      </c>
      <c r="AL92" s="12" t="str">
        <f ca="1">IFERROR(_xlfn.SINGLE(INDEX(#REF!,'Monthly Report'!AJ92)),"")</f>
        <v/>
      </c>
      <c r="AN92" s="12" t="str">
        <f ca="1">IFERROR(MATCH($G$115,OFFSET(#REF!,AN91,0,1000000),0)+AN91,"")</f>
        <v/>
      </c>
      <c r="AO92" s="17" t="str">
        <f ca="1">IFERROR(_xlfn.SINGLE(INDEX(#REF!,'Monthly Report'!AN92)),"")</f>
        <v/>
      </c>
      <c r="AP92" s="12" t="str">
        <f ca="1">IFERROR(_xlfn.SINGLE(INDEX(#REF!,'Monthly Report'!AN92)),"")</f>
        <v/>
      </c>
      <c r="BM92" s="105"/>
      <c r="BN92" s="23"/>
      <c r="BO92" s="23"/>
      <c r="BP92" s="23"/>
      <c r="BQ92" s="70" t="str">
        <f>Pareto!T168</f>
        <v>Ngược nút bọc</v>
      </c>
      <c r="BR92" s="71">
        <f>Pareto!U168</f>
        <v>0</v>
      </c>
      <c r="BS92" s="72">
        <f>Pareto!V168</f>
        <v>0</v>
      </c>
      <c r="BT92" s="72">
        <f t="shared" si="64"/>
        <v>100</v>
      </c>
      <c r="BU92" s="23"/>
      <c r="BV92" s="70" t="str">
        <f>Pareto!Y168</f>
        <v>Sút</v>
      </c>
      <c r="BW92" s="71">
        <f>Pareto!Z168</f>
        <v>0</v>
      </c>
      <c r="BX92" s="72">
        <f>Pareto!AA168</f>
        <v>0</v>
      </c>
      <c r="BY92" s="72">
        <f t="shared" si="65"/>
        <v>100.00000000000001</v>
      </c>
      <c r="BZ92" s="23"/>
      <c r="CA92" s="85"/>
    </row>
    <row r="93" spans="1:90">
      <c r="A93" s="23"/>
      <c r="B93" s="23"/>
      <c r="C93" s="23"/>
      <c r="D93" s="23"/>
      <c r="E93" s="73" t="str">
        <f>Pareto!T81</f>
        <v>Ngược Diode</v>
      </c>
      <c r="F93" s="71">
        <f>Pareto!U81</f>
        <v>0</v>
      </c>
      <c r="G93" s="72">
        <f>Pareto!V81</f>
        <v>0</v>
      </c>
      <c r="H93" s="128">
        <f t="shared" si="62"/>
        <v>99.999999999999957</v>
      </c>
      <c r="I93" s="23"/>
      <c r="J93" s="73" t="str">
        <f>Pareto!Y81</f>
        <v>Hở</v>
      </c>
      <c r="K93" s="71">
        <f>Pareto!Z81</f>
        <v>0</v>
      </c>
      <c r="L93" s="72">
        <f>Pareto!AA81</f>
        <v>0</v>
      </c>
      <c r="M93" s="128">
        <f t="shared" si="63"/>
        <v>100.00000000000003</v>
      </c>
      <c r="N93" s="23"/>
      <c r="O93" s="85"/>
      <c r="AJ93" s="12" t="str">
        <f ca="1">IFERROR(MATCH($B$114,OFFSET(#REF!,AJ92,0,1000000),0)+AJ92,"")</f>
        <v/>
      </c>
      <c r="AK93" s="17" t="str">
        <f ca="1">IFERROR(_xlfn.SINGLE(INDEX(#REF!,'Monthly Report'!AJ93)),"")</f>
        <v/>
      </c>
      <c r="AL93" s="12" t="str">
        <f ca="1">IFERROR(_xlfn.SINGLE(INDEX(#REF!,'Monthly Report'!AJ93)),"")</f>
        <v/>
      </c>
      <c r="AN93" s="12" t="str">
        <f ca="1">IFERROR(MATCH($G$115,OFFSET(#REF!,AN92,0,1000000),0)+AN92,"")</f>
        <v/>
      </c>
      <c r="AO93" s="17" t="str">
        <f ca="1">IFERROR(_xlfn.SINGLE(INDEX(#REF!,'Monthly Report'!AN93)),"")</f>
        <v/>
      </c>
      <c r="AP93" s="12" t="str">
        <f ca="1">IFERROR(_xlfn.SINGLE(INDEX(#REF!,'Monthly Report'!AN93)),"")</f>
        <v/>
      </c>
      <c r="BM93" s="105"/>
      <c r="BN93" s="23"/>
      <c r="BO93" s="23"/>
      <c r="BP93" s="23"/>
      <c r="BQ93" s="70" t="str">
        <f>Pareto!T169</f>
        <v>Thông dòng NG</v>
      </c>
      <c r="BR93" s="71">
        <f>Pareto!U169</f>
        <v>0</v>
      </c>
      <c r="BS93" s="72">
        <f>Pareto!V169</f>
        <v>0</v>
      </c>
      <c r="BT93" s="72">
        <f t="shared" si="64"/>
        <v>100</v>
      </c>
      <c r="BU93" s="23"/>
      <c r="BV93" s="70" t="str">
        <f>Pareto!Y169</f>
        <v>Biến dạng</v>
      </c>
      <c r="BW93" s="71">
        <f>Pareto!Z169</f>
        <v>0</v>
      </c>
      <c r="BX93" s="72">
        <f>Pareto!AA169</f>
        <v>0</v>
      </c>
      <c r="BY93" s="72">
        <f t="shared" si="65"/>
        <v>100.00000000000001</v>
      </c>
      <c r="BZ93" s="23"/>
      <c r="CA93" s="85"/>
    </row>
    <row r="94" spans="1:90">
      <c r="A94" s="23"/>
      <c r="B94" s="23"/>
      <c r="C94" s="23"/>
      <c r="D94" s="23"/>
      <c r="E94" s="73" t="str">
        <f>Pareto!T82</f>
        <v>Sai vị trí</v>
      </c>
      <c r="F94" s="71">
        <f>Pareto!U82</f>
        <v>0</v>
      </c>
      <c r="G94" s="72">
        <f>Pareto!V82</f>
        <v>0</v>
      </c>
      <c r="H94" s="128">
        <f t="shared" si="62"/>
        <v>99.999999999999957</v>
      </c>
      <c r="I94" s="23"/>
      <c r="J94" s="73" t="str">
        <f>Pareto!Y82</f>
        <v>Gờ tanshi bám ít vào gờ housing ランスのロックが不十分</v>
      </c>
      <c r="K94" s="71">
        <f>Pareto!Z82</f>
        <v>0</v>
      </c>
      <c r="L94" s="72">
        <f>Pareto!AA82</f>
        <v>0</v>
      </c>
      <c r="M94" s="128">
        <f t="shared" si="63"/>
        <v>100.00000000000003</v>
      </c>
      <c r="N94" s="23"/>
      <c r="O94" s="85"/>
      <c r="AJ94" s="12" t="str">
        <f ca="1">IFERROR(MATCH($B$114,OFFSET(#REF!,AJ93,0,1000000),0)+AJ93,"")</f>
        <v/>
      </c>
      <c r="AK94" s="17" t="str">
        <f ca="1">IFERROR(_xlfn.SINGLE(INDEX(#REF!,'Monthly Report'!AJ94)),"")</f>
        <v/>
      </c>
      <c r="AL94" s="12" t="str">
        <f ca="1">IFERROR(_xlfn.SINGLE(INDEX(#REF!,'Monthly Report'!AJ94)),"")</f>
        <v/>
      </c>
      <c r="AN94" s="12" t="str">
        <f ca="1">IFERROR(MATCH($G$115,OFFSET(#REF!,AN93,0,1000000),0)+AN93,"")</f>
        <v/>
      </c>
      <c r="AO94" s="17" t="str">
        <f ca="1">IFERROR(_xlfn.SINGLE(INDEX(#REF!,'Monthly Report'!AN94)),"")</f>
        <v/>
      </c>
      <c r="AP94" s="12" t="str">
        <f ca="1">IFERROR(_xlfn.SINGLE(INDEX(#REF!,'Monthly Report'!AN94)),"")</f>
        <v/>
      </c>
      <c r="BM94" s="105"/>
      <c r="BN94" s="23"/>
      <c r="BO94" s="23"/>
      <c r="BP94" s="23"/>
      <c r="BQ94" s="70" t="str">
        <f>Pareto!T170</f>
        <v>Ngược Diode</v>
      </c>
      <c r="BR94" s="71">
        <f>Pareto!U170</f>
        <v>0</v>
      </c>
      <c r="BS94" s="72">
        <f>Pareto!V170</f>
        <v>0</v>
      </c>
      <c r="BT94" s="72">
        <f t="shared" si="64"/>
        <v>100</v>
      </c>
      <c r="BU94" s="23"/>
      <c r="BV94" s="70" t="str">
        <f>Pareto!Y170</f>
        <v>Hở</v>
      </c>
      <c r="BW94" s="71">
        <f>Pareto!Z170</f>
        <v>0</v>
      </c>
      <c r="BX94" s="72">
        <f>Pareto!AA170</f>
        <v>0</v>
      </c>
      <c r="BY94" s="72">
        <f t="shared" si="65"/>
        <v>100.00000000000001</v>
      </c>
      <c r="BZ94" s="23"/>
      <c r="CA94" s="85"/>
    </row>
    <row r="95" spans="1:90">
      <c r="A95" s="23"/>
      <c r="B95" s="23"/>
      <c r="C95" s="23"/>
      <c r="D95" s="23"/>
      <c r="E95" s="73" t="str">
        <f>Pareto!T83</f>
        <v>Sút</v>
      </c>
      <c r="F95" s="71">
        <f>Pareto!U83</f>
        <v>0</v>
      </c>
      <c r="G95" s="72">
        <f>Pareto!V83</f>
        <v>0</v>
      </c>
      <c r="H95" s="128">
        <f t="shared" si="62"/>
        <v>99.999999999999957</v>
      </c>
      <c r="I95" s="23"/>
      <c r="J95" s="73" t="str">
        <f>Pareto!Y83</f>
        <v>Tuột mấu ôm vỏ do tán cạn 浅打ちで被覆カシメ外れ</v>
      </c>
      <c r="K95" s="71">
        <f>Pareto!Z83</f>
        <v>0</v>
      </c>
      <c r="L95" s="72">
        <f>Pareto!AA83</f>
        <v>0</v>
      </c>
      <c r="M95" s="128">
        <f t="shared" si="63"/>
        <v>100.00000000000003</v>
      </c>
      <c r="N95" s="23"/>
      <c r="O95" s="85"/>
      <c r="AJ95" s="12" t="str">
        <f ca="1">IFERROR(MATCH($B$114,OFFSET(#REF!,AJ94,0,1000000),0)+AJ94,"")</f>
        <v/>
      </c>
      <c r="AK95" s="17" t="str">
        <f ca="1">IFERROR(_xlfn.SINGLE(INDEX(#REF!,'Monthly Report'!AJ95)),"")</f>
        <v/>
      </c>
      <c r="AL95" s="12" t="str">
        <f ca="1">IFERROR(_xlfn.SINGLE(INDEX(#REF!,'Monthly Report'!AJ95)),"")</f>
        <v/>
      </c>
      <c r="AN95" s="12" t="str">
        <f ca="1">IFERROR(MATCH($G$115,OFFSET(#REF!,AN94,0,1000000),0)+AN94,"")</f>
        <v/>
      </c>
      <c r="AO95" s="17" t="str">
        <f ca="1">IFERROR(_xlfn.SINGLE(INDEX(#REF!,'Monthly Report'!AN95)),"")</f>
        <v/>
      </c>
      <c r="AP95" s="12" t="str">
        <f ca="1">IFERROR(_xlfn.SINGLE(INDEX(#REF!,'Monthly Report'!AN95)),"")</f>
        <v/>
      </c>
      <c r="BM95" s="105"/>
      <c r="BN95" s="23"/>
      <c r="BO95" s="23"/>
      <c r="BP95" s="23"/>
      <c r="BQ95" s="70" t="str">
        <f>Pareto!T171</f>
        <v>Sai vị trí</v>
      </c>
      <c r="BR95" s="71">
        <f>Pareto!U171</f>
        <v>0</v>
      </c>
      <c r="BS95" s="72">
        <f>Pareto!V171</f>
        <v>0</v>
      </c>
      <c r="BT95" s="72">
        <f t="shared" si="64"/>
        <v>100</v>
      </c>
      <c r="BU95" s="23"/>
      <c r="BV95" s="70" t="str">
        <f>Pareto!Y171</f>
        <v>Gờ tanshi bám ít vào gờ housing ランスのロックが不十分</v>
      </c>
      <c r="BW95" s="71">
        <f>Pareto!Z171</f>
        <v>0</v>
      </c>
      <c r="BX95" s="72">
        <f>Pareto!AA171</f>
        <v>0</v>
      </c>
      <c r="BY95" s="72">
        <f t="shared" si="65"/>
        <v>100.00000000000001</v>
      </c>
      <c r="BZ95" s="23"/>
      <c r="CA95" s="85"/>
    </row>
    <row r="96" spans="1:90">
      <c r="A96" s="23"/>
      <c r="B96" s="23"/>
      <c r="C96" s="23"/>
      <c r="D96" s="23"/>
      <c r="E96" s="73" t="str">
        <f>Pareto!T84</f>
        <v>Biến dạng</v>
      </c>
      <c r="F96" s="71">
        <f>Pareto!U84</f>
        <v>0</v>
      </c>
      <c r="G96" s="72">
        <f>Pareto!V84</f>
        <v>0</v>
      </c>
      <c r="H96" s="128">
        <f t="shared" si="62"/>
        <v>99.999999999999957</v>
      </c>
      <c r="I96" s="23"/>
      <c r="J96" s="73" t="str">
        <f>Pareto!Y84</f>
        <v>Thiếu ống</v>
      </c>
      <c r="K96" s="71">
        <f>Pareto!Z84</f>
        <v>0</v>
      </c>
      <c r="L96" s="72">
        <f>Pareto!AA84</f>
        <v>0</v>
      </c>
      <c r="M96" s="128">
        <f t="shared" si="63"/>
        <v>100.00000000000003</v>
      </c>
      <c r="N96" s="23"/>
      <c r="O96" s="85"/>
      <c r="AJ96" s="12" t="str">
        <f ca="1">IFERROR(MATCH($B$114,OFFSET(#REF!,AJ95,0,1000000),0)+AJ95,"")</f>
        <v/>
      </c>
      <c r="AK96" s="17" t="str">
        <f ca="1">IFERROR(_xlfn.SINGLE(INDEX(#REF!,'Monthly Report'!AJ96)),"")</f>
        <v/>
      </c>
      <c r="AL96" s="12" t="str">
        <f ca="1">IFERROR(_xlfn.SINGLE(INDEX(#REF!,'Monthly Report'!AJ96)),"")</f>
        <v/>
      </c>
      <c r="AN96" s="12" t="str">
        <f ca="1">IFERROR(MATCH($G$115,OFFSET(#REF!,AN95,0,1000000),0)+AN95,"")</f>
        <v/>
      </c>
      <c r="AO96" s="17" t="str">
        <f ca="1">IFERROR(_xlfn.SINGLE(INDEX(#REF!,'Monthly Report'!AN96)),"")</f>
        <v/>
      </c>
      <c r="AP96" s="12" t="str">
        <f ca="1">IFERROR(_xlfn.SINGLE(INDEX(#REF!,'Monthly Report'!AN96)),"")</f>
        <v/>
      </c>
      <c r="BM96" s="105"/>
      <c r="BN96" s="23"/>
      <c r="BO96" s="23"/>
      <c r="BP96" s="23"/>
      <c r="BQ96" s="70" t="str">
        <f>Pareto!T172</f>
        <v>Sút</v>
      </c>
      <c r="BR96" s="71">
        <f>Pareto!U172</f>
        <v>0</v>
      </c>
      <c r="BS96" s="72">
        <f>Pareto!V172</f>
        <v>0</v>
      </c>
      <c r="BT96" s="72">
        <f t="shared" si="64"/>
        <v>100</v>
      </c>
      <c r="BU96" s="23"/>
      <c r="BV96" s="70" t="str">
        <f>Pareto!Y172</f>
        <v>Tuột mấu ôm vỏ do tán cạn 浅打ちで被覆カシメ外れ</v>
      </c>
      <c r="BW96" s="71">
        <f>Pareto!Z172</f>
        <v>0</v>
      </c>
      <c r="BX96" s="72">
        <f>Pareto!AA172</f>
        <v>0</v>
      </c>
      <c r="BY96" s="72">
        <f t="shared" si="65"/>
        <v>100.00000000000001</v>
      </c>
      <c r="BZ96" s="23"/>
      <c r="CA96" s="85"/>
    </row>
    <row r="97" spans="1:79">
      <c r="A97" s="23"/>
      <c r="B97" s="23"/>
      <c r="C97" s="23"/>
      <c r="D97" s="23"/>
      <c r="E97" s="73" t="str">
        <f>Pareto!T85</f>
        <v>Hở</v>
      </c>
      <c r="F97" s="71">
        <f>Pareto!U85</f>
        <v>0</v>
      </c>
      <c r="G97" s="72">
        <f>Pareto!V85</f>
        <v>0</v>
      </c>
      <c r="H97" s="128">
        <f t="shared" si="62"/>
        <v>99.999999999999957</v>
      </c>
      <c r="I97" s="23"/>
      <c r="J97" s="73" t="str">
        <f>Pareto!Y85</f>
        <v>Dính dị vật 端子が異物付き</v>
      </c>
      <c r="K97" s="71">
        <f>Pareto!Z85</f>
        <v>0</v>
      </c>
      <c r="L97" s="72">
        <f>Pareto!AA85</f>
        <v>0</v>
      </c>
      <c r="M97" s="128">
        <f t="shared" si="63"/>
        <v>100.00000000000003</v>
      </c>
      <c r="N97" s="23"/>
      <c r="O97" s="85"/>
      <c r="AJ97" s="12" t="str">
        <f ca="1">IFERROR(MATCH($B$114,OFFSET(#REF!,AJ96,0,1000000),0)+AJ96,"")</f>
        <v/>
      </c>
      <c r="AK97" s="17" t="str">
        <f ca="1">IFERROR(_xlfn.SINGLE(INDEX(#REF!,'Monthly Report'!AJ97)),"")</f>
        <v/>
      </c>
      <c r="AL97" s="12" t="str">
        <f ca="1">IFERROR(_xlfn.SINGLE(INDEX(#REF!,'Monthly Report'!AJ97)),"")</f>
        <v/>
      </c>
      <c r="AN97" s="12" t="str">
        <f ca="1">IFERROR(MATCH($G$115,OFFSET(#REF!,AN96,0,1000000),0)+AN96,"")</f>
        <v/>
      </c>
      <c r="AO97" s="17" t="str">
        <f ca="1">IFERROR(_xlfn.SINGLE(INDEX(#REF!,'Monthly Report'!AN97)),"")</f>
        <v/>
      </c>
      <c r="AP97" s="12" t="str">
        <f ca="1">IFERROR(_xlfn.SINGLE(INDEX(#REF!,'Monthly Report'!AN97)),"")</f>
        <v/>
      </c>
      <c r="BM97" s="105"/>
      <c r="BN97" s="23"/>
      <c r="BO97" s="23"/>
      <c r="BP97" s="23"/>
      <c r="BQ97" s="73" t="str">
        <f>Pareto!T173</f>
        <v>Biến dạng</v>
      </c>
      <c r="BR97" s="71">
        <f>Pareto!U173</f>
        <v>0</v>
      </c>
      <c r="BS97" s="72">
        <f>Pareto!V173</f>
        <v>0</v>
      </c>
      <c r="BT97" s="128">
        <f t="shared" si="64"/>
        <v>100</v>
      </c>
      <c r="BU97" s="23"/>
      <c r="BV97" s="73" t="str">
        <f>Pareto!Y173</f>
        <v>Thiếu ống</v>
      </c>
      <c r="BW97" s="71">
        <f>Pareto!Z173</f>
        <v>0</v>
      </c>
      <c r="BX97" s="72">
        <f>Pareto!AA173</f>
        <v>0</v>
      </c>
      <c r="BY97" s="128">
        <f t="shared" si="65"/>
        <v>100.00000000000001</v>
      </c>
      <c r="BZ97" s="23"/>
      <c r="CA97" s="85"/>
    </row>
    <row r="98" spans="1:79">
      <c r="A98" s="23"/>
      <c r="B98" s="23"/>
      <c r="C98" s="23"/>
      <c r="D98" s="23"/>
      <c r="E98" s="73" t="str">
        <f>Pareto!T86</f>
        <v>Gờ tanshi bám ít vào gờ housing ランスのロックが不十分</v>
      </c>
      <c r="F98" s="71">
        <f>Pareto!U86</f>
        <v>0</v>
      </c>
      <c r="G98" s="72">
        <f>Pareto!V86</f>
        <v>0</v>
      </c>
      <c r="H98" s="128">
        <f t="shared" si="62"/>
        <v>99.999999999999957</v>
      </c>
      <c r="I98" s="23"/>
      <c r="J98" s="73" t="str">
        <f>Pareto!Y86</f>
        <v>Tanshi biến dạng</v>
      </c>
      <c r="K98" s="71">
        <f>Pareto!Z86</f>
        <v>0</v>
      </c>
      <c r="L98" s="72">
        <f>Pareto!AA86</f>
        <v>0</v>
      </c>
      <c r="M98" s="128">
        <f t="shared" si="63"/>
        <v>100.00000000000003</v>
      </c>
      <c r="N98" s="23"/>
      <c r="O98" s="85"/>
      <c r="AJ98" s="12" t="str">
        <f ca="1">IFERROR(MATCH($B$114,OFFSET(#REF!,AJ97,0,1000000),0)+AJ97,"")</f>
        <v/>
      </c>
      <c r="AK98" s="17" t="str">
        <f ca="1">IFERROR(_xlfn.SINGLE(INDEX(#REF!,'Monthly Report'!AJ98)),"")</f>
        <v/>
      </c>
      <c r="AL98" s="12" t="str">
        <f ca="1">IFERROR(_xlfn.SINGLE(INDEX(#REF!,'Monthly Report'!AJ98)),"")</f>
        <v/>
      </c>
      <c r="AN98" s="12" t="str">
        <f ca="1">IFERROR(MATCH($G$115,OFFSET(#REF!,AN97,0,1000000),0)+AN97,"")</f>
        <v/>
      </c>
      <c r="AO98" s="17" t="str">
        <f ca="1">IFERROR(_xlfn.SINGLE(INDEX(#REF!,'Monthly Report'!AN98)),"")</f>
        <v/>
      </c>
      <c r="AP98" s="12" t="str">
        <f ca="1">IFERROR(_xlfn.SINGLE(INDEX(#REF!,'Monthly Report'!AN98)),"")</f>
        <v/>
      </c>
      <c r="BM98" s="105"/>
      <c r="BN98" s="23"/>
      <c r="BO98" s="23"/>
      <c r="BP98" s="23"/>
      <c r="BQ98" s="73" t="str">
        <f>Pareto!T174</f>
        <v>Hở</v>
      </c>
      <c r="BR98" s="71">
        <f>Pareto!U174</f>
        <v>0</v>
      </c>
      <c r="BS98" s="72">
        <f>Pareto!V174</f>
        <v>0</v>
      </c>
      <c r="BT98" s="128">
        <f t="shared" si="64"/>
        <v>100</v>
      </c>
      <c r="BU98" s="23"/>
      <c r="BV98" s="73" t="str">
        <f>Pareto!Y174</f>
        <v>Dính dị vật 端子が異物付き</v>
      </c>
      <c r="BW98" s="71">
        <f>Pareto!Z174</f>
        <v>0</v>
      </c>
      <c r="BX98" s="72">
        <f>Pareto!AA174</f>
        <v>0</v>
      </c>
      <c r="BY98" s="128">
        <f t="shared" si="65"/>
        <v>100.00000000000001</v>
      </c>
      <c r="BZ98" s="23"/>
      <c r="CA98" s="85"/>
    </row>
    <row r="99" spans="1:79">
      <c r="A99" s="23"/>
      <c r="B99" s="23"/>
      <c r="C99" s="23"/>
      <c r="D99" s="23"/>
      <c r="E99" s="73" t="str">
        <f>Pareto!T87</f>
        <v>Thiếu ống</v>
      </c>
      <c r="F99" s="71">
        <f>Pareto!U87</f>
        <v>0</v>
      </c>
      <c r="G99" s="72">
        <f>Pareto!V87</f>
        <v>0</v>
      </c>
      <c r="H99" s="128">
        <f t="shared" si="62"/>
        <v>99.999999999999957</v>
      </c>
      <c r="I99" s="23"/>
      <c r="J99" s="73" t="str">
        <f>Pareto!Y87</f>
        <v>Bẩn, dơ</v>
      </c>
      <c r="K99" s="71">
        <f>Pareto!Z87</f>
        <v>0</v>
      </c>
      <c r="L99" s="72">
        <f>Pareto!AA87</f>
        <v>0</v>
      </c>
      <c r="M99" s="128">
        <f t="shared" si="63"/>
        <v>100.00000000000003</v>
      </c>
      <c r="N99" s="23"/>
      <c r="O99" s="85"/>
      <c r="AJ99" s="12" t="str">
        <f ca="1">IFERROR(MATCH($B$114,OFFSET(#REF!,AJ98,0,1000000),0)+AJ98,"")</f>
        <v/>
      </c>
      <c r="AK99" s="17" t="str">
        <f ca="1">IFERROR(_xlfn.SINGLE(INDEX(#REF!,'Monthly Report'!AJ99)),"")</f>
        <v/>
      </c>
      <c r="AL99" s="12" t="str">
        <f ca="1">IFERROR(_xlfn.SINGLE(INDEX(#REF!,'Monthly Report'!AJ99)),"")</f>
        <v/>
      </c>
      <c r="AN99" s="12" t="str">
        <f ca="1">IFERROR(MATCH($G$115,OFFSET(#REF!,AN98,0,1000000),0)+AN98,"")</f>
        <v/>
      </c>
      <c r="AO99" s="17" t="str">
        <f ca="1">IFERROR(_xlfn.SINGLE(INDEX(#REF!,'Monthly Report'!AN99)),"")</f>
        <v/>
      </c>
      <c r="AP99" s="12" t="str">
        <f ca="1">IFERROR(_xlfn.SINGLE(INDEX(#REF!,'Monthly Report'!AN99)),"")</f>
        <v/>
      </c>
      <c r="BM99" s="105"/>
      <c r="BN99" s="23"/>
      <c r="BO99" s="23"/>
      <c r="BP99" s="23"/>
      <c r="BQ99" s="73" t="str">
        <f>Pareto!T175</f>
        <v>Gờ tanshi bám ít vào gờ housing ランスのロックが不十分</v>
      </c>
      <c r="BR99" s="71">
        <f>Pareto!U175</f>
        <v>0</v>
      </c>
      <c r="BS99" s="72">
        <f>Pareto!V175</f>
        <v>0</v>
      </c>
      <c r="BT99" s="128">
        <f t="shared" si="64"/>
        <v>100</v>
      </c>
      <c r="BU99" s="23"/>
      <c r="BV99" s="73" t="str">
        <f>Pareto!Y175</f>
        <v>Tanshi biến dạng</v>
      </c>
      <c r="BW99" s="71">
        <f>Pareto!Z175</f>
        <v>0</v>
      </c>
      <c r="BX99" s="72">
        <f>Pareto!AA175</f>
        <v>0</v>
      </c>
      <c r="BY99" s="128">
        <f t="shared" si="65"/>
        <v>100.00000000000001</v>
      </c>
      <c r="BZ99" s="23"/>
      <c r="CA99" s="85"/>
    </row>
    <row r="100" spans="1:79">
      <c r="A100" s="23"/>
      <c r="B100" s="23"/>
      <c r="C100" s="23"/>
      <c r="D100" s="23"/>
      <c r="E100" s="73" t="str">
        <f>Pareto!T88</f>
        <v>Bẩn, dơ</v>
      </c>
      <c r="F100" s="71">
        <f>Pareto!U88</f>
        <v>0</v>
      </c>
      <c r="G100" s="72">
        <f>Pareto!V88</f>
        <v>0</v>
      </c>
      <c r="H100" s="128">
        <f t="shared" si="62"/>
        <v>99.999999999999957</v>
      </c>
      <c r="I100" s="23"/>
      <c r="J100" s="73" t="str">
        <f>Pareto!Y88</f>
        <v>Tưa lõi</v>
      </c>
      <c r="K100" s="71">
        <f>Pareto!Z88</f>
        <v>0</v>
      </c>
      <c r="L100" s="72">
        <f>Pareto!AA88</f>
        <v>0</v>
      </c>
      <c r="M100" s="128">
        <f t="shared" si="63"/>
        <v>100.00000000000003</v>
      </c>
      <c r="N100" s="23"/>
      <c r="O100" s="85"/>
      <c r="AJ100" s="12" t="str">
        <f ca="1">IFERROR(MATCH($B$114,OFFSET(#REF!,AJ99,0,1000000),0)+AJ99,"")</f>
        <v/>
      </c>
      <c r="AK100" s="17" t="str">
        <f ca="1">IFERROR(_xlfn.SINGLE(INDEX(#REF!,'Monthly Report'!AJ100)),"")</f>
        <v/>
      </c>
      <c r="AL100" s="12" t="str">
        <f ca="1">IFERROR(_xlfn.SINGLE(INDEX(#REF!,'Monthly Report'!AJ100)),"")</f>
        <v/>
      </c>
      <c r="AN100" s="12" t="str">
        <f ca="1">IFERROR(MATCH($G$115,OFFSET(#REF!,AN99,0,1000000),0)+AN99,"")</f>
        <v/>
      </c>
      <c r="AO100" s="17" t="str">
        <f ca="1">IFERROR(_xlfn.SINGLE(INDEX(#REF!,'Monthly Report'!AN100)),"")</f>
        <v/>
      </c>
      <c r="AP100" s="12" t="str">
        <f ca="1">IFERROR(_xlfn.SINGLE(INDEX(#REF!,'Monthly Report'!AN100)),"")</f>
        <v/>
      </c>
      <c r="BM100" s="105"/>
      <c r="BN100" s="23"/>
      <c r="BO100" s="23"/>
      <c r="BP100" s="23"/>
      <c r="BQ100" s="73" t="str">
        <f>Pareto!T176</f>
        <v>Thiếu ống</v>
      </c>
      <c r="BR100" s="71">
        <f>Pareto!U176</f>
        <v>0</v>
      </c>
      <c r="BS100" s="72">
        <f>Pareto!V176</f>
        <v>0</v>
      </c>
      <c r="BT100" s="128">
        <f t="shared" si="64"/>
        <v>100</v>
      </c>
      <c r="BU100" s="23"/>
      <c r="BV100" s="73" t="str">
        <f>Pareto!Y176</f>
        <v>Bẩn, dơ</v>
      </c>
      <c r="BW100" s="71">
        <f>Pareto!Z176</f>
        <v>0</v>
      </c>
      <c r="BX100" s="72">
        <f>Pareto!AA176</f>
        <v>0</v>
      </c>
      <c r="BY100" s="128">
        <f t="shared" si="65"/>
        <v>100.00000000000001</v>
      </c>
      <c r="BZ100" s="23"/>
      <c r="CA100" s="85"/>
    </row>
    <row r="101" spans="1:79">
      <c r="A101" s="23"/>
      <c r="B101" s="23"/>
      <c r="C101" s="23"/>
      <c r="D101" s="23"/>
      <c r="E101" s="73" t="str">
        <f>Pareto!T89</f>
        <v>Tưa lõi</v>
      </c>
      <c r="F101" s="71">
        <f>Pareto!U89</f>
        <v>0</v>
      </c>
      <c r="G101" s="72">
        <f>Pareto!V89</f>
        <v>0</v>
      </c>
      <c r="H101" s="128">
        <f t="shared" si="62"/>
        <v>99.999999999999957</v>
      </c>
      <c r="I101" s="23"/>
      <c r="J101" s="73" t="str">
        <f>Pareto!Y89</f>
        <v>Thiếu dấu marking PS PSマーキング不足</v>
      </c>
      <c r="K101" s="71">
        <f>Pareto!Z89</f>
        <v>0</v>
      </c>
      <c r="L101" s="72">
        <f>Pareto!AA89</f>
        <v>0</v>
      </c>
      <c r="M101" s="128">
        <f t="shared" si="63"/>
        <v>100.00000000000003</v>
      </c>
      <c r="N101" s="23"/>
      <c r="O101" s="85"/>
      <c r="AJ101" s="12" t="str">
        <f ca="1">IFERROR(MATCH($B$114,OFFSET(#REF!,AJ100,0,1000000),0)+AJ100,"")</f>
        <v/>
      </c>
      <c r="AK101" s="17" t="str">
        <f ca="1">IFERROR(_xlfn.SINGLE(INDEX(#REF!,'Monthly Report'!AJ101)),"")</f>
        <v/>
      </c>
      <c r="AL101" s="12" t="str">
        <f ca="1">IFERROR(_xlfn.SINGLE(INDEX(#REF!,'Monthly Report'!AJ101)),"")</f>
        <v/>
      </c>
      <c r="AN101" s="12" t="str">
        <f ca="1">IFERROR(MATCH($G$115,OFFSET(#REF!,AN100,0,1000000),0)+AN100,"")</f>
        <v/>
      </c>
      <c r="AO101" s="17" t="str">
        <f ca="1">IFERROR(_xlfn.SINGLE(INDEX(#REF!,'Monthly Report'!AN101)),"")</f>
        <v/>
      </c>
      <c r="AP101" s="12" t="str">
        <f ca="1">IFERROR(_xlfn.SINGLE(INDEX(#REF!,'Monthly Report'!AN101)),"")</f>
        <v/>
      </c>
      <c r="BM101" s="105"/>
      <c r="BN101" s="23"/>
      <c r="BO101" s="23"/>
      <c r="BP101" s="23"/>
      <c r="BQ101" s="73" t="str">
        <f>Pareto!T177</f>
        <v>Bẩn, dơ</v>
      </c>
      <c r="BR101" s="71">
        <f>Pareto!U177</f>
        <v>0</v>
      </c>
      <c r="BS101" s="72">
        <f>Pareto!V177</f>
        <v>0</v>
      </c>
      <c r="BT101" s="128">
        <f t="shared" si="64"/>
        <v>100</v>
      </c>
      <c r="BU101" s="23"/>
      <c r="BV101" s="73" t="str">
        <f>Pareto!Y177</f>
        <v>Tưa lõi</v>
      </c>
      <c r="BW101" s="71">
        <f>Pareto!Z177</f>
        <v>0</v>
      </c>
      <c r="BX101" s="72">
        <f>Pareto!AA177</f>
        <v>0</v>
      </c>
      <c r="BY101" s="128">
        <f t="shared" si="65"/>
        <v>100.00000000000001</v>
      </c>
      <c r="BZ101" s="23"/>
      <c r="CA101" s="85"/>
    </row>
    <row r="102" spans="1:79">
      <c r="A102" s="23"/>
      <c r="B102" s="23"/>
      <c r="C102" s="23"/>
      <c r="D102" s="23"/>
      <c r="E102" s="73" t="str">
        <f>Pareto!T90</f>
        <v>Đứt Lõi</v>
      </c>
      <c r="F102" s="71">
        <f>Pareto!U90</f>
        <v>0</v>
      </c>
      <c r="G102" s="72">
        <f>Pareto!V90</f>
        <v>0</v>
      </c>
      <c r="H102" s="128">
        <f t="shared" si="62"/>
        <v>99.999999999999957</v>
      </c>
      <c r="I102" s="23"/>
      <c r="J102" s="73" t="str">
        <f>Pareto!Y90</f>
        <v>Biến dạng vị trí Soket</v>
      </c>
      <c r="K102" s="71">
        <f>Pareto!Z90</f>
        <v>0</v>
      </c>
      <c r="L102" s="72">
        <f>Pareto!AA90</f>
        <v>0</v>
      </c>
      <c r="M102" s="128">
        <f t="shared" si="63"/>
        <v>100.00000000000003</v>
      </c>
      <c r="N102" s="23"/>
      <c r="O102" s="85"/>
      <c r="AJ102" s="12" t="str">
        <f ca="1">IFERROR(MATCH($B$114,OFFSET(#REF!,AJ101,0,1000000),0)+AJ101,"")</f>
        <v/>
      </c>
      <c r="AK102" s="17" t="str">
        <f ca="1">IFERROR(_xlfn.SINGLE(INDEX(#REF!,'Monthly Report'!AJ102)),"")</f>
        <v/>
      </c>
      <c r="AL102" s="12" t="str">
        <f ca="1">IFERROR(_xlfn.SINGLE(INDEX(#REF!,'Monthly Report'!AJ102)),"")</f>
        <v/>
      </c>
      <c r="AN102" s="12" t="str">
        <f ca="1">IFERROR(MATCH($G$115,OFFSET(#REF!,AN101,0,1000000),0)+AN101,"")</f>
        <v/>
      </c>
      <c r="AO102" s="17" t="str">
        <f ca="1">IFERROR(_xlfn.SINGLE(INDEX(#REF!,'Monthly Report'!AN102)),"")</f>
        <v/>
      </c>
      <c r="AP102" s="12" t="str">
        <f ca="1">IFERROR(_xlfn.SINGLE(INDEX(#REF!,'Monthly Report'!AN102)),"")</f>
        <v/>
      </c>
      <c r="BM102" s="105"/>
      <c r="BN102" s="23"/>
      <c r="BO102" s="23"/>
      <c r="BP102" s="23"/>
      <c r="BQ102" s="73" t="str">
        <f>Pareto!T178</f>
        <v>Tưa lõi</v>
      </c>
      <c r="BR102" s="71">
        <f>Pareto!U178</f>
        <v>0</v>
      </c>
      <c r="BS102" s="72">
        <f>Pareto!V178</f>
        <v>0</v>
      </c>
      <c r="BT102" s="128">
        <f t="shared" si="64"/>
        <v>100</v>
      </c>
      <c r="BU102" s="23"/>
      <c r="BV102" s="73" t="str">
        <f>Pareto!Y178</f>
        <v>Thiếu dấu marking PS PSマーキング不足</v>
      </c>
      <c r="BW102" s="71">
        <f>Pareto!Z178</f>
        <v>0</v>
      </c>
      <c r="BX102" s="72">
        <f>Pareto!AA178</f>
        <v>0</v>
      </c>
      <c r="BY102" s="128">
        <f t="shared" si="65"/>
        <v>100.00000000000001</v>
      </c>
      <c r="BZ102" s="23"/>
      <c r="CA102" s="85"/>
    </row>
    <row r="103" spans="1:79">
      <c r="A103" s="23"/>
      <c r="B103" s="23"/>
      <c r="C103" s="23"/>
      <c r="D103" s="23"/>
      <c r="E103" s="73" t="str">
        <f>Pareto!T91</f>
        <v>Thiếu dấu marking PS PSマーキング不足</v>
      </c>
      <c r="F103" s="71">
        <f>Pareto!U91</f>
        <v>0</v>
      </c>
      <c r="G103" s="72">
        <f>Pareto!V91</f>
        <v>0</v>
      </c>
      <c r="H103" s="128">
        <f t="shared" si="62"/>
        <v>99.999999999999957</v>
      </c>
      <c r="I103" s="23"/>
      <c r="J103" s="73" t="str">
        <f>Pareto!Y91</f>
        <v>Bị bể, mẻ, cấn</v>
      </c>
      <c r="K103" s="71">
        <f>Pareto!Z91</f>
        <v>0</v>
      </c>
      <c r="L103" s="72">
        <f>Pareto!AA91</f>
        <v>0</v>
      </c>
      <c r="M103" s="128">
        <f t="shared" si="63"/>
        <v>100.00000000000003</v>
      </c>
      <c r="N103" s="23"/>
      <c r="O103" s="85"/>
      <c r="AJ103" s="12" t="str">
        <f ca="1">IFERROR(MATCH($B$114,OFFSET(#REF!,AJ102,0,1000000),0)+AJ102,"")</f>
        <v/>
      </c>
      <c r="AK103" s="17" t="str">
        <f ca="1">IFERROR(_xlfn.SINGLE(INDEX(#REF!,'Monthly Report'!AJ103)),"")</f>
        <v/>
      </c>
      <c r="AL103" s="12" t="str">
        <f ca="1">IFERROR(_xlfn.SINGLE(INDEX(#REF!,'Monthly Report'!AJ103)),"")</f>
        <v/>
      </c>
      <c r="AN103" s="12" t="str">
        <f ca="1">IFERROR(MATCH($G$115,OFFSET(#REF!,AN102,0,1000000),0)+AN102,"")</f>
        <v/>
      </c>
      <c r="AO103" s="17" t="str">
        <f ca="1">IFERROR(_xlfn.SINGLE(INDEX(#REF!,'Monthly Report'!AN103)),"")</f>
        <v/>
      </c>
      <c r="AP103" s="12" t="str">
        <f ca="1">IFERROR(_xlfn.SINGLE(INDEX(#REF!,'Monthly Report'!AN103)),"")</f>
        <v/>
      </c>
      <c r="BM103" s="105"/>
      <c r="BN103" s="23"/>
      <c r="BO103" s="23"/>
      <c r="BP103" s="23"/>
      <c r="BQ103" s="73" t="str">
        <f>Pareto!T179</f>
        <v>Đứt Lõi</v>
      </c>
      <c r="BR103" s="71">
        <f>Pareto!U179</f>
        <v>0</v>
      </c>
      <c r="BS103" s="72">
        <f>Pareto!V179</f>
        <v>0</v>
      </c>
      <c r="BT103" s="128">
        <f t="shared" si="64"/>
        <v>100</v>
      </c>
      <c r="BU103" s="23"/>
      <c r="BV103" s="73" t="str">
        <f>Pareto!Y179</f>
        <v>Biến dạng vị trí Soket</v>
      </c>
      <c r="BW103" s="71">
        <f>Pareto!Z179</f>
        <v>0</v>
      </c>
      <c r="BX103" s="72">
        <f>Pareto!AA179</f>
        <v>0</v>
      </c>
      <c r="BY103" s="128">
        <f t="shared" si="65"/>
        <v>100.00000000000001</v>
      </c>
      <c r="BZ103" s="23"/>
      <c r="CA103" s="85"/>
    </row>
    <row r="104" spans="1:79">
      <c r="A104" s="23"/>
      <c r="B104" s="23"/>
      <c r="C104" s="23"/>
      <c r="D104" s="23"/>
      <c r="E104" s="135" t="str">
        <f>Pareto!T92</f>
        <v>Biến dạng vị trí Soket</v>
      </c>
      <c r="F104" s="136">
        <f>Pareto!U92</f>
        <v>0</v>
      </c>
      <c r="G104" s="137">
        <f>Pareto!V92</f>
        <v>0</v>
      </c>
      <c r="H104" s="138">
        <f t="shared" si="62"/>
        <v>99.999999999999957</v>
      </c>
      <c r="I104" s="23"/>
      <c r="J104" s="135" t="str">
        <f>Pareto!Y92</f>
        <v>Xỏ ngược đầu</v>
      </c>
      <c r="K104" s="136">
        <f>Pareto!Z92</f>
        <v>0</v>
      </c>
      <c r="L104" s="137">
        <f>Pareto!AA92</f>
        <v>0</v>
      </c>
      <c r="M104" s="138">
        <f t="shared" si="63"/>
        <v>100.00000000000003</v>
      </c>
      <c r="N104" s="23"/>
      <c r="O104" s="85"/>
      <c r="AJ104" s="12" t="str">
        <f ca="1">IFERROR(MATCH($B$114,OFFSET(#REF!,AJ103,0,1000000),0)+AJ103,"")</f>
        <v/>
      </c>
      <c r="AK104" s="17" t="str">
        <f ca="1">IFERROR(_xlfn.SINGLE(INDEX(#REF!,'Monthly Report'!AJ104)),"")</f>
        <v/>
      </c>
      <c r="AL104" s="12" t="str">
        <f ca="1">IFERROR(_xlfn.SINGLE(INDEX(#REF!,'Monthly Report'!AJ104)),"")</f>
        <v/>
      </c>
      <c r="AN104" s="12" t="str">
        <f ca="1">IFERROR(MATCH($G$115,OFFSET(#REF!,AN103,0,1000000),0)+AN103,"")</f>
        <v/>
      </c>
      <c r="AO104" s="17" t="str">
        <f ca="1">IFERROR(_xlfn.SINGLE(INDEX(#REF!,'Monthly Report'!AN104)),"")</f>
        <v/>
      </c>
      <c r="AP104" s="12" t="str">
        <f ca="1">IFERROR(_xlfn.SINGLE(INDEX(#REF!,'Monthly Report'!AN104)),"")</f>
        <v/>
      </c>
      <c r="BM104" s="105"/>
      <c r="BN104" s="23"/>
      <c r="BO104" s="23"/>
      <c r="BP104" s="23"/>
      <c r="BQ104" s="73" t="str">
        <f>Pareto!T180</f>
        <v>Thiếu dấu marking PS PSマーキング不足</v>
      </c>
      <c r="BR104" s="71">
        <f>Pareto!U180</f>
        <v>0</v>
      </c>
      <c r="BS104" s="72">
        <f>Pareto!V180</f>
        <v>0</v>
      </c>
      <c r="BT104" s="128">
        <f t="shared" si="64"/>
        <v>100</v>
      </c>
      <c r="BU104" s="23"/>
      <c r="BV104" s="73" t="str">
        <f>Pareto!Y180</f>
        <v>Bị bể, mẻ, cấn</v>
      </c>
      <c r="BW104" s="71">
        <f>Pareto!Z180</f>
        <v>0</v>
      </c>
      <c r="BX104" s="72">
        <f>Pareto!AA180</f>
        <v>0</v>
      </c>
      <c r="BY104" s="128">
        <f t="shared" si="65"/>
        <v>100.00000000000001</v>
      </c>
      <c r="BZ104" s="23"/>
      <c r="CA104" s="85"/>
    </row>
    <row r="105" spans="1:79">
      <c r="A105" s="23"/>
      <c r="B105" s="23"/>
      <c r="C105" s="23"/>
      <c r="D105" s="23"/>
      <c r="E105" s="135" t="str">
        <f>Pareto!T93</f>
        <v>Bị bể, mẻ, cấn</v>
      </c>
      <c r="F105" s="136">
        <f>Pareto!U93</f>
        <v>0</v>
      </c>
      <c r="G105" s="137">
        <f>Pareto!V93</f>
        <v>0</v>
      </c>
      <c r="H105" s="138">
        <f t="shared" si="62"/>
        <v>99.999999999999957</v>
      </c>
      <c r="I105" s="23"/>
      <c r="J105" s="135" t="str">
        <f>Pareto!Y93</f>
        <v>Bị trầy xước</v>
      </c>
      <c r="K105" s="136">
        <f>Pareto!Z93</f>
        <v>0</v>
      </c>
      <c r="L105" s="137">
        <f>Pareto!AA93</f>
        <v>0</v>
      </c>
      <c r="M105" s="138">
        <f t="shared" si="63"/>
        <v>100.00000000000003</v>
      </c>
      <c r="N105" s="23"/>
      <c r="O105" s="85"/>
      <c r="AJ105" s="12" t="str">
        <f ca="1">IFERROR(MATCH($B$114,OFFSET(#REF!,AJ104,0,1000000),0)+AJ104,"")</f>
        <v/>
      </c>
      <c r="AK105" s="17" t="str">
        <f ca="1">IFERROR(_xlfn.SINGLE(INDEX(#REF!,'Monthly Report'!AJ105)),"")</f>
        <v/>
      </c>
      <c r="AL105" s="12" t="str">
        <f ca="1">IFERROR(_xlfn.SINGLE(INDEX(#REF!,'Monthly Report'!AJ105)),"")</f>
        <v/>
      </c>
      <c r="AN105" s="12" t="str">
        <f ca="1">IFERROR(MATCH($G$115,OFFSET(#REF!,AN104,0,1000000),0)+AN104,"")</f>
        <v/>
      </c>
      <c r="AO105" s="17" t="str">
        <f ca="1">IFERROR(_xlfn.SINGLE(INDEX(#REF!,'Monthly Report'!AN105)),"")</f>
        <v/>
      </c>
      <c r="AP105" s="12" t="str">
        <f ca="1">IFERROR(_xlfn.SINGLE(INDEX(#REF!,'Monthly Report'!AN105)),"")</f>
        <v/>
      </c>
      <c r="BM105" s="105"/>
      <c r="BN105" s="23"/>
      <c r="BO105" s="23"/>
      <c r="BP105" s="23"/>
      <c r="BQ105" s="73" t="str">
        <f>Pareto!T181</f>
        <v>Biến dạng vị trí Soket</v>
      </c>
      <c r="BR105" s="71">
        <f>Pareto!U181</f>
        <v>0</v>
      </c>
      <c r="BS105" s="72">
        <f>Pareto!V181</f>
        <v>0</v>
      </c>
      <c r="BT105" s="128">
        <f t="shared" si="64"/>
        <v>100</v>
      </c>
      <c r="BU105" s="23"/>
      <c r="BV105" s="73" t="str">
        <f>Pareto!Y181</f>
        <v>Xỏ ngược đầu</v>
      </c>
      <c r="BW105" s="71">
        <f>Pareto!Z181</f>
        <v>0</v>
      </c>
      <c r="BX105" s="72">
        <f>Pareto!AA181</f>
        <v>0</v>
      </c>
      <c r="BY105" s="128">
        <f t="shared" si="65"/>
        <v>100.00000000000001</v>
      </c>
      <c r="BZ105" s="23"/>
      <c r="CA105" s="85"/>
    </row>
    <row r="106" spans="1:79">
      <c r="A106" s="23"/>
      <c r="B106" s="23"/>
      <c r="C106" s="23"/>
      <c r="D106" s="23"/>
      <c r="E106" s="135" t="str">
        <f>Pareto!T94</f>
        <v>Xỏ ngược đầu</v>
      </c>
      <c r="F106" s="136">
        <f>Pareto!U94</f>
        <v>0</v>
      </c>
      <c r="G106" s="137">
        <f>Pareto!V94</f>
        <v>0</v>
      </c>
      <c r="H106" s="138">
        <f t="shared" si="62"/>
        <v>99.999999999999957</v>
      </c>
      <c r="I106" s="23"/>
      <c r="J106" s="135" t="str">
        <f>Pareto!Y94</f>
        <v>Bị gãy khóa</v>
      </c>
      <c r="K106" s="136">
        <f>Pareto!Z94</f>
        <v>0</v>
      </c>
      <c r="L106" s="137">
        <f>Pareto!AA94</f>
        <v>0</v>
      </c>
      <c r="M106" s="138">
        <f t="shared" si="63"/>
        <v>100.00000000000003</v>
      </c>
      <c r="N106" s="23"/>
      <c r="O106" s="85"/>
      <c r="AJ106" s="12" t="str">
        <f ca="1">IFERROR(MATCH($B$114,OFFSET(#REF!,AJ105,0,1000000),0)+AJ105,"")</f>
        <v/>
      </c>
      <c r="AK106" s="17" t="str">
        <f ca="1">IFERROR(_xlfn.SINGLE(INDEX(#REF!,'Monthly Report'!AJ106)),"")</f>
        <v/>
      </c>
      <c r="AL106" s="12" t="str">
        <f ca="1">IFERROR(_xlfn.SINGLE(INDEX(#REF!,'Monthly Report'!AJ106)),"")</f>
        <v/>
      </c>
      <c r="AN106" s="12" t="str">
        <f ca="1">IFERROR(MATCH($G$115,OFFSET(#REF!,AN105,0,1000000),0)+AN105,"")</f>
        <v/>
      </c>
      <c r="AO106" s="17" t="str">
        <f ca="1">IFERROR(_xlfn.SINGLE(INDEX(#REF!,'Monthly Report'!AN106)),"")</f>
        <v/>
      </c>
      <c r="AP106" s="12" t="str">
        <f ca="1">IFERROR(_xlfn.SINGLE(INDEX(#REF!,'Monthly Report'!AN106)),"")</f>
        <v/>
      </c>
      <c r="BM106" s="105"/>
      <c r="BN106" s="23"/>
      <c r="BO106" s="23"/>
      <c r="BP106" s="23"/>
      <c r="BQ106" s="73" t="str">
        <f>Pareto!T182</f>
        <v>Bị bể, mẻ, cấn</v>
      </c>
      <c r="BR106" s="71">
        <f>Pareto!U182</f>
        <v>0</v>
      </c>
      <c r="BS106" s="72">
        <f>Pareto!V182</f>
        <v>0</v>
      </c>
      <c r="BT106" s="128">
        <f t="shared" si="64"/>
        <v>100</v>
      </c>
      <c r="BU106" s="23"/>
      <c r="BV106" s="73" t="str">
        <f>Pareto!Y182</f>
        <v>Bị trầy xước</v>
      </c>
      <c r="BW106" s="71">
        <f>Pareto!Z182</f>
        <v>0</v>
      </c>
      <c r="BX106" s="72">
        <f>Pareto!AA182</f>
        <v>0</v>
      </c>
      <c r="BY106" s="128">
        <f t="shared" si="65"/>
        <v>100.00000000000001</v>
      </c>
      <c r="BZ106" s="23"/>
      <c r="CA106" s="85"/>
    </row>
    <row r="107" spans="1:79">
      <c r="A107" s="23"/>
      <c r="B107" s="23"/>
      <c r="C107" s="23"/>
      <c r="D107" s="23"/>
      <c r="E107" s="135" t="str">
        <f>Pareto!T95</f>
        <v>Bị gãy khóa</v>
      </c>
      <c r="F107" s="136">
        <f>Pareto!U95</f>
        <v>0</v>
      </c>
      <c r="G107" s="137">
        <f>Pareto!V95</f>
        <v>0</v>
      </c>
      <c r="H107" s="138">
        <f t="shared" si="62"/>
        <v>99.999999999999957</v>
      </c>
      <c r="I107" s="23"/>
      <c r="J107" s="135" t="str">
        <f>Pareto!Y95</f>
        <v>Bk không đạt</v>
      </c>
      <c r="K107" s="136">
        <f>Pareto!Z95</f>
        <v>0</v>
      </c>
      <c r="L107" s="137">
        <f>Pareto!AA95</f>
        <v>0</v>
      </c>
      <c r="M107" s="138">
        <f t="shared" si="63"/>
        <v>100.00000000000003</v>
      </c>
      <c r="N107" s="23"/>
      <c r="O107" s="85"/>
      <c r="AJ107" s="12" t="str">
        <f ca="1">IFERROR(MATCH($B$114,OFFSET(#REF!,AJ106,0,1000000),0)+AJ106,"")</f>
        <v/>
      </c>
      <c r="AK107" s="17" t="str">
        <f ca="1">IFERROR(_xlfn.SINGLE(INDEX(#REF!,'Monthly Report'!AJ107)),"")</f>
        <v/>
      </c>
      <c r="AL107" s="12" t="str">
        <f ca="1">IFERROR(_xlfn.SINGLE(INDEX(#REF!,'Monthly Report'!AJ107)),"")</f>
        <v/>
      </c>
      <c r="AN107" s="12" t="str">
        <f ca="1">IFERROR(MATCH($G$115,OFFSET(#REF!,AN106,0,1000000),0)+AN106,"")</f>
        <v/>
      </c>
      <c r="AO107" s="17" t="str">
        <f ca="1">IFERROR(_xlfn.SINGLE(INDEX(#REF!,'Monthly Report'!AN107)),"")</f>
        <v/>
      </c>
      <c r="AP107" s="12" t="str">
        <f ca="1">IFERROR(_xlfn.SINGLE(INDEX(#REF!,'Monthly Report'!AN107)),"")</f>
        <v/>
      </c>
      <c r="BM107" s="105"/>
      <c r="BN107" s="23"/>
      <c r="BO107" s="23"/>
      <c r="BP107" s="23"/>
      <c r="BQ107" s="73" t="str">
        <f>Pareto!T183</f>
        <v>Xỏ ngược đầu</v>
      </c>
      <c r="BR107" s="71">
        <f>Pareto!U183</f>
        <v>0</v>
      </c>
      <c r="BS107" s="72">
        <f>Pareto!V183</f>
        <v>0</v>
      </c>
      <c r="BT107" s="128">
        <f t="shared" si="64"/>
        <v>100</v>
      </c>
      <c r="BU107" s="23"/>
      <c r="BV107" s="73" t="str">
        <f>Pareto!Y183</f>
        <v>Bị gãy khóa</v>
      </c>
      <c r="BW107" s="71">
        <f>Pareto!Z183</f>
        <v>0</v>
      </c>
      <c r="BX107" s="72">
        <f>Pareto!AA183</f>
        <v>0</v>
      </c>
      <c r="BY107" s="128">
        <f t="shared" si="65"/>
        <v>100.00000000000001</v>
      </c>
      <c r="BZ107" s="23"/>
      <c r="CA107" s="85"/>
    </row>
    <row r="108" spans="1:79">
      <c r="A108" s="23"/>
      <c r="B108" s="23"/>
      <c r="C108" s="23"/>
      <c r="D108" s="23"/>
      <c r="E108" s="135" t="str">
        <f>Pareto!T96</f>
        <v>Bk không đạt</v>
      </c>
      <c r="F108" s="136">
        <f>Pareto!U96</f>
        <v>0</v>
      </c>
      <c r="G108" s="137">
        <f>Pareto!V96</f>
        <v>0</v>
      </c>
      <c r="H108" s="138">
        <f t="shared" si="62"/>
        <v>99.999999999999957</v>
      </c>
      <c r="I108" s="23"/>
      <c r="J108" s="135" t="str">
        <f>Pareto!Y96</f>
        <v>Rách</v>
      </c>
      <c r="K108" s="136">
        <f>Pareto!Z96</f>
        <v>0</v>
      </c>
      <c r="L108" s="137">
        <f>Pareto!AA96</f>
        <v>0</v>
      </c>
      <c r="M108" s="138">
        <f t="shared" si="63"/>
        <v>100.00000000000003</v>
      </c>
      <c r="N108" s="23"/>
      <c r="O108" s="85"/>
      <c r="AJ108" s="12" t="str">
        <f ca="1">IFERROR(MATCH($B$114,OFFSET(#REF!,AJ107,0,1000000),0)+AJ107,"")</f>
        <v/>
      </c>
      <c r="AK108" s="17" t="str">
        <f ca="1">IFERROR(_xlfn.SINGLE(INDEX(#REF!,'Monthly Report'!AJ108)),"")</f>
        <v/>
      </c>
      <c r="AL108" s="12" t="str">
        <f ca="1">IFERROR(_xlfn.SINGLE(INDEX(#REF!,'Monthly Report'!AJ108)),"")</f>
        <v/>
      </c>
      <c r="AN108" s="12" t="str">
        <f ca="1">IFERROR(MATCH($G$115,OFFSET(#REF!,AN107,0,1000000),0)+AN107,"")</f>
        <v/>
      </c>
      <c r="AO108" s="17" t="str">
        <f ca="1">IFERROR(_xlfn.SINGLE(INDEX(#REF!,'Monthly Report'!AN108)),"")</f>
        <v/>
      </c>
      <c r="AP108" s="12" t="str">
        <f ca="1">IFERROR(_xlfn.SINGLE(INDEX(#REF!,'Monthly Report'!AN108)),"")</f>
        <v/>
      </c>
      <c r="BM108" s="105"/>
      <c r="BN108" s="23"/>
      <c r="BO108" s="23"/>
      <c r="BP108" s="23"/>
      <c r="BQ108" s="73" t="str">
        <f>Pareto!T184</f>
        <v>Bị gãy khóa</v>
      </c>
      <c r="BR108" s="71">
        <f>Pareto!U184</f>
        <v>0</v>
      </c>
      <c r="BS108" s="72">
        <f>Pareto!V184</f>
        <v>0</v>
      </c>
      <c r="BT108" s="128">
        <f t="shared" si="64"/>
        <v>100</v>
      </c>
      <c r="BU108" s="23"/>
      <c r="BV108" s="73" t="str">
        <f>Pareto!Y184</f>
        <v>Bk không đạt</v>
      </c>
      <c r="BW108" s="71">
        <f>Pareto!Z184</f>
        <v>0</v>
      </c>
      <c r="BX108" s="72">
        <f>Pareto!AA184</f>
        <v>0</v>
      </c>
      <c r="BY108" s="128">
        <f t="shared" si="65"/>
        <v>100.00000000000001</v>
      </c>
      <c r="BZ108" s="23"/>
      <c r="CA108" s="85"/>
    </row>
    <row r="109" spans="1:79">
      <c r="A109" s="23"/>
      <c r="B109" s="23"/>
      <c r="C109" s="23"/>
      <c r="D109" s="23"/>
      <c r="E109" s="135" t="str">
        <f>Pareto!T97</f>
        <v>Rách</v>
      </c>
      <c r="F109" s="136">
        <f>Pareto!U97</f>
        <v>0</v>
      </c>
      <c r="G109" s="137">
        <f>Pareto!V97</f>
        <v>0</v>
      </c>
      <c r="H109" s="138">
        <f t="shared" si="62"/>
        <v>99.999999999999957</v>
      </c>
      <c r="I109" s="23"/>
      <c r="J109" s="135" t="str">
        <f>Pareto!Y97</f>
        <v>Contact bị cháy コン クト焼け</v>
      </c>
      <c r="K109" s="136">
        <f>Pareto!Z97</f>
        <v>0</v>
      </c>
      <c r="L109" s="137">
        <f>Pareto!AA97</f>
        <v>0</v>
      </c>
      <c r="M109" s="138">
        <f t="shared" si="63"/>
        <v>100.00000000000003</v>
      </c>
      <c r="N109" s="23"/>
      <c r="O109" s="85"/>
      <c r="AJ109" s="12" t="str">
        <f ca="1">IFERROR(MATCH($B$114,OFFSET(#REF!,AJ108,0,1000000),0)+AJ108,"")</f>
        <v/>
      </c>
      <c r="AK109" s="17" t="str">
        <f ca="1">IFERROR(_xlfn.SINGLE(INDEX(#REF!,'Monthly Report'!AJ109)),"")</f>
        <v/>
      </c>
      <c r="AL109" s="12" t="str">
        <f ca="1">IFERROR(_xlfn.SINGLE(INDEX(#REF!,'Monthly Report'!AJ109)),"")</f>
        <v/>
      </c>
      <c r="AN109" s="12" t="str">
        <f ca="1">IFERROR(MATCH($G$115,OFFSET(#REF!,AN108,0,1000000),0)+AN108,"")</f>
        <v/>
      </c>
      <c r="AO109" s="17" t="str">
        <f ca="1">IFERROR(_xlfn.SINGLE(INDEX(#REF!,'Monthly Report'!AN109)),"")</f>
        <v/>
      </c>
      <c r="AP109" s="12" t="str">
        <f ca="1">IFERROR(_xlfn.SINGLE(INDEX(#REF!,'Monthly Report'!AN109)),"")</f>
        <v/>
      </c>
      <c r="BM109" s="105"/>
      <c r="BN109" s="23"/>
      <c r="BO109" s="23"/>
      <c r="BP109" s="23"/>
      <c r="BQ109" s="73" t="str">
        <f>Pareto!T185</f>
        <v>Bk không đạt</v>
      </c>
      <c r="BR109" s="71">
        <f>Pareto!U185</f>
        <v>0</v>
      </c>
      <c r="BS109" s="72">
        <f>Pareto!V185</f>
        <v>0</v>
      </c>
      <c r="BT109" s="128">
        <f t="shared" si="64"/>
        <v>100</v>
      </c>
      <c r="BU109" s="23"/>
      <c r="BV109" s="73" t="str">
        <f>Pareto!Y185</f>
        <v>Rách</v>
      </c>
      <c r="BW109" s="71">
        <f>Pareto!Z185</f>
        <v>0</v>
      </c>
      <c r="BX109" s="72">
        <f>Pareto!AA185</f>
        <v>0</v>
      </c>
      <c r="BY109" s="128">
        <f t="shared" si="65"/>
        <v>100.00000000000001</v>
      </c>
      <c r="BZ109" s="23"/>
      <c r="CA109" s="85"/>
    </row>
    <row r="110" spans="1:79">
      <c r="A110" s="23"/>
      <c r="B110" s="23"/>
      <c r="C110" s="23"/>
      <c r="D110" s="23"/>
      <c r="E110" s="135" t="str">
        <f>Pareto!T98</f>
        <v>Contact bị cháy コン クト焼け</v>
      </c>
      <c r="F110" s="136">
        <f>Pareto!U98</f>
        <v>0</v>
      </c>
      <c r="G110" s="137">
        <f>Pareto!V98</f>
        <v>0</v>
      </c>
      <c r="H110" s="138">
        <f t="shared" si="62"/>
        <v>99.999999999999957</v>
      </c>
      <c r="I110" s="23"/>
      <c r="J110" s="135" t="str">
        <f>Pareto!Y98</f>
        <v>HKH NG</v>
      </c>
      <c r="K110" s="136">
        <f>Pareto!Z98</f>
        <v>0</v>
      </c>
      <c r="L110" s="137">
        <f>Pareto!AA98</f>
        <v>0</v>
      </c>
      <c r="M110" s="138">
        <f t="shared" si="63"/>
        <v>100.00000000000003</v>
      </c>
      <c r="N110" s="23"/>
      <c r="O110" s="85"/>
      <c r="AJ110" s="12" t="str">
        <f ca="1">IFERROR(MATCH($B$114,OFFSET(#REF!,AJ109,0,1000000),0)+AJ109,"")</f>
        <v/>
      </c>
      <c r="AK110" s="17" t="str">
        <f ca="1">IFERROR(_xlfn.SINGLE(INDEX(#REF!,'Monthly Report'!AJ110)),"")</f>
        <v/>
      </c>
      <c r="AL110" s="12" t="str">
        <f ca="1">IFERROR(_xlfn.SINGLE(INDEX(#REF!,'Monthly Report'!AJ110)),"")</f>
        <v/>
      </c>
      <c r="AN110" s="12" t="str">
        <f ca="1">IFERROR(MATCH($G$115,OFFSET(#REF!,AN109,0,1000000),0)+AN109,"")</f>
        <v/>
      </c>
      <c r="AO110" s="17" t="str">
        <f ca="1">IFERROR(_xlfn.SINGLE(INDEX(#REF!,'Monthly Report'!AN110)),"")</f>
        <v/>
      </c>
      <c r="AP110" s="12" t="str">
        <f ca="1">IFERROR(_xlfn.SINGLE(INDEX(#REF!,'Monthly Report'!AN110)),"")</f>
        <v/>
      </c>
      <c r="BM110" s="105"/>
      <c r="BN110" s="23"/>
      <c r="BO110" s="23"/>
      <c r="BP110" s="23"/>
      <c r="BQ110" s="73" t="str">
        <f>Pareto!T186</f>
        <v>Rách</v>
      </c>
      <c r="BR110" s="71">
        <f>Pareto!U186</f>
        <v>0</v>
      </c>
      <c r="BS110" s="72">
        <f>Pareto!V186</f>
        <v>0</v>
      </c>
      <c r="BT110" s="128">
        <f t="shared" si="64"/>
        <v>100</v>
      </c>
      <c r="BU110" s="23"/>
      <c r="BV110" s="73" t="str">
        <f>Pareto!Y186</f>
        <v>Contact bị cháy コン クト焼け</v>
      </c>
      <c r="BW110" s="71">
        <f>Pareto!Z186</f>
        <v>0</v>
      </c>
      <c r="BX110" s="72">
        <f>Pareto!AA186</f>
        <v>0</v>
      </c>
      <c r="BY110" s="128">
        <f t="shared" si="65"/>
        <v>100.00000000000001</v>
      </c>
      <c r="BZ110" s="23"/>
      <c r="CA110" s="85"/>
    </row>
    <row r="111" spans="1:79">
      <c r="A111" s="23"/>
      <c r="B111" s="23"/>
      <c r="C111" s="23"/>
      <c r="D111" s="23"/>
      <c r="E111" s="135" t="str">
        <f>Pareto!T99</f>
        <v>HKH NG</v>
      </c>
      <c r="F111" s="136">
        <f>Pareto!U99</f>
        <v>0</v>
      </c>
      <c r="G111" s="137">
        <f>Pareto!V99</f>
        <v>0</v>
      </c>
      <c r="H111" s="138">
        <f t="shared" si="62"/>
        <v>99.999999999999957</v>
      </c>
      <c r="I111" s="23"/>
      <c r="J111" s="135" t="str">
        <f>Pareto!Y99</f>
        <v>Tanshi dính HKH はん  着</v>
      </c>
      <c r="K111" s="136">
        <f>Pareto!Z99</f>
        <v>0</v>
      </c>
      <c r="L111" s="137">
        <f>Pareto!AA99</f>
        <v>0</v>
      </c>
      <c r="M111" s="138">
        <f t="shared" si="63"/>
        <v>100.00000000000003</v>
      </c>
      <c r="N111" s="23"/>
      <c r="O111" s="85"/>
      <c r="AJ111" s="12" t="str">
        <f ca="1">IFERROR(MATCH($B$114,OFFSET(#REF!,AJ110,0,1000000),0)+AJ110,"")</f>
        <v/>
      </c>
      <c r="AK111" s="17" t="str">
        <f ca="1">IFERROR(_xlfn.SINGLE(INDEX(#REF!,'Monthly Report'!AJ111)),"")</f>
        <v/>
      </c>
      <c r="AL111" s="12" t="str">
        <f ca="1">IFERROR(_xlfn.SINGLE(INDEX(#REF!,'Monthly Report'!AJ111)),"")</f>
        <v/>
      </c>
      <c r="AN111" s="12" t="str">
        <f ca="1">IFERROR(MATCH($G$115,OFFSET(#REF!,AN110,0,1000000),0)+AN110,"")</f>
        <v/>
      </c>
      <c r="AO111" s="17" t="str">
        <f ca="1">IFERROR(_xlfn.SINGLE(INDEX(#REF!,'Monthly Report'!AN111)),"")</f>
        <v/>
      </c>
      <c r="AP111" s="12" t="str">
        <f ca="1">IFERROR(_xlfn.SINGLE(INDEX(#REF!,'Monthly Report'!AN111)),"")</f>
        <v/>
      </c>
      <c r="BM111" s="105"/>
      <c r="BN111" s="23"/>
      <c r="BO111" s="23"/>
      <c r="BP111" s="23"/>
      <c r="BQ111" s="73" t="str">
        <f>Pareto!T187</f>
        <v>Contact bị cháy コン クト焼け</v>
      </c>
      <c r="BR111" s="71">
        <f>Pareto!U187</f>
        <v>0</v>
      </c>
      <c r="BS111" s="72">
        <f>Pareto!V187</f>
        <v>0</v>
      </c>
      <c r="BT111" s="128">
        <f t="shared" si="64"/>
        <v>100</v>
      </c>
      <c r="BU111" s="23"/>
      <c r="BV111" s="73" t="str">
        <f>Pareto!Y187</f>
        <v>HKH NG</v>
      </c>
      <c r="BW111" s="71">
        <f>Pareto!Z187</f>
        <v>0</v>
      </c>
      <c r="BX111" s="72">
        <f>Pareto!AA187</f>
        <v>0</v>
      </c>
      <c r="BY111" s="128">
        <f t="shared" si="65"/>
        <v>100.00000000000001</v>
      </c>
      <c r="BZ111" s="23"/>
      <c r="CA111" s="85"/>
    </row>
    <row r="112" spans="1:79">
      <c r="A112" s="23"/>
      <c r="B112" s="23"/>
      <c r="C112" s="23"/>
      <c r="D112" s="23"/>
      <c r="E112" s="135" t="str">
        <f>Pareto!T100</f>
        <v>Tanshi dính HKH はん  着</v>
      </c>
      <c r="F112" s="136">
        <f>Pareto!U100</f>
        <v>0</v>
      </c>
      <c r="G112" s="137">
        <f>Pareto!V100</f>
        <v>0</v>
      </c>
      <c r="H112" s="138">
        <f t="shared" si="62"/>
        <v>99.999999999999957</v>
      </c>
      <c r="I112" s="23"/>
      <c r="J112" s="135" t="str">
        <f>Pareto!Y100</f>
        <v>Hở hộp nối 端子勘合部(接点）が開いている</v>
      </c>
      <c r="K112" s="136">
        <f>Pareto!Z100</f>
        <v>0</v>
      </c>
      <c r="L112" s="137">
        <f>Pareto!AA100</f>
        <v>0</v>
      </c>
      <c r="M112" s="138">
        <f t="shared" si="63"/>
        <v>100.00000000000003</v>
      </c>
      <c r="N112" s="23"/>
      <c r="O112" s="85"/>
      <c r="AJ112" s="12" t="str">
        <f ca="1">IFERROR(MATCH($B$114,OFFSET(#REF!,AJ111,0,1000000),0)+AJ111,"")</f>
        <v/>
      </c>
      <c r="AK112" s="17" t="str">
        <f ca="1">IFERROR(_xlfn.SINGLE(INDEX(#REF!,'Monthly Report'!AJ112)),"")</f>
        <v/>
      </c>
      <c r="AL112" s="12" t="str">
        <f ca="1">IFERROR(_xlfn.SINGLE(INDEX(#REF!,'Monthly Report'!AJ112)),"")</f>
        <v/>
      </c>
      <c r="AN112" s="12" t="str">
        <f ca="1">IFERROR(MATCH($G$115,OFFSET(#REF!,AN111,0,1000000),0)+AN111,"")</f>
        <v/>
      </c>
      <c r="AO112" s="17" t="str">
        <f ca="1">IFERROR(_xlfn.SINGLE(INDEX(#REF!,'Monthly Report'!AN112)),"")</f>
        <v/>
      </c>
      <c r="AP112" s="12" t="str">
        <f ca="1">IFERROR(_xlfn.SINGLE(INDEX(#REF!,'Monthly Report'!AN112)),"")</f>
        <v/>
      </c>
      <c r="BM112" s="105"/>
      <c r="BN112" s="23"/>
      <c r="BO112" s="23"/>
      <c r="BP112" s="23"/>
      <c r="BQ112" s="73" t="str">
        <f>Pareto!T188</f>
        <v>HKH NG</v>
      </c>
      <c r="BR112" s="71">
        <f>Pareto!U188</f>
        <v>0</v>
      </c>
      <c r="BS112" s="72">
        <f>Pareto!V188</f>
        <v>0</v>
      </c>
      <c r="BT112" s="128">
        <f t="shared" si="64"/>
        <v>100</v>
      </c>
      <c r="BU112" s="23"/>
      <c r="BV112" s="73" t="str">
        <f>Pareto!Y188</f>
        <v>Tanshi dính HKH はん  着</v>
      </c>
      <c r="BW112" s="71">
        <f>Pareto!Z188</f>
        <v>0</v>
      </c>
      <c r="BX112" s="72">
        <f>Pareto!AA188</f>
        <v>0</v>
      </c>
      <c r="BY112" s="128">
        <f t="shared" si="65"/>
        <v>100.00000000000001</v>
      </c>
      <c r="BZ112" s="23"/>
      <c r="CA112" s="85"/>
    </row>
    <row r="113" spans="1:79">
      <c r="A113" s="105"/>
      <c r="B113" s="23"/>
      <c r="C113" s="23"/>
      <c r="D113" s="23"/>
      <c r="E113" s="74" t="str">
        <f>Pareto!T101</f>
        <v>Hở hộp nối 端子勘合部(接点）が開いている</v>
      </c>
      <c r="F113" s="75">
        <f>Pareto!U101</f>
        <v>0</v>
      </c>
      <c r="G113" s="76">
        <f>Pareto!V101</f>
        <v>0</v>
      </c>
      <c r="H113" s="107">
        <f t="shared" si="62"/>
        <v>99.999999999999957</v>
      </c>
      <c r="I113" s="23"/>
      <c r="J113" s="74" t="str">
        <f>Pareto!Y101</f>
        <v>Others for Processing</v>
      </c>
      <c r="K113" s="75">
        <f>Pareto!Z101</f>
        <v>0</v>
      </c>
      <c r="L113" s="76">
        <f>Pareto!AA101</f>
        <v>0</v>
      </c>
      <c r="M113" s="107">
        <f t="shared" si="63"/>
        <v>100.00000000000003</v>
      </c>
      <c r="N113" s="23"/>
      <c r="O113" s="130"/>
      <c r="AJ113" s="12" t="str">
        <f ca="1">IFERROR(MATCH($B$114,OFFSET(#REF!,AJ112,0,1000000),0)+AJ112,"")</f>
        <v/>
      </c>
      <c r="AK113" s="17" t="str">
        <f ca="1">IFERROR(_xlfn.SINGLE(INDEX(#REF!,'Monthly Report'!AJ113)),"")</f>
        <v/>
      </c>
      <c r="AL113" s="12" t="str">
        <f ca="1">IFERROR(_xlfn.SINGLE(INDEX(#REF!,'Monthly Report'!AJ113)),"")</f>
        <v/>
      </c>
      <c r="AN113" s="12" t="str">
        <f ca="1">IFERROR(MATCH($G$115,OFFSET(#REF!,AN112,0,1000000),0)+AN112,"")</f>
        <v/>
      </c>
      <c r="AO113" s="17" t="str">
        <f ca="1">IFERROR(_xlfn.SINGLE(INDEX(#REF!,'Monthly Report'!AN113)),"")</f>
        <v/>
      </c>
      <c r="AP113" s="12" t="str">
        <f ca="1">IFERROR(_xlfn.SINGLE(INDEX(#REF!,'Monthly Report'!AN113)),"")</f>
        <v/>
      </c>
      <c r="BM113" s="105"/>
      <c r="BN113" s="23"/>
      <c r="BO113" s="23"/>
      <c r="BP113" s="23"/>
      <c r="BQ113" s="135" t="str">
        <f>Pareto!T189</f>
        <v>Tanshi dính HKH はん  着</v>
      </c>
      <c r="BR113" s="136">
        <f>Pareto!U189</f>
        <v>0</v>
      </c>
      <c r="BS113" s="137">
        <f>Pareto!V189</f>
        <v>0</v>
      </c>
      <c r="BT113" s="138">
        <f t="shared" si="64"/>
        <v>100</v>
      </c>
      <c r="BU113" s="23"/>
      <c r="BV113" s="135" t="str">
        <f>Pareto!Y189</f>
        <v>Hở hộp nối 端子勘合部(接点）が開いている</v>
      </c>
      <c r="BW113" s="136">
        <f>Pareto!Z189</f>
        <v>0</v>
      </c>
      <c r="BX113" s="137">
        <f>Pareto!AA189</f>
        <v>0</v>
      </c>
      <c r="BY113" s="138">
        <f t="shared" si="65"/>
        <v>100.00000000000001</v>
      </c>
      <c r="BZ113" s="23"/>
      <c r="CA113" s="85"/>
    </row>
    <row r="114" spans="1:79">
      <c r="A114" s="10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130"/>
      <c r="AJ114" s="12" t="str">
        <f ca="1">IFERROR(MATCH($B$114,OFFSET(#REF!,AJ113,0,1000000),0)+AJ113,"")</f>
        <v/>
      </c>
      <c r="AK114" s="17" t="str">
        <f ca="1">IFERROR(_xlfn.SINGLE(INDEX(#REF!,'Monthly Report'!AJ114)),"")</f>
        <v/>
      </c>
      <c r="AL114" s="12" t="str">
        <f ca="1">IFERROR(_xlfn.SINGLE(INDEX(#REF!,'Monthly Report'!AJ114)),"")</f>
        <v/>
      </c>
      <c r="AN114" s="12" t="str">
        <f ca="1">IFERROR(MATCH($G$115,OFFSET(#REF!,AN113,0,1000000),0)+AN113,"")</f>
        <v/>
      </c>
      <c r="AO114" s="17" t="str">
        <f ca="1">IFERROR(_xlfn.SINGLE(INDEX(#REF!,'Monthly Report'!AN114)),"")</f>
        <v/>
      </c>
      <c r="AP114" s="12" t="str">
        <f ca="1">IFERROR(_xlfn.SINGLE(INDEX(#REF!,'Monthly Report'!AN114)),"")</f>
        <v/>
      </c>
      <c r="BM114" s="105"/>
      <c r="BN114" s="23"/>
      <c r="BO114" s="23"/>
      <c r="BP114" s="23"/>
      <c r="BQ114" s="74" t="str">
        <f>Pareto!T190</f>
        <v>Hở hộp nối 端子勘合部(接点）が開いている</v>
      </c>
      <c r="BR114" s="75">
        <f>Pareto!U190</f>
        <v>0</v>
      </c>
      <c r="BS114" s="76">
        <f>Pareto!V190</f>
        <v>0</v>
      </c>
      <c r="BT114" s="107">
        <f t="shared" si="64"/>
        <v>100</v>
      </c>
      <c r="BU114" s="23"/>
      <c r="BV114" s="74" t="str">
        <f>Pareto!Y190</f>
        <v>Others for Processing</v>
      </c>
      <c r="BW114" s="75">
        <f>Pareto!Z190</f>
        <v>0</v>
      </c>
      <c r="BX114" s="76">
        <f>Pareto!AA190</f>
        <v>0</v>
      </c>
      <c r="BY114" s="107">
        <f t="shared" si="65"/>
        <v>100.00000000000001</v>
      </c>
      <c r="BZ114" s="23"/>
      <c r="CA114" s="85"/>
    </row>
    <row r="115" spans="1:79">
      <c r="A115" s="10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130"/>
      <c r="AJ115" s="12" t="str">
        <f ca="1">IFERROR(MATCH($B$114,OFFSET(#REF!,AJ114,0,1000000),0)+AJ114,"")</f>
        <v/>
      </c>
      <c r="AK115" s="17" t="str">
        <f ca="1">IFERROR(_xlfn.SINGLE(INDEX(#REF!,'Monthly Report'!AJ115)),"")</f>
        <v/>
      </c>
      <c r="AL115" s="12" t="str">
        <f ca="1">IFERROR(_xlfn.SINGLE(INDEX(#REF!,'Monthly Report'!AJ115)),"")</f>
        <v/>
      </c>
      <c r="AN115" s="12" t="str">
        <f ca="1">IFERROR(MATCH($G$115,OFFSET(#REF!,AN114,0,1000000),0)+AN114,"")</f>
        <v/>
      </c>
      <c r="AO115" s="17" t="str">
        <f ca="1">IFERROR(_xlfn.SINGLE(INDEX(#REF!,'Monthly Report'!AN115)),"")</f>
        <v/>
      </c>
      <c r="AP115" s="12" t="str">
        <f ca="1">IFERROR(_xlfn.SINGLE(INDEX(#REF!,'Monthly Report'!AN115)),"")</f>
        <v/>
      </c>
      <c r="BM115" s="105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130"/>
    </row>
    <row r="116" spans="1:79">
      <c r="A116" s="10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130"/>
      <c r="AJ116" s="12" t="str">
        <f ca="1">IFERROR(MATCH($B$114,OFFSET(#REF!,AJ115,0,1000000),0)+AJ115,"")</f>
        <v/>
      </c>
      <c r="AK116" s="17" t="str">
        <f ca="1">IFERROR(_xlfn.SINGLE(INDEX(#REF!,'Monthly Report'!AJ116)),"")</f>
        <v/>
      </c>
      <c r="AL116" s="12" t="str">
        <f ca="1">IFERROR(_xlfn.SINGLE(INDEX(#REF!,'Monthly Report'!AJ116)),"")</f>
        <v/>
      </c>
      <c r="AN116" s="12" t="str">
        <f ca="1">IFERROR(MATCH($G$115,OFFSET(#REF!,AN115,0,1000000),0)+AN115,"")</f>
        <v/>
      </c>
      <c r="AO116" s="17" t="str">
        <f ca="1">IFERROR(_xlfn.SINGLE(INDEX(#REF!,'Monthly Report'!AN116)),"")</f>
        <v/>
      </c>
      <c r="AP116" s="12" t="str">
        <f ca="1">IFERROR(_xlfn.SINGLE(INDEX(#REF!,'Monthly Report'!AN116)),"")</f>
        <v/>
      </c>
      <c r="BM116" s="105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130"/>
    </row>
    <row r="117" spans="1:79">
      <c r="A117" s="10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130"/>
      <c r="AJ117" s="12" t="str">
        <f ca="1">IFERROR(MATCH($B$114,OFFSET(#REF!,AJ116,0,1000000),0)+AJ116,"")</f>
        <v/>
      </c>
      <c r="AK117" s="17" t="str">
        <f ca="1">IFERROR(_xlfn.SINGLE(INDEX(#REF!,'Monthly Report'!AJ117)),"")</f>
        <v/>
      </c>
      <c r="AL117" s="12" t="str">
        <f ca="1">IFERROR(_xlfn.SINGLE(INDEX(#REF!,'Monthly Report'!AJ117)),"")</f>
        <v/>
      </c>
      <c r="AN117" s="12" t="str">
        <f ca="1">IFERROR(MATCH($G$115,OFFSET(#REF!,AN116,0,1000000),0)+AN116,"")</f>
        <v/>
      </c>
      <c r="AO117" s="17" t="str">
        <f ca="1">IFERROR(_xlfn.SINGLE(INDEX(#REF!,'Monthly Report'!AN117)),"")</f>
        <v/>
      </c>
      <c r="AP117" s="12" t="str">
        <f ca="1">IFERROR(_xlfn.SINGLE(INDEX(#REF!,'Monthly Report'!AN117)),"")</f>
        <v/>
      </c>
      <c r="BM117" s="105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130"/>
    </row>
    <row r="118" spans="1:79">
      <c r="A118" s="10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130"/>
      <c r="AJ118" s="12" t="str">
        <f ca="1">IFERROR(MATCH($B$114,OFFSET(#REF!,AJ117,0,1000000),0)+AJ117,"")</f>
        <v/>
      </c>
      <c r="AK118" s="17" t="str">
        <f ca="1">IFERROR(_xlfn.SINGLE(INDEX(#REF!,'Monthly Report'!AJ118)),"")</f>
        <v/>
      </c>
      <c r="AL118" s="12" t="str">
        <f ca="1">IFERROR(_xlfn.SINGLE(INDEX(#REF!,'Monthly Report'!AJ118)),"")</f>
        <v/>
      </c>
      <c r="AN118" s="12" t="str">
        <f ca="1">IFERROR(MATCH($G$115,OFFSET(#REF!,AN117,0,1000000),0)+AN117,"")</f>
        <v/>
      </c>
      <c r="AO118" s="17" t="str">
        <f ca="1">IFERROR(_xlfn.SINGLE(INDEX(#REF!,'Monthly Report'!AN118)),"")</f>
        <v/>
      </c>
      <c r="AP118" s="12" t="str">
        <f ca="1">IFERROR(_xlfn.SINGLE(INDEX(#REF!,'Monthly Report'!AN118)),"")</f>
        <v/>
      </c>
      <c r="BM118" s="105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130"/>
    </row>
    <row r="119" spans="1:79">
      <c r="A119" s="10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130"/>
      <c r="AJ119" s="12" t="str">
        <f ca="1">IFERROR(MATCH($B$114,OFFSET(#REF!,AJ118,0,1000000),0)+AJ118,"")</f>
        <v/>
      </c>
      <c r="AK119" s="17" t="str">
        <f ca="1">IFERROR(_xlfn.SINGLE(INDEX(#REF!,'Monthly Report'!AJ119)),"")</f>
        <v/>
      </c>
      <c r="AL119" s="12" t="str">
        <f ca="1">IFERROR(_xlfn.SINGLE(INDEX(#REF!,'Monthly Report'!AJ119)),"")</f>
        <v/>
      </c>
      <c r="AN119" s="12" t="str">
        <f ca="1">IFERROR(MATCH($G$115,OFFSET(#REF!,AN118,0,1000000),0)+AN118,"")</f>
        <v/>
      </c>
      <c r="AO119" s="17" t="str">
        <f ca="1">IFERROR(_xlfn.SINGLE(INDEX(#REF!,'Monthly Report'!AN119)),"")</f>
        <v/>
      </c>
      <c r="AP119" s="12" t="str">
        <f ca="1">IFERROR(_xlfn.SINGLE(INDEX(#REF!,'Monthly Report'!AN119)),"")</f>
        <v/>
      </c>
      <c r="BM119" s="105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130"/>
    </row>
    <row r="120" spans="1:79">
      <c r="A120" s="10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130"/>
      <c r="AJ120" s="12" t="str">
        <f ca="1">IFERROR(MATCH($B$114,OFFSET(#REF!,AJ119,0,1000000),0)+AJ119,"")</f>
        <v/>
      </c>
      <c r="AK120" s="17" t="str">
        <f ca="1">IFERROR(_xlfn.SINGLE(INDEX(#REF!,'Monthly Report'!AJ120)),"")</f>
        <v/>
      </c>
      <c r="AL120" s="12" t="str">
        <f ca="1">IFERROR(_xlfn.SINGLE(INDEX(#REF!,'Monthly Report'!AJ120)),"")</f>
        <v/>
      </c>
      <c r="AN120" s="12" t="str">
        <f ca="1">IFERROR(MATCH($G$115,OFFSET(#REF!,AN119,0,1000000),0)+AN119,"")</f>
        <v/>
      </c>
      <c r="AO120" s="17" t="str">
        <f ca="1">IFERROR(_xlfn.SINGLE(INDEX(#REF!,'Monthly Report'!AN120)),"")</f>
        <v/>
      </c>
      <c r="AP120" s="12" t="str">
        <f ca="1">IFERROR(_xlfn.SINGLE(INDEX(#REF!,'Monthly Report'!AN120)),"")</f>
        <v/>
      </c>
      <c r="BM120" s="105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130"/>
    </row>
    <row r="121" spans="1:79">
      <c r="A121" s="10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30"/>
      <c r="AJ121" s="12" t="str">
        <f ca="1">IFERROR(MATCH($B$114,OFFSET(#REF!,AJ120,0,1000000),0)+AJ120,"")</f>
        <v/>
      </c>
      <c r="AK121" s="17" t="str">
        <f ca="1">IFERROR(_xlfn.SINGLE(INDEX(#REF!,'Monthly Report'!AJ121)),"")</f>
        <v/>
      </c>
      <c r="AL121" s="12" t="str">
        <f ca="1">IFERROR(_xlfn.SINGLE(INDEX(#REF!,'Monthly Report'!AJ121)),"")</f>
        <v/>
      </c>
      <c r="AN121" s="12" t="str">
        <f ca="1">IFERROR(MATCH($G$115,OFFSET(#REF!,AN120,0,1000000),0)+AN120,"")</f>
        <v/>
      </c>
      <c r="AO121" s="17" t="str">
        <f ca="1">IFERROR(_xlfn.SINGLE(INDEX(#REF!,'Monthly Report'!AN121)),"")</f>
        <v/>
      </c>
      <c r="AP121" s="12" t="str">
        <f ca="1">IFERROR(_xlfn.SINGLE(INDEX(#REF!,'Monthly Report'!AN121)),"")</f>
        <v/>
      </c>
      <c r="BM121" s="105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130"/>
    </row>
    <row r="122" spans="1:79">
      <c r="A122" s="10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130"/>
      <c r="AJ122" s="12" t="str">
        <f ca="1">IFERROR(MATCH($B$114,OFFSET(#REF!,AJ121,0,1000000),0)+AJ121,"")</f>
        <v/>
      </c>
      <c r="AK122" s="17" t="str">
        <f ca="1">IFERROR(_xlfn.SINGLE(INDEX(#REF!,'Monthly Report'!AJ122)),"")</f>
        <v/>
      </c>
      <c r="AL122" s="12" t="str">
        <f ca="1">IFERROR(_xlfn.SINGLE(INDEX(#REF!,'Monthly Report'!AJ122)),"")</f>
        <v/>
      </c>
      <c r="AN122" s="12" t="str">
        <f ca="1">IFERROR(MATCH($G$115,OFFSET(#REF!,AN121,0,1000000),0)+AN121,"")</f>
        <v/>
      </c>
      <c r="AO122" s="17" t="str">
        <f ca="1">IFERROR(_xlfn.SINGLE(INDEX(#REF!,'Monthly Report'!AN122)),"")</f>
        <v/>
      </c>
      <c r="AP122" s="12" t="str">
        <f ca="1">IFERROR(_xlfn.SINGLE(INDEX(#REF!,'Monthly Report'!AN122)),"")</f>
        <v/>
      </c>
      <c r="BM122" s="105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130"/>
    </row>
    <row r="123" spans="1:79">
      <c r="A123" s="10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130"/>
      <c r="AJ123" s="12" t="str">
        <f ca="1">IFERROR(MATCH($B$114,OFFSET(#REF!,AJ122,0,1000000),0)+AJ122,"")</f>
        <v/>
      </c>
      <c r="AK123" s="17" t="str">
        <f ca="1">IFERROR(_xlfn.SINGLE(INDEX(#REF!,'Monthly Report'!AJ123)),"")</f>
        <v/>
      </c>
      <c r="AL123" s="12" t="str">
        <f ca="1">IFERROR(_xlfn.SINGLE(INDEX(#REF!,'Monthly Report'!AJ123)),"")</f>
        <v/>
      </c>
      <c r="AN123" s="12" t="str">
        <f ca="1">IFERROR(MATCH($G$115,OFFSET(#REF!,AN122,0,1000000),0)+AN122,"")</f>
        <v/>
      </c>
      <c r="AO123" s="17" t="str">
        <f ca="1">IFERROR(_xlfn.SINGLE(INDEX(#REF!,'Monthly Report'!AN123)),"")</f>
        <v/>
      </c>
      <c r="AP123" s="12" t="str">
        <f ca="1">IFERROR(_xlfn.SINGLE(INDEX(#REF!,'Monthly Report'!AN123)),"")</f>
        <v/>
      </c>
      <c r="BM123" s="105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130"/>
    </row>
    <row r="124" spans="1:79">
      <c r="A124" s="10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130"/>
      <c r="AJ124" s="12" t="str">
        <f ca="1">IFERROR(MATCH($B$114,OFFSET(#REF!,AJ123,0,1000000),0)+AJ123,"")</f>
        <v/>
      </c>
      <c r="AK124" s="17" t="str">
        <f ca="1">IFERROR(_xlfn.SINGLE(INDEX(#REF!,'Monthly Report'!AJ124)),"")</f>
        <v/>
      </c>
      <c r="AL124" s="12" t="str">
        <f ca="1">IFERROR(_xlfn.SINGLE(INDEX(#REF!,'Monthly Report'!AJ124)),"")</f>
        <v/>
      </c>
      <c r="AN124" s="12" t="str">
        <f ca="1">IFERROR(MATCH($G$115,OFFSET(#REF!,AN123,0,1000000),0)+AN123,"")</f>
        <v/>
      </c>
      <c r="AO124" s="17" t="str">
        <f ca="1">IFERROR(_xlfn.SINGLE(INDEX(#REF!,'Monthly Report'!AN124)),"")</f>
        <v/>
      </c>
      <c r="AP124" s="12" t="str">
        <f ca="1">IFERROR(_xlfn.SINGLE(INDEX(#REF!,'Monthly Report'!AN124)),"")</f>
        <v/>
      </c>
      <c r="BM124" s="105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130"/>
    </row>
    <row r="125" spans="1:79">
      <c r="A125" s="10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130"/>
      <c r="AJ125" s="12" t="str">
        <f ca="1">IFERROR(MATCH($B$114,OFFSET(#REF!,AJ124,0,1000000),0)+AJ124,"")</f>
        <v/>
      </c>
      <c r="AK125" s="17" t="str">
        <f ca="1">IFERROR(_xlfn.SINGLE(INDEX(#REF!,'Monthly Report'!AJ125)),"")</f>
        <v/>
      </c>
      <c r="AL125" s="12" t="str">
        <f ca="1">IFERROR(_xlfn.SINGLE(INDEX(#REF!,'Monthly Report'!AJ125)),"")</f>
        <v/>
      </c>
      <c r="AN125" s="12" t="str">
        <f ca="1">IFERROR(MATCH($G$115,OFFSET(#REF!,AN124,0,1000000),0)+AN124,"")</f>
        <v/>
      </c>
      <c r="AO125" s="17" t="str">
        <f ca="1">IFERROR(_xlfn.SINGLE(INDEX(#REF!,'Monthly Report'!AN125)),"")</f>
        <v/>
      </c>
      <c r="AP125" s="12" t="str">
        <f ca="1">IFERROR(_xlfn.SINGLE(INDEX(#REF!,'Monthly Report'!AN125)),"")</f>
        <v/>
      </c>
      <c r="BM125" s="105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130"/>
    </row>
    <row r="126" spans="1:79">
      <c r="A126" s="10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85"/>
      <c r="AJ126" s="12" t="str">
        <f ca="1">IFERROR(MATCH($B$114,OFFSET(#REF!,AJ125,0,1000000),0)+AJ125,"")</f>
        <v/>
      </c>
      <c r="AK126" s="17" t="str">
        <f ca="1">IFERROR(_xlfn.SINGLE(INDEX(#REF!,'Monthly Report'!AJ126)),"")</f>
        <v/>
      </c>
      <c r="AL126" s="12" t="str">
        <f ca="1">IFERROR(_xlfn.SINGLE(INDEX(#REF!,'Monthly Report'!AJ126)),"")</f>
        <v/>
      </c>
      <c r="AN126" s="12" t="str">
        <f ca="1">IFERROR(MATCH($G$115,OFFSET(#REF!,AN125,0,1000000),0)+AN125,"")</f>
        <v/>
      </c>
      <c r="AO126" s="17" t="str">
        <f ca="1">IFERROR(_xlfn.SINGLE(INDEX(#REF!,'Monthly Report'!AN126)),"")</f>
        <v/>
      </c>
      <c r="AP126" s="12" t="str">
        <f ca="1">IFERROR(_xlfn.SINGLE(INDEX(#REF!,'Monthly Report'!AN126)),"")</f>
        <v/>
      </c>
      <c r="BM126" s="105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130"/>
    </row>
    <row r="127" spans="1:79">
      <c r="A127" s="10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130"/>
      <c r="AJ127" s="12" t="str">
        <f ca="1">IFERROR(MATCH($B$114,OFFSET(#REF!,AJ126,0,1000000),0)+AJ126,"")</f>
        <v/>
      </c>
      <c r="AK127" s="17" t="str">
        <f ca="1">IFERROR(_xlfn.SINGLE(INDEX(#REF!,'Monthly Report'!AJ127)),"")</f>
        <v/>
      </c>
      <c r="AL127" s="12" t="str">
        <f ca="1">IFERROR(_xlfn.SINGLE(INDEX(#REF!,'Monthly Report'!AJ127)),"")</f>
        <v/>
      </c>
      <c r="AN127" s="12" t="str">
        <f ca="1">IFERROR(MATCH($G$115,OFFSET(#REF!,AN126,0,1000000),0)+AN126,"")</f>
        <v/>
      </c>
      <c r="AO127" s="17" t="str">
        <f ca="1">IFERROR(_xlfn.SINGLE(INDEX(#REF!,'Monthly Report'!AN127)),"")</f>
        <v/>
      </c>
      <c r="AP127" s="12" t="str">
        <f ca="1">IFERROR(_xlfn.SINGLE(INDEX(#REF!,'Monthly Report'!AN127)),"")</f>
        <v/>
      </c>
      <c r="BM127" s="105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130"/>
    </row>
    <row r="128" spans="1:79">
      <c r="A128" s="10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130"/>
      <c r="AJ128" s="12" t="str">
        <f ca="1">IFERROR(MATCH($B$114,OFFSET(#REF!,AJ127,0,1000000),0)+AJ127,"")</f>
        <v/>
      </c>
      <c r="AK128" s="17" t="str">
        <f ca="1">IFERROR(_xlfn.SINGLE(INDEX(#REF!,'Monthly Report'!AJ128)),"")</f>
        <v/>
      </c>
      <c r="AL128" s="12" t="str">
        <f ca="1">IFERROR(_xlfn.SINGLE(INDEX(#REF!,'Monthly Report'!AJ128)),"")</f>
        <v/>
      </c>
      <c r="AN128" s="12" t="str">
        <f ca="1">IFERROR(MATCH($G$115,OFFSET(#REF!,AN127,0,1000000),0)+AN127,"")</f>
        <v/>
      </c>
      <c r="AO128" s="17" t="str">
        <f ca="1">IFERROR(_xlfn.SINGLE(INDEX(#REF!,'Monthly Report'!AN128)),"")</f>
        <v/>
      </c>
      <c r="AP128" s="12" t="str">
        <f ca="1">IFERROR(_xlfn.SINGLE(INDEX(#REF!,'Monthly Report'!AN128)),"")</f>
        <v/>
      </c>
      <c r="BM128" s="105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85"/>
    </row>
    <row r="129" spans="1:79">
      <c r="A129" s="10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85"/>
      <c r="AJ129" s="12" t="str">
        <f ca="1">IFERROR(MATCH($B$114,OFFSET(#REF!,AJ128,0,1000000),0)+AJ128,"")</f>
        <v/>
      </c>
      <c r="AK129" s="17" t="str">
        <f ca="1">IFERROR(_xlfn.SINGLE(INDEX(#REF!,'Monthly Report'!AJ129)),"")</f>
        <v/>
      </c>
      <c r="AL129" s="12" t="str">
        <f ca="1">IFERROR(_xlfn.SINGLE(INDEX(#REF!,'Monthly Report'!AJ129)),"")</f>
        <v/>
      </c>
      <c r="AN129" s="12" t="str">
        <f ca="1">IFERROR(MATCH($G$115,OFFSET(#REF!,AN128,0,1000000),0)+AN128,"")</f>
        <v/>
      </c>
      <c r="AO129" s="17" t="str">
        <f ca="1">IFERROR(_xlfn.SINGLE(INDEX(#REF!,'Monthly Report'!AN129)),"")</f>
        <v/>
      </c>
      <c r="AP129" s="12" t="str">
        <f ca="1">IFERROR(_xlfn.SINGLE(INDEX(#REF!,'Monthly Report'!AN129)),"")</f>
        <v/>
      </c>
      <c r="BM129" s="105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130"/>
    </row>
    <row r="130" spans="1:79">
      <c r="A130" s="10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85"/>
      <c r="AJ130" s="12" t="str">
        <f ca="1">IFERROR(MATCH($B$114,OFFSET(#REF!,AJ129,0,1000000),0)+AJ129,"")</f>
        <v/>
      </c>
      <c r="AK130" s="17" t="str">
        <f ca="1">IFERROR(_xlfn.SINGLE(INDEX(#REF!,'Monthly Report'!AJ130)),"")</f>
        <v/>
      </c>
      <c r="AL130" s="12" t="str">
        <f ca="1">IFERROR(_xlfn.SINGLE(INDEX(#REF!,'Monthly Report'!AJ130)),"")</f>
        <v/>
      </c>
      <c r="AN130" s="12" t="str">
        <f ca="1">IFERROR(MATCH($G$115,OFFSET(#REF!,AN129,0,1000000),0)+AN129,"")</f>
        <v/>
      </c>
      <c r="AO130" s="17" t="str">
        <f ca="1">IFERROR(_xlfn.SINGLE(INDEX(#REF!,'Monthly Report'!AN130)),"")</f>
        <v/>
      </c>
      <c r="AP130" s="12" t="str">
        <f ca="1">IFERROR(_xlfn.SINGLE(INDEX(#REF!,'Monthly Report'!AN130)),"")</f>
        <v/>
      </c>
      <c r="BM130" s="105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130"/>
    </row>
    <row r="131" spans="1:79">
      <c r="A131" s="10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85"/>
      <c r="AJ131" s="12" t="str">
        <f ca="1">IFERROR(MATCH($B$114,OFFSET(#REF!,AJ130,0,1000000),0)+AJ130,"")</f>
        <v/>
      </c>
      <c r="AK131" s="17" t="str">
        <f ca="1">IFERROR(_xlfn.SINGLE(INDEX(#REF!,'Monthly Report'!AJ131)),"")</f>
        <v/>
      </c>
      <c r="AL131" s="12" t="str">
        <f ca="1">IFERROR(_xlfn.SINGLE(INDEX(#REF!,'Monthly Report'!AJ131)),"")</f>
        <v/>
      </c>
      <c r="AN131" s="12" t="str">
        <f ca="1">IFERROR(MATCH($G$115,OFFSET(#REF!,AN130,0,1000000),0)+AN130,"")</f>
        <v/>
      </c>
      <c r="AO131" s="17" t="str">
        <f ca="1">IFERROR(_xlfn.SINGLE(INDEX(#REF!,'Monthly Report'!AN131)),"")</f>
        <v/>
      </c>
      <c r="AP131" s="12" t="str">
        <f ca="1">IFERROR(_xlfn.SINGLE(INDEX(#REF!,'Monthly Report'!AN131)),"")</f>
        <v/>
      </c>
      <c r="BM131" s="105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85"/>
    </row>
    <row r="132" spans="1:79">
      <c r="A132" s="10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85"/>
      <c r="AJ132" s="12" t="str">
        <f ca="1">IFERROR(MATCH($B$114,OFFSET(#REF!,AJ131,0,1000000),0)+AJ131,"")</f>
        <v/>
      </c>
      <c r="AK132" s="17" t="str">
        <f ca="1">IFERROR(_xlfn.SINGLE(INDEX(#REF!,'Monthly Report'!AJ132)),"")</f>
        <v/>
      </c>
      <c r="AL132" s="12" t="str">
        <f ca="1">IFERROR(_xlfn.SINGLE(INDEX(#REF!,'Monthly Report'!AJ132)),"")</f>
        <v/>
      </c>
      <c r="AN132" s="12" t="str">
        <f ca="1">IFERROR(MATCH($G$115,OFFSET(#REF!,AN131,0,1000000),0)+AN131,"")</f>
        <v/>
      </c>
      <c r="AO132" s="17" t="str">
        <f ca="1">IFERROR(_xlfn.SINGLE(INDEX(#REF!,'Monthly Report'!AN132)),"")</f>
        <v/>
      </c>
      <c r="AP132" s="12" t="str">
        <f ca="1">IFERROR(_xlfn.SINGLE(INDEX(#REF!,'Monthly Report'!AN132)),"")</f>
        <v/>
      </c>
      <c r="BM132" s="105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85"/>
    </row>
    <row r="133" spans="1:79">
      <c r="A133" s="10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85"/>
      <c r="AJ133" s="12" t="str">
        <f ca="1">IFERROR(MATCH($B$114,OFFSET(#REF!,AJ132,0,1000000),0)+AJ132,"")</f>
        <v/>
      </c>
      <c r="AK133" s="17" t="str">
        <f ca="1">IFERROR(_xlfn.SINGLE(INDEX(#REF!,'Monthly Report'!AJ133)),"")</f>
        <v/>
      </c>
      <c r="AL133" s="12" t="str">
        <f ca="1">IFERROR(_xlfn.SINGLE(INDEX(#REF!,'Monthly Report'!AJ133)),"")</f>
        <v/>
      </c>
      <c r="AN133" s="12" t="str">
        <f ca="1">IFERROR(MATCH($G$115,OFFSET(#REF!,AN132,0,1000000),0)+AN132,"")</f>
        <v/>
      </c>
      <c r="AO133" s="17" t="str">
        <f ca="1">IFERROR(_xlfn.SINGLE(INDEX(#REF!,'Monthly Report'!AN133)),"")</f>
        <v/>
      </c>
      <c r="AP133" s="12" t="str">
        <f ca="1">IFERROR(_xlfn.SINGLE(INDEX(#REF!,'Monthly Report'!AN133)),"")</f>
        <v/>
      </c>
      <c r="BM133" s="105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85"/>
    </row>
    <row r="134" spans="1:79">
      <c r="A134" s="10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85"/>
      <c r="AJ134" s="12" t="str">
        <f ca="1">IFERROR(MATCH($B$114,OFFSET(#REF!,AJ133,0,1000000),0)+AJ133,"")</f>
        <v/>
      </c>
      <c r="AK134" s="17" t="str">
        <f ca="1">IFERROR(_xlfn.SINGLE(INDEX(#REF!,'Monthly Report'!AJ134)),"")</f>
        <v/>
      </c>
      <c r="AL134" s="12" t="str">
        <f ca="1">IFERROR(_xlfn.SINGLE(INDEX(#REF!,'Monthly Report'!AJ134)),"")</f>
        <v/>
      </c>
      <c r="AN134" s="12" t="str">
        <f ca="1">IFERROR(MATCH($G$115,OFFSET(#REF!,AN133,0,1000000),0)+AN133,"")</f>
        <v/>
      </c>
      <c r="AO134" s="17" t="str">
        <f ca="1">IFERROR(_xlfn.SINGLE(INDEX(#REF!,'Monthly Report'!AN134)),"")</f>
        <v/>
      </c>
      <c r="AP134" s="12" t="str">
        <f ca="1">IFERROR(_xlfn.SINGLE(INDEX(#REF!,'Monthly Report'!AN134)),"")</f>
        <v/>
      </c>
      <c r="BM134" s="105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85"/>
    </row>
    <row r="135" spans="1:79">
      <c r="A135" s="10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85"/>
      <c r="AJ135" s="12" t="str">
        <f ca="1">IFERROR(MATCH($B$114,OFFSET(#REF!,AJ134,0,1000000),0)+AJ134,"")</f>
        <v/>
      </c>
      <c r="AK135" s="17" t="str">
        <f ca="1">IFERROR(_xlfn.SINGLE(INDEX(#REF!,'Monthly Report'!AJ135)),"")</f>
        <v/>
      </c>
      <c r="AL135" s="12" t="str">
        <f ca="1">IFERROR(_xlfn.SINGLE(INDEX(#REF!,'Monthly Report'!AJ135)),"")</f>
        <v/>
      </c>
      <c r="AN135" s="12" t="str">
        <f ca="1">IFERROR(MATCH($G$115,OFFSET(#REF!,AN134,0,1000000),0)+AN134,"")</f>
        <v/>
      </c>
      <c r="AO135" s="17" t="str">
        <f ca="1">IFERROR(_xlfn.SINGLE(INDEX(#REF!,'Monthly Report'!AN135)),"")</f>
        <v/>
      </c>
      <c r="AP135" s="12" t="str">
        <f ca="1">IFERROR(_xlfn.SINGLE(INDEX(#REF!,'Monthly Report'!AN135)),"")</f>
        <v/>
      </c>
      <c r="BM135" s="105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85"/>
    </row>
    <row r="136" spans="1:79">
      <c r="A136" s="10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85"/>
      <c r="AJ136" s="12" t="str">
        <f ca="1">IFERROR(MATCH($B$114,OFFSET(#REF!,AJ135,0,1000000),0)+AJ135,"")</f>
        <v/>
      </c>
      <c r="AK136" s="17" t="str">
        <f ca="1">IFERROR(_xlfn.SINGLE(INDEX(#REF!,'Monthly Report'!AJ136)),"")</f>
        <v/>
      </c>
      <c r="AL136" s="12" t="str">
        <f ca="1">IFERROR(_xlfn.SINGLE(INDEX(#REF!,'Monthly Report'!AJ136)),"")</f>
        <v/>
      </c>
      <c r="AN136" s="12" t="str">
        <f ca="1">IFERROR(MATCH($G$115,OFFSET(#REF!,AN135,0,1000000),0)+AN135,"")</f>
        <v/>
      </c>
      <c r="AO136" s="17" t="str">
        <f ca="1">IFERROR(_xlfn.SINGLE(INDEX(#REF!,'Monthly Report'!AN136)),"")</f>
        <v/>
      </c>
      <c r="AP136" s="12" t="str">
        <f ca="1">IFERROR(_xlfn.SINGLE(INDEX(#REF!,'Monthly Report'!AN136)),"")</f>
        <v/>
      </c>
      <c r="BM136" s="105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85"/>
    </row>
    <row r="137" spans="1:79">
      <c r="A137" s="10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85"/>
      <c r="AJ137" s="12" t="str">
        <f ca="1">IFERROR(MATCH($B$114,OFFSET(#REF!,AJ136,0,1000000),0)+AJ136,"")</f>
        <v/>
      </c>
      <c r="AK137" s="17" t="str">
        <f ca="1">IFERROR(_xlfn.SINGLE(INDEX(#REF!,'Monthly Report'!AJ137)),"")</f>
        <v/>
      </c>
      <c r="AL137" s="12" t="str">
        <f ca="1">IFERROR(_xlfn.SINGLE(INDEX(#REF!,'Monthly Report'!AJ137)),"")</f>
        <v/>
      </c>
      <c r="AN137" s="12" t="str">
        <f ca="1">IFERROR(MATCH($G$115,OFFSET(#REF!,AN136,0,1000000),0)+AN136,"")</f>
        <v/>
      </c>
      <c r="AO137" s="17" t="str">
        <f ca="1">IFERROR(_xlfn.SINGLE(INDEX(#REF!,'Monthly Report'!AN137)),"")</f>
        <v/>
      </c>
      <c r="AP137" s="12" t="str">
        <f ca="1">IFERROR(_xlfn.SINGLE(INDEX(#REF!,'Monthly Report'!AN137)),"")</f>
        <v/>
      </c>
      <c r="BM137" s="105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85"/>
    </row>
    <row r="138" spans="1:79">
      <c r="A138" s="10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7"/>
      <c r="AJ138" s="12" t="str">
        <f ca="1">IFERROR(MATCH($B$114,OFFSET(#REF!,AJ137,0,1000000),0)+AJ137,"")</f>
        <v/>
      </c>
      <c r="AK138" s="17" t="str">
        <f ca="1">IFERROR(_xlfn.SINGLE(INDEX(#REF!,'Monthly Report'!AJ138)),"")</f>
        <v/>
      </c>
      <c r="AL138" s="12" t="str">
        <f ca="1">IFERROR(_xlfn.SINGLE(INDEX(#REF!,'Monthly Report'!AJ138)),"")</f>
        <v/>
      </c>
      <c r="AN138" s="12" t="str">
        <f ca="1">IFERROR(MATCH($G$115,OFFSET(#REF!,AN137,0,1000000),0)+AN137,"")</f>
        <v/>
      </c>
      <c r="AO138" s="17" t="str">
        <f ca="1">IFERROR(_xlfn.SINGLE(INDEX(#REF!,'Monthly Report'!AN138)),"")</f>
        <v/>
      </c>
      <c r="AP138" s="12" t="str">
        <f ca="1">IFERROR(_xlfn.SINGLE(INDEX(#REF!,'Monthly Report'!AN138)),"")</f>
        <v/>
      </c>
      <c r="BM138" s="105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85"/>
    </row>
    <row r="139" spans="1:79">
      <c r="AJ139" s="12" t="str">
        <f ca="1">IFERROR(MATCH($B$114,OFFSET(#REF!,AJ138,0,1000000),0)+AJ138,"")</f>
        <v/>
      </c>
      <c r="AK139" s="17" t="str">
        <f ca="1">IFERROR(_xlfn.SINGLE(INDEX(#REF!,'Monthly Report'!AJ139)),"")</f>
        <v/>
      </c>
      <c r="AL139" s="12" t="str">
        <f ca="1">IFERROR(_xlfn.SINGLE(INDEX(#REF!,'Monthly Report'!AJ139)),"")</f>
        <v/>
      </c>
      <c r="AN139" s="12" t="str">
        <f ca="1">IFERROR(MATCH($G$115,OFFSET(#REF!,AN138,0,1000000),0)+AN138,"")</f>
        <v/>
      </c>
      <c r="AO139" s="17" t="str">
        <f ca="1">IFERROR(_xlfn.SINGLE(INDEX(#REF!,'Monthly Report'!AN139)),"")</f>
        <v/>
      </c>
      <c r="AP139" s="12" t="str">
        <f ca="1">IFERROR(_xlfn.SINGLE(INDEX(#REF!,'Monthly Report'!AN139)),"")</f>
        <v/>
      </c>
      <c r="BM139" s="105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85"/>
    </row>
    <row r="140" spans="1:79">
      <c r="AJ140" s="12" t="str">
        <f ca="1">IFERROR(MATCH($B$114,OFFSET(#REF!,AJ139,0,1000000),0)+AJ139,"")</f>
        <v/>
      </c>
      <c r="AK140" s="17" t="str">
        <f ca="1">IFERROR(_xlfn.SINGLE(INDEX(#REF!,'Monthly Report'!AJ140)),"")</f>
        <v/>
      </c>
      <c r="AL140" s="12" t="str">
        <f ca="1">IFERROR(_xlfn.SINGLE(INDEX(#REF!,'Monthly Report'!AJ140)),"")</f>
        <v/>
      </c>
      <c r="AN140" s="12" t="str">
        <f ca="1">IFERROR(MATCH($G$115,OFFSET(#REF!,AN139,0,1000000),0)+AN139,"")</f>
        <v/>
      </c>
      <c r="AO140" s="17" t="str">
        <f ca="1">IFERROR(_xlfn.SINGLE(INDEX(#REF!,'Monthly Report'!AN140)),"")</f>
        <v/>
      </c>
      <c r="AP140" s="12" t="str">
        <f ca="1">IFERROR(_xlfn.SINGLE(INDEX(#REF!,'Monthly Report'!AN140)),"")</f>
        <v/>
      </c>
      <c r="BM140" s="10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7"/>
    </row>
    <row r="141" spans="1:79">
      <c r="AJ141" s="12" t="str">
        <f ca="1">IFERROR(MATCH($B$114,OFFSET(#REF!,AJ140,0,1000000),0)+AJ140,"")</f>
        <v/>
      </c>
      <c r="AK141" s="17" t="str">
        <f ca="1">IFERROR(_xlfn.SINGLE(INDEX(#REF!,'Monthly Report'!AJ141)),"")</f>
        <v/>
      </c>
      <c r="AL141" s="12" t="str">
        <f ca="1">IFERROR(_xlfn.SINGLE(INDEX(#REF!,'Monthly Report'!AJ141)),"")</f>
        <v/>
      </c>
      <c r="AN141" s="12" t="str">
        <f ca="1">IFERROR(MATCH($G$115,OFFSET(#REF!,AN140,0,1000000),0)+AN140,"")</f>
        <v/>
      </c>
      <c r="AO141" s="17" t="str">
        <f ca="1">IFERROR(_xlfn.SINGLE(INDEX(#REF!,'Monthly Report'!AN141)),"")</f>
        <v/>
      </c>
      <c r="AP141" s="12" t="str">
        <f ca="1">IFERROR(_xlfn.SINGLE(INDEX(#REF!,'Monthly Report'!AN141)),"")</f>
        <v/>
      </c>
    </row>
    <row r="142" spans="1:79">
      <c r="AJ142" s="12" t="str">
        <f ca="1">IFERROR(MATCH($B$114,OFFSET(#REF!,AJ141,0,1000000),0)+AJ141,"")</f>
        <v/>
      </c>
      <c r="AK142" s="17" t="str">
        <f ca="1">IFERROR(_xlfn.SINGLE(INDEX(#REF!,'Monthly Report'!AJ142)),"")</f>
        <v/>
      </c>
      <c r="AL142" s="12" t="str">
        <f ca="1">IFERROR(_xlfn.SINGLE(INDEX(#REF!,'Monthly Report'!AJ142)),"")</f>
        <v/>
      </c>
      <c r="AN142" s="12" t="str">
        <f ca="1">IFERROR(MATCH($G$115,OFFSET(#REF!,AN141,0,1000000),0)+AN141,"")</f>
        <v/>
      </c>
      <c r="AO142" s="17" t="str">
        <f ca="1">IFERROR(_xlfn.SINGLE(INDEX(#REF!,'Monthly Report'!AN142)),"")</f>
        <v/>
      </c>
      <c r="AP142" s="12" t="str">
        <f ca="1">IFERROR(_xlfn.SINGLE(INDEX(#REF!,'Monthly Report'!AN142)),"")</f>
        <v/>
      </c>
    </row>
    <row r="143" spans="1:79">
      <c r="AJ143" s="12" t="str">
        <f ca="1">IFERROR(MATCH($B$114,OFFSET(#REF!,AJ142,0,1000000),0)+AJ142,"")</f>
        <v/>
      </c>
      <c r="AK143" s="17" t="str">
        <f ca="1">IFERROR(_xlfn.SINGLE(INDEX(#REF!,'Monthly Report'!AJ143)),"")</f>
        <v/>
      </c>
      <c r="AL143" s="12" t="str">
        <f ca="1">IFERROR(_xlfn.SINGLE(INDEX(#REF!,'Monthly Report'!AJ143)),"")</f>
        <v/>
      </c>
      <c r="AN143" s="12" t="str">
        <f ca="1">IFERROR(MATCH($G$115,OFFSET(#REF!,AN142,0,1000000),0)+AN142,"")</f>
        <v/>
      </c>
      <c r="AO143" s="17" t="str">
        <f ca="1">IFERROR(_xlfn.SINGLE(INDEX(#REF!,'Monthly Report'!AN143)),"")</f>
        <v/>
      </c>
      <c r="AP143" s="12" t="str">
        <f ca="1">IFERROR(_xlfn.SINGLE(INDEX(#REF!,'Monthly Report'!AN143)),"")</f>
        <v/>
      </c>
    </row>
    <row r="144" spans="1:79">
      <c r="AJ144" s="12" t="str">
        <f ca="1">IFERROR(MATCH($B$114,OFFSET(#REF!,AJ143,0,1000000),0)+AJ143,"")</f>
        <v/>
      </c>
      <c r="AK144" s="17" t="str">
        <f ca="1">IFERROR(_xlfn.SINGLE(INDEX(#REF!,'Monthly Report'!AJ144)),"")</f>
        <v/>
      </c>
      <c r="AL144" s="12" t="str">
        <f ca="1">IFERROR(_xlfn.SINGLE(INDEX(#REF!,'Monthly Report'!AJ144)),"")</f>
        <v/>
      </c>
      <c r="AN144" s="12" t="str">
        <f ca="1">IFERROR(MATCH($G$115,OFFSET(#REF!,AN143,0,1000000),0)+AN143,"")</f>
        <v/>
      </c>
      <c r="AO144" s="17" t="str">
        <f ca="1">IFERROR(_xlfn.SINGLE(INDEX(#REF!,'Monthly Report'!AN144)),"")</f>
        <v/>
      </c>
      <c r="AP144" s="12" t="str">
        <f ca="1">IFERROR(_xlfn.SINGLE(INDEX(#REF!,'Monthly Report'!AN144)),"")</f>
        <v/>
      </c>
    </row>
    <row r="145" spans="36:42">
      <c r="AJ145" s="12" t="str">
        <f ca="1">IFERROR(MATCH($B$114,OFFSET(#REF!,AJ144,0,1000000),0)+AJ144,"")</f>
        <v/>
      </c>
      <c r="AK145" s="17" t="str">
        <f ca="1">IFERROR(_xlfn.SINGLE(INDEX(#REF!,'Monthly Report'!AJ145)),"")</f>
        <v/>
      </c>
      <c r="AL145" s="12" t="str">
        <f ca="1">IFERROR(_xlfn.SINGLE(INDEX(#REF!,'Monthly Report'!AJ145)),"")</f>
        <v/>
      </c>
      <c r="AN145" s="12" t="str">
        <f ca="1">IFERROR(MATCH($G$115,OFFSET(#REF!,AN144,0,1000000),0)+AN144,"")</f>
        <v/>
      </c>
      <c r="AO145" s="17" t="str">
        <f ca="1">IFERROR(_xlfn.SINGLE(INDEX(#REF!,'Monthly Report'!AN145)),"")</f>
        <v/>
      </c>
      <c r="AP145" s="12" t="str">
        <f ca="1">IFERROR(_xlfn.SINGLE(INDEX(#REF!,'Monthly Report'!AN145)),"")</f>
        <v/>
      </c>
    </row>
    <row r="146" spans="36:42">
      <c r="AJ146" s="12" t="str">
        <f ca="1">IFERROR(MATCH($B$114,OFFSET(#REF!,AJ145,0,1000000),0)+AJ145,"")</f>
        <v/>
      </c>
      <c r="AK146" s="17" t="str">
        <f ca="1">IFERROR(_xlfn.SINGLE(INDEX(#REF!,'Monthly Report'!AJ146)),"")</f>
        <v/>
      </c>
      <c r="AL146" s="12" t="str">
        <f ca="1">IFERROR(_xlfn.SINGLE(INDEX(#REF!,'Monthly Report'!AJ146)),"")</f>
        <v/>
      </c>
      <c r="AN146" s="12" t="str">
        <f ca="1">IFERROR(MATCH($G$115,OFFSET(#REF!,AN145,0,1000000),0)+AN145,"")</f>
        <v/>
      </c>
      <c r="AO146" s="17" t="str">
        <f ca="1">IFERROR(_xlfn.SINGLE(INDEX(#REF!,'Monthly Report'!AN146)),"")</f>
        <v/>
      </c>
      <c r="AP146" s="12" t="str">
        <f ca="1">IFERROR(_xlfn.SINGLE(INDEX(#REF!,'Monthly Report'!AN146)),"")</f>
        <v/>
      </c>
    </row>
    <row r="147" spans="36:42">
      <c r="AJ147" s="12" t="str">
        <f ca="1">IFERROR(MATCH($B$114,OFFSET(#REF!,AJ146,0,1000000),0)+AJ146,"")</f>
        <v/>
      </c>
      <c r="AK147" s="17" t="str">
        <f ca="1">IFERROR(_xlfn.SINGLE(INDEX(#REF!,'Monthly Report'!AJ147)),"")</f>
        <v/>
      </c>
      <c r="AL147" s="12" t="str">
        <f ca="1">IFERROR(_xlfn.SINGLE(INDEX(#REF!,'Monthly Report'!AJ147)),"")</f>
        <v/>
      </c>
      <c r="AN147" s="12" t="str">
        <f ca="1">IFERROR(MATCH($G$115,OFFSET(#REF!,AN146,0,1000000),0)+AN146,"")</f>
        <v/>
      </c>
      <c r="AO147" s="17" t="str">
        <f ca="1">IFERROR(_xlfn.SINGLE(INDEX(#REF!,'Monthly Report'!AN147)),"")</f>
        <v/>
      </c>
      <c r="AP147" s="12" t="str">
        <f ca="1">IFERROR(_xlfn.SINGLE(INDEX(#REF!,'Monthly Report'!AN147)),"")</f>
        <v/>
      </c>
    </row>
    <row r="148" spans="36:42">
      <c r="AJ148" s="12" t="str">
        <f ca="1">IFERROR(MATCH($B$114,OFFSET(#REF!,AJ147,0,1000000),0)+AJ147,"")</f>
        <v/>
      </c>
      <c r="AK148" s="17" t="str">
        <f ca="1">IFERROR(_xlfn.SINGLE(INDEX(#REF!,'Monthly Report'!AJ148)),"")</f>
        <v/>
      </c>
      <c r="AL148" s="12" t="str">
        <f ca="1">IFERROR(_xlfn.SINGLE(INDEX(#REF!,'Monthly Report'!AJ148)),"")</f>
        <v/>
      </c>
      <c r="AN148" s="12" t="str">
        <f ca="1">IFERROR(MATCH($G$115,OFFSET(#REF!,AN147,0,1000000),0)+AN147,"")</f>
        <v/>
      </c>
      <c r="AO148" s="17" t="str">
        <f ca="1">IFERROR(_xlfn.SINGLE(INDEX(#REF!,'Monthly Report'!AN148)),"")</f>
        <v/>
      </c>
      <c r="AP148" s="12" t="str">
        <f ca="1">IFERROR(_xlfn.SINGLE(INDEX(#REF!,'Monthly Report'!AN148)),"")</f>
        <v/>
      </c>
    </row>
    <row r="149" spans="36:42">
      <c r="AJ149" s="12" t="str">
        <f ca="1">IFERROR(MATCH($B$114,OFFSET(#REF!,AJ148,0,1000000),0)+AJ148,"")</f>
        <v/>
      </c>
      <c r="AK149" s="17" t="str">
        <f ca="1">IFERROR(_xlfn.SINGLE(INDEX(#REF!,'Monthly Report'!AJ149)),"")</f>
        <v/>
      </c>
      <c r="AL149" s="12" t="str">
        <f ca="1">IFERROR(_xlfn.SINGLE(INDEX(#REF!,'Monthly Report'!AJ149)),"")</f>
        <v/>
      </c>
      <c r="AN149" s="12" t="str">
        <f ca="1">IFERROR(MATCH($G$115,OFFSET(#REF!,AN148,0,1000000),0)+AN148,"")</f>
        <v/>
      </c>
      <c r="AO149" s="17" t="str">
        <f ca="1">IFERROR(_xlfn.SINGLE(INDEX(#REF!,'Monthly Report'!AN149)),"")</f>
        <v/>
      </c>
      <c r="AP149" s="12" t="str">
        <f ca="1">IFERROR(_xlfn.SINGLE(INDEX(#REF!,'Monthly Report'!AN149)),"")</f>
        <v/>
      </c>
    </row>
    <row r="150" spans="36:42">
      <c r="AJ150" s="12" t="str">
        <f ca="1">IFERROR(MATCH($B$114,OFFSET(#REF!,AJ149,0,1000000),0)+AJ149,"")</f>
        <v/>
      </c>
      <c r="AK150" s="17" t="str">
        <f ca="1">IFERROR(_xlfn.SINGLE(INDEX(#REF!,'Monthly Report'!AJ150)),"")</f>
        <v/>
      </c>
      <c r="AL150" s="12" t="str">
        <f ca="1">IFERROR(_xlfn.SINGLE(INDEX(#REF!,'Monthly Report'!AJ150)),"")</f>
        <v/>
      </c>
      <c r="AN150" s="12" t="str">
        <f ca="1">IFERROR(MATCH($G$115,OFFSET(#REF!,AN149,0,1000000),0)+AN149,"")</f>
        <v/>
      </c>
      <c r="AO150" s="17" t="str">
        <f ca="1">IFERROR(_xlfn.SINGLE(INDEX(#REF!,'Monthly Report'!AN150)),"")</f>
        <v/>
      </c>
      <c r="AP150" s="12" t="str">
        <f ca="1">IFERROR(_xlfn.SINGLE(INDEX(#REF!,'Monthly Report'!AN150)),"")</f>
        <v/>
      </c>
    </row>
    <row r="151" spans="36:42">
      <c r="AJ151" s="12" t="str">
        <f ca="1">IFERROR(MATCH($B$114,OFFSET(#REF!,AJ150,0,1000000),0)+AJ150,"")</f>
        <v/>
      </c>
      <c r="AK151" s="17" t="str">
        <f ca="1">IFERROR(_xlfn.SINGLE(INDEX(#REF!,'Monthly Report'!AJ151)),"")</f>
        <v/>
      </c>
      <c r="AL151" s="12" t="str">
        <f ca="1">IFERROR(_xlfn.SINGLE(INDEX(#REF!,'Monthly Report'!AJ151)),"")</f>
        <v/>
      </c>
      <c r="AN151" s="12" t="str">
        <f ca="1">IFERROR(MATCH($G$115,OFFSET(#REF!,AN150,0,1000000),0)+AN150,"")</f>
        <v/>
      </c>
      <c r="AO151" s="17" t="str">
        <f ca="1">IFERROR(_xlfn.SINGLE(INDEX(#REF!,'Monthly Report'!AN151)),"")</f>
        <v/>
      </c>
      <c r="AP151" s="12" t="str">
        <f ca="1">IFERROR(_xlfn.SINGLE(INDEX(#REF!,'Monthly Report'!AN151)),"")</f>
        <v/>
      </c>
    </row>
    <row r="152" spans="36:42">
      <c r="AJ152" s="12" t="str">
        <f ca="1">IFERROR(MATCH($B$114,OFFSET(#REF!,AJ151,0,1000000),0)+AJ151,"")</f>
        <v/>
      </c>
      <c r="AK152" s="17" t="str">
        <f ca="1">IFERROR(_xlfn.SINGLE(INDEX(#REF!,'Monthly Report'!AJ152)),"")</f>
        <v/>
      </c>
      <c r="AL152" s="12" t="str">
        <f ca="1">IFERROR(_xlfn.SINGLE(INDEX(#REF!,'Monthly Report'!AJ152)),"")</f>
        <v/>
      </c>
      <c r="AN152" s="12" t="str">
        <f ca="1">IFERROR(MATCH($G$115,OFFSET(#REF!,AN151,0,1000000),0)+AN151,"")</f>
        <v/>
      </c>
      <c r="AO152" s="17" t="str">
        <f ca="1">IFERROR(_xlfn.SINGLE(INDEX(#REF!,'Monthly Report'!AN152)),"")</f>
        <v/>
      </c>
      <c r="AP152" s="12" t="str">
        <f ca="1">IFERROR(_xlfn.SINGLE(INDEX(#REF!,'Monthly Report'!AN152)),"")</f>
        <v/>
      </c>
    </row>
    <row r="153" spans="36:42">
      <c r="AJ153" s="12" t="str">
        <f ca="1">IFERROR(MATCH($B$114,OFFSET(#REF!,AJ152,0,1000000),0)+AJ152,"")</f>
        <v/>
      </c>
      <c r="AK153" s="17" t="str">
        <f ca="1">IFERROR(_xlfn.SINGLE(INDEX(#REF!,'Monthly Report'!AJ153)),"")</f>
        <v/>
      </c>
      <c r="AL153" s="12" t="str">
        <f ca="1">IFERROR(_xlfn.SINGLE(INDEX(#REF!,'Monthly Report'!AJ153)),"")</f>
        <v/>
      </c>
      <c r="AN153" s="12" t="str">
        <f ca="1">IFERROR(MATCH($G$115,OFFSET(#REF!,AN152,0,1000000),0)+AN152,"")</f>
        <v/>
      </c>
      <c r="AO153" s="17" t="str">
        <f ca="1">IFERROR(_xlfn.SINGLE(INDEX(#REF!,'Monthly Report'!AN153)),"")</f>
        <v/>
      </c>
      <c r="AP153" s="12" t="str">
        <f ca="1">IFERROR(_xlfn.SINGLE(INDEX(#REF!,'Monthly Report'!AN153)),"")</f>
        <v/>
      </c>
    </row>
    <row r="154" spans="36:42">
      <c r="AJ154" s="12" t="str">
        <f ca="1">IFERROR(MATCH($B$114,OFFSET(#REF!,AJ153,0,1000000),0)+AJ153,"")</f>
        <v/>
      </c>
      <c r="AK154" s="17" t="str">
        <f ca="1">IFERROR(_xlfn.SINGLE(INDEX(#REF!,'Monthly Report'!AJ154)),"")</f>
        <v/>
      </c>
      <c r="AL154" s="12" t="str">
        <f ca="1">IFERROR(_xlfn.SINGLE(INDEX(#REF!,'Monthly Report'!AJ154)),"")</f>
        <v/>
      </c>
      <c r="AN154" s="12" t="str">
        <f ca="1">IFERROR(MATCH($G$115,OFFSET(#REF!,AN153,0,1000000),0)+AN153,"")</f>
        <v/>
      </c>
      <c r="AO154" s="17" t="str">
        <f ca="1">IFERROR(_xlfn.SINGLE(INDEX(#REF!,'Monthly Report'!AN154)),"")</f>
        <v/>
      </c>
      <c r="AP154" s="12" t="str">
        <f ca="1">IFERROR(_xlfn.SINGLE(INDEX(#REF!,'Monthly Report'!AN154)),"")</f>
        <v/>
      </c>
    </row>
    <row r="155" spans="36:42">
      <c r="AJ155" s="12" t="str">
        <f ca="1">IFERROR(MATCH($B$114,OFFSET(#REF!,AJ154,0,1000000),0)+AJ154,"")</f>
        <v/>
      </c>
      <c r="AK155" s="17" t="str">
        <f ca="1">IFERROR(_xlfn.SINGLE(INDEX(#REF!,'Monthly Report'!AJ155)),"")</f>
        <v/>
      </c>
      <c r="AL155" s="12" t="str">
        <f ca="1">IFERROR(_xlfn.SINGLE(INDEX(#REF!,'Monthly Report'!AJ155)),"")</f>
        <v/>
      </c>
      <c r="AN155" s="12" t="str">
        <f ca="1">IFERROR(MATCH($G$115,OFFSET(#REF!,AN154,0,1000000),0)+AN154,"")</f>
        <v/>
      </c>
      <c r="AO155" s="17" t="str">
        <f ca="1">IFERROR(_xlfn.SINGLE(INDEX(#REF!,'Monthly Report'!AN155)),"")</f>
        <v/>
      </c>
      <c r="AP155" s="12" t="str">
        <f ca="1">IFERROR(_xlfn.SINGLE(INDEX(#REF!,'Monthly Report'!AN155)),"")</f>
        <v/>
      </c>
    </row>
    <row r="156" spans="36:42">
      <c r="AJ156" s="12" t="str">
        <f ca="1">IFERROR(MATCH($B$114,OFFSET(#REF!,AJ155,0,1000000),0)+AJ155,"")</f>
        <v/>
      </c>
      <c r="AK156" s="17" t="str">
        <f ca="1">IFERROR(_xlfn.SINGLE(INDEX(#REF!,'Monthly Report'!AJ156)),"")</f>
        <v/>
      </c>
      <c r="AL156" s="12" t="str">
        <f ca="1">IFERROR(_xlfn.SINGLE(INDEX(#REF!,'Monthly Report'!AJ156)),"")</f>
        <v/>
      </c>
      <c r="AN156" s="12" t="str">
        <f ca="1">IFERROR(MATCH($G$115,OFFSET(#REF!,AN155,0,1000000),0)+AN155,"")</f>
        <v/>
      </c>
      <c r="AO156" s="17" t="str">
        <f ca="1">IFERROR(_xlfn.SINGLE(INDEX(#REF!,'Monthly Report'!AN156)),"")</f>
        <v/>
      </c>
      <c r="AP156" s="12" t="str">
        <f ca="1">IFERROR(_xlfn.SINGLE(INDEX(#REF!,'Monthly Report'!AN156)),"")</f>
        <v/>
      </c>
    </row>
    <row r="157" spans="36:42">
      <c r="AJ157" s="12" t="str">
        <f ca="1">IFERROR(MATCH($B$114,OFFSET(#REF!,AJ156,0,1000000),0)+AJ156,"")</f>
        <v/>
      </c>
      <c r="AK157" s="17" t="str">
        <f ca="1">IFERROR(_xlfn.SINGLE(INDEX(#REF!,'Monthly Report'!AJ157)),"")</f>
        <v/>
      </c>
      <c r="AL157" s="12" t="str">
        <f ca="1">IFERROR(_xlfn.SINGLE(INDEX(#REF!,'Monthly Report'!AJ157)),"")</f>
        <v/>
      </c>
      <c r="AN157" s="12" t="str">
        <f ca="1">IFERROR(MATCH($G$115,OFFSET(#REF!,AN156,0,1000000),0)+AN156,"")</f>
        <v/>
      </c>
      <c r="AO157" s="17" t="str">
        <f ca="1">IFERROR(_xlfn.SINGLE(INDEX(#REF!,'Monthly Report'!AN157)),"")</f>
        <v/>
      </c>
      <c r="AP157" s="12" t="str">
        <f ca="1">IFERROR(_xlfn.SINGLE(INDEX(#REF!,'Monthly Report'!AN157)),"")</f>
        <v/>
      </c>
    </row>
    <row r="158" spans="36:42">
      <c r="AJ158" s="12" t="str">
        <f ca="1">IFERROR(MATCH($B$114,OFFSET(#REF!,AJ157,0,1000000),0)+AJ157,"")</f>
        <v/>
      </c>
      <c r="AK158" s="17" t="str">
        <f ca="1">IFERROR(_xlfn.SINGLE(INDEX(#REF!,'Monthly Report'!AJ158)),"")</f>
        <v/>
      </c>
      <c r="AL158" s="12" t="str">
        <f ca="1">IFERROR(_xlfn.SINGLE(INDEX(#REF!,'Monthly Report'!AJ158)),"")</f>
        <v/>
      </c>
      <c r="AN158" s="12" t="str">
        <f ca="1">IFERROR(MATCH($G$115,OFFSET(#REF!,AN157,0,1000000),0)+AN157,"")</f>
        <v/>
      </c>
      <c r="AO158" s="17" t="str">
        <f ca="1">IFERROR(_xlfn.SINGLE(INDEX(#REF!,'Monthly Report'!AN158)),"")</f>
        <v/>
      </c>
      <c r="AP158" s="12" t="str">
        <f ca="1">IFERROR(_xlfn.SINGLE(INDEX(#REF!,'Monthly Report'!AN158)),"")</f>
        <v/>
      </c>
    </row>
    <row r="159" spans="36:42">
      <c r="AJ159" s="12" t="str">
        <f ca="1">IFERROR(MATCH($B$114,OFFSET(#REF!,AJ158,0,1000000),0)+AJ158,"")</f>
        <v/>
      </c>
      <c r="AK159" s="17" t="str">
        <f ca="1">IFERROR(_xlfn.SINGLE(INDEX(#REF!,'Monthly Report'!AJ159)),"")</f>
        <v/>
      </c>
      <c r="AL159" s="12" t="str">
        <f ca="1">IFERROR(_xlfn.SINGLE(INDEX(#REF!,'Monthly Report'!AJ159)),"")</f>
        <v/>
      </c>
      <c r="AN159" s="12" t="str">
        <f ca="1">IFERROR(MATCH($G$115,OFFSET(#REF!,AN158,0,1000000),0)+AN158,"")</f>
        <v/>
      </c>
      <c r="AO159" s="17" t="str">
        <f ca="1">IFERROR(_xlfn.SINGLE(INDEX(#REF!,'Monthly Report'!AN159)),"")</f>
        <v/>
      </c>
      <c r="AP159" s="12" t="str">
        <f ca="1">IFERROR(_xlfn.SINGLE(INDEX(#REF!,'Monthly Report'!AN159)),"")</f>
        <v/>
      </c>
    </row>
    <row r="160" spans="36:42">
      <c r="AJ160" s="12" t="str">
        <f ca="1">IFERROR(MATCH($B$114,OFFSET(#REF!,AJ159,0,1000000),0)+AJ159,"")</f>
        <v/>
      </c>
      <c r="AK160" s="17" t="str">
        <f ca="1">IFERROR(_xlfn.SINGLE(INDEX(#REF!,'Monthly Report'!AJ160)),"")</f>
        <v/>
      </c>
      <c r="AL160" s="12" t="str">
        <f ca="1">IFERROR(_xlfn.SINGLE(INDEX(#REF!,'Monthly Report'!AJ160)),"")</f>
        <v/>
      </c>
      <c r="AN160" s="12" t="str">
        <f ca="1">IFERROR(MATCH($G$115,OFFSET(#REF!,AN159,0,1000000),0)+AN159,"")</f>
        <v/>
      </c>
      <c r="AO160" s="17" t="str">
        <f ca="1">IFERROR(_xlfn.SINGLE(INDEX(#REF!,'Monthly Report'!AN160)),"")</f>
        <v/>
      </c>
      <c r="AP160" s="12" t="str">
        <f ca="1">IFERROR(_xlfn.SINGLE(INDEX(#REF!,'Monthly Report'!AN160)),"")</f>
        <v/>
      </c>
    </row>
    <row r="161" spans="36:42">
      <c r="AJ161" s="12" t="str">
        <f ca="1">IFERROR(MATCH($B$114,OFFSET(#REF!,AJ160,0,1000000),0)+AJ160,"")</f>
        <v/>
      </c>
      <c r="AK161" s="17" t="str">
        <f ca="1">IFERROR(_xlfn.SINGLE(INDEX(#REF!,'Monthly Report'!AJ161)),"")</f>
        <v/>
      </c>
      <c r="AL161" s="12" t="str">
        <f ca="1">IFERROR(_xlfn.SINGLE(INDEX(#REF!,'Monthly Report'!AJ161)),"")</f>
        <v/>
      </c>
      <c r="AN161" s="12" t="str">
        <f ca="1">IFERROR(MATCH($G$115,OFFSET(#REF!,AN160,0,1000000),0)+AN160,"")</f>
        <v/>
      </c>
      <c r="AO161" s="17" t="str">
        <f ca="1">IFERROR(_xlfn.SINGLE(INDEX(#REF!,'Monthly Report'!AN161)),"")</f>
        <v/>
      </c>
      <c r="AP161" s="12" t="str">
        <f ca="1">IFERROR(_xlfn.SINGLE(INDEX(#REF!,'Monthly Report'!AN161)),"")</f>
        <v/>
      </c>
    </row>
    <row r="162" spans="36:42">
      <c r="AJ162" s="12" t="str">
        <f ca="1">IFERROR(MATCH($B$114,OFFSET(#REF!,AJ161,0,1000000),0)+AJ161,"")</f>
        <v/>
      </c>
      <c r="AK162" s="17" t="str">
        <f ca="1">IFERROR(_xlfn.SINGLE(INDEX(#REF!,'Monthly Report'!AJ162)),"")</f>
        <v/>
      </c>
      <c r="AL162" s="12" t="str">
        <f ca="1">IFERROR(_xlfn.SINGLE(INDEX(#REF!,'Monthly Report'!AJ162)),"")</f>
        <v/>
      </c>
      <c r="AN162" s="12" t="str">
        <f ca="1">IFERROR(MATCH($G$115,OFFSET(#REF!,AN161,0,1000000),0)+AN161,"")</f>
        <v/>
      </c>
      <c r="AO162" s="17" t="str">
        <f ca="1">IFERROR(_xlfn.SINGLE(INDEX(#REF!,'Monthly Report'!AN162)),"")</f>
        <v/>
      </c>
      <c r="AP162" s="12" t="str">
        <f ca="1">IFERROR(_xlfn.SINGLE(INDEX(#REF!,'Monthly Report'!AN162)),"")</f>
        <v/>
      </c>
    </row>
    <row r="163" spans="36:42">
      <c r="AJ163" s="12" t="str">
        <f ca="1">IFERROR(MATCH($B$114,OFFSET(#REF!,AJ162,0,1000000),0)+AJ162,"")</f>
        <v/>
      </c>
      <c r="AK163" s="17" t="str">
        <f ca="1">IFERROR(_xlfn.SINGLE(INDEX(#REF!,'Monthly Report'!AJ163)),"")</f>
        <v/>
      </c>
      <c r="AL163" s="12" t="str">
        <f ca="1">IFERROR(_xlfn.SINGLE(INDEX(#REF!,'Monthly Report'!AJ163)),"")</f>
        <v/>
      </c>
      <c r="AN163" s="12" t="str">
        <f ca="1">IFERROR(MATCH($G$115,OFFSET(#REF!,AN162,0,1000000),0)+AN162,"")</f>
        <v/>
      </c>
      <c r="AO163" s="17" t="str">
        <f ca="1">IFERROR(_xlfn.SINGLE(INDEX(#REF!,'Monthly Report'!AN163)),"")</f>
        <v/>
      </c>
      <c r="AP163" s="12" t="str">
        <f ca="1">IFERROR(_xlfn.SINGLE(INDEX(#REF!,'Monthly Report'!AN163)),"")</f>
        <v/>
      </c>
    </row>
    <row r="164" spans="36:42">
      <c r="AJ164" s="12" t="str">
        <f ca="1">IFERROR(MATCH($B$114,OFFSET(#REF!,AJ163,0,1000000),0)+AJ163,"")</f>
        <v/>
      </c>
      <c r="AK164" s="17" t="str">
        <f ca="1">IFERROR(_xlfn.SINGLE(INDEX(#REF!,'Monthly Report'!AJ164)),"")</f>
        <v/>
      </c>
      <c r="AL164" s="12" t="str">
        <f ca="1">IFERROR(_xlfn.SINGLE(INDEX(#REF!,'Monthly Report'!AJ164)),"")</f>
        <v/>
      </c>
      <c r="AN164" s="12" t="str">
        <f ca="1">IFERROR(MATCH($G$115,OFFSET(#REF!,AN163,0,1000000),0)+AN163,"")</f>
        <v/>
      </c>
      <c r="AO164" s="17" t="str">
        <f ca="1">IFERROR(_xlfn.SINGLE(INDEX(#REF!,'Monthly Report'!AN164)),"")</f>
        <v/>
      </c>
      <c r="AP164" s="12" t="str">
        <f ca="1">IFERROR(_xlfn.SINGLE(INDEX(#REF!,'Monthly Report'!AN164)),"")</f>
        <v/>
      </c>
    </row>
    <row r="165" spans="36:42">
      <c r="AJ165" s="12" t="str">
        <f ca="1">IFERROR(MATCH($B$114,OFFSET(#REF!,AJ164,0,1000000),0)+AJ164,"")</f>
        <v/>
      </c>
      <c r="AK165" s="17" t="str">
        <f ca="1">IFERROR(_xlfn.SINGLE(INDEX(#REF!,'Monthly Report'!AJ165)),"")</f>
        <v/>
      </c>
      <c r="AL165" s="12" t="str">
        <f ca="1">IFERROR(_xlfn.SINGLE(INDEX(#REF!,'Monthly Report'!AJ165)),"")</f>
        <v/>
      </c>
      <c r="AN165" s="12" t="str">
        <f ca="1">IFERROR(MATCH($G$115,OFFSET(#REF!,AN164,0,1000000),0)+AN164,"")</f>
        <v/>
      </c>
      <c r="AO165" s="17" t="str">
        <f ca="1">IFERROR(_xlfn.SINGLE(INDEX(#REF!,'Monthly Report'!AN165)),"")</f>
        <v/>
      </c>
      <c r="AP165" s="12" t="str">
        <f ca="1">IFERROR(_xlfn.SINGLE(INDEX(#REF!,'Monthly Report'!AN165)),"")</f>
        <v/>
      </c>
    </row>
    <row r="166" spans="36:42">
      <c r="AJ166" s="12" t="str">
        <f ca="1">IFERROR(MATCH($B$114,OFFSET(#REF!,AJ165,0,1000000),0)+AJ165,"")</f>
        <v/>
      </c>
      <c r="AK166" s="17" t="str">
        <f ca="1">IFERROR(_xlfn.SINGLE(INDEX(#REF!,'Monthly Report'!AJ166)),"")</f>
        <v/>
      </c>
      <c r="AL166" s="12" t="str">
        <f ca="1">IFERROR(_xlfn.SINGLE(INDEX(#REF!,'Monthly Report'!AJ166)),"")</f>
        <v/>
      </c>
      <c r="AN166" s="12" t="str">
        <f ca="1">IFERROR(MATCH($G$115,OFFSET(#REF!,AN165,0,1000000),0)+AN165,"")</f>
        <v/>
      </c>
      <c r="AO166" s="17" t="str">
        <f ca="1">IFERROR(_xlfn.SINGLE(INDEX(#REF!,'Monthly Report'!AN166)),"")</f>
        <v/>
      </c>
      <c r="AP166" s="12" t="str">
        <f ca="1">IFERROR(_xlfn.SINGLE(INDEX(#REF!,'Monthly Report'!AN166)),"")</f>
        <v/>
      </c>
    </row>
    <row r="167" spans="36:42">
      <c r="AJ167" s="12" t="str">
        <f ca="1">IFERROR(MATCH($B$114,OFFSET(#REF!,AJ166,0,1000000),0)+AJ166,"")</f>
        <v/>
      </c>
      <c r="AK167" s="17" t="str">
        <f ca="1">IFERROR(_xlfn.SINGLE(INDEX(#REF!,'Monthly Report'!AJ167)),"")</f>
        <v/>
      </c>
      <c r="AL167" s="12" t="str">
        <f ca="1">IFERROR(_xlfn.SINGLE(INDEX(#REF!,'Monthly Report'!AJ167)),"")</f>
        <v/>
      </c>
      <c r="AN167" s="12" t="str">
        <f ca="1">IFERROR(MATCH($G$115,OFFSET(#REF!,AN166,0,1000000),0)+AN166,"")</f>
        <v/>
      </c>
      <c r="AO167" s="17" t="str">
        <f ca="1">IFERROR(_xlfn.SINGLE(INDEX(#REF!,'Monthly Report'!AN167)),"")</f>
        <v/>
      </c>
      <c r="AP167" s="12" t="str">
        <f ca="1">IFERROR(_xlfn.SINGLE(INDEX(#REF!,'Monthly Report'!AN167)),"")</f>
        <v/>
      </c>
    </row>
    <row r="168" spans="36:42">
      <c r="AJ168" s="12" t="str">
        <f ca="1">IFERROR(MATCH($B$114,OFFSET(#REF!,AJ167,0,1000000),0)+AJ167,"")</f>
        <v/>
      </c>
      <c r="AK168" s="17" t="str">
        <f ca="1">IFERROR(_xlfn.SINGLE(INDEX(#REF!,'Monthly Report'!AJ168)),"")</f>
        <v/>
      </c>
      <c r="AL168" s="12" t="str">
        <f ca="1">IFERROR(_xlfn.SINGLE(INDEX(#REF!,'Monthly Report'!AJ168)),"")</f>
        <v/>
      </c>
      <c r="AN168" s="12" t="str">
        <f ca="1">IFERROR(MATCH($G$115,OFFSET(#REF!,AN167,0,1000000),0)+AN167,"")</f>
        <v/>
      </c>
      <c r="AO168" s="17" t="str">
        <f ca="1">IFERROR(_xlfn.SINGLE(INDEX(#REF!,'Monthly Report'!AN168)),"")</f>
        <v/>
      </c>
      <c r="AP168" s="12" t="str">
        <f ca="1">IFERROR(_xlfn.SINGLE(INDEX(#REF!,'Monthly Report'!AN168)),"")</f>
        <v/>
      </c>
    </row>
    <row r="169" spans="36:42">
      <c r="AJ169" s="12" t="str">
        <f ca="1">IFERROR(MATCH($B$114,OFFSET(#REF!,AJ168,0,1000000),0)+AJ168,"")</f>
        <v/>
      </c>
      <c r="AK169" s="17" t="str">
        <f ca="1">IFERROR(_xlfn.SINGLE(INDEX(#REF!,'Monthly Report'!AJ169)),"")</f>
        <v/>
      </c>
      <c r="AL169" s="12" t="str">
        <f ca="1">IFERROR(_xlfn.SINGLE(INDEX(#REF!,'Monthly Report'!AJ169)),"")</f>
        <v/>
      </c>
      <c r="AN169" s="12" t="str">
        <f ca="1">IFERROR(MATCH($G$115,OFFSET(#REF!,AN168,0,1000000),0)+AN168,"")</f>
        <v/>
      </c>
      <c r="AO169" s="17" t="str">
        <f ca="1">IFERROR(_xlfn.SINGLE(INDEX(#REF!,'Monthly Report'!AN169)),"")</f>
        <v/>
      </c>
      <c r="AP169" s="12" t="str">
        <f ca="1">IFERROR(_xlfn.SINGLE(INDEX(#REF!,'Monthly Report'!AN169)),"")</f>
        <v/>
      </c>
    </row>
    <row r="170" spans="36:42">
      <c r="AJ170" s="12" t="str">
        <f ca="1">IFERROR(MATCH($B$114,OFFSET(#REF!,AJ169,0,1000000),0)+AJ169,"")</f>
        <v/>
      </c>
      <c r="AK170" s="17" t="str">
        <f ca="1">IFERROR(_xlfn.SINGLE(INDEX(#REF!,'Monthly Report'!AJ170)),"")</f>
        <v/>
      </c>
      <c r="AL170" s="12" t="str">
        <f ca="1">IFERROR(_xlfn.SINGLE(INDEX(#REF!,'Monthly Report'!AJ170)),"")</f>
        <v/>
      </c>
      <c r="AN170" s="12" t="str">
        <f ca="1">IFERROR(MATCH($G$115,OFFSET(#REF!,AN169,0,1000000),0)+AN169,"")</f>
        <v/>
      </c>
      <c r="AO170" s="17" t="str">
        <f ca="1">IFERROR(_xlfn.SINGLE(INDEX(#REF!,'Monthly Report'!AN170)),"")</f>
        <v/>
      </c>
      <c r="AP170" s="12" t="str">
        <f ca="1">IFERROR(_xlfn.SINGLE(INDEX(#REF!,'Monthly Report'!AN170)),"")</f>
        <v/>
      </c>
    </row>
    <row r="171" spans="36:42">
      <c r="AJ171" s="12" t="str">
        <f ca="1">IFERROR(MATCH($B$114,OFFSET(#REF!,AJ170,0,1000000),0)+AJ170,"")</f>
        <v/>
      </c>
      <c r="AK171" s="17" t="str">
        <f ca="1">IFERROR(_xlfn.SINGLE(INDEX(#REF!,'Monthly Report'!AJ171)),"")</f>
        <v/>
      </c>
      <c r="AL171" s="12" t="str">
        <f ca="1">IFERROR(_xlfn.SINGLE(INDEX(#REF!,'Monthly Report'!AJ171)),"")</f>
        <v/>
      </c>
      <c r="AN171" s="12" t="str">
        <f ca="1">IFERROR(MATCH($G$115,OFFSET(#REF!,AN170,0,1000000),0)+AN170,"")</f>
        <v/>
      </c>
      <c r="AO171" s="17" t="str">
        <f ca="1">IFERROR(_xlfn.SINGLE(INDEX(#REF!,'Monthly Report'!AN171)),"")</f>
        <v/>
      </c>
      <c r="AP171" s="12" t="str">
        <f ca="1">IFERROR(_xlfn.SINGLE(INDEX(#REF!,'Monthly Report'!AN171)),"")</f>
        <v/>
      </c>
    </row>
    <row r="172" spans="36:42">
      <c r="AJ172" s="12" t="str">
        <f ca="1">IFERROR(MATCH($B$114,OFFSET(#REF!,AJ171,0,1000000),0)+AJ171,"")</f>
        <v/>
      </c>
      <c r="AK172" s="17" t="str">
        <f ca="1">IFERROR(_xlfn.SINGLE(INDEX(#REF!,'Monthly Report'!AJ172)),"")</f>
        <v/>
      </c>
      <c r="AL172" s="12" t="str">
        <f ca="1">IFERROR(_xlfn.SINGLE(INDEX(#REF!,'Monthly Report'!AJ172)),"")</f>
        <v/>
      </c>
      <c r="AN172" s="12" t="str">
        <f ca="1">IFERROR(MATCH($G$115,OFFSET(#REF!,AN171,0,1000000),0)+AN171,"")</f>
        <v/>
      </c>
      <c r="AO172" s="17" t="str">
        <f ca="1">IFERROR(_xlfn.SINGLE(INDEX(#REF!,'Monthly Report'!AN172)),"")</f>
        <v/>
      </c>
      <c r="AP172" s="12" t="str">
        <f ca="1">IFERROR(_xlfn.SINGLE(INDEX(#REF!,'Monthly Report'!AN172)),"")</f>
        <v/>
      </c>
    </row>
    <row r="173" spans="36:42">
      <c r="AJ173" s="12" t="str">
        <f ca="1">IFERROR(MATCH($B$114,OFFSET(#REF!,AJ172,0,1000000),0)+AJ172,"")</f>
        <v/>
      </c>
      <c r="AK173" s="17" t="str">
        <f ca="1">IFERROR(_xlfn.SINGLE(INDEX(#REF!,'Monthly Report'!AJ173)),"")</f>
        <v/>
      </c>
      <c r="AL173" s="12" t="str">
        <f ca="1">IFERROR(_xlfn.SINGLE(INDEX(#REF!,'Monthly Report'!AJ173)),"")</f>
        <v/>
      </c>
      <c r="AN173" s="12" t="str">
        <f ca="1">IFERROR(MATCH($G$115,OFFSET(#REF!,AN172,0,1000000),0)+AN172,"")</f>
        <v/>
      </c>
      <c r="AO173" s="17" t="str">
        <f ca="1">IFERROR(_xlfn.SINGLE(INDEX(#REF!,'Monthly Report'!AN173)),"")</f>
        <v/>
      </c>
      <c r="AP173" s="12" t="str">
        <f ca="1">IFERROR(_xlfn.SINGLE(INDEX(#REF!,'Monthly Report'!AN173)),"")</f>
        <v/>
      </c>
    </row>
    <row r="174" spans="36:42">
      <c r="AJ174" s="12" t="str">
        <f ca="1">IFERROR(MATCH($B$114,OFFSET(#REF!,AJ173,0,1000000),0)+AJ173,"")</f>
        <v/>
      </c>
      <c r="AK174" s="17" t="str">
        <f ca="1">IFERROR(_xlfn.SINGLE(INDEX(#REF!,'Monthly Report'!AJ174)),"")</f>
        <v/>
      </c>
      <c r="AL174" s="12" t="str">
        <f ca="1">IFERROR(_xlfn.SINGLE(INDEX(#REF!,'Monthly Report'!AJ174)),"")</f>
        <v/>
      </c>
      <c r="AN174" s="12" t="str">
        <f ca="1">IFERROR(MATCH($G$115,OFFSET(#REF!,AN173,0,1000000),0)+AN173,"")</f>
        <v/>
      </c>
      <c r="AO174" s="17" t="str">
        <f ca="1">IFERROR(_xlfn.SINGLE(INDEX(#REF!,'Monthly Report'!AN174)),"")</f>
        <v/>
      </c>
      <c r="AP174" s="12" t="str">
        <f ca="1">IFERROR(_xlfn.SINGLE(INDEX(#REF!,'Monthly Report'!AN174)),"")</f>
        <v/>
      </c>
    </row>
    <row r="175" spans="36:42">
      <c r="AJ175" s="12" t="str">
        <f ca="1">IFERROR(MATCH($B$114,OFFSET(#REF!,AJ174,0,1000000),0)+AJ174,"")</f>
        <v/>
      </c>
      <c r="AK175" s="17" t="str">
        <f ca="1">IFERROR(_xlfn.SINGLE(INDEX(#REF!,'Monthly Report'!AJ175)),"")</f>
        <v/>
      </c>
      <c r="AL175" s="12" t="str">
        <f ca="1">IFERROR(_xlfn.SINGLE(INDEX(#REF!,'Monthly Report'!AJ175)),"")</f>
        <v/>
      </c>
      <c r="AN175" s="12" t="str">
        <f ca="1">IFERROR(MATCH($G$115,OFFSET(#REF!,AN174,0,1000000),0)+AN174,"")</f>
        <v/>
      </c>
      <c r="AO175" s="17" t="str">
        <f ca="1">IFERROR(_xlfn.SINGLE(INDEX(#REF!,'Monthly Report'!AN175)),"")</f>
        <v/>
      </c>
      <c r="AP175" s="12" t="str">
        <f ca="1">IFERROR(_xlfn.SINGLE(INDEX(#REF!,'Monthly Report'!AN175)),"")</f>
        <v/>
      </c>
    </row>
    <row r="176" spans="36:42">
      <c r="AJ176" s="12" t="str">
        <f ca="1">IFERROR(MATCH($B$114,OFFSET(#REF!,AJ175,0,1000000),0)+AJ175,"")</f>
        <v/>
      </c>
      <c r="AK176" s="17" t="str">
        <f ca="1">IFERROR(_xlfn.SINGLE(INDEX(#REF!,'Monthly Report'!AJ176)),"")</f>
        <v/>
      </c>
      <c r="AL176" s="12" t="str">
        <f ca="1">IFERROR(_xlfn.SINGLE(INDEX(#REF!,'Monthly Report'!AJ176)),"")</f>
        <v/>
      </c>
      <c r="AN176" s="12" t="str">
        <f ca="1">IFERROR(MATCH($G$115,OFFSET(#REF!,AN175,0,1000000),0)+AN175,"")</f>
        <v/>
      </c>
      <c r="AO176" s="17" t="str">
        <f ca="1">IFERROR(_xlfn.SINGLE(INDEX(#REF!,'Monthly Report'!AN176)),"")</f>
        <v/>
      </c>
      <c r="AP176" s="12" t="str">
        <f ca="1">IFERROR(_xlfn.SINGLE(INDEX(#REF!,'Monthly Report'!AN176)),"")</f>
        <v/>
      </c>
    </row>
    <row r="177" spans="36:42">
      <c r="AJ177" s="12" t="str">
        <f ca="1">IFERROR(MATCH($B$114,OFFSET(#REF!,AJ176,0,1000000),0)+AJ176,"")</f>
        <v/>
      </c>
      <c r="AK177" s="17" t="str">
        <f ca="1">IFERROR(_xlfn.SINGLE(INDEX(#REF!,'Monthly Report'!AJ177)),"")</f>
        <v/>
      </c>
      <c r="AL177" s="12" t="str">
        <f ca="1">IFERROR(_xlfn.SINGLE(INDEX(#REF!,'Monthly Report'!AJ177)),"")</f>
        <v/>
      </c>
      <c r="AN177" s="12" t="str">
        <f ca="1">IFERROR(MATCH($G$115,OFFSET(#REF!,AN176,0,1000000),0)+AN176,"")</f>
        <v/>
      </c>
      <c r="AO177" s="17" t="str">
        <f ca="1">IFERROR(_xlfn.SINGLE(INDEX(#REF!,'Monthly Report'!AN177)),"")</f>
        <v/>
      </c>
      <c r="AP177" s="12" t="str">
        <f ca="1">IFERROR(_xlfn.SINGLE(INDEX(#REF!,'Monthly Report'!AN177)),"")</f>
        <v/>
      </c>
    </row>
    <row r="178" spans="36:42">
      <c r="AJ178" s="12" t="str">
        <f ca="1">IFERROR(MATCH($B$114,OFFSET(#REF!,AJ177,0,1000000),0)+AJ177,"")</f>
        <v/>
      </c>
      <c r="AK178" s="17" t="str">
        <f ca="1">IFERROR(_xlfn.SINGLE(INDEX(#REF!,'Monthly Report'!AJ178)),"")</f>
        <v/>
      </c>
      <c r="AL178" s="12" t="str">
        <f ca="1">IFERROR(_xlfn.SINGLE(INDEX(#REF!,'Monthly Report'!AJ178)),"")</f>
        <v/>
      </c>
      <c r="AN178" s="12" t="str">
        <f ca="1">IFERROR(MATCH($G$115,OFFSET(#REF!,AN177,0,1000000),0)+AN177,"")</f>
        <v/>
      </c>
      <c r="AO178" s="17" t="str">
        <f ca="1">IFERROR(_xlfn.SINGLE(INDEX(#REF!,'Monthly Report'!AN178)),"")</f>
        <v/>
      </c>
      <c r="AP178" s="12" t="str">
        <f ca="1">IFERROR(_xlfn.SINGLE(INDEX(#REF!,'Monthly Report'!AN178)),"")</f>
        <v/>
      </c>
    </row>
    <row r="179" spans="36:42">
      <c r="AJ179" s="12" t="str">
        <f ca="1">IFERROR(MATCH($B$114,OFFSET(#REF!,AJ178,0,1000000),0)+AJ178,"")</f>
        <v/>
      </c>
      <c r="AK179" s="17" t="str">
        <f ca="1">IFERROR(_xlfn.SINGLE(INDEX(#REF!,'Monthly Report'!AJ179)),"")</f>
        <v/>
      </c>
      <c r="AL179" s="12" t="str">
        <f ca="1">IFERROR(_xlfn.SINGLE(INDEX(#REF!,'Monthly Report'!AJ179)),"")</f>
        <v/>
      </c>
      <c r="AN179" s="12" t="str">
        <f ca="1">IFERROR(MATCH($G$115,OFFSET(#REF!,AN178,0,1000000),0)+AN178,"")</f>
        <v/>
      </c>
      <c r="AO179" s="17" t="str">
        <f ca="1">IFERROR(_xlfn.SINGLE(INDEX(#REF!,'Monthly Report'!AN179)),"")</f>
        <v/>
      </c>
      <c r="AP179" s="12" t="str">
        <f ca="1">IFERROR(_xlfn.SINGLE(INDEX(#REF!,'Monthly Report'!AN179)),"")</f>
        <v/>
      </c>
    </row>
    <row r="180" spans="36:42">
      <c r="AJ180" s="12" t="str">
        <f ca="1">IFERROR(MATCH($B$114,OFFSET(#REF!,AJ179,0,1000000),0)+AJ179,"")</f>
        <v/>
      </c>
      <c r="AK180" s="17" t="str">
        <f ca="1">IFERROR(_xlfn.SINGLE(INDEX(#REF!,'Monthly Report'!AJ180)),"")</f>
        <v/>
      </c>
      <c r="AL180" s="12" t="str">
        <f ca="1">IFERROR(_xlfn.SINGLE(INDEX(#REF!,'Monthly Report'!AJ180)),"")</f>
        <v/>
      </c>
      <c r="AN180" s="12" t="str">
        <f ca="1">IFERROR(MATCH($G$115,OFFSET(#REF!,AN179,0,1000000),0)+AN179,"")</f>
        <v/>
      </c>
      <c r="AO180" s="17" t="str">
        <f ca="1">IFERROR(_xlfn.SINGLE(INDEX(#REF!,'Monthly Report'!AN180)),"")</f>
        <v/>
      </c>
      <c r="AP180" s="12" t="str">
        <f ca="1">IFERROR(_xlfn.SINGLE(INDEX(#REF!,'Monthly Report'!AN180)),"")</f>
        <v/>
      </c>
    </row>
    <row r="181" spans="36:42">
      <c r="AJ181" s="12" t="str">
        <f ca="1">IFERROR(MATCH($B$114,OFFSET(#REF!,AJ180,0,1000000),0)+AJ180,"")</f>
        <v/>
      </c>
      <c r="AK181" s="17" t="str">
        <f ca="1">IFERROR(_xlfn.SINGLE(INDEX(#REF!,'Monthly Report'!AJ181)),"")</f>
        <v/>
      </c>
      <c r="AL181" s="12" t="str">
        <f ca="1">IFERROR(_xlfn.SINGLE(INDEX(#REF!,'Monthly Report'!AJ181)),"")</f>
        <v/>
      </c>
      <c r="AN181" s="12" t="str">
        <f ca="1">IFERROR(MATCH($G$115,OFFSET(#REF!,AN180,0,1000000),0)+AN180,"")</f>
        <v/>
      </c>
      <c r="AO181" s="17" t="str">
        <f ca="1">IFERROR(_xlfn.SINGLE(INDEX(#REF!,'Monthly Report'!AN181)),"")</f>
        <v/>
      </c>
      <c r="AP181" s="12" t="str">
        <f ca="1">IFERROR(_xlfn.SINGLE(INDEX(#REF!,'Monthly Report'!AN181)),"")</f>
        <v/>
      </c>
    </row>
    <row r="182" spans="36:42">
      <c r="AJ182" s="12" t="str">
        <f ca="1">IFERROR(MATCH($B$114,OFFSET(#REF!,AJ181,0,1000000),0)+AJ181,"")</f>
        <v/>
      </c>
      <c r="AK182" s="17" t="str">
        <f ca="1">IFERROR(_xlfn.SINGLE(INDEX(#REF!,'Monthly Report'!AJ182)),"")</f>
        <v/>
      </c>
      <c r="AL182" s="12" t="str">
        <f ca="1">IFERROR(_xlfn.SINGLE(INDEX(#REF!,'Monthly Report'!AJ182)),"")</f>
        <v/>
      </c>
      <c r="AN182" s="12" t="str">
        <f ca="1">IFERROR(MATCH($G$115,OFFSET(#REF!,AN181,0,1000000),0)+AN181,"")</f>
        <v/>
      </c>
      <c r="AO182" s="17" t="str">
        <f ca="1">IFERROR(_xlfn.SINGLE(INDEX(#REF!,'Monthly Report'!AN182)),"")</f>
        <v/>
      </c>
      <c r="AP182" s="12" t="str">
        <f ca="1">IFERROR(_xlfn.SINGLE(INDEX(#REF!,'Monthly Report'!AN182)),"")</f>
        <v/>
      </c>
    </row>
    <row r="183" spans="36:42">
      <c r="AJ183" s="12" t="str">
        <f ca="1">IFERROR(MATCH($B$114,OFFSET(#REF!,AJ182,0,1000000),0)+AJ182,"")</f>
        <v/>
      </c>
      <c r="AK183" s="17" t="str">
        <f ca="1">IFERROR(_xlfn.SINGLE(INDEX(#REF!,'Monthly Report'!AJ183)),"")</f>
        <v/>
      </c>
      <c r="AL183" s="12" t="str">
        <f ca="1">IFERROR(_xlfn.SINGLE(INDEX(#REF!,'Monthly Report'!AJ183)),"")</f>
        <v/>
      </c>
      <c r="AN183" s="12" t="str">
        <f ca="1">IFERROR(MATCH($G$115,OFFSET(#REF!,AN182,0,1000000),0)+AN182,"")</f>
        <v/>
      </c>
      <c r="AO183" s="17" t="str">
        <f ca="1">IFERROR(_xlfn.SINGLE(INDEX(#REF!,'Monthly Report'!AN183)),"")</f>
        <v/>
      </c>
      <c r="AP183" s="12" t="str">
        <f ca="1">IFERROR(_xlfn.SINGLE(INDEX(#REF!,'Monthly Report'!AN183)),"")</f>
        <v/>
      </c>
    </row>
    <row r="184" spans="36:42">
      <c r="AJ184" s="12" t="str">
        <f ca="1">IFERROR(MATCH($B$114,OFFSET(#REF!,AJ183,0,1000000),0)+AJ183,"")</f>
        <v/>
      </c>
      <c r="AK184" s="17" t="str">
        <f ca="1">IFERROR(_xlfn.SINGLE(INDEX(#REF!,'Monthly Report'!AJ184)),"")</f>
        <v/>
      </c>
      <c r="AL184" s="12" t="str">
        <f ca="1">IFERROR(_xlfn.SINGLE(INDEX(#REF!,'Monthly Report'!AJ184)),"")</f>
        <v/>
      </c>
      <c r="AN184" s="12" t="str">
        <f ca="1">IFERROR(MATCH($G$115,OFFSET(#REF!,AN183,0,1000000),0)+AN183,"")</f>
        <v/>
      </c>
      <c r="AO184" s="17" t="str">
        <f ca="1">IFERROR(_xlfn.SINGLE(INDEX(#REF!,'Monthly Report'!AN184)),"")</f>
        <v/>
      </c>
      <c r="AP184" s="12" t="str">
        <f ca="1">IFERROR(_xlfn.SINGLE(INDEX(#REF!,'Monthly Report'!AN184)),"")</f>
        <v/>
      </c>
    </row>
    <row r="185" spans="36:42">
      <c r="AJ185" s="12" t="str">
        <f ca="1">IFERROR(MATCH($B$114,OFFSET(#REF!,AJ184,0,1000000),0)+AJ184,"")</f>
        <v/>
      </c>
      <c r="AK185" s="17" t="str">
        <f ca="1">IFERROR(_xlfn.SINGLE(INDEX(#REF!,'Monthly Report'!AJ185)),"")</f>
        <v/>
      </c>
      <c r="AL185" s="12" t="str">
        <f ca="1">IFERROR(_xlfn.SINGLE(INDEX(#REF!,'Monthly Report'!AJ185)),"")</f>
        <v/>
      </c>
      <c r="AN185" s="12" t="str">
        <f ca="1">IFERROR(MATCH($G$115,OFFSET(#REF!,AN184,0,1000000),0)+AN184,"")</f>
        <v/>
      </c>
      <c r="AO185" s="17" t="str">
        <f ca="1">IFERROR(_xlfn.SINGLE(INDEX(#REF!,'Monthly Report'!AN185)),"")</f>
        <v/>
      </c>
      <c r="AP185" s="12" t="str">
        <f ca="1">IFERROR(_xlfn.SINGLE(INDEX(#REF!,'Monthly Report'!AN185)),"")</f>
        <v/>
      </c>
    </row>
    <row r="186" spans="36:42">
      <c r="AJ186" s="12" t="str">
        <f ca="1">IFERROR(MATCH($B$114,OFFSET(#REF!,AJ185,0,1000000),0)+AJ185,"")</f>
        <v/>
      </c>
      <c r="AK186" s="17" t="str">
        <f ca="1">IFERROR(_xlfn.SINGLE(INDEX(#REF!,'Monthly Report'!AJ186)),"")</f>
        <v/>
      </c>
      <c r="AL186" s="12" t="str">
        <f ca="1">IFERROR(_xlfn.SINGLE(INDEX(#REF!,'Monthly Report'!AJ186)),"")</f>
        <v/>
      </c>
      <c r="AN186" s="12" t="str">
        <f ca="1">IFERROR(MATCH($G$115,OFFSET(#REF!,AN185,0,1000000),0)+AN185,"")</f>
        <v/>
      </c>
      <c r="AO186" s="17" t="str">
        <f ca="1">IFERROR(_xlfn.SINGLE(INDEX(#REF!,'Monthly Report'!AN186)),"")</f>
        <v/>
      </c>
      <c r="AP186" s="12" t="str">
        <f ca="1">IFERROR(_xlfn.SINGLE(INDEX(#REF!,'Monthly Report'!AN186)),"")</f>
        <v/>
      </c>
    </row>
    <row r="187" spans="36:42">
      <c r="AJ187" s="12" t="str">
        <f ca="1">IFERROR(MATCH($B$114,OFFSET(#REF!,AJ186,0,1000000),0)+AJ186,"")</f>
        <v/>
      </c>
      <c r="AK187" s="17" t="str">
        <f ca="1">IFERROR(_xlfn.SINGLE(INDEX(#REF!,'Monthly Report'!AJ187)),"")</f>
        <v/>
      </c>
      <c r="AL187" s="12" t="str">
        <f ca="1">IFERROR(_xlfn.SINGLE(INDEX(#REF!,'Monthly Report'!AJ187)),"")</f>
        <v/>
      </c>
      <c r="AN187" s="12" t="str">
        <f ca="1">IFERROR(MATCH($G$115,OFFSET(#REF!,AN186,0,1000000),0)+AN186,"")</f>
        <v/>
      </c>
      <c r="AO187" s="17" t="str">
        <f ca="1">IFERROR(_xlfn.SINGLE(INDEX(#REF!,'Monthly Report'!AN187)),"")</f>
        <v/>
      </c>
      <c r="AP187" s="12" t="str">
        <f ca="1">IFERROR(_xlfn.SINGLE(INDEX(#REF!,'Monthly Report'!AN187)),"")</f>
        <v/>
      </c>
    </row>
    <row r="188" spans="36:42">
      <c r="AJ188" s="12" t="str">
        <f ca="1">IFERROR(MATCH($B$114,OFFSET(#REF!,AJ187,0,1000000),0)+AJ187,"")</f>
        <v/>
      </c>
      <c r="AK188" s="17" t="str">
        <f ca="1">IFERROR(_xlfn.SINGLE(INDEX(#REF!,'Monthly Report'!AJ188)),"")</f>
        <v/>
      </c>
      <c r="AL188" s="12" t="str">
        <f ca="1">IFERROR(_xlfn.SINGLE(INDEX(#REF!,'Monthly Report'!AJ188)),"")</f>
        <v/>
      </c>
      <c r="AN188" s="12" t="str">
        <f ca="1">IFERROR(MATCH($G$115,OFFSET(#REF!,AN187,0,1000000),0)+AN187,"")</f>
        <v/>
      </c>
      <c r="AO188" s="17" t="str">
        <f ca="1">IFERROR(_xlfn.SINGLE(INDEX(#REF!,'Monthly Report'!AN188)),"")</f>
        <v/>
      </c>
      <c r="AP188" s="12" t="str">
        <f ca="1">IFERROR(_xlfn.SINGLE(INDEX(#REF!,'Monthly Report'!AN188)),"")</f>
        <v/>
      </c>
    </row>
    <row r="189" spans="36:42">
      <c r="AJ189" s="12" t="str">
        <f ca="1">IFERROR(MATCH($B$114,OFFSET(#REF!,AJ188,0,1000000),0)+AJ188,"")</f>
        <v/>
      </c>
      <c r="AK189" s="17" t="str">
        <f ca="1">IFERROR(_xlfn.SINGLE(INDEX(#REF!,'Monthly Report'!AJ189)),"")</f>
        <v/>
      </c>
      <c r="AL189" s="12" t="str">
        <f ca="1">IFERROR(_xlfn.SINGLE(INDEX(#REF!,'Monthly Report'!AJ189)),"")</f>
        <v/>
      </c>
      <c r="AN189" s="12" t="str">
        <f ca="1">IFERROR(MATCH($G$115,OFFSET(#REF!,AN188,0,1000000),0)+AN188,"")</f>
        <v/>
      </c>
      <c r="AO189" s="17" t="str">
        <f ca="1">IFERROR(_xlfn.SINGLE(INDEX(#REF!,'Monthly Report'!AN189)),"")</f>
        <v/>
      </c>
      <c r="AP189" s="12" t="str">
        <f ca="1">IFERROR(_xlfn.SINGLE(INDEX(#REF!,'Monthly Report'!AN189)),"")</f>
        <v/>
      </c>
    </row>
    <row r="190" spans="36:42">
      <c r="AJ190" s="12" t="str">
        <f ca="1">IFERROR(MATCH($B$114,OFFSET(#REF!,AJ189,0,1000000),0)+AJ189,"")</f>
        <v/>
      </c>
      <c r="AK190" s="17" t="str">
        <f ca="1">IFERROR(_xlfn.SINGLE(INDEX(#REF!,'Monthly Report'!AJ190)),"")</f>
        <v/>
      </c>
      <c r="AL190" s="12" t="str">
        <f ca="1">IFERROR(_xlfn.SINGLE(INDEX(#REF!,'Monthly Report'!AJ190)),"")</f>
        <v/>
      </c>
      <c r="AN190" s="12" t="str">
        <f ca="1">IFERROR(MATCH($G$115,OFFSET(#REF!,AN189,0,1000000),0)+AN189,"")</f>
        <v/>
      </c>
      <c r="AO190" s="17" t="str">
        <f ca="1">IFERROR(_xlfn.SINGLE(INDEX(#REF!,'Monthly Report'!AN190)),"")</f>
        <v/>
      </c>
      <c r="AP190" s="12" t="str">
        <f ca="1">IFERROR(_xlfn.SINGLE(INDEX(#REF!,'Monthly Report'!AN190)),"")</f>
        <v/>
      </c>
    </row>
    <row r="191" spans="36:42">
      <c r="AJ191" s="12" t="str">
        <f ca="1">IFERROR(MATCH($B$114,OFFSET(#REF!,AJ190,0,1000000),0)+AJ190,"")</f>
        <v/>
      </c>
      <c r="AK191" s="17" t="str">
        <f ca="1">IFERROR(_xlfn.SINGLE(INDEX(#REF!,'Monthly Report'!AJ191)),"")</f>
        <v/>
      </c>
      <c r="AL191" s="12" t="str">
        <f ca="1">IFERROR(_xlfn.SINGLE(INDEX(#REF!,'Monthly Report'!AJ191)),"")</f>
        <v/>
      </c>
      <c r="AN191" s="12" t="str">
        <f ca="1">IFERROR(MATCH($G$115,OFFSET(#REF!,AN190,0,1000000),0)+AN190,"")</f>
        <v/>
      </c>
      <c r="AO191" s="17" t="str">
        <f ca="1">IFERROR(_xlfn.SINGLE(INDEX(#REF!,'Monthly Report'!AN191)),"")</f>
        <v/>
      </c>
      <c r="AP191" s="12" t="str">
        <f ca="1">IFERROR(_xlfn.SINGLE(INDEX(#REF!,'Monthly Report'!AN191)),"")</f>
        <v/>
      </c>
    </row>
    <row r="192" spans="36:42">
      <c r="AJ192" s="12" t="str">
        <f ca="1">IFERROR(MATCH($B$114,OFFSET(#REF!,AJ191,0,1000000),0)+AJ191,"")</f>
        <v/>
      </c>
      <c r="AK192" s="17" t="str">
        <f ca="1">IFERROR(_xlfn.SINGLE(INDEX(#REF!,'Monthly Report'!AJ192)),"")</f>
        <v/>
      </c>
      <c r="AL192" s="12" t="str">
        <f ca="1">IFERROR(_xlfn.SINGLE(INDEX(#REF!,'Monthly Report'!AJ192)),"")</f>
        <v/>
      </c>
      <c r="AN192" s="12" t="str">
        <f ca="1">IFERROR(MATCH($G$115,OFFSET(#REF!,AN191,0,1000000),0)+AN191,"")</f>
        <v/>
      </c>
      <c r="AO192" s="17" t="str">
        <f ca="1">IFERROR(_xlfn.SINGLE(INDEX(#REF!,'Monthly Report'!AN192)),"")</f>
        <v/>
      </c>
      <c r="AP192" s="12" t="str">
        <f ca="1">IFERROR(_xlfn.SINGLE(INDEX(#REF!,'Monthly Report'!AN192)),"")</f>
        <v/>
      </c>
    </row>
    <row r="193" spans="36:42">
      <c r="AJ193" s="12" t="str">
        <f ca="1">IFERROR(MATCH($B$114,OFFSET(#REF!,AJ192,0,1000000),0)+AJ192,"")</f>
        <v/>
      </c>
      <c r="AK193" s="17" t="str">
        <f ca="1">IFERROR(_xlfn.SINGLE(INDEX(#REF!,'Monthly Report'!AJ193)),"")</f>
        <v/>
      </c>
      <c r="AL193" s="12" t="str">
        <f ca="1">IFERROR(_xlfn.SINGLE(INDEX(#REF!,'Monthly Report'!AJ193)),"")</f>
        <v/>
      </c>
      <c r="AN193" s="12" t="str">
        <f ca="1">IFERROR(MATCH($G$115,OFFSET(#REF!,AN192,0,1000000),0)+AN192,"")</f>
        <v/>
      </c>
      <c r="AO193" s="17" t="str">
        <f ca="1">IFERROR(_xlfn.SINGLE(INDEX(#REF!,'Monthly Report'!AN193)),"")</f>
        <v/>
      </c>
      <c r="AP193" s="12" t="str">
        <f ca="1">IFERROR(_xlfn.SINGLE(INDEX(#REF!,'Monthly Report'!AN193)),"")</f>
        <v/>
      </c>
    </row>
    <row r="194" spans="36:42">
      <c r="AJ194" s="12" t="str">
        <f ca="1">IFERROR(MATCH($B$114,OFFSET(#REF!,AJ193,0,1000000),0)+AJ193,"")</f>
        <v/>
      </c>
      <c r="AK194" s="17" t="str">
        <f ca="1">IFERROR(_xlfn.SINGLE(INDEX(#REF!,'Monthly Report'!AJ194)),"")</f>
        <v/>
      </c>
      <c r="AL194" s="12" t="str">
        <f ca="1">IFERROR(_xlfn.SINGLE(INDEX(#REF!,'Monthly Report'!AJ194)),"")</f>
        <v/>
      </c>
      <c r="AN194" s="12" t="str">
        <f ca="1">IFERROR(MATCH($G$115,OFFSET(#REF!,AN193,0,1000000),0)+AN193,"")</f>
        <v/>
      </c>
      <c r="AO194" s="17" t="str">
        <f ca="1">IFERROR(_xlfn.SINGLE(INDEX(#REF!,'Monthly Report'!AN194)),"")</f>
        <v/>
      </c>
      <c r="AP194" s="12" t="str">
        <f ca="1">IFERROR(_xlfn.SINGLE(INDEX(#REF!,'Monthly Report'!AN194)),"")</f>
        <v/>
      </c>
    </row>
    <row r="195" spans="36:42">
      <c r="AJ195" s="12" t="str">
        <f ca="1">IFERROR(MATCH($B$114,OFFSET(#REF!,AJ194,0,1000000),0)+AJ194,"")</f>
        <v/>
      </c>
      <c r="AK195" s="17" t="str">
        <f ca="1">IFERROR(_xlfn.SINGLE(INDEX(#REF!,'Monthly Report'!AJ195)),"")</f>
        <v/>
      </c>
      <c r="AL195" s="12" t="str">
        <f ca="1">IFERROR(_xlfn.SINGLE(INDEX(#REF!,'Monthly Report'!AJ195)),"")</f>
        <v/>
      </c>
      <c r="AN195" s="12" t="str">
        <f ca="1">IFERROR(MATCH($G$115,OFFSET(#REF!,AN194,0,1000000),0)+AN194,"")</f>
        <v/>
      </c>
      <c r="AO195" s="17" t="str">
        <f ca="1">IFERROR(_xlfn.SINGLE(INDEX(#REF!,'Monthly Report'!AN195)),"")</f>
        <v/>
      </c>
      <c r="AP195" s="12" t="str">
        <f ca="1">IFERROR(_xlfn.SINGLE(INDEX(#REF!,'Monthly Report'!AN195)),"")</f>
        <v/>
      </c>
    </row>
    <row r="196" spans="36:42">
      <c r="AJ196" s="12" t="str">
        <f ca="1">IFERROR(MATCH($B$114,OFFSET(#REF!,AJ195,0,1000000),0)+AJ195,"")</f>
        <v/>
      </c>
      <c r="AK196" s="17" t="str">
        <f ca="1">IFERROR(_xlfn.SINGLE(INDEX(#REF!,'Monthly Report'!AJ196)),"")</f>
        <v/>
      </c>
      <c r="AL196" s="12" t="str">
        <f ca="1">IFERROR(_xlfn.SINGLE(INDEX(#REF!,'Monthly Report'!AJ196)),"")</f>
        <v/>
      </c>
      <c r="AN196" s="12" t="str">
        <f ca="1">IFERROR(MATCH($G$115,OFFSET(#REF!,AN195,0,1000000),0)+AN195,"")</f>
        <v/>
      </c>
      <c r="AO196" s="17" t="str">
        <f ca="1">IFERROR(_xlfn.SINGLE(INDEX(#REF!,'Monthly Report'!AN196)),"")</f>
        <v/>
      </c>
      <c r="AP196" s="12" t="str">
        <f ca="1">IFERROR(_xlfn.SINGLE(INDEX(#REF!,'Monthly Report'!AN196)),"")</f>
        <v/>
      </c>
    </row>
    <row r="197" spans="36:42">
      <c r="AJ197" s="12" t="str">
        <f ca="1">IFERROR(MATCH($B$114,OFFSET(#REF!,AJ196,0,1000000),0)+AJ196,"")</f>
        <v/>
      </c>
      <c r="AK197" s="17" t="str">
        <f ca="1">IFERROR(_xlfn.SINGLE(INDEX(#REF!,'Monthly Report'!AJ197)),"")</f>
        <v/>
      </c>
      <c r="AL197" s="12" t="str">
        <f ca="1">IFERROR(_xlfn.SINGLE(INDEX(#REF!,'Monthly Report'!AJ197)),"")</f>
        <v/>
      </c>
      <c r="AN197" s="12" t="str">
        <f ca="1">IFERROR(MATCH($G$115,OFFSET(#REF!,AN196,0,1000000),0)+AN196,"")</f>
        <v/>
      </c>
      <c r="AO197" s="17" t="str">
        <f ca="1">IFERROR(_xlfn.SINGLE(INDEX(#REF!,'Monthly Report'!AN197)),"")</f>
        <v/>
      </c>
      <c r="AP197" s="12" t="str">
        <f ca="1">IFERROR(_xlfn.SINGLE(INDEX(#REF!,'Monthly Report'!AN197)),"")</f>
        <v/>
      </c>
    </row>
    <row r="198" spans="36:42">
      <c r="AJ198" s="12" t="str">
        <f ca="1">IFERROR(MATCH($B$114,OFFSET(#REF!,AJ197,0,1000000),0)+AJ197,"")</f>
        <v/>
      </c>
      <c r="AK198" s="17" t="str">
        <f ca="1">IFERROR(_xlfn.SINGLE(INDEX(#REF!,'Monthly Report'!AJ198)),"")</f>
        <v/>
      </c>
      <c r="AL198" s="12" t="str">
        <f ca="1">IFERROR(_xlfn.SINGLE(INDEX(#REF!,'Monthly Report'!AJ198)),"")</f>
        <v/>
      </c>
      <c r="AN198" s="12" t="str">
        <f ca="1">IFERROR(MATCH($G$115,OFFSET(#REF!,AN197,0,1000000),0)+AN197,"")</f>
        <v/>
      </c>
      <c r="AO198" s="17" t="str">
        <f ca="1">IFERROR(_xlfn.SINGLE(INDEX(#REF!,'Monthly Report'!AN198)),"")</f>
        <v/>
      </c>
      <c r="AP198" s="12" t="str">
        <f ca="1">IFERROR(_xlfn.SINGLE(INDEX(#REF!,'Monthly Report'!AN198)),"")</f>
        <v/>
      </c>
    </row>
    <row r="199" spans="36:42">
      <c r="AJ199" s="12" t="str">
        <f ca="1">IFERROR(MATCH($B$114,OFFSET(#REF!,AJ198,0,1000000),0)+AJ198,"")</f>
        <v/>
      </c>
      <c r="AK199" s="17" t="str">
        <f ca="1">IFERROR(_xlfn.SINGLE(INDEX(#REF!,'Monthly Report'!AJ199)),"")</f>
        <v/>
      </c>
      <c r="AL199" s="12" t="str">
        <f ca="1">IFERROR(_xlfn.SINGLE(INDEX(#REF!,'Monthly Report'!AJ199)),"")</f>
        <v/>
      </c>
      <c r="AN199" s="12" t="str">
        <f ca="1">IFERROR(MATCH($G$115,OFFSET(#REF!,AN198,0,1000000),0)+AN198,"")</f>
        <v/>
      </c>
      <c r="AO199" s="17" t="str">
        <f ca="1">IFERROR(_xlfn.SINGLE(INDEX(#REF!,'Monthly Report'!AN199)),"")</f>
        <v/>
      </c>
      <c r="AP199" s="12" t="str">
        <f ca="1">IFERROR(_xlfn.SINGLE(INDEX(#REF!,'Monthly Report'!AN199)),"")</f>
        <v/>
      </c>
    </row>
    <row r="200" spans="36:42">
      <c r="AJ200" s="12" t="str">
        <f ca="1">IFERROR(MATCH($B$114,OFFSET(#REF!,AJ199,0,1000000),0)+AJ199,"")</f>
        <v/>
      </c>
      <c r="AK200" s="17" t="str">
        <f ca="1">IFERROR(_xlfn.SINGLE(INDEX(#REF!,'Monthly Report'!AJ200)),"")</f>
        <v/>
      </c>
      <c r="AL200" s="12" t="str">
        <f ca="1">IFERROR(_xlfn.SINGLE(INDEX(#REF!,'Monthly Report'!AJ200)),"")</f>
        <v/>
      </c>
      <c r="AN200" s="12" t="str">
        <f ca="1">IFERROR(MATCH($G$115,OFFSET(#REF!,AN199,0,1000000),0)+AN199,"")</f>
        <v/>
      </c>
      <c r="AO200" s="17" t="str">
        <f ca="1">IFERROR(_xlfn.SINGLE(INDEX(#REF!,'Monthly Report'!AN200)),"")</f>
        <v/>
      </c>
      <c r="AP200" s="12" t="str">
        <f ca="1">IFERROR(_xlfn.SINGLE(INDEX(#REF!,'Monthly Report'!AN200)),"")</f>
        <v/>
      </c>
    </row>
    <row r="201" spans="36:42">
      <c r="AJ201" s="12" t="str">
        <f ca="1">IFERROR(MATCH($B$114,OFFSET(#REF!,AJ200,0,1000000),0)+AJ200,"")</f>
        <v/>
      </c>
      <c r="AK201" s="17" t="str">
        <f ca="1">IFERROR(_xlfn.SINGLE(INDEX(#REF!,'Monthly Report'!AJ201)),"")</f>
        <v/>
      </c>
      <c r="AL201" s="12" t="str">
        <f ca="1">IFERROR(_xlfn.SINGLE(INDEX(#REF!,'Monthly Report'!AJ201)),"")</f>
        <v/>
      </c>
      <c r="AN201" s="12" t="str">
        <f ca="1">IFERROR(MATCH($G$115,OFFSET(#REF!,AN200,0,1000000),0)+AN200,"")</f>
        <v/>
      </c>
      <c r="AO201" s="17" t="str">
        <f ca="1">IFERROR(_xlfn.SINGLE(INDEX(#REF!,'Monthly Report'!AN201)),"")</f>
        <v/>
      </c>
      <c r="AP201" s="12" t="str">
        <f ca="1">IFERROR(_xlfn.SINGLE(INDEX(#REF!,'Monthly Report'!AN201)),"")</f>
        <v/>
      </c>
    </row>
    <row r="202" spans="36:42">
      <c r="AJ202" s="12" t="str">
        <f ca="1">IFERROR(MATCH($B$114,OFFSET(#REF!,AJ201,0,1000000),0)+AJ201,"")</f>
        <v/>
      </c>
      <c r="AK202" s="17" t="str">
        <f ca="1">IFERROR(_xlfn.SINGLE(INDEX(#REF!,'Monthly Report'!AJ202)),"")</f>
        <v/>
      </c>
      <c r="AL202" s="12" t="str">
        <f ca="1">IFERROR(_xlfn.SINGLE(INDEX(#REF!,'Monthly Report'!AJ202)),"")</f>
        <v/>
      </c>
      <c r="AN202" s="12" t="str">
        <f ca="1">IFERROR(MATCH($G$115,OFFSET(#REF!,AN201,0,1000000),0)+AN201,"")</f>
        <v/>
      </c>
      <c r="AO202" s="17" t="str">
        <f ca="1">IFERROR(_xlfn.SINGLE(INDEX(#REF!,'Monthly Report'!AN202)),"")</f>
        <v/>
      </c>
      <c r="AP202" s="12" t="str">
        <f ca="1">IFERROR(_xlfn.SINGLE(INDEX(#REF!,'Monthly Report'!AN202)),"")</f>
        <v/>
      </c>
    </row>
    <row r="203" spans="36:42">
      <c r="AJ203" s="12" t="str">
        <f ca="1">IFERROR(MATCH($B$114,OFFSET(#REF!,AJ202,0,1000000),0)+AJ202,"")</f>
        <v/>
      </c>
      <c r="AK203" s="17" t="str">
        <f ca="1">IFERROR(_xlfn.SINGLE(INDEX(#REF!,'Monthly Report'!AJ203)),"")</f>
        <v/>
      </c>
      <c r="AL203" s="12" t="str">
        <f ca="1">IFERROR(_xlfn.SINGLE(INDEX(#REF!,'Monthly Report'!AJ203)),"")</f>
        <v/>
      </c>
      <c r="AN203" s="12" t="str">
        <f ca="1">IFERROR(MATCH($G$115,OFFSET(#REF!,AN202,0,1000000),0)+AN202,"")</f>
        <v/>
      </c>
      <c r="AO203" s="17" t="str">
        <f ca="1">IFERROR(_xlfn.SINGLE(INDEX(#REF!,'Monthly Report'!AN203)),"")</f>
        <v/>
      </c>
      <c r="AP203" s="12" t="str">
        <f ca="1">IFERROR(_xlfn.SINGLE(INDEX(#REF!,'Monthly Report'!AN203)),"")</f>
        <v/>
      </c>
    </row>
    <row r="204" spans="36:42">
      <c r="AJ204" s="12" t="str">
        <f ca="1">IFERROR(MATCH($B$114,OFFSET(#REF!,AJ203,0,1000000),0)+AJ203,"")</f>
        <v/>
      </c>
      <c r="AK204" s="17" t="str">
        <f ca="1">IFERROR(_xlfn.SINGLE(INDEX(#REF!,'Monthly Report'!AJ204)),"")</f>
        <v/>
      </c>
      <c r="AL204" s="12" t="str">
        <f ca="1">IFERROR(_xlfn.SINGLE(INDEX(#REF!,'Monthly Report'!AJ204)),"")</f>
        <v/>
      </c>
      <c r="AN204" s="12" t="str">
        <f ca="1">IFERROR(MATCH($G$115,OFFSET(#REF!,AN203,0,1000000),0)+AN203,"")</f>
        <v/>
      </c>
      <c r="AO204" s="17" t="str">
        <f ca="1">IFERROR(_xlfn.SINGLE(INDEX(#REF!,'Monthly Report'!AN204)),"")</f>
        <v/>
      </c>
      <c r="AP204" s="12" t="str">
        <f ca="1">IFERROR(_xlfn.SINGLE(INDEX(#REF!,'Monthly Report'!AN204)),"")</f>
        <v/>
      </c>
    </row>
    <row r="205" spans="36:42">
      <c r="AJ205" s="12" t="str">
        <f ca="1">IFERROR(MATCH($B$114,OFFSET(#REF!,AJ204,0,1000000),0)+AJ204,"")</f>
        <v/>
      </c>
      <c r="AK205" s="17" t="str">
        <f ca="1">IFERROR(_xlfn.SINGLE(INDEX(#REF!,'Monthly Report'!AJ205)),"")</f>
        <v/>
      </c>
      <c r="AL205" s="12" t="str">
        <f ca="1">IFERROR(_xlfn.SINGLE(INDEX(#REF!,'Monthly Report'!AJ205)),"")</f>
        <v/>
      </c>
      <c r="AN205" s="12" t="str">
        <f ca="1">IFERROR(MATCH($G$115,OFFSET(#REF!,AN204,0,1000000),0)+AN204,"")</f>
        <v/>
      </c>
      <c r="AO205" s="17" t="str">
        <f ca="1">IFERROR(_xlfn.SINGLE(INDEX(#REF!,'Monthly Report'!AN205)),"")</f>
        <v/>
      </c>
      <c r="AP205" s="12" t="str">
        <f ca="1">IFERROR(_xlfn.SINGLE(INDEX(#REF!,'Monthly Report'!AN205)),"")</f>
        <v/>
      </c>
    </row>
    <row r="206" spans="36:42">
      <c r="AJ206" s="12" t="str">
        <f ca="1">IFERROR(MATCH($B$114,OFFSET(#REF!,AJ205,0,1000000),0)+AJ205,"")</f>
        <v/>
      </c>
      <c r="AK206" s="17" t="str">
        <f ca="1">IFERROR(_xlfn.SINGLE(INDEX(#REF!,'Monthly Report'!AJ206)),"")</f>
        <v/>
      </c>
      <c r="AL206" s="12" t="str">
        <f ca="1">IFERROR(_xlfn.SINGLE(INDEX(#REF!,'Monthly Report'!AJ206)),"")</f>
        <v/>
      </c>
      <c r="AN206" s="12" t="str">
        <f ca="1">IFERROR(MATCH($G$115,OFFSET(#REF!,AN205,0,1000000),0)+AN205,"")</f>
        <v/>
      </c>
      <c r="AO206" s="17" t="str">
        <f ca="1">IFERROR(_xlfn.SINGLE(INDEX(#REF!,'Monthly Report'!AN206)),"")</f>
        <v/>
      </c>
      <c r="AP206" s="12" t="str">
        <f ca="1">IFERROR(_xlfn.SINGLE(INDEX(#REF!,'Monthly Report'!AN206)),"")</f>
        <v/>
      </c>
    </row>
    <row r="207" spans="36:42">
      <c r="AJ207" s="12" t="str">
        <f ca="1">IFERROR(MATCH($B$114,OFFSET(#REF!,AJ206,0,1000000),0)+AJ206,"")</f>
        <v/>
      </c>
      <c r="AK207" s="17" t="str">
        <f ca="1">IFERROR(_xlfn.SINGLE(INDEX(#REF!,'Monthly Report'!AJ207)),"")</f>
        <v/>
      </c>
      <c r="AL207" s="12" t="str">
        <f ca="1">IFERROR(_xlfn.SINGLE(INDEX(#REF!,'Monthly Report'!AJ207)),"")</f>
        <v/>
      </c>
      <c r="AN207" s="12" t="str">
        <f ca="1">IFERROR(MATCH($G$115,OFFSET(#REF!,AN206,0,1000000),0)+AN206,"")</f>
        <v/>
      </c>
      <c r="AO207" s="17" t="str">
        <f ca="1">IFERROR(_xlfn.SINGLE(INDEX(#REF!,'Monthly Report'!AN207)),"")</f>
        <v/>
      </c>
      <c r="AP207" s="12" t="str">
        <f ca="1">IFERROR(_xlfn.SINGLE(INDEX(#REF!,'Monthly Report'!AN207)),"")</f>
        <v/>
      </c>
    </row>
    <row r="208" spans="36:42">
      <c r="AJ208" s="12" t="str">
        <f ca="1">IFERROR(MATCH($B$114,OFFSET(#REF!,AJ207,0,1000000),0)+AJ207,"")</f>
        <v/>
      </c>
      <c r="AK208" s="17" t="str">
        <f ca="1">IFERROR(_xlfn.SINGLE(INDEX(#REF!,'Monthly Report'!AJ208)),"")</f>
        <v/>
      </c>
      <c r="AL208" s="12" t="str">
        <f ca="1">IFERROR(_xlfn.SINGLE(INDEX(#REF!,'Monthly Report'!AJ208)),"")</f>
        <v/>
      </c>
      <c r="AN208" s="12" t="str">
        <f ca="1">IFERROR(MATCH($G$115,OFFSET(#REF!,AN207,0,1000000),0)+AN207,"")</f>
        <v/>
      </c>
      <c r="AO208" s="17" t="str">
        <f ca="1">IFERROR(_xlfn.SINGLE(INDEX(#REF!,'Monthly Report'!AN208)),"")</f>
        <v/>
      </c>
      <c r="AP208" s="12" t="str">
        <f ca="1">IFERROR(_xlfn.SINGLE(INDEX(#REF!,'Monthly Report'!AN208)),"")</f>
        <v/>
      </c>
    </row>
    <row r="209" spans="36:42">
      <c r="AJ209" s="12" t="str">
        <f ca="1">IFERROR(MATCH($B$114,OFFSET(#REF!,AJ208,0,1000000),0)+AJ208,"")</f>
        <v/>
      </c>
      <c r="AK209" s="17" t="str">
        <f ca="1">IFERROR(_xlfn.SINGLE(INDEX(#REF!,'Monthly Report'!AJ209)),"")</f>
        <v/>
      </c>
      <c r="AL209" s="12" t="str">
        <f ca="1">IFERROR(_xlfn.SINGLE(INDEX(#REF!,'Monthly Report'!AJ209)),"")</f>
        <v/>
      </c>
      <c r="AN209" s="12" t="str">
        <f ca="1">IFERROR(MATCH($G$115,OFFSET(#REF!,AN208,0,1000000),0)+AN208,"")</f>
        <v/>
      </c>
      <c r="AO209" s="17" t="str">
        <f ca="1">IFERROR(_xlfn.SINGLE(INDEX(#REF!,'Monthly Report'!AN209)),"")</f>
        <v/>
      </c>
      <c r="AP209" s="12" t="str">
        <f ca="1">IFERROR(_xlfn.SINGLE(INDEX(#REF!,'Monthly Report'!AN209)),"")</f>
        <v/>
      </c>
    </row>
    <row r="210" spans="36:42">
      <c r="AJ210" s="12" t="str">
        <f ca="1">IFERROR(MATCH($B$114,OFFSET(#REF!,AJ209,0,1000000),0)+AJ209,"")</f>
        <v/>
      </c>
      <c r="AK210" s="17" t="str">
        <f ca="1">IFERROR(_xlfn.SINGLE(INDEX(#REF!,'Monthly Report'!AJ210)),"")</f>
        <v/>
      </c>
      <c r="AL210" s="12" t="str">
        <f ca="1">IFERROR(_xlfn.SINGLE(INDEX(#REF!,'Monthly Report'!AJ210)),"")</f>
        <v/>
      </c>
      <c r="AN210" s="12" t="str">
        <f ca="1">IFERROR(MATCH($G$115,OFFSET(#REF!,AN209,0,1000000),0)+AN209,"")</f>
        <v/>
      </c>
      <c r="AO210" s="17" t="str">
        <f ca="1">IFERROR(_xlfn.SINGLE(INDEX(#REF!,'Monthly Report'!AN210)),"")</f>
        <v/>
      </c>
      <c r="AP210" s="12" t="str">
        <f ca="1">IFERROR(_xlfn.SINGLE(INDEX(#REF!,'Monthly Report'!AN210)),"")</f>
        <v/>
      </c>
    </row>
    <row r="211" spans="36:42">
      <c r="AJ211" s="12" t="str">
        <f ca="1">IFERROR(MATCH($B$114,OFFSET(#REF!,AJ210,0,1000000),0)+AJ210,"")</f>
        <v/>
      </c>
      <c r="AK211" s="17" t="str">
        <f ca="1">IFERROR(_xlfn.SINGLE(INDEX(#REF!,'Monthly Report'!AJ211)),"")</f>
        <v/>
      </c>
      <c r="AL211" s="12" t="str">
        <f ca="1">IFERROR(_xlfn.SINGLE(INDEX(#REF!,'Monthly Report'!AJ211)),"")</f>
        <v/>
      </c>
      <c r="AN211" s="12" t="str">
        <f ca="1">IFERROR(MATCH($G$115,OFFSET(#REF!,AN210,0,1000000),0)+AN210,"")</f>
        <v/>
      </c>
      <c r="AO211" s="17" t="str">
        <f ca="1">IFERROR(_xlfn.SINGLE(INDEX(#REF!,'Monthly Report'!AN211)),"")</f>
        <v/>
      </c>
      <c r="AP211" s="12" t="str">
        <f ca="1">IFERROR(_xlfn.SINGLE(INDEX(#REF!,'Monthly Report'!AN211)),"")</f>
        <v/>
      </c>
    </row>
    <row r="212" spans="36:42">
      <c r="AJ212" s="12" t="str">
        <f ca="1">IFERROR(MATCH($B$114,OFFSET(#REF!,AJ211,0,1000000),0)+AJ211,"")</f>
        <v/>
      </c>
      <c r="AK212" s="17" t="str">
        <f ca="1">IFERROR(_xlfn.SINGLE(INDEX(#REF!,'Monthly Report'!AJ212)),"")</f>
        <v/>
      </c>
      <c r="AL212" s="12" t="str">
        <f ca="1">IFERROR(_xlfn.SINGLE(INDEX(#REF!,'Monthly Report'!AJ212)),"")</f>
        <v/>
      </c>
      <c r="AN212" s="12" t="str">
        <f ca="1">IFERROR(MATCH($G$115,OFFSET(#REF!,AN211,0,1000000),0)+AN211,"")</f>
        <v/>
      </c>
      <c r="AO212" s="17" t="str">
        <f ca="1">IFERROR(_xlfn.SINGLE(INDEX(#REF!,'Monthly Report'!AN212)),"")</f>
        <v/>
      </c>
      <c r="AP212" s="12" t="str">
        <f ca="1">IFERROR(_xlfn.SINGLE(INDEX(#REF!,'Monthly Report'!AN212)),"")</f>
        <v/>
      </c>
    </row>
    <row r="213" spans="36:42">
      <c r="AJ213" s="12" t="str">
        <f ca="1">IFERROR(MATCH($B$114,OFFSET(#REF!,AJ212,0,1000000),0)+AJ212,"")</f>
        <v/>
      </c>
      <c r="AK213" s="17" t="str">
        <f ca="1">IFERROR(_xlfn.SINGLE(INDEX(#REF!,'Monthly Report'!AJ213)),"")</f>
        <v/>
      </c>
      <c r="AL213" s="12" t="str">
        <f ca="1">IFERROR(_xlfn.SINGLE(INDEX(#REF!,'Monthly Report'!AJ213)),"")</f>
        <v/>
      </c>
      <c r="AN213" s="12" t="str">
        <f ca="1">IFERROR(MATCH($G$115,OFFSET(#REF!,AN212,0,1000000),0)+AN212,"")</f>
        <v/>
      </c>
      <c r="AO213" s="17" t="str">
        <f ca="1">IFERROR(_xlfn.SINGLE(INDEX(#REF!,'Monthly Report'!AN213)),"")</f>
        <v/>
      </c>
      <c r="AP213" s="12" t="str">
        <f ca="1">IFERROR(_xlfn.SINGLE(INDEX(#REF!,'Monthly Report'!AN213)),"")</f>
        <v/>
      </c>
    </row>
    <row r="214" spans="36:42">
      <c r="AJ214" s="12" t="str">
        <f ca="1">IFERROR(MATCH($B$114,OFFSET(#REF!,AJ213,0,1000000),0)+AJ213,"")</f>
        <v/>
      </c>
      <c r="AK214" s="17" t="str">
        <f ca="1">IFERROR(_xlfn.SINGLE(INDEX(#REF!,'Monthly Report'!AJ214)),"")</f>
        <v/>
      </c>
      <c r="AL214" s="12" t="str">
        <f ca="1">IFERROR(_xlfn.SINGLE(INDEX(#REF!,'Monthly Report'!AJ214)),"")</f>
        <v/>
      </c>
      <c r="AN214" s="12" t="str">
        <f ca="1">IFERROR(MATCH($G$115,OFFSET(#REF!,AN213,0,1000000),0)+AN213,"")</f>
        <v/>
      </c>
      <c r="AO214" s="17" t="str">
        <f ca="1">IFERROR(_xlfn.SINGLE(INDEX(#REF!,'Monthly Report'!AN214)),"")</f>
        <v/>
      </c>
      <c r="AP214" s="12" t="str">
        <f ca="1">IFERROR(_xlfn.SINGLE(INDEX(#REF!,'Monthly Report'!AN214)),"")</f>
        <v/>
      </c>
    </row>
    <row r="215" spans="36:42">
      <c r="AJ215" s="12" t="str">
        <f ca="1">IFERROR(MATCH($B$114,OFFSET(#REF!,AJ214,0,1000000),0)+AJ214,"")</f>
        <v/>
      </c>
      <c r="AK215" s="17" t="str">
        <f ca="1">IFERROR(_xlfn.SINGLE(INDEX(#REF!,'Monthly Report'!AJ215)),"")</f>
        <v/>
      </c>
      <c r="AL215" s="12" t="str">
        <f ca="1">IFERROR(_xlfn.SINGLE(INDEX(#REF!,'Monthly Report'!AJ215)),"")</f>
        <v/>
      </c>
      <c r="AN215" s="12" t="str">
        <f ca="1">IFERROR(MATCH($G$115,OFFSET(#REF!,AN214,0,1000000),0)+AN214,"")</f>
        <v/>
      </c>
      <c r="AO215" s="17" t="str">
        <f ca="1">IFERROR(_xlfn.SINGLE(INDEX(#REF!,'Monthly Report'!AN215)),"")</f>
        <v/>
      </c>
      <c r="AP215" s="12" t="str">
        <f ca="1">IFERROR(_xlfn.SINGLE(INDEX(#REF!,'Monthly Report'!AN215)),"")</f>
        <v/>
      </c>
    </row>
    <row r="216" spans="36:42">
      <c r="AJ216" s="12" t="str">
        <f ca="1">IFERROR(MATCH($B$114,OFFSET(#REF!,AJ215,0,1000000),0)+AJ215,"")</f>
        <v/>
      </c>
      <c r="AK216" s="17" t="str">
        <f ca="1">IFERROR(_xlfn.SINGLE(INDEX(#REF!,'Monthly Report'!AJ216)),"")</f>
        <v/>
      </c>
      <c r="AL216" s="12" t="str">
        <f ca="1">IFERROR(_xlfn.SINGLE(INDEX(#REF!,'Monthly Report'!AJ216)),"")</f>
        <v/>
      </c>
      <c r="AN216" s="12" t="str">
        <f ca="1">IFERROR(MATCH($G$115,OFFSET(#REF!,AN215,0,1000000),0)+AN215,"")</f>
        <v/>
      </c>
      <c r="AO216" s="17" t="str">
        <f ca="1">IFERROR(_xlfn.SINGLE(INDEX(#REF!,'Monthly Report'!AN216)),"")</f>
        <v/>
      </c>
      <c r="AP216" s="12" t="str">
        <f ca="1">IFERROR(_xlfn.SINGLE(INDEX(#REF!,'Monthly Report'!AN216)),"")</f>
        <v/>
      </c>
    </row>
    <row r="217" spans="36:42">
      <c r="AJ217" s="12" t="str">
        <f ca="1">IFERROR(MATCH($B$114,OFFSET(#REF!,AJ216,0,1000000),0)+AJ216,"")</f>
        <v/>
      </c>
      <c r="AK217" s="17" t="str">
        <f ca="1">IFERROR(_xlfn.SINGLE(INDEX(#REF!,'Monthly Report'!AJ217)),"")</f>
        <v/>
      </c>
      <c r="AL217" s="12" t="str">
        <f ca="1">IFERROR(_xlfn.SINGLE(INDEX(#REF!,'Monthly Report'!AJ217)),"")</f>
        <v/>
      </c>
      <c r="AN217" s="12" t="str">
        <f ca="1">IFERROR(MATCH($G$115,OFFSET(#REF!,AN216,0,1000000),0)+AN216,"")</f>
        <v/>
      </c>
      <c r="AO217" s="17" t="str">
        <f ca="1">IFERROR(_xlfn.SINGLE(INDEX(#REF!,'Monthly Report'!AN217)),"")</f>
        <v/>
      </c>
      <c r="AP217" s="12" t="str">
        <f ca="1">IFERROR(_xlfn.SINGLE(INDEX(#REF!,'Monthly Report'!AN217)),"")</f>
        <v/>
      </c>
    </row>
    <row r="218" spans="36:42">
      <c r="AJ218" s="12" t="str">
        <f ca="1">IFERROR(MATCH($B$114,OFFSET(#REF!,AJ217,0,1000000),0)+AJ217,"")</f>
        <v/>
      </c>
      <c r="AK218" s="17" t="str">
        <f ca="1">IFERROR(_xlfn.SINGLE(INDEX(#REF!,'Monthly Report'!AJ218)),"")</f>
        <v/>
      </c>
      <c r="AL218" s="12" t="str">
        <f ca="1">IFERROR(_xlfn.SINGLE(INDEX(#REF!,'Monthly Report'!AJ218)),"")</f>
        <v/>
      </c>
      <c r="AN218" s="12" t="str">
        <f ca="1">IFERROR(MATCH($G$115,OFFSET(#REF!,AN217,0,1000000),0)+AN217,"")</f>
        <v/>
      </c>
      <c r="AO218" s="17" t="str">
        <f ca="1">IFERROR(_xlfn.SINGLE(INDEX(#REF!,'Monthly Report'!AN218)),"")</f>
        <v/>
      </c>
      <c r="AP218" s="12" t="str">
        <f ca="1">IFERROR(_xlfn.SINGLE(INDEX(#REF!,'Monthly Report'!AN218)),"")</f>
        <v/>
      </c>
    </row>
    <row r="219" spans="36:42">
      <c r="AJ219" s="12" t="str">
        <f ca="1">IFERROR(MATCH($B$114,OFFSET(#REF!,AJ218,0,1000000),0)+AJ218,"")</f>
        <v/>
      </c>
      <c r="AK219" s="17" t="str">
        <f ca="1">IFERROR(_xlfn.SINGLE(INDEX(#REF!,'Monthly Report'!AJ219)),"")</f>
        <v/>
      </c>
      <c r="AL219" s="12" t="str">
        <f ca="1">IFERROR(_xlfn.SINGLE(INDEX(#REF!,'Monthly Report'!AJ219)),"")</f>
        <v/>
      </c>
      <c r="AN219" s="12" t="str">
        <f ca="1">IFERROR(MATCH($G$115,OFFSET(#REF!,AN218,0,1000000),0)+AN218,"")</f>
        <v/>
      </c>
      <c r="AO219" s="17" t="str">
        <f ca="1">IFERROR(_xlfn.SINGLE(INDEX(#REF!,'Monthly Report'!AN219)),"")</f>
        <v/>
      </c>
      <c r="AP219" s="12" t="str">
        <f ca="1">IFERROR(_xlfn.SINGLE(INDEX(#REF!,'Monthly Report'!AN219)),"")</f>
        <v/>
      </c>
    </row>
    <row r="220" spans="36:42">
      <c r="AJ220" s="12" t="str">
        <f ca="1">IFERROR(MATCH($B$114,OFFSET(#REF!,AJ219,0,1000000),0)+AJ219,"")</f>
        <v/>
      </c>
      <c r="AK220" s="17" t="str">
        <f ca="1">IFERROR(_xlfn.SINGLE(INDEX(#REF!,'Monthly Report'!AJ220)),"")</f>
        <v/>
      </c>
      <c r="AL220" s="12" t="str">
        <f ca="1">IFERROR(_xlfn.SINGLE(INDEX(#REF!,'Monthly Report'!AJ220)),"")</f>
        <v/>
      </c>
      <c r="AN220" s="12" t="str">
        <f ca="1">IFERROR(MATCH($G$115,OFFSET(#REF!,AN219,0,1000000),0)+AN219,"")</f>
        <v/>
      </c>
      <c r="AO220" s="17" t="str">
        <f ca="1">IFERROR(_xlfn.SINGLE(INDEX(#REF!,'Monthly Report'!AN220)),"")</f>
        <v/>
      </c>
      <c r="AP220" s="12" t="str">
        <f ca="1">IFERROR(_xlfn.SINGLE(INDEX(#REF!,'Monthly Report'!AN220)),"")</f>
        <v/>
      </c>
    </row>
    <row r="221" spans="36:42">
      <c r="AJ221" s="12" t="str">
        <f ca="1">IFERROR(MATCH($B$114,OFFSET(#REF!,AJ220,0,1000000),0)+AJ220,"")</f>
        <v/>
      </c>
      <c r="AK221" s="17" t="str">
        <f ca="1">IFERROR(_xlfn.SINGLE(INDEX(#REF!,'Monthly Report'!AJ221)),"")</f>
        <v/>
      </c>
      <c r="AL221" s="12" t="str">
        <f ca="1">IFERROR(_xlfn.SINGLE(INDEX(#REF!,'Monthly Report'!AJ221)),"")</f>
        <v/>
      </c>
      <c r="AN221" s="12" t="str">
        <f ca="1">IFERROR(MATCH($G$115,OFFSET(#REF!,AN220,0,1000000),0)+AN220,"")</f>
        <v/>
      </c>
      <c r="AO221" s="17" t="str">
        <f ca="1">IFERROR(_xlfn.SINGLE(INDEX(#REF!,'Monthly Report'!AN221)),"")</f>
        <v/>
      </c>
      <c r="AP221" s="12" t="str">
        <f ca="1">IFERROR(_xlfn.SINGLE(INDEX(#REF!,'Monthly Report'!AN221)),"")</f>
        <v/>
      </c>
    </row>
    <row r="222" spans="36:42">
      <c r="AJ222" s="12" t="str">
        <f ca="1">IFERROR(MATCH($B$114,OFFSET(#REF!,AJ221,0,1000000),0)+AJ221,"")</f>
        <v/>
      </c>
      <c r="AK222" s="17" t="str">
        <f ca="1">IFERROR(_xlfn.SINGLE(INDEX(#REF!,'Monthly Report'!AJ222)),"")</f>
        <v/>
      </c>
      <c r="AL222" s="12" t="str">
        <f ca="1">IFERROR(_xlfn.SINGLE(INDEX(#REF!,'Monthly Report'!AJ222)),"")</f>
        <v/>
      </c>
      <c r="AN222" s="12" t="str">
        <f ca="1">IFERROR(MATCH($G$115,OFFSET(#REF!,AN221,0,1000000),0)+AN221,"")</f>
        <v/>
      </c>
      <c r="AO222" s="17" t="str">
        <f ca="1">IFERROR(_xlfn.SINGLE(INDEX(#REF!,'Monthly Report'!AN222)),"")</f>
        <v/>
      </c>
      <c r="AP222" s="12" t="str">
        <f ca="1">IFERROR(_xlfn.SINGLE(INDEX(#REF!,'Monthly Report'!AN222)),"")</f>
        <v/>
      </c>
    </row>
    <row r="223" spans="36:42">
      <c r="AJ223" s="12" t="str">
        <f ca="1">IFERROR(MATCH($B$114,OFFSET(#REF!,AJ222,0,1000000),0)+AJ222,"")</f>
        <v/>
      </c>
      <c r="AK223" s="17" t="str">
        <f ca="1">IFERROR(_xlfn.SINGLE(INDEX(#REF!,'Monthly Report'!AJ223)),"")</f>
        <v/>
      </c>
      <c r="AL223" s="12" t="str">
        <f ca="1">IFERROR(_xlfn.SINGLE(INDEX(#REF!,'Monthly Report'!AJ223)),"")</f>
        <v/>
      </c>
      <c r="AN223" s="12" t="str">
        <f ca="1">IFERROR(MATCH($G$115,OFFSET(#REF!,AN222,0,1000000),0)+AN222,"")</f>
        <v/>
      </c>
      <c r="AO223" s="17" t="str">
        <f ca="1">IFERROR(_xlfn.SINGLE(INDEX(#REF!,'Monthly Report'!AN223)),"")</f>
        <v/>
      </c>
      <c r="AP223" s="12" t="str">
        <f ca="1">IFERROR(_xlfn.SINGLE(INDEX(#REF!,'Monthly Report'!AN223)),"")</f>
        <v/>
      </c>
    </row>
    <row r="224" spans="36:42">
      <c r="AJ224" s="12" t="str">
        <f ca="1">IFERROR(MATCH($B$114,OFFSET(#REF!,AJ223,0,1000000),0)+AJ223,"")</f>
        <v/>
      </c>
      <c r="AK224" s="17" t="str">
        <f ca="1">IFERROR(_xlfn.SINGLE(INDEX(#REF!,'Monthly Report'!AJ224)),"")</f>
        <v/>
      </c>
      <c r="AL224" s="12" t="str">
        <f ca="1">IFERROR(_xlfn.SINGLE(INDEX(#REF!,'Monthly Report'!AJ224)),"")</f>
        <v/>
      </c>
      <c r="AN224" s="12" t="str">
        <f ca="1">IFERROR(MATCH($G$115,OFFSET(#REF!,AN223,0,1000000),0)+AN223,"")</f>
        <v/>
      </c>
      <c r="AO224" s="17" t="str">
        <f ca="1">IFERROR(_xlfn.SINGLE(INDEX(#REF!,'Monthly Report'!AN224)),"")</f>
        <v/>
      </c>
      <c r="AP224" s="12" t="str">
        <f ca="1">IFERROR(_xlfn.SINGLE(INDEX(#REF!,'Monthly Report'!AN224)),"")</f>
        <v/>
      </c>
    </row>
    <row r="225" spans="36:42">
      <c r="AJ225" s="12" t="str">
        <f ca="1">IFERROR(MATCH($B$114,OFFSET(#REF!,AJ224,0,1000000),0)+AJ224,"")</f>
        <v/>
      </c>
      <c r="AK225" s="17" t="str">
        <f ca="1">IFERROR(_xlfn.SINGLE(INDEX(#REF!,'Monthly Report'!AJ225)),"")</f>
        <v/>
      </c>
      <c r="AL225" s="12" t="str">
        <f ca="1">IFERROR(_xlfn.SINGLE(INDEX(#REF!,'Monthly Report'!AJ225)),"")</f>
        <v/>
      </c>
      <c r="AN225" s="12" t="str">
        <f ca="1">IFERROR(MATCH($G$115,OFFSET(#REF!,AN224,0,1000000),0)+AN224,"")</f>
        <v/>
      </c>
      <c r="AO225" s="17" t="str">
        <f ca="1">IFERROR(_xlfn.SINGLE(INDEX(#REF!,'Monthly Report'!AN225)),"")</f>
        <v/>
      </c>
      <c r="AP225" s="12" t="str">
        <f ca="1">IFERROR(_xlfn.SINGLE(INDEX(#REF!,'Monthly Report'!AN225)),"")</f>
        <v/>
      </c>
    </row>
    <row r="226" spans="36:42">
      <c r="AJ226" s="12" t="str">
        <f ca="1">IFERROR(MATCH($B$114,OFFSET(#REF!,AJ225,0,1000000),0)+AJ225,"")</f>
        <v/>
      </c>
      <c r="AK226" s="17" t="str">
        <f ca="1">IFERROR(_xlfn.SINGLE(INDEX(#REF!,'Monthly Report'!AJ226)),"")</f>
        <v/>
      </c>
      <c r="AL226" s="12" t="str">
        <f ca="1">IFERROR(_xlfn.SINGLE(INDEX(#REF!,'Monthly Report'!AJ226)),"")</f>
        <v/>
      </c>
      <c r="AN226" s="12" t="str">
        <f ca="1">IFERROR(MATCH($G$115,OFFSET(#REF!,AN225,0,1000000),0)+AN225,"")</f>
        <v/>
      </c>
      <c r="AO226" s="17" t="str">
        <f ca="1">IFERROR(_xlfn.SINGLE(INDEX(#REF!,'Monthly Report'!AN226)),"")</f>
        <v/>
      </c>
      <c r="AP226" s="12" t="str">
        <f ca="1">IFERROR(_xlfn.SINGLE(INDEX(#REF!,'Monthly Report'!AN226)),"")</f>
        <v/>
      </c>
    </row>
    <row r="227" spans="36:42">
      <c r="AJ227" s="12" t="str">
        <f ca="1">IFERROR(MATCH($B$114,OFFSET(#REF!,AJ226,0,1000000),0)+AJ226,"")</f>
        <v/>
      </c>
      <c r="AK227" s="17" t="str">
        <f ca="1">IFERROR(_xlfn.SINGLE(INDEX(#REF!,'Monthly Report'!AJ227)),"")</f>
        <v/>
      </c>
      <c r="AL227" s="12" t="str">
        <f ca="1">IFERROR(_xlfn.SINGLE(INDEX(#REF!,'Monthly Report'!AJ227)),"")</f>
        <v/>
      </c>
      <c r="AN227" s="12" t="str">
        <f ca="1">IFERROR(MATCH($G$115,OFFSET(#REF!,AN226,0,1000000),0)+AN226,"")</f>
        <v/>
      </c>
      <c r="AO227" s="17" t="str">
        <f ca="1">IFERROR(_xlfn.SINGLE(INDEX(#REF!,'Monthly Report'!AN227)),"")</f>
        <v/>
      </c>
      <c r="AP227" s="12" t="str">
        <f ca="1">IFERROR(_xlfn.SINGLE(INDEX(#REF!,'Monthly Report'!AN227)),"")</f>
        <v/>
      </c>
    </row>
    <row r="228" spans="36:42">
      <c r="AJ228" s="12" t="str">
        <f ca="1">IFERROR(MATCH($B$114,OFFSET(#REF!,AJ227,0,1000000),0)+AJ227,"")</f>
        <v/>
      </c>
      <c r="AK228" s="17" t="str">
        <f ca="1">IFERROR(_xlfn.SINGLE(INDEX(#REF!,'Monthly Report'!AJ228)),"")</f>
        <v/>
      </c>
      <c r="AL228" s="12" t="str">
        <f ca="1">IFERROR(_xlfn.SINGLE(INDEX(#REF!,'Monthly Report'!AJ228)),"")</f>
        <v/>
      </c>
      <c r="AN228" s="12" t="str">
        <f ca="1">IFERROR(MATCH($G$115,OFFSET(#REF!,AN227,0,1000000),0)+AN227,"")</f>
        <v/>
      </c>
      <c r="AO228" s="17" t="str">
        <f ca="1">IFERROR(_xlfn.SINGLE(INDEX(#REF!,'Monthly Report'!AN228)),"")</f>
        <v/>
      </c>
      <c r="AP228" s="12" t="str">
        <f ca="1">IFERROR(_xlfn.SINGLE(INDEX(#REF!,'Monthly Report'!AN228)),"")</f>
        <v/>
      </c>
    </row>
    <row r="229" spans="36:42">
      <c r="AJ229" s="12" t="str">
        <f ca="1">IFERROR(MATCH($B$114,OFFSET(#REF!,AJ228,0,1000000),0)+AJ228,"")</f>
        <v/>
      </c>
      <c r="AK229" s="17" t="str">
        <f ca="1">IFERROR(_xlfn.SINGLE(INDEX(#REF!,'Monthly Report'!AJ229)),"")</f>
        <v/>
      </c>
      <c r="AL229" s="12" t="str">
        <f ca="1">IFERROR(_xlfn.SINGLE(INDEX(#REF!,'Monthly Report'!AJ229)),"")</f>
        <v/>
      </c>
      <c r="AN229" s="12" t="str">
        <f ca="1">IFERROR(MATCH($G$115,OFFSET(#REF!,AN228,0,1000000),0)+AN228,"")</f>
        <v/>
      </c>
      <c r="AO229" s="17" t="str">
        <f ca="1">IFERROR(_xlfn.SINGLE(INDEX(#REF!,'Monthly Report'!AN229)),"")</f>
        <v/>
      </c>
      <c r="AP229" s="12" t="str">
        <f ca="1">IFERROR(_xlfn.SINGLE(INDEX(#REF!,'Monthly Report'!AN229)),"")</f>
        <v/>
      </c>
    </row>
    <row r="230" spans="36:42">
      <c r="AJ230" s="12" t="str">
        <f ca="1">IFERROR(MATCH($B$114,OFFSET(#REF!,AJ229,0,1000000),0)+AJ229,"")</f>
        <v/>
      </c>
      <c r="AK230" s="17" t="str">
        <f ca="1">IFERROR(_xlfn.SINGLE(INDEX(#REF!,'Monthly Report'!AJ230)),"")</f>
        <v/>
      </c>
      <c r="AL230" s="12" t="str">
        <f ca="1">IFERROR(_xlfn.SINGLE(INDEX(#REF!,'Monthly Report'!AJ230)),"")</f>
        <v/>
      </c>
      <c r="AN230" s="12" t="str">
        <f ca="1">IFERROR(MATCH($G$115,OFFSET(#REF!,AN229,0,1000000),0)+AN229,"")</f>
        <v/>
      </c>
      <c r="AO230" s="17" t="str">
        <f ca="1">IFERROR(_xlfn.SINGLE(INDEX(#REF!,'Monthly Report'!AN230)),"")</f>
        <v/>
      </c>
      <c r="AP230" s="12" t="str">
        <f ca="1">IFERROR(_xlfn.SINGLE(INDEX(#REF!,'Monthly Report'!AN230)),"")</f>
        <v/>
      </c>
    </row>
    <row r="231" spans="36:42">
      <c r="AJ231" s="12" t="str">
        <f ca="1">IFERROR(MATCH($B$114,OFFSET(#REF!,AJ230,0,1000000),0)+AJ230,"")</f>
        <v/>
      </c>
      <c r="AK231" s="17" t="str">
        <f ca="1">IFERROR(_xlfn.SINGLE(INDEX(#REF!,'Monthly Report'!AJ231)),"")</f>
        <v/>
      </c>
      <c r="AL231" s="12" t="str">
        <f ca="1">IFERROR(_xlfn.SINGLE(INDEX(#REF!,'Monthly Report'!AJ231)),"")</f>
        <v/>
      </c>
      <c r="AN231" s="12" t="str">
        <f ca="1">IFERROR(MATCH($G$115,OFFSET(#REF!,AN230,0,1000000),0)+AN230,"")</f>
        <v/>
      </c>
      <c r="AO231" s="17" t="str">
        <f ca="1">IFERROR(_xlfn.SINGLE(INDEX(#REF!,'Monthly Report'!AN231)),"")</f>
        <v/>
      </c>
      <c r="AP231" s="12" t="str">
        <f ca="1">IFERROR(_xlfn.SINGLE(INDEX(#REF!,'Monthly Report'!AN231)),"")</f>
        <v/>
      </c>
    </row>
    <row r="232" spans="36:42">
      <c r="AJ232" s="12" t="str">
        <f ca="1">IFERROR(MATCH($B$114,OFFSET(#REF!,AJ231,0,1000000),0)+AJ231,"")</f>
        <v/>
      </c>
      <c r="AK232" s="17" t="str">
        <f ca="1">IFERROR(_xlfn.SINGLE(INDEX(#REF!,'Monthly Report'!AJ232)),"")</f>
        <v/>
      </c>
      <c r="AL232" s="12" t="str">
        <f ca="1">IFERROR(_xlfn.SINGLE(INDEX(#REF!,'Monthly Report'!AJ232)),"")</f>
        <v/>
      </c>
      <c r="AN232" s="12" t="str">
        <f ca="1">IFERROR(MATCH($G$115,OFFSET(#REF!,AN231,0,1000000),0)+AN231,"")</f>
        <v/>
      </c>
      <c r="AO232" s="17" t="str">
        <f ca="1">IFERROR(_xlfn.SINGLE(INDEX(#REF!,'Monthly Report'!AN232)),"")</f>
        <v/>
      </c>
      <c r="AP232" s="12" t="str">
        <f ca="1">IFERROR(_xlfn.SINGLE(INDEX(#REF!,'Monthly Report'!AN232)),"")</f>
        <v/>
      </c>
    </row>
    <row r="233" spans="36:42">
      <c r="AJ233" s="12" t="str">
        <f ca="1">IFERROR(MATCH($B$114,OFFSET(#REF!,AJ232,0,1000000),0)+AJ232,"")</f>
        <v/>
      </c>
      <c r="AK233" s="17" t="str">
        <f ca="1">IFERROR(_xlfn.SINGLE(INDEX(#REF!,'Monthly Report'!AJ233)),"")</f>
        <v/>
      </c>
      <c r="AL233" s="12" t="str">
        <f ca="1">IFERROR(_xlfn.SINGLE(INDEX(#REF!,'Monthly Report'!AJ233)),"")</f>
        <v/>
      </c>
      <c r="AN233" s="12" t="str">
        <f ca="1">IFERROR(MATCH($G$115,OFFSET(#REF!,AN232,0,1000000),0)+AN232,"")</f>
        <v/>
      </c>
      <c r="AO233" s="17" t="str">
        <f ca="1">IFERROR(_xlfn.SINGLE(INDEX(#REF!,'Monthly Report'!AN233)),"")</f>
        <v/>
      </c>
      <c r="AP233" s="12" t="str">
        <f ca="1">IFERROR(_xlfn.SINGLE(INDEX(#REF!,'Monthly Report'!AN233)),"")</f>
        <v/>
      </c>
    </row>
    <row r="234" spans="36:42">
      <c r="AJ234" s="12" t="str">
        <f ca="1">IFERROR(MATCH($B$114,OFFSET(#REF!,AJ233,0,1000000),0)+AJ233,"")</f>
        <v/>
      </c>
      <c r="AK234" s="17" t="str">
        <f ca="1">IFERROR(_xlfn.SINGLE(INDEX(#REF!,'Monthly Report'!AJ234)),"")</f>
        <v/>
      </c>
      <c r="AL234" s="12" t="str">
        <f ca="1">IFERROR(_xlfn.SINGLE(INDEX(#REF!,'Monthly Report'!AJ234)),"")</f>
        <v/>
      </c>
      <c r="AN234" s="12" t="str">
        <f ca="1">IFERROR(MATCH($G$115,OFFSET(#REF!,AN233,0,1000000),0)+AN233,"")</f>
        <v/>
      </c>
      <c r="AO234" s="17" t="str">
        <f ca="1">IFERROR(_xlfn.SINGLE(INDEX(#REF!,'Monthly Report'!AN234)),"")</f>
        <v/>
      </c>
      <c r="AP234" s="12" t="str">
        <f ca="1">IFERROR(_xlfn.SINGLE(INDEX(#REF!,'Monthly Report'!AN234)),"")</f>
        <v/>
      </c>
    </row>
    <row r="235" spans="36:42">
      <c r="AJ235" s="12" t="str">
        <f ca="1">IFERROR(MATCH($B$114,OFFSET(#REF!,AJ234,0,1000000),0)+AJ234,"")</f>
        <v/>
      </c>
      <c r="AK235" s="17" t="str">
        <f ca="1">IFERROR(_xlfn.SINGLE(INDEX(#REF!,'Monthly Report'!AJ235)),"")</f>
        <v/>
      </c>
      <c r="AL235" s="12" t="str">
        <f ca="1">IFERROR(_xlfn.SINGLE(INDEX(#REF!,'Monthly Report'!AJ235)),"")</f>
        <v/>
      </c>
      <c r="AN235" s="12" t="str">
        <f ca="1">IFERROR(MATCH($G$115,OFFSET(#REF!,AN234,0,1000000),0)+AN234,"")</f>
        <v/>
      </c>
      <c r="AO235" s="17" t="str">
        <f ca="1">IFERROR(_xlfn.SINGLE(INDEX(#REF!,'Monthly Report'!AN235)),"")</f>
        <v/>
      </c>
      <c r="AP235" s="12" t="str">
        <f ca="1">IFERROR(_xlfn.SINGLE(INDEX(#REF!,'Monthly Report'!AN235)),"")</f>
        <v/>
      </c>
    </row>
    <row r="236" spans="36:42">
      <c r="AJ236" s="12" t="str">
        <f ca="1">IFERROR(MATCH($B$114,OFFSET(#REF!,AJ235,0,1000000),0)+AJ235,"")</f>
        <v/>
      </c>
      <c r="AK236" s="17" t="str">
        <f ca="1">IFERROR(_xlfn.SINGLE(INDEX(#REF!,'Monthly Report'!AJ236)),"")</f>
        <v/>
      </c>
      <c r="AL236" s="12" t="str">
        <f ca="1">IFERROR(_xlfn.SINGLE(INDEX(#REF!,'Monthly Report'!AJ236)),"")</f>
        <v/>
      </c>
      <c r="AN236" s="12" t="str">
        <f ca="1">IFERROR(MATCH($G$115,OFFSET(#REF!,AN235,0,1000000),0)+AN235,"")</f>
        <v/>
      </c>
      <c r="AO236" s="17" t="str">
        <f ca="1">IFERROR(_xlfn.SINGLE(INDEX(#REF!,'Monthly Report'!AN236)),"")</f>
        <v/>
      </c>
      <c r="AP236" s="12" t="str">
        <f ca="1">IFERROR(_xlfn.SINGLE(INDEX(#REF!,'Monthly Report'!AN236)),"")</f>
        <v/>
      </c>
    </row>
    <row r="237" spans="36:42">
      <c r="AJ237" s="12" t="str">
        <f ca="1">IFERROR(MATCH($B$114,OFFSET(#REF!,AJ236,0,1000000),0)+AJ236,"")</f>
        <v/>
      </c>
      <c r="AK237" s="17" t="str">
        <f ca="1">IFERROR(_xlfn.SINGLE(INDEX(#REF!,'Monthly Report'!AJ237)),"")</f>
        <v/>
      </c>
      <c r="AL237" s="12" t="str">
        <f ca="1">IFERROR(_xlfn.SINGLE(INDEX(#REF!,'Monthly Report'!AJ237)),"")</f>
        <v/>
      </c>
      <c r="AN237" s="12" t="str">
        <f ca="1">IFERROR(MATCH($G$115,OFFSET(#REF!,AN236,0,1000000),0)+AN236,"")</f>
        <v/>
      </c>
      <c r="AO237" s="17" t="str">
        <f ca="1">IFERROR(_xlfn.SINGLE(INDEX(#REF!,'Monthly Report'!AN237)),"")</f>
        <v/>
      </c>
      <c r="AP237" s="12" t="str">
        <f ca="1">IFERROR(_xlfn.SINGLE(INDEX(#REF!,'Monthly Report'!AN237)),"")</f>
        <v/>
      </c>
    </row>
    <row r="238" spans="36:42">
      <c r="AJ238" s="12" t="str">
        <f ca="1">IFERROR(MATCH($B$114,OFFSET(#REF!,AJ237,0,1000000),0)+AJ237,"")</f>
        <v/>
      </c>
      <c r="AK238" s="17" t="str">
        <f ca="1">IFERROR(_xlfn.SINGLE(INDEX(#REF!,'Monthly Report'!AJ238)),"")</f>
        <v/>
      </c>
      <c r="AL238" s="12" t="str">
        <f ca="1">IFERROR(_xlfn.SINGLE(INDEX(#REF!,'Monthly Report'!AJ238)),"")</f>
        <v/>
      </c>
      <c r="AN238" s="12" t="str">
        <f ca="1">IFERROR(MATCH($G$115,OFFSET(#REF!,AN237,0,1000000),0)+AN237,"")</f>
        <v/>
      </c>
      <c r="AO238" s="17" t="str">
        <f ca="1">IFERROR(_xlfn.SINGLE(INDEX(#REF!,'Monthly Report'!AN238)),"")</f>
        <v/>
      </c>
      <c r="AP238" s="12" t="str">
        <f ca="1">IFERROR(_xlfn.SINGLE(INDEX(#REF!,'Monthly Report'!AN238)),"")</f>
        <v/>
      </c>
    </row>
    <row r="239" spans="36:42">
      <c r="AJ239" s="12" t="str">
        <f ca="1">IFERROR(MATCH($B$114,OFFSET(#REF!,AJ238,0,1000000),0)+AJ238,"")</f>
        <v/>
      </c>
      <c r="AK239" s="17" t="str">
        <f ca="1">IFERROR(_xlfn.SINGLE(INDEX(#REF!,'Monthly Report'!AJ239)),"")</f>
        <v/>
      </c>
      <c r="AL239" s="12" t="str">
        <f ca="1">IFERROR(_xlfn.SINGLE(INDEX(#REF!,'Monthly Report'!AJ239)),"")</f>
        <v/>
      </c>
      <c r="AN239" s="12" t="str">
        <f ca="1">IFERROR(MATCH($G$115,OFFSET(#REF!,AN238,0,1000000),0)+AN238,"")</f>
        <v/>
      </c>
      <c r="AO239" s="17" t="str">
        <f ca="1">IFERROR(_xlfn.SINGLE(INDEX(#REF!,'Monthly Report'!AN239)),"")</f>
        <v/>
      </c>
      <c r="AP239" s="12" t="str">
        <f ca="1">IFERROR(_xlfn.SINGLE(INDEX(#REF!,'Monthly Report'!AN239)),"")</f>
        <v/>
      </c>
    </row>
    <row r="240" spans="36:42">
      <c r="AJ240" s="12" t="str">
        <f ca="1">IFERROR(MATCH($B$114,OFFSET(#REF!,AJ239,0,1000000),0)+AJ239,"")</f>
        <v/>
      </c>
      <c r="AK240" s="17" t="str">
        <f ca="1">IFERROR(_xlfn.SINGLE(INDEX(#REF!,'Monthly Report'!AJ240)),"")</f>
        <v/>
      </c>
      <c r="AL240" s="12" t="str">
        <f ca="1">IFERROR(_xlfn.SINGLE(INDEX(#REF!,'Monthly Report'!AJ240)),"")</f>
        <v/>
      </c>
      <c r="AN240" s="12" t="str">
        <f ca="1">IFERROR(MATCH($G$115,OFFSET(#REF!,AN239,0,1000000),0)+AN239,"")</f>
        <v/>
      </c>
      <c r="AO240" s="17" t="str">
        <f ca="1">IFERROR(_xlfn.SINGLE(INDEX(#REF!,'Monthly Report'!AN240)),"")</f>
        <v/>
      </c>
      <c r="AP240" s="12" t="str">
        <f ca="1">IFERROR(_xlfn.SINGLE(INDEX(#REF!,'Monthly Report'!AN240)),"")</f>
        <v/>
      </c>
    </row>
    <row r="241" spans="36:42">
      <c r="AJ241" s="12" t="str">
        <f ca="1">IFERROR(MATCH($B$114,OFFSET(#REF!,AJ240,0,1000000),0)+AJ240,"")</f>
        <v/>
      </c>
      <c r="AK241" s="17" t="str">
        <f ca="1">IFERROR(_xlfn.SINGLE(INDEX(#REF!,'Monthly Report'!AJ241)),"")</f>
        <v/>
      </c>
      <c r="AL241" s="12" t="str">
        <f ca="1">IFERROR(_xlfn.SINGLE(INDEX(#REF!,'Monthly Report'!AJ241)),"")</f>
        <v/>
      </c>
      <c r="AN241" s="12" t="str">
        <f ca="1">IFERROR(MATCH($G$115,OFFSET(#REF!,AN240,0,1000000),0)+AN240,"")</f>
        <v/>
      </c>
      <c r="AO241" s="17" t="str">
        <f ca="1">IFERROR(_xlfn.SINGLE(INDEX(#REF!,'Monthly Report'!AN241)),"")</f>
        <v/>
      </c>
      <c r="AP241" s="12" t="str">
        <f ca="1">IFERROR(_xlfn.SINGLE(INDEX(#REF!,'Monthly Report'!AN241)),"")</f>
        <v/>
      </c>
    </row>
    <row r="242" spans="36:42">
      <c r="AJ242" s="12" t="str">
        <f ca="1">IFERROR(MATCH($B$114,OFFSET(#REF!,AJ241,0,1000000),0)+AJ241,"")</f>
        <v/>
      </c>
      <c r="AK242" s="17" t="str">
        <f ca="1">IFERROR(_xlfn.SINGLE(INDEX(#REF!,'Monthly Report'!AJ242)),"")</f>
        <v/>
      </c>
      <c r="AL242" s="12" t="str">
        <f ca="1">IFERROR(_xlfn.SINGLE(INDEX(#REF!,'Monthly Report'!AJ242)),"")</f>
        <v/>
      </c>
      <c r="AN242" s="12" t="str">
        <f ca="1">IFERROR(MATCH($G$115,OFFSET(#REF!,AN241,0,1000000),0)+AN241,"")</f>
        <v/>
      </c>
      <c r="AO242" s="17" t="str">
        <f ca="1">IFERROR(_xlfn.SINGLE(INDEX(#REF!,'Monthly Report'!AN242)),"")</f>
        <v/>
      </c>
      <c r="AP242" s="12" t="str">
        <f ca="1">IFERROR(_xlfn.SINGLE(INDEX(#REF!,'Monthly Report'!AN242)),"")</f>
        <v/>
      </c>
    </row>
    <row r="243" spans="36:42">
      <c r="AJ243" s="12" t="str">
        <f ca="1">IFERROR(MATCH($B$114,OFFSET(#REF!,AJ242,0,1000000),0)+AJ242,"")</f>
        <v/>
      </c>
      <c r="AK243" s="17" t="str">
        <f ca="1">IFERROR(_xlfn.SINGLE(INDEX(#REF!,'Monthly Report'!AJ243)),"")</f>
        <v/>
      </c>
      <c r="AL243" s="12" t="str">
        <f ca="1">IFERROR(_xlfn.SINGLE(INDEX(#REF!,'Monthly Report'!AJ243)),"")</f>
        <v/>
      </c>
      <c r="AN243" s="12" t="str">
        <f ca="1">IFERROR(MATCH($G$115,OFFSET(#REF!,AN242,0,1000000),0)+AN242,"")</f>
        <v/>
      </c>
      <c r="AO243" s="17" t="str">
        <f ca="1">IFERROR(_xlfn.SINGLE(INDEX(#REF!,'Monthly Report'!AN243)),"")</f>
        <v/>
      </c>
      <c r="AP243" s="12" t="str">
        <f ca="1">IFERROR(_xlfn.SINGLE(INDEX(#REF!,'Monthly Report'!AN243)),"")</f>
        <v/>
      </c>
    </row>
    <row r="244" spans="36:42">
      <c r="AJ244" s="12" t="str">
        <f ca="1">IFERROR(MATCH($B$114,OFFSET(#REF!,AJ243,0,1000000),0)+AJ243,"")</f>
        <v/>
      </c>
      <c r="AK244" s="17" t="str">
        <f ca="1">IFERROR(_xlfn.SINGLE(INDEX(#REF!,'Monthly Report'!AJ244)),"")</f>
        <v/>
      </c>
      <c r="AL244" s="12" t="str">
        <f ca="1">IFERROR(_xlfn.SINGLE(INDEX(#REF!,'Monthly Report'!AJ244)),"")</f>
        <v/>
      </c>
      <c r="AN244" s="12" t="str">
        <f ca="1">IFERROR(MATCH($G$115,OFFSET(#REF!,AN243,0,1000000),0)+AN243,"")</f>
        <v/>
      </c>
      <c r="AO244" s="17" t="str">
        <f ca="1">IFERROR(_xlfn.SINGLE(INDEX(#REF!,'Monthly Report'!AN244)),"")</f>
        <v/>
      </c>
      <c r="AP244" s="12" t="str">
        <f ca="1">IFERROR(_xlfn.SINGLE(INDEX(#REF!,'Monthly Report'!AN244)),"")</f>
        <v/>
      </c>
    </row>
    <row r="245" spans="36:42">
      <c r="AJ245" s="12" t="str">
        <f ca="1">IFERROR(MATCH($B$114,OFFSET(#REF!,AJ244,0,1000000),0)+AJ244,"")</f>
        <v/>
      </c>
      <c r="AK245" s="17" t="str">
        <f ca="1">IFERROR(_xlfn.SINGLE(INDEX(#REF!,'Monthly Report'!AJ245)),"")</f>
        <v/>
      </c>
      <c r="AL245" s="12" t="str">
        <f ca="1">IFERROR(_xlfn.SINGLE(INDEX(#REF!,'Monthly Report'!AJ245)),"")</f>
        <v/>
      </c>
      <c r="AN245" s="12" t="str">
        <f ca="1">IFERROR(MATCH($G$115,OFFSET(#REF!,AN244,0,1000000),0)+AN244,"")</f>
        <v/>
      </c>
      <c r="AO245" s="17" t="str">
        <f ca="1">IFERROR(_xlfn.SINGLE(INDEX(#REF!,'Monthly Report'!AN245)),"")</f>
        <v/>
      </c>
      <c r="AP245" s="12" t="str">
        <f ca="1">IFERROR(_xlfn.SINGLE(INDEX(#REF!,'Monthly Report'!AN245)),"")</f>
        <v/>
      </c>
    </row>
    <row r="246" spans="36:42">
      <c r="AJ246" s="12" t="str">
        <f ca="1">IFERROR(MATCH($B$114,OFFSET(#REF!,AJ245,0,1000000),0)+AJ245,"")</f>
        <v/>
      </c>
      <c r="AK246" s="17" t="str">
        <f ca="1">IFERROR(_xlfn.SINGLE(INDEX(#REF!,'Monthly Report'!AJ246)),"")</f>
        <v/>
      </c>
      <c r="AL246" s="12" t="str">
        <f ca="1">IFERROR(_xlfn.SINGLE(INDEX(#REF!,'Monthly Report'!AJ246)),"")</f>
        <v/>
      </c>
      <c r="AN246" s="12" t="str">
        <f ca="1">IFERROR(MATCH($G$115,OFFSET(#REF!,AN245,0,1000000),0)+AN245,"")</f>
        <v/>
      </c>
      <c r="AO246" s="17" t="str">
        <f ca="1">IFERROR(_xlfn.SINGLE(INDEX(#REF!,'Monthly Report'!AN246)),"")</f>
        <v/>
      </c>
      <c r="AP246" s="12" t="str">
        <f ca="1">IFERROR(_xlfn.SINGLE(INDEX(#REF!,'Monthly Report'!AN246)),"")</f>
        <v/>
      </c>
    </row>
    <row r="247" spans="36:42">
      <c r="AJ247" s="12" t="str">
        <f ca="1">IFERROR(MATCH($B$114,OFFSET(#REF!,AJ246,0,1000000),0)+AJ246,"")</f>
        <v/>
      </c>
      <c r="AK247" s="17" t="str">
        <f ca="1">IFERROR(_xlfn.SINGLE(INDEX(#REF!,'Monthly Report'!AJ247)),"")</f>
        <v/>
      </c>
      <c r="AL247" s="12" t="str">
        <f ca="1">IFERROR(_xlfn.SINGLE(INDEX(#REF!,'Monthly Report'!AJ247)),"")</f>
        <v/>
      </c>
      <c r="AN247" s="12" t="str">
        <f ca="1">IFERROR(MATCH($G$115,OFFSET(#REF!,AN246,0,1000000),0)+AN246,"")</f>
        <v/>
      </c>
      <c r="AO247" s="17" t="str">
        <f ca="1">IFERROR(_xlfn.SINGLE(INDEX(#REF!,'Monthly Report'!AN247)),"")</f>
        <v/>
      </c>
      <c r="AP247" s="12" t="str">
        <f ca="1">IFERROR(_xlfn.SINGLE(INDEX(#REF!,'Monthly Report'!AN247)),"")</f>
        <v/>
      </c>
    </row>
    <row r="248" spans="36:42">
      <c r="AJ248" s="12" t="str">
        <f ca="1">IFERROR(MATCH($B$114,OFFSET(#REF!,AJ247,0,1000000),0)+AJ247,"")</f>
        <v/>
      </c>
      <c r="AK248" s="17" t="str">
        <f ca="1">IFERROR(_xlfn.SINGLE(INDEX(#REF!,'Monthly Report'!AJ248)),"")</f>
        <v/>
      </c>
      <c r="AL248" s="12" t="str">
        <f ca="1">IFERROR(_xlfn.SINGLE(INDEX(#REF!,'Monthly Report'!AJ248)),"")</f>
        <v/>
      </c>
      <c r="AN248" s="12" t="str">
        <f ca="1">IFERROR(MATCH($G$115,OFFSET(#REF!,AN247,0,1000000),0)+AN247,"")</f>
        <v/>
      </c>
      <c r="AO248" s="17" t="str">
        <f ca="1">IFERROR(_xlfn.SINGLE(INDEX(#REF!,'Monthly Report'!AN248)),"")</f>
        <v/>
      </c>
      <c r="AP248" s="12" t="str">
        <f ca="1">IFERROR(_xlfn.SINGLE(INDEX(#REF!,'Monthly Report'!AN248)),"")</f>
        <v/>
      </c>
    </row>
    <row r="249" spans="36:42">
      <c r="AJ249" s="12" t="str">
        <f ca="1">IFERROR(MATCH($B$114,OFFSET(#REF!,AJ248,0,1000000),0)+AJ248,"")</f>
        <v/>
      </c>
      <c r="AK249" s="17" t="str">
        <f ca="1">IFERROR(_xlfn.SINGLE(INDEX(#REF!,'Monthly Report'!AJ249)),"")</f>
        <v/>
      </c>
      <c r="AL249" s="12" t="str">
        <f ca="1">IFERROR(_xlfn.SINGLE(INDEX(#REF!,'Monthly Report'!AJ249)),"")</f>
        <v/>
      </c>
      <c r="AN249" s="12" t="str">
        <f ca="1">IFERROR(MATCH($G$115,OFFSET(#REF!,AN248,0,1000000),0)+AN248,"")</f>
        <v/>
      </c>
      <c r="AO249" s="17" t="str">
        <f ca="1">IFERROR(_xlfn.SINGLE(INDEX(#REF!,'Monthly Report'!AN249)),"")</f>
        <v/>
      </c>
      <c r="AP249" s="12" t="str">
        <f ca="1">IFERROR(_xlfn.SINGLE(INDEX(#REF!,'Monthly Report'!AN249)),"")</f>
        <v/>
      </c>
    </row>
    <row r="250" spans="36:42">
      <c r="AJ250" s="12" t="str">
        <f ca="1">IFERROR(MATCH($B$114,OFFSET(#REF!,AJ249,0,1000000),0)+AJ249,"")</f>
        <v/>
      </c>
      <c r="AK250" s="17" t="str">
        <f ca="1">IFERROR(_xlfn.SINGLE(INDEX(#REF!,'Monthly Report'!AJ250)),"")</f>
        <v/>
      </c>
      <c r="AL250" s="12" t="str">
        <f ca="1">IFERROR(_xlfn.SINGLE(INDEX(#REF!,'Monthly Report'!AJ250)),"")</f>
        <v/>
      </c>
      <c r="AN250" s="12" t="str">
        <f ca="1">IFERROR(MATCH($G$115,OFFSET(#REF!,AN249,0,1000000),0)+AN249,"")</f>
        <v/>
      </c>
      <c r="AO250" s="17" t="str">
        <f ca="1">IFERROR(_xlfn.SINGLE(INDEX(#REF!,'Monthly Report'!AN250)),"")</f>
        <v/>
      </c>
      <c r="AP250" s="12" t="str">
        <f ca="1">IFERROR(_xlfn.SINGLE(INDEX(#REF!,'Monthly Report'!AN250)),"")</f>
        <v/>
      </c>
    </row>
    <row r="251" spans="36:42">
      <c r="AJ251" s="12" t="str">
        <f ca="1">IFERROR(MATCH($B$114,OFFSET(#REF!,AJ250,0,1000000),0)+AJ250,"")</f>
        <v/>
      </c>
      <c r="AK251" s="17" t="str">
        <f ca="1">IFERROR(_xlfn.SINGLE(INDEX(#REF!,'Monthly Report'!AJ251)),"")</f>
        <v/>
      </c>
      <c r="AL251" s="12" t="str">
        <f ca="1">IFERROR(_xlfn.SINGLE(INDEX(#REF!,'Monthly Report'!AJ251)),"")</f>
        <v/>
      </c>
      <c r="AN251" s="12" t="str">
        <f ca="1">IFERROR(MATCH($G$115,OFFSET(#REF!,AN250,0,1000000),0)+AN250,"")</f>
        <v/>
      </c>
      <c r="AO251" s="17" t="str">
        <f ca="1">IFERROR(_xlfn.SINGLE(INDEX(#REF!,'Monthly Report'!AN251)),"")</f>
        <v/>
      </c>
      <c r="AP251" s="12" t="str">
        <f ca="1">IFERROR(_xlfn.SINGLE(INDEX(#REF!,'Monthly Report'!AN251)),"")</f>
        <v/>
      </c>
    </row>
    <row r="252" spans="36:42">
      <c r="AJ252" s="12" t="str">
        <f ca="1">IFERROR(MATCH($B$114,OFFSET(#REF!,AJ251,0,1000000),0)+AJ251,"")</f>
        <v/>
      </c>
      <c r="AK252" s="17" t="str">
        <f ca="1">IFERROR(_xlfn.SINGLE(INDEX(#REF!,'Monthly Report'!AJ252)),"")</f>
        <v/>
      </c>
      <c r="AL252" s="12" t="str">
        <f ca="1">IFERROR(_xlfn.SINGLE(INDEX(#REF!,'Monthly Report'!AJ252)),"")</f>
        <v/>
      </c>
      <c r="AN252" s="12" t="str">
        <f ca="1">IFERROR(MATCH($G$115,OFFSET(#REF!,AN251,0,1000000),0)+AN251,"")</f>
        <v/>
      </c>
      <c r="AO252" s="17" t="str">
        <f ca="1">IFERROR(_xlfn.SINGLE(INDEX(#REF!,'Monthly Report'!AN252)),"")</f>
        <v/>
      </c>
      <c r="AP252" s="12" t="str">
        <f ca="1">IFERROR(_xlfn.SINGLE(INDEX(#REF!,'Monthly Report'!AN252)),"")</f>
        <v/>
      </c>
    </row>
    <row r="253" spans="36:42">
      <c r="AJ253" s="12" t="str">
        <f ca="1">IFERROR(MATCH($B$114,OFFSET(#REF!,AJ252,0,1000000),0)+AJ252,"")</f>
        <v/>
      </c>
      <c r="AK253" s="17" t="str">
        <f ca="1">IFERROR(_xlfn.SINGLE(INDEX(#REF!,'Monthly Report'!AJ253)),"")</f>
        <v/>
      </c>
      <c r="AL253" s="12" t="str">
        <f ca="1">IFERROR(_xlfn.SINGLE(INDEX(#REF!,'Monthly Report'!AJ253)),"")</f>
        <v/>
      </c>
      <c r="AN253" s="12" t="str">
        <f ca="1">IFERROR(MATCH($G$115,OFFSET(#REF!,AN252,0,1000000),0)+AN252,"")</f>
        <v/>
      </c>
      <c r="AO253" s="17" t="str">
        <f ca="1">IFERROR(_xlfn.SINGLE(INDEX(#REF!,'Monthly Report'!AN253)),"")</f>
        <v/>
      </c>
      <c r="AP253" s="12" t="str">
        <f ca="1">IFERROR(_xlfn.SINGLE(INDEX(#REF!,'Monthly Report'!AN253)),"")</f>
        <v/>
      </c>
    </row>
    <row r="254" spans="36:42">
      <c r="AJ254" s="12" t="str">
        <f ca="1">IFERROR(MATCH($B$114,OFFSET(#REF!,AJ253,0,1000000),0)+AJ253,"")</f>
        <v/>
      </c>
      <c r="AK254" s="17" t="str">
        <f ca="1">IFERROR(_xlfn.SINGLE(INDEX(#REF!,'Monthly Report'!AJ254)),"")</f>
        <v/>
      </c>
      <c r="AL254" s="12" t="str">
        <f ca="1">IFERROR(_xlfn.SINGLE(INDEX(#REF!,'Monthly Report'!AJ254)),"")</f>
        <v/>
      </c>
      <c r="AN254" s="12" t="str">
        <f ca="1">IFERROR(MATCH($G$115,OFFSET(#REF!,AN253,0,1000000),0)+AN253,"")</f>
        <v/>
      </c>
      <c r="AO254" s="17" t="str">
        <f ca="1">IFERROR(_xlfn.SINGLE(INDEX(#REF!,'Monthly Report'!AN254)),"")</f>
        <v/>
      </c>
      <c r="AP254" s="12" t="str">
        <f ca="1">IFERROR(_xlfn.SINGLE(INDEX(#REF!,'Monthly Report'!AN254)),"")</f>
        <v/>
      </c>
    </row>
    <row r="255" spans="36:42">
      <c r="AJ255" s="12" t="str">
        <f ca="1">IFERROR(MATCH($B$114,OFFSET(#REF!,AJ254,0,1000000),0)+AJ254,"")</f>
        <v/>
      </c>
      <c r="AK255" s="17" t="str">
        <f ca="1">IFERROR(_xlfn.SINGLE(INDEX(#REF!,'Monthly Report'!AJ255)),"")</f>
        <v/>
      </c>
      <c r="AL255" s="12" t="str">
        <f ca="1">IFERROR(_xlfn.SINGLE(INDEX(#REF!,'Monthly Report'!AJ255)),"")</f>
        <v/>
      </c>
      <c r="AN255" s="12" t="str">
        <f ca="1">IFERROR(MATCH($G$115,OFFSET(#REF!,AN254,0,1000000),0)+AN254,"")</f>
        <v/>
      </c>
      <c r="AO255" s="17" t="str">
        <f ca="1">IFERROR(_xlfn.SINGLE(INDEX(#REF!,'Monthly Report'!AN255)),"")</f>
        <v/>
      </c>
      <c r="AP255" s="12" t="str">
        <f ca="1">IFERROR(_xlfn.SINGLE(INDEX(#REF!,'Monthly Report'!AN255)),"")</f>
        <v/>
      </c>
    </row>
    <row r="256" spans="36:42">
      <c r="AJ256" s="12" t="str">
        <f ca="1">IFERROR(MATCH($B$114,OFFSET(#REF!,AJ255,0,1000000),0)+AJ255,"")</f>
        <v/>
      </c>
      <c r="AK256" s="17" t="str">
        <f ca="1">IFERROR(_xlfn.SINGLE(INDEX(#REF!,'Monthly Report'!AJ256)),"")</f>
        <v/>
      </c>
      <c r="AL256" s="12" t="str">
        <f ca="1">IFERROR(_xlfn.SINGLE(INDEX(#REF!,'Monthly Report'!AJ256)),"")</f>
        <v/>
      </c>
      <c r="AN256" s="12" t="str">
        <f ca="1">IFERROR(MATCH($G$115,OFFSET(#REF!,AN255,0,1000000),0)+AN255,"")</f>
        <v/>
      </c>
      <c r="AO256" s="17" t="str">
        <f ca="1">IFERROR(_xlfn.SINGLE(INDEX(#REF!,'Monthly Report'!AN256)),"")</f>
        <v/>
      </c>
      <c r="AP256" s="12" t="str">
        <f ca="1">IFERROR(_xlfn.SINGLE(INDEX(#REF!,'Monthly Report'!AN256)),"")</f>
        <v/>
      </c>
    </row>
    <row r="257" spans="36:42">
      <c r="AJ257" s="12" t="str">
        <f ca="1">IFERROR(MATCH($B$114,OFFSET(#REF!,AJ256,0,1000000),0)+AJ256,"")</f>
        <v/>
      </c>
      <c r="AK257" s="17" t="str">
        <f ca="1">IFERROR(_xlfn.SINGLE(INDEX(#REF!,'Monthly Report'!AJ257)),"")</f>
        <v/>
      </c>
      <c r="AL257" s="12" t="str">
        <f ca="1">IFERROR(_xlfn.SINGLE(INDEX(#REF!,'Monthly Report'!AJ257)),"")</f>
        <v/>
      </c>
      <c r="AN257" s="12" t="str">
        <f ca="1">IFERROR(MATCH($G$115,OFFSET(#REF!,AN256,0,1000000),0)+AN256,"")</f>
        <v/>
      </c>
      <c r="AO257" s="17" t="str">
        <f ca="1">IFERROR(_xlfn.SINGLE(INDEX(#REF!,'Monthly Report'!AN257)),"")</f>
        <v/>
      </c>
      <c r="AP257" s="12" t="str">
        <f ca="1">IFERROR(_xlfn.SINGLE(INDEX(#REF!,'Monthly Report'!AN257)),"")</f>
        <v/>
      </c>
    </row>
    <row r="258" spans="36:42">
      <c r="AJ258" s="12" t="str">
        <f ca="1">IFERROR(MATCH($B$114,OFFSET(#REF!,AJ257,0,1000000),0)+AJ257,"")</f>
        <v/>
      </c>
      <c r="AK258" s="17" t="str">
        <f ca="1">IFERROR(_xlfn.SINGLE(INDEX(#REF!,'Monthly Report'!AJ258)),"")</f>
        <v/>
      </c>
      <c r="AL258" s="12" t="str">
        <f ca="1">IFERROR(_xlfn.SINGLE(INDEX(#REF!,'Monthly Report'!AJ258)),"")</f>
        <v/>
      </c>
      <c r="AN258" s="12" t="str">
        <f ca="1">IFERROR(MATCH($G$115,OFFSET(#REF!,AN257,0,1000000),0)+AN257,"")</f>
        <v/>
      </c>
      <c r="AO258" s="17" t="str">
        <f ca="1">IFERROR(_xlfn.SINGLE(INDEX(#REF!,'Monthly Report'!AN258)),"")</f>
        <v/>
      </c>
      <c r="AP258" s="12" t="str">
        <f ca="1">IFERROR(_xlfn.SINGLE(INDEX(#REF!,'Monthly Report'!AN258)),"")</f>
        <v/>
      </c>
    </row>
    <row r="259" spans="36:42">
      <c r="AJ259" s="12" t="str">
        <f ca="1">IFERROR(MATCH($B$114,OFFSET(#REF!,AJ258,0,1000000),0)+AJ258,"")</f>
        <v/>
      </c>
      <c r="AK259" s="17" t="str">
        <f ca="1">IFERROR(_xlfn.SINGLE(INDEX(#REF!,'Monthly Report'!AJ259)),"")</f>
        <v/>
      </c>
      <c r="AL259" s="12" t="str">
        <f ca="1">IFERROR(_xlfn.SINGLE(INDEX(#REF!,'Monthly Report'!AJ259)),"")</f>
        <v/>
      </c>
      <c r="AN259" s="12" t="str">
        <f ca="1">IFERROR(MATCH($G$115,OFFSET(#REF!,AN258,0,1000000),0)+AN258,"")</f>
        <v/>
      </c>
      <c r="AO259" s="17" t="str">
        <f ca="1">IFERROR(_xlfn.SINGLE(INDEX(#REF!,'Monthly Report'!AN259)),"")</f>
        <v/>
      </c>
      <c r="AP259" s="12" t="str">
        <f ca="1">IFERROR(_xlfn.SINGLE(INDEX(#REF!,'Monthly Report'!AN259)),"")</f>
        <v/>
      </c>
    </row>
    <row r="260" spans="36:42">
      <c r="AJ260" s="12" t="str">
        <f ca="1">IFERROR(MATCH($B$114,OFFSET(#REF!,AJ259,0,1000000),0)+AJ259,"")</f>
        <v/>
      </c>
      <c r="AK260" s="17" t="str">
        <f ca="1">IFERROR(_xlfn.SINGLE(INDEX(#REF!,'Monthly Report'!AJ260)),"")</f>
        <v/>
      </c>
      <c r="AL260" s="12" t="str">
        <f ca="1">IFERROR(_xlfn.SINGLE(INDEX(#REF!,'Monthly Report'!AJ260)),"")</f>
        <v/>
      </c>
      <c r="AN260" s="12" t="str">
        <f ca="1">IFERROR(MATCH($G$115,OFFSET(#REF!,AN259,0,1000000),0)+AN259,"")</f>
        <v/>
      </c>
      <c r="AO260" s="17" t="str">
        <f ca="1">IFERROR(_xlfn.SINGLE(INDEX(#REF!,'Monthly Report'!AN260)),"")</f>
        <v/>
      </c>
      <c r="AP260" s="12" t="str">
        <f ca="1">IFERROR(_xlfn.SINGLE(INDEX(#REF!,'Monthly Report'!AN260)),"")</f>
        <v/>
      </c>
    </row>
    <row r="261" spans="36:42">
      <c r="AJ261" s="12" t="str">
        <f ca="1">IFERROR(MATCH($B$114,OFFSET(#REF!,AJ260,0,1000000),0)+AJ260,"")</f>
        <v/>
      </c>
      <c r="AK261" s="17" t="str">
        <f ca="1">IFERROR(_xlfn.SINGLE(INDEX(#REF!,'Monthly Report'!AJ261)),"")</f>
        <v/>
      </c>
      <c r="AL261" s="12" t="str">
        <f ca="1">IFERROR(_xlfn.SINGLE(INDEX(#REF!,'Monthly Report'!AJ261)),"")</f>
        <v/>
      </c>
      <c r="AN261" s="12" t="str">
        <f ca="1">IFERROR(MATCH($G$115,OFFSET(#REF!,AN260,0,1000000),0)+AN260,"")</f>
        <v/>
      </c>
      <c r="AO261" s="17" t="str">
        <f ca="1">IFERROR(_xlfn.SINGLE(INDEX(#REF!,'Monthly Report'!AN261)),"")</f>
        <v/>
      </c>
      <c r="AP261" s="12" t="str">
        <f ca="1">IFERROR(_xlfn.SINGLE(INDEX(#REF!,'Monthly Report'!AN261)),"")</f>
        <v/>
      </c>
    </row>
    <row r="262" spans="36:42">
      <c r="AJ262" s="12" t="str">
        <f ca="1">IFERROR(MATCH($B$114,OFFSET(#REF!,AJ261,0,1000000),0)+AJ261,"")</f>
        <v/>
      </c>
      <c r="AK262" s="17" t="str">
        <f ca="1">IFERROR(_xlfn.SINGLE(INDEX(#REF!,'Monthly Report'!AJ262)),"")</f>
        <v/>
      </c>
      <c r="AL262" s="12" t="str">
        <f ca="1">IFERROR(_xlfn.SINGLE(INDEX(#REF!,'Monthly Report'!AJ262)),"")</f>
        <v/>
      </c>
      <c r="AN262" s="12" t="str">
        <f ca="1">IFERROR(MATCH($G$115,OFFSET(#REF!,AN261,0,1000000),0)+AN261,"")</f>
        <v/>
      </c>
      <c r="AO262" s="17" t="str">
        <f ca="1">IFERROR(_xlfn.SINGLE(INDEX(#REF!,'Monthly Report'!AN262)),"")</f>
        <v/>
      </c>
      <c r="AP262" s="12" t="str">
        <f ca="1">IFERROR(_xlfn.SINGLE(INDEX(#REF!,'Monthly Report'!AN262)),"")</f>
        <v/>
      </c>
    </row>
    <row r="263" spans="36:42">
      <c r="AJ263" s="12" t="str">
        <f ca="1">IFERROR(MATCH($B$114,OFFSET(#REF!,AJ262,0,1000000),0)+AJ262,"")</f>
        <v/>
      </c>
      <c r="AK263" s="17" t="str">
        <f ca="1">IFERROR(_xlfn.SINGLE(INDEX(#REF!,'Monthly Report'!AJ263)),"")</f>
        <v/>
      </c>
      <c r="AL263" s="12" t="str">
        <f ca="1">IFERROR(_xlfn.SINGLE(INDEX(#REF!,'Monthly Report'!AJ263)),"")</f>
        <v/>
      </c>
      <c r="AN263" s="12" t="str">
        <f ca="1">IFERROR(MATCH($G$115,OFFSET(#REF!,AN262,0,1000000),0)+AN262,"")</f>
        <v/>
      </c>
      <c r="AO263" s="17" t="str">
        <f ca="1">IFERROR(_xlfn.SINGLE(INDEX(#REF!,'Monthly Report'!AN263)),"")</f>
        <v/>
      </c>
      <c r="AP263" s="12" t="str">
        <f ca="1">IFERROR(_xlfn.SINGLE(INDEX(#REF!,'Monthly Report'!AN263)),"")</f>
        <v/>
      </c>
    </row>
    <row r="264" spans="36:42">
      <c r="AJ264" s="12" t="str">
        <f ca="1">IFERROR(MATCH($B$114,OFFSET(#REF!,AJ263,0,1000000),0)+AJ263,"")</f>
        <v/>
      </c>
      <c r="AK264" s="17" t="str">
        <f ca="1">IFERROR(_xlfn.SINGLE(INDEX(#REF!,'Monthly Report'!AJ264)),"")</f>
        <v/>
      </c>
      <c r="AL264" s="12" t="str">
        <f ca="1">IFERROR(_xlfn.SINGLE(INDEX(#REF!,'Monthly Report'!AJ264)),"")</f>
        <v/>
      </c>
      <c r="AN264" s="12" t="str">
        <f ca="1">IFERROR(MATCH($G$115,OFFSET(#REF!,AN263,0,1000000),0)+AN263,"")</f>
        <v/>
      </c>
      <c r="AO264" s="17" t="str">
        <f ca="1">IFERROR(_xlfn.SINGLE(INDEX(#REF!,'Monthly Report'!AN264)),"")</f>
        <v/>
      </c>
      <c r="AP264" s="12" t="str">
        <f ca="1">IFERROR(_xlfn.SINGLE(INDEX(#REF!,'Monthly Report'!AN264)),"")</f>
        <v/>
      </c>
    </row>
    <row r="265" spans="36:42">
      <c r="AJ265" s="12" t="str">
        <f ca="1">IFERROR(MATCH($B$114,OFFSET(#REF!,AJ264,0,1000000),0)+AJ264,"")</f>
        <v/>
      </c>
      <c r="AK265" s="17" t="str">
        <f ca="1">IFERROR(_xlfn.SINGLE(INDEX(#REF!,'Monthly Report'!AJ265)),"")</f>
        <v/>
      </c>
      <c r="AL265" s="12" t="str">
        <f ca="1">IFERROR(_xlfn.SINGLE(INDEX(#REF!,'Monthly Report'!AJ265)),"")</f>
        <v/>
      </c>
      <c r="AN265" s="12" t="str">
        <f ca="1">IFERROR(MATCH($G$115,OFFSET(#REF!,AN264,0,1000000),0)+AN264,"")</f>
        <v/>
      </c>
      <c r="AO265" s="17" t="str">
        <f ca="1">IFERROR(_xlfn.SINGLE(INDEX(#REF!,'Monthly Report'!AN265)),"")</f>
        <v/>
      </c>
      <c r="AP265" s="12" t="str">
        <f ca="1">IFERROR(_xlfn.SINGLE(INDEX(#REF!,'Monthly Report'!AN265)),"")</f>
        <v/>
      </c>
    </row>
    <row r="266" spans="36:42">
      <c r="AJ266" s="12" t="str">
        <f ca="1">IFERROR(MATCH($B$114,OFFSET(#REF!,AJ265,0,1000000),0)+AJ265,"")</f>
        <v/>
      </c>
      <c r="AK266" s="17" t="str">
        <f ca="1">IFERROR(_xlfn.SINGLE(INDEX(#REF!,'Monthly Report'!AJ266)),"")</f>
        <v/>
      </c>
      <c r="AL266" s="12" t="str">
        <f ca="1">IFERROR(_xlfn.SINGLE(INDEX(#REF!,'Monthly Report'!AJ266)),"")</f>
        <v/>
      </c>
      <c r="AN266" s="12" t="str">
        <f ca="1">IFERROR(MATCH($G$115,OFFSET(#REF!,AN265,0,1000000),0)+AN265,"")</f>
        <v/>
      </c>
      <c r="AO266" s="17" t="str">
        <f ca="1">IFERROR(_xlfn.SINGLE(INDEX(#REF!,'Monthly Report'!AN266)),"")</f>
        <v/>
      </c>
      <c r="AP266" s="12" t="str">
        <f ca="1">IFERROR(_xlfn.SINGLE(INDEX(#REF!,'Monthly Report'!AN266)),"")</f>
        <v/>
      </c>
    </row>
    <row r="267" spans="36:42">
      <c r="AJ267" s="12" t="str">
        <f ca="1">IFERROR(MATCH($B$114,OFFSET(#REF!,AJ266,0,1000000),0)+AJ266,"")</f>
        <v/>
      </c>
      <c r="AK267" s="17" t="str">
        <f ca="1">IFERROR(_xlfn.SINGLE(INDEX(#REF!,'Monthly Report'!AJ267)),"")</f>
        <v/>
      </c>
      <c r="AL267" s="12" t="str">
        <f ca="1">IFERROR(_xlfn.SINGLE(INDEX(#REF!,'Monthly Report'!AJ267)),"")</f>
        <v/>
      </c>
      <c r="AN267" s="12" t="str">
        <f ca="1">IFERROR(MATCH($G$115,OFFSET(#REF!,AN266,0,1000000),0)+AN266,"")</f>
        <v/>
      </c>
      <c r="AO267" s="17" t="str">
        <f ca="1">IFERROR(_xlfn.SINGLE(INDEX(#REF!,'Monthly Report'!AN267)),"")</f>
        <v/>
      </c>
      <c r="AP267" s="12" t="str">
        <f ca="1">IFERROR(_xlfn.SINGLE(INDEX(#REF!,'Monthly Report'!AN267)),"")</f>
        <v/>
      </c>
    </row>
    <row r="268" spans="36:42">
      <c r="AJ268" s="12" t="str">
        <f ca="1">IFERROR(MATCH($B$114,OFFSET(#REF!,AJ267,0,1000000),0)+AJ267,"")</f>
        <v/>
      </c>
      <c r="AK268" s="17" t="str">
        <f ca="1">IFERROR(_xlfn.SINGLE(INDEX(#REF!,'Monthly Report'!AJ268)),"")</f>
        <v/>
      </c>
      <c r="AL268" s="12" t="str">
        <f ca="1">IFERROR(_xlfn.SINGLE(INDEX(#REF!,'Monthly Report'!AJ268)),"")</f>
        <v/>
      </c>
      <c r="AN268" s="12" t="str">
        <f ca="1">IFERROR(MATCH($G$115,OFFSET(#REF!,AN267,0,1000000),0)+AN267,"")</f>
        <v/>
      </c>
      <c r="AO268" s="17" t="str">
        <f ca="1">IFERROR(_xlfn.SINGLE(INDEX(#REF!,'Monthly Report'!AN268)),"")</f>
        <v/>
      </c>
      <c r="AP268" s="12" t="str">
        <f ca="1">IFERROR(_xlfn.SINGLE(INDEX(#REF!,'Monthly Report'!AN268)),"")</f>
        <v/>
      </c>
    </row>
    <row r="269" spans="36:42">
      <c r="AJ269" s="12" t="str">
        <f ca="1">IFERROR(MATCH($B$114,OFFSET(#REF!,AJ268,0,1000000),0)+AJ268,"")</f>
        <v/>
      </c>
      <c r="AK269" s="17" t="str">
        <f ca="1">IFERROR(_xlfn.SINGLE(INDEX(#REF!,'Monthly Report'!AJ269)),"")</f>
        <v/>
      </c>
      <c r="AL269" s="12" t="str">
        <f ca="1">IFERROR(_xlfn.SINGLE(INDEX(#REF!,'Monthly Report'!AJ269)),"")</f>
        <v/>
      </c>
      <c r="AN269" s="12" t="str">
        <f ca="1">IFERROR(MATCH($G$115,OFFSET(#REF!,AN268,0,1000000),0)+AN268,"")</f>
        <v/>
      </c>
      <c r="AO269" s="17" t="str">
        <f ca="1">IFERROR(_xlfn.SINGLE(INDEX(#REF!,'Monthly Report'!AN269)),"")</f>
        <v/>
      </c>
      <c r="AP269" s="12" t="str">
        <f ca="1">IFERROR(_xlfn.SINGLE(INDEX(#REF!,'Monthly Report'!AN269)),"")</f>
        <v/>
      </c>
    </row>
    <row r="270" spans="36:42">
      <c r="AJ270" s="12" t="str">
        <f ca="1">IFERROR(MATCH($B$114,OFFSET(#REF!,AJ269,0,1000000),0)+AJ269,"")</f>
        <v/>
      </c>
      <c r="AK270" s="17" t="str">
        <f ca="1">IFERROR(_xlfn.SINGLE(INDEX(#REF!,'Monthly Report'!AJ270)),"")</f>
        <v/>
      </c>
      <c r="AL270" s="12" t="str">
        <f ca="1">IFERROR(_xlfn.SINGLE(INDEX(#REF!,'Monthly Report'!AJ270)),"")</f>
        <v/>
      </c>
      <c r="AN270" s="12" t="str">
        <f ca="1">IFERROR(MATCH($G$115,OFFSET(#REF!,AN269,0,1000000),0)+AN269,"")</f>
        <v/>
      </c>
      <c r="AO270" s="17" t="str">
        <f ca="1">IFERROR(_xlfn.SINGLE(INDEX(#REF!,'Monthly Report'!AN270)),"")</f>
        <v/>
      </c>
      <c r="AP270" s="12" t="str">
        <f ca="1">IFERROR(_xlfn.SINGLE(INDEX(#REF!,'Monthly Report'!AN270)),"")</f>
        <v/>
      </c>
    </row>
    <row r="271" spans="36:42">
      <c r="AJ271" s="12" t="str">
        <f ca="1">IFERROR(MATCH($B$114,OFFSET(#REF!,AJ270,0,1000000),0)+AJ270,"")</f>
        <v/>
      </c>
      <c r="AK271" s="17" t="str">
        <f ca="1">IFERROR(_xlfn.SINGLE(INDEX(#REF!,'Monthly Report'!AJ271)),"")</f>
        <v/>
      </c>
      <c r="AL271" s="12" t="str">
        <f ca="1">IFERROR(_xlfn.SINGLE(INDEX(#REF!,'Monthly Report'!AJ271)),"")</f>
        <v/>
      </c>
      <c r="AN271" s="12" t="str">
        <f ca="1">IFERROR(MATCH($G$115,OFFSET(#REF!,AN270,0,1000000),0)+AN270,"")</f>
        <v/>
      </c>
      <c r="AO271" s="17" t="str">
        <f ca="1">IFERROR(_xlfn.SINGLE(INDEX(#REF!,'Monthly Report'!AN271)),"")</f>
        <v/>
      </c>
      <c r="AP271" s="12" t="str">
        <f ca="1">IFERROR(_xlfn.SINGLE(INDEX(#REF!,'Monthly Report'!AN271)),"")</f>
        <v/>
      </c>
    </row>
    <row r="272" spans="36:42">
      <c r="AJ272" s="12" t="str">
        <f ca="1">IFERROR(MATCH($B$114,OFFSET(#REF!,AJ271,0,1000000),0)+AJ271,"")</f>
        <v/>
      </c>
      <c r="AK272" s="17" t="str">
        <f ca="1">IFERROR(_xlfn.SINGLE(INDEX(#REF!,'Monthly Report'!AJ272)),"")</f>
        <v/>
      </c>
      <c r="AL272" s="12" t="str">
        <f ca="1">IFERROR(_xlfn.SINGLE(INDEX(#REF!,'Monthly Report'!AJ272)),"")</f>
        <v/>
      </c>
      <c r="AN272" s="12" t="str">
        <f ca="1">IFERROR(MATCH($G$115,OFFSET(#REF!,AN271,0,1000000),0)+AN271,"")</f>
        <v/>
      </c>
      <c r="AO272" s="17" t="str">
        <f ca="1">IFERROR(_xlfn.SINGLE(INDEX(#REF!,'Monthly Report'!AN272)),"")</f>
        <v/>
      </c>
      <c r="AP272" s="12" t="str">
        <f ca="1">IFERROR(_xlfn.SINGLE(INDEX(#REF!,'Monthly Report'!AN272)),"")</f>
        <v/>
      </c>
    </row>
    <row r="273" spans="36:42">
      <c r="AJ273" s="12" t="str">
        <f ca="1">IFERROR(MATCH($B$114,OFFSET(#REF!,AJ272,0,1000000),0)+AJ272,"")</f>
        <v/>
      </c>
      <c r="AK273" s="17" t="str">
        <f ca="1">IFERROR(_xlfn.SINGLE(INDEX(#REF!,'Monthly Report'!AJ273)),"")</f>
        <v/>
      </c>
      <c r="AL273" s="12" t="str">
        <f ca="1">IFERROR(_xlfn.SINGLE(INDEX(#REF!,'Monthly Report'!AJ273)),"")</f>
        <v/>
      </c>
      <c r="AN273" s="12" t="str">
        <f ca="1">IFERROR(MATCH($G$115,OFFSET(#REF!,AN272,0,1000000),0)+AN272,"")</f>
        <v/>
      </c>
      <c r="AO273" s="17" t="str">
        <f ca="1">IFERROR(_xlfn.SINGLE(INDEX(#REF!,'Monthly Report'!AN273)),"")</f>
        <v/>
      </c>
      <c r="AP273" s="12" t="str">
        <f ca="1">IFERROR(_xlfn.SINGLE(INDEX(#REF!,'Monthly Report'!AN273)),"")</f>
        <v/>
      </c>
    </row>
    <row r="274" spans="36:42">
      <c r="AJ274" s="12" t="str">
        <f ca="1">IFERROR(MATCH($B$114,OFFSET(#REF!,AJ273,0,1000000),0)+AJ273,"")</f>
        <v/>
      </c>
      <c r="AK274" s="17" t="str">
        <f ca="1">IFERROR(_xlfn.SINGLE(INDEX(#REF!,'Monthly Report'!AJ274)),"")</f>
        <v/>
      </c>
      <c r="AL274" s="12" t="str">
        <f ca="1">IFERROR(_xlfn.SINGLE(INDEX(#REF!,'Monthly Report'!AJ274)),"")</f>
        <v/>
      </c>
      <c r="AN274" s="12" t="str">
        <f ca="1">IFERROR(MATCH($G$115,OFFSET(#REF!,AN273,0,1000000),0)+AN273,"")</f>
        <v/>
      </c>
      <c r="AO274" s="17" t="str">
        <f ca="1">IFERROR(_xlfn.SINGLE(INDEX(#REF!,'Monthly Report'!AN274)),"")</f>
        <v/>
      </c>
      <c r="AP274" s="12" t="str">
        <f ca="1">IFERROR(_xlfn.SINGLE(INDEX(#REF!,'Monthly Report'!AN274)),"")</f>
        <v/>
      </c>
    </row>
    <row r="275" spans="36:42">
      <c r="AJ275" s="12" t="str">
        <f ca="1">IFERROR(MATCH($B$114,OFFSET(#REF!,AJ274,0,1000000),0)+AJ274,"")</f>
        <v/>
      </c>
      <c r="AK275" s="17" t="str">
        <f ca="1">IFERROR(_xlfn.SINGLE(INDEX(#REF!,'Monthly Report'!AJ275)),"")</f>
        <v/>
      </c>
      <c r="AL275" s="12" t="str">
        <f ca="1">IFERROR(_xlfn.SINGLE(INDEX(#REF!,'Monthly Report'!AJ275)),"")</f>
        <v/>
      </c>
      <c r="AN275" s="12" t="str">
        <f ca="1">IFERROR(MATCH($G$115,OFFSET(#REF!,AN274,0,1000000),0)+AN274,"")</f>
        <v/>
      </c>
      <c r="AO275" s="17" t="str">
        <f ca="1">IFERROR(_xlfn.SINGLE(INDEX(#REF!,'Monthly Report'!AN275)),"")</f>
        <v/>
      </c>
      <c r="AP275" s="12" t="str">
        <f ca="1">IFERROR(_xlfn.SINGLE(INDEX(#REF!,'Monthly Report'!AN275)),"")</f>
        <v/>
      </c>
    </row>
    <row r="276" spans="36:42">
      <c r="AJ276" s="12" t="str">
        <f ca="1">IFERROR(MATCH($B$114,OFFSET(#REF!,AJ275,0,1000000),0)+AJ275,"")</f>
        <v/>
      </c>
      <c r="AK276" s="17" t="str">
        <f ca="1">IFERROR(_xlfn.SINGLE(INDEX(#REF!,'Monthly Report'!AJ276)),"")</f>
        <v/>
      </c>
      <c r="AL276" s="12" t="str">
        <f ca="1">IFERROR(_xlfn.SINGLE(INDEX(#REF!,'Monthly Report'!AJ276)),"")</f>
        <v/>
      </c>
      <c r="AN276" s="12" t="str">
        <f ca="1">IFERROR(MATCH($G$115,OFFSET(#REF!,AN275,0,1000000),0)+AN275,"")</f>
        <v/>
      </c>
      <c r="AO276" s="17" t="str">
        <f ca="1">IFERROR(_xlfn.SINGLE(INDEX(#REF!,'Monthly Report'!AN276)),"")</f>
        <v/>
      </c>
      <c r="AP276" s="12" t="str">
        <f ca="1">IFERROR(_xlfn.SINGLE(INDEX(#REF!,'Monthly Report'!AN276)),"")</f>
        <v/>
      </c>
    </row>
    <row r="277" spans="36:42">
      <c r="AJ277" s="12" t="str">
        <f ca="1">IFERROR(MATCH($B$114,OFFSET(#REF!,AJ276,0,1000000),0)+AJ276,"")</f>
        <v/>
      </c>
      <c r="AK277" s="17" t="str">
        <f ca="1">IFERROR(_xlfn.SINGLE(INDEX(#REF!,'Monthly Report'!AJ277)),"")</f>
        <v/>
      </c>
      <c r="AL277" s="12" t="str">
        <f ca="1">IFERROR(_xlfn.SINGLE(INDEX(#REF!,'Monthly Report'!AJ277)),"")</f>
        <v/>
      </c>
      <c r="AN277" s="12" t="str">
        <f ca="1">IFERROR(MATCH($G$115,OFFSET(#REF!,AN276,0,1000000),0)+AN276,"")</f>
        <v/>
      </c>
      <c r="AO277" s="17" t="str">
        <f ca="1">IFERROR(_xlfn.SINGLE(INDEX(#REF!,'Monthly Report'!AN277)),"")</f>
        <v/>
      </c>
      <c r="AP277" s="12" t="str">
        <f ca="1">IFERROR(_xlfn.SINGLE(INDEX(#REF!,'Monthly Report'!AN277)),"")</f>
        <v/>
      </c>
    </row>
    <row r="278" spans="36:42">
      <c r="AJ278" s="12" t="str">
        <f ca="1">IFERROR(MATCH($B$114,OFFSET(#REF!,AJ277,0,1000000),0)+AJ277,"")</f>
        <v/>
      </c>
      <c r="AK278" s="17" t="str">
        <f ca="1">IFERROR(_xlfn.SINGLE(INDEX(#REF!,'Monthly Report'!AJ278)),"")</f>
        <v/>
      </c>
      <c r="AL278" s="12" t="str">
        <f ca="1">IFERROR(_xlfn.SINGLE(INDEX(#REF!,'Monthly Report'!AJ278)),"")</f>
        <v/>
      </c>
      <c r="AN278" s="12" t="str">
        <f ca="1">IFERROR(MATCH($G$115,OFFSET(#REF!,AN277,0,1000000),0)+AN277,"")</f>
        <v/>
      </c>
      <c r="AO278" s="17" t="str">
        <f ca="1">IFERROR(_xlfn.SINGLE(INDEX(#REF!,'Monthly Report'!AN278)),"")</f>
        <v/>
      </c>
      <c r="AP278" s="12" t="str">
        <f ca="1">IFERROR(_xlfn.SINGLE(INDEX(#REF!,'Monthly Report'!AN278)),"")</f>
        <v/>
      </c>
    </row>
    <row r="279" spans="36:42">
      <c r="AJ279" s="12" t="str">
        <f ca="1">IFERROR(MATCH($B$114,OFFSET(#REF!,AJ278,0,1000000),0)+AJ278,"")</f>
        <v/>
      </c>
      <c r="AK279" s="17" t="str">
        <f ca="1">IFERROR(_xlfn.SINGLE(INDEX(#REF!,'Monthly Report'!AJ279)),"")</f>
        <v/>
      </c>
      <c r="AL279" s="12" t="str">
        <f ca="1">IFERROR(_xlfn.SINGLE(INDEX(#REF!,'Monthly Report'!AJ279)),"")</f>
        <v/>
      </c>
      <c r="AN279" s="12" t="str">
        <f ca="1">IFERROR(MATCH($G$115,OFFSET(#REF!,AN278,0,1000000),0)+AN278,"")</f>
        <v/>
      </c>
      <c r="AO279" s="17" t="str">
        <f ca="1">IFERROR(_xlfn.SINGLE(INDEX(#REF!,'Monthly Report'!AN279)),"")</f>
        <v/>
      </c>
      <c r="AP279" s="12" t="str">
        <f ca="1">IFERROR(_xlfn.SINGLE(INDEX(#REF!,'Monthly Report'!AN279)),"")</f>
        <v/>
      </c>
    </row>
    <row r="280" spans="36:42">
      <c r="AJ280" s="12" t="str">
        <f ca="1">IFERROR(MATCH($B$114,OFFSET(#REF!,AJ279,0,1000000),0)+AJ279,"")</f>
        <v/>
      </c>
      <c r="AK280" s="17" t="str">
        <f ca="1">IFERROR(_xlfn.SINGLE(INDEX(#REF!,'Monthly Report'!AJ280)),"")</f>
        <v/>
      </c>
      <c r="AL280" s="12" t="str">
        <f ca="1">IFERROR(_xlfn.SINGLE(INDEX(#REF!,'Monthly Report'!AJ280)),"")</f>
        <v/>
      </c>
      <c r="AN280" s="12" t="str">
        <f ca="1">IFERROR(MATCH($G$115,OFFSET(#REF!,AN279,0,1000000),0)+AN279,"")</f>
        <v/>
      </c>
      <c r="AO280" s="17" t="str">
        <f ca="1">IFERROR(_xlfn.SINGLE(INDEX(#REF!,'Monthly Report'!AN280)),"")</f>
        <v/>
      </c>
      <c r="AP280" s="12" t="str">
        <f ca="1">IFERROR(_xlfn.SINGLE(INDEX(#REF!,'Monthly Report'!AN280)),"")</f>
        <v/>
      </c>
    </row>
    <row r="281" spans="36:42">
      <c r="AJ281" s="12" t="str">
        <f ca="1">IFERROR(MATCH($B$114,OFFSET(#REF!,AJ280,0,1000000),0)+AJ280,"")</f>
        <v/>
      </c>
      <c r="AK281" s="17" t="str">
        <f ca="1">IFERROR(_xlfn.SINGLE(INDEX(#REF!,'Monthly Report'!AJ281)),"")</f>
        <v/>
      </c>
      <c r="AL281" s="12" t="str">
        <f ca="1">IFERROR(_xlfn.SINGLE(INDEX(#REF!,'Monthly Report'!AJ281)),"")</f>
        <v/>
      </c>
      <c r="AN281" s="12" t="str">
        <f ca="1">IFERROR(MATCH($G$115,OFFSET(#REF!,AN280,0,1000000),0)+AN280,"")</f>
        <v/>
      </c>
      <c r="AO281" s="17" t="str">
        <f ca="1">IFERROR(_xlfn.SINGLE(INDEX(#REF!,'Monthly Report'!AN281)),"")</f>
        <v/>
      </c>
      <c r="AP281" s="12" t="str">
        <f ca="1">IFERROR(_xlfn.SINGLE(INDEX(#REF!,'Monthly Report'!AN281)),"")</f>
        <v/>
      </c>
    </row>
    <row r="282" spans="36:42">
      <c r="AJ282" s="12" t="str">
        <f ca="1">IFERROR(MATCH($B$114,OFFSET(#REF!,AJ281,0,1000000),0)+AJ281,"")</f>
        <v/>
      </c>
      <c r="AK282" s="17" t="str">
        <f ca="1">IFERROR(_xlfn.SINGLE(INDEX(#REF!,'Monthly Report'!AJ282)),"")</f>
        <v/>
      </c>
      <c r="AL282" s="12" t="str">
        <f ca="1">IFERROR(_xlfn.SINGLE(INDEX(#REF!,'Monthly Report'!AJ282)),"")</f>
        <v/>
      </c>
      <c r="AN282" s="12" t="str">
        <f ca="1">IFERROR(MATCH($G$115,OFFSET(#REF!,AN281,0,1000000),0)+AN281,"")</f>
        <v/>
      </c>
      <c r="AO282" s="17" t="str">
        <f ca="1">IFERROR(_xlfn.SINGLE(INDEX(#REF!,'Monthly Report'!AN282)),"")</f>
        <v/>
      </c>
      <c r="AP282" s="12" t="str">
        <f ca="1">IFERROR(_xlfn.SINGLE(INDEX(#REF!,'Monthly Report'!AN282)),"")</f>
        <v/>
      </c>
    </row>
    <row r="283" spans="36:42">
      <c r="AJ283" s="12" t="str">
        <f ca="1">IFERROR(MATCH($B$114,OFFSET(#REF!,AJ282,0,1000000),0)+AJ282,"")</f>
        <v/>
      </c>
      <c r="AK283" s="17" t="str">
        <f ca="1">IFERROR(_xlfn.SINGLE(INDEX(#REF!,'Monthly Report'!AJ283)),"")</f>
        <v/>
      </c>
      <c r="AL283" s="12" t="str">
        <f ca="1">IFERROR(_xlfn.SINGLE(INDEX(#REF!,'Monthly Report'!AJ283)),"")</f>
        <v/>
      </c>
      <c r="AN283" s="12" t="str">
        <f ca="1">IFERROR(MATCH($G$115,OFFSET(#REF!,AN282,0,1000000),0)+AN282,"")</f>
        <v/>
      </c>
      <c r="AO283" s="17" t="str">
        <f ca="1">IFERROR(_xlfn.SINGLE(INDEX(#REF!,'Monthly Report'!AN283)),"")</f>
        <v/>
      </c>
      <c r="AP283" s="12" t="str">
        <f ca="1">IFERROR(_xlfn.SINGLE(INDEX(#REF!,'Monthly Report'!AN283)),"")</f>
        <v/>
      </c>
    </row>
    <row r="284" spans="36:42">
      <c r="AJ284" s="12" t="str">
        <f ca="1">IFERROR(MATCH($B$114,OFFSET(#REF!,AJ283,0,1000000),0)+AJ283,"")</f>
        <v/>
      </c>
      <c r="AK284" s="17" t="str">
        <f ca="1">IFERROR(_xlfn.SINGLE(INDEX(#REF!,'Monthly Report'!AJ284)),"")</f>
        <v/>
      </c>
      <c r="AL284" s="12" t="str">
        <f ca="1">IFERROR(_xlfn.SINGLE(INDEX(#REF!,'Monthly Report'!AJ284)),"")</f>
        <v/>
      </c>
      <c r="AN284" s="12" t="str">
        <f ca="1">IFERROR(MATCH($G$115,OFFSET(#REF!,AN283,0,1000000),0)+AN283,"")</f>
        <v/>
      </c>
      <c r="AO284" s="17" t="str">
        <f ca="1">IFERROR(_xlfn.SINGLE(INDEX(#REF!,'Monthly Report'!AN284)),"")</f>
        <v/>
      </c>
      <c r="AP284" s="12" t="str">
        <f ca="1">IFERROR(_xlfn.SINGLE(INDEX(#REF!,'Monthly Report'!AN284)),"")</f>
        <v/>
      </c>
    </row>
    <row r="285" spans="36:42">
      <c r="AJ285" s="12" t="str">
        <f ca="1">IFERROR(MATCH($B$114,OFFSET(#REF!,AJ284,0,1000000),0)+AJ284,"")</f>
        <v/>
      </c>
      <c r="AK285" s="17" t="str">
        <f ca="1">IFERROR(_xlfn.SINGLE(INDEX(#REF!,'Monthly Report'!AJ285)),"")</f>
        <v/>
      </c>
      <c r="AL285" s="12" t="str">
        <f ca="1">IFERROR(_xlfn.SINGLE(INDEX(#REF!,'Monthly Report'!AJ285)),"")</f>
        <v/>
      </c>
      <c r="AN285" s="12" t="str">
        <f ca="1">IFERROR(MATCH($G$115,OFFSET(#REF!,AN284,0,1000000),0)+AN284,"")</f>
        <v/>
      </c>
      <c r="AO285" s="17" t="str">
        <f ca="1">IFERROR(_xlfn.SINGLE(INDEX(#REF!,'Monthly Report'!AN285)),"")</f>
        <v/>
      </c>
      <c r="AP285" s="12" t="str">
        <f ca="1">IFERROR(_xlfn.SINGLE(INDEX(#REF!,'Monthly Report'!AN285)),"")</f>
        <v/>
      </c>
    </row>
    <row r="286" spans="36:42">
      <c r="AJ286" s="12" t="str">
        <f ca="1">IFERROR(MATCH($B$114,OFFSET(#REF!,AJ285,0,1000000),0)+AJ285,"")</f>
        <v/>
      </c>
      <c r="AK286" s="17" t="str">
        <f ca="1">IFERROR(_xlfn.SINGLE(INDEX(#REF!,'Monthly Report'!AJ286)),"")</f>
        <v/>
      </c>
      <c r="AL286" s="12" t="str">
        <f ca="1">IFERROR(_xlfn.SINGLE(INDEX(#REF!,'Monthly Report'!AJ286)),"")</f>
        <v/>
      </c>
      <c r="AN286" s="12" t="str">
        <f ca="1">IFERROR(MATCH($G$115,OFFSET(#REF!,AN285,0,1000000),0)+AN285,"")</f>
        <v/>
      </c>
      <c r="AO286" s="17" t="str">
        <f ca="1">IFERROR(_xlfn.SINGLE(INDEX(#REF!,'Monthly Report'!AN286)),"")</f>
        <v/>
      </c>
      <c r="AP286" s="12" t="str">
        <f ca="1">IFERROR(_xlfn.SINGLE(INDEX(#REF!,'Monthly Report'!AN286)),"")</f>
        <v/>
      </c>
    </row>
    <row r="287" spans="36:42">
      <c r="AJ287" s="12" t="str">
        <f ca="1">IFERROR(MATCH($B$114,OFFSET(#REF!,AJ286,0,1000000),0)+AJ286,"")</f>
        <v/>
      </c>
      <c r="AK287" s="17" t="str">
        <f ca="1">IFERROR(_xlfn.SINGLE(INDEX(#REF!,'Monthly Report'!AJ287)),"")</f>
        <v/>
      </c>
      <c r="AL287" s="12" t="str">
        <f ca="1">IFERROR(_xlfn.SINGLE(INDEX(#REF!,'Monthly Report'!AJ287)),"")</f>
        <v/>
      </c>
      <c r="AN287" s="12" t="str">
        <f ca="1">IFERROR(MATCH($G$115,OFFSET(#REF!,AN286,0,1000000),0)+AN286,"")</f>
        <v/>
      </c>
      <c r="AO287" s="17" t="str">
        <f ca="1">IFERROR(_xlfn.SINGLE(INDEX(#REF!,'Monthly Report'!AN287)),"")</f>
        <v/>
      </c>
      <c r="AP287" s="12" t="str">
        <f ca="1">IFERROR(_xlfn.SINGLE(INDEX(#REF!,'Monthly Report'!AN287)),"")</f>
        <v/>
      </c>
    </row>
    <row r="288" spans="36:42">
      <c r="AJ288" s="12" t="str">
        <f ca="1">IFERROR(MATCH($B$114,OFFSET(#REF!,AJ287,0,1000000),0)+AJ287,"")</f>
        <v/>
      </c>
      <c r="AK288" s="17" t="str">
        <f ca="1">IFERROR(_xlfn.SINGLE(INDEX(#REF!,'Monthly Report'!AJ288)),"")</f>
        <v/>
      </c>
      <c r="AL288" s="12" t="str">
        <f ca="1">IFERROR(_xlfn.SINGLE(INDEX(#REF!,'Monthly Report'!AJ288)),"")</f>
        <v/>
      </c>
      <c r="AN288" s="12" t="str">
        <f ca="1">IFERROR(MATCH($G$115,OFFSET(#REF!,AN287,0,1000000),0)+AN287,"")</f>
        <v/>
      </c>
      <c r="AO288" s="17" t="str">
        <f ca="1">IFERROR(_xlfn.SINGLE(INDEX(#REF!,'Monthly Report'!AN288)),"")</f>
        <v/>
      </c>
      <c r="AP288" s="12" t="str">
        <f ca="1">IFERROR(_xlfn.SINGLE(INDEX(#REF!,'Monthly Report'!AN288)),"")</f>
        <v/>
      </c>
    </row>
    <row r="289" spans="36:42">
      <c r="AJ289" s="12" t="str">
        <f ca="1">IFERROR(MATCH($B$114,OFFSET(#REF!,AJ288,0,1000000),0)+AJ288,"")</f>
        <v/>
      </c>
      <c r="AK289" s="17" t="str">
        <f ca="1">IFERROR(_xlfn.SINGLE(INDEX(#REF!,'Monthly Report'!AJ289)),"")</f>
        <v/>
      </c>
      <c r="AL289" s="12" t="str">
        <f ca="1">IFERROR(_xlfn.SINGLE(INDEX(#REF!,'Monthly Report'!AJ289)),"")</f>
        <v/>
      </c>
      <c r="AN289" s="12" t="str">
        <f ca="1">IFERROR(MATCH($G$115,OFFSET(#REF!,AN288,0,1000000),0)+AN288,"")</f>
        <v/>
      </c>
      <c r="AO289" s="17" t="str">
        <f ca="1">IFERROR(_xlfn.SINGLE(INDEX(#REF!,'Monthly Report'!AN289)),"")</f>
        <v/>
      </c>
      <c r="AP289" s="12" t="str">
        <f ca="1">IFERROR(_xlfn.SINGLE(INDEX(#REF!,'Monthly Report'!AN289)),"")</f>
        <v/>
      </c>
    </row>
    <row r="290" spans="36:42">
      <c r="AJ290" s="12" t="str">
        <f ca="1">IFERROR(MATCH($B$114,OFFSET(#REF!,AJ289,0,1000000),0)+AJ289,"")</f>
        <v/>
      </c>
      <c r="AK290" s="17" t="str">
        <f ca="1">IFERROR(_xlfn.SINGLE(INDEX(#REF!,'Monthly Report'!AJ290)),"")</f>
        <v/>
      </c>
      <c r="AL290" s="12" t="str">
        <f ca="1">IFERROR(_xlfn.SINGLE(INDEX(#REF!,'Monthly Report'!AJ290)),"")</f>
        <v/>
      </c>
      <c r="AN290" s="12" t="str">
        <f ca="1">IFERROR(MATCH($G$115,OFFSET(#REF!,AN289,0,1000000),0)+AN289,"")</f>
        <v/>
      </c>
      <c r="AO290" s="17" t="str">
        <f ca="1">IFERROR(_xlfn.SINGLE(INDEX(#REF!,'Monthly Report'!AN290)),"")</f>
        <v/>
      </c>
      <c r="AP290" s="12" t="str">
        <f ca="1">IFERROR(_xlfn.SINGLE(INDEX(#REF!,'Monthly Report'!AN290)),"")</f>
        <v/>
      </c>
    </row>
    <row r="291" spans="36:42">
      <c r="AJ291" s="12" t="str">
        <f ca="1">IFERROR(MATCH($B$114,OFFSET(#REF!,AJ290,0,1000000),0)+AJ290,"")</f>
        <v/>
      </c>
      <c r="AK291" s="17" t="str">
        <f ca="1">IFERROR(_xlfn.SINGLE(INDEX(#REF!,'Monthly Report'!AJ291)),"")</f>
        <v/>
      </c>
      <c r="AL291" s="12" t="str">
        <f ca="1">IFERROR(_xlfn.SINGLE(INDEX(#REF!,'Monthly Report'!AJ291)),"")</f>
        <v/>
      </c>
      <c r="AN291" s="12" t="str">
        <f ca="1">IFERROR(MATCH($G$115,OFFSET(#REF!,AN290,0,1000000),0)+AN290,"")</f>
        <v/>
      </c>
      <c r="AO291" s="17" t="str">
        <f ca="1">IFERROR(_xlfn.SINGLE(INDEX(#REF!,'Monthly Report'!AN291)),"")</f>
        <v/>
      </c>
      <c r="AP291" s="12" t="str">
        <f ca="1">IFERROR(_xlfn.SINGLE(INDEX(#REF!,'Monthly Report'!AN291)),"")</f>
        <v/>
      </c>
    </row>
    <row r="292" spans="36:42">
      <c r="AJ292" s="12" t="str">
        <f ca="1">IFERROR(MATCH($B$114,OFFSET(#REF!,AJ291,0,1000000),0)+AJ291,"")</f>
        <v/>
      </c>
      <c r="AK292" s="17" t="str">
        <f ca="1">IFERROR(_xlfn.SINGLE(INDEX(#REF!,'Monthly Report'!AJ292)),"")</f>
        <v/>
      </c>
      <c r="AL292" s="12" t="str">
        <f ca="1">IFERROR(_xlfn.SINGLE(INDEX(#REF!,'Monthly Report'!AJ292)),"")</f>
        <v/>
      </c>
      <c r="AN292" s="12" t="str">
        <f ca="1">IFERROR(MATCH($G$115,OFFSET(#REF!,AN291,0,1000000),0)+AN291,"")</f>
        <v/>
      </c>
      <c r="AO292" s="17" t="str">
        <f ca="1">IFERROR(_xlfn.SINGLE(INDEX(#REF!,'Monthly Report'!AN292)),"")</f>
        <v/>
      </c>
      <c r="AP292" s="12" t="str">
        <f ca="1">IFERROR(_xlfn.SINGLE(INDEX(#REF!,'Monthly Report'!AN292)),"")</f>
        <v/>
      </c>
    </row>
    <row r="293" spans="36:42">
      <c r="AJ293" s="12" t="str">
        <f ca="1">IFERROR(MATCH($B$114,OFFSET(#REF!,AJ292,0,1000000),0)+AJ292,"")</f>
        <v/>
      </c>
      <c r="AK293" s="17" t="str">
        <f ca="1">IFERROR(_xlfn.SINGLE(INDEX(#REF!,'Monthly Report'!AJ293)),"")</f>
        <v/>
      </c>
      <c r="AL293" s="12" t="str">
        <f ca="1">IFERROR(_xlfn.SINGLE(INDEX(#REF!,'Monthly Report'!AJ293)),"")</f>
        <v/>
      </c>
      <c r="AN293" s="12" t="str">
        <f ca="1">IFERROR(MATCH($G$115,OFFSET(#REF!,AN292,0,1000000),0)+AN292,"")</f>
        <v/>
      </c>
      <c r="AO293" s="17" t="str">
        <f ca="1">IFERROR(_xlfn.SINGLE(INDEX(#REF!,'Monthly Report'!AN293)),"")</f>
        <v/>
      </c>
      <c r="AP293" s="12" t="str">
        <f ca="1">IFERROR(_xlfn.SINGLE(INDEX(#REF!,'Monthly Report'!AN293)),"")</f>
        <v/>
      </c>
    </row>
    <row r="294" spans="36:42">
      <c r="AJ294" s="12" t="str">
        <f ca="1">IFERROR(MATCH($B$114,OFFSET(#REF!,AJ293,0,1000000),0)+AJ293,"")</f>
        <v/>
      </c>
      <c r="AK294" s="17" t="str">
        <f ca="1">IFERROR(_xlfn.SINGLE(INDEX(#REF!,'Monthly Report'!AJ294)),"")</f>
        <v/>
      </c>
      <c r="AL294" s="12" t="str">
        <f ca="1">IFERROR(_xlfn.SINGLE(INDEX(#REF!,'Monthly Report'!AJ294)),"")</f>
        <v/>
      </c>
      <c r="AN294" s="12" t="str">
        <f ca="1">IFERROR(MATCH($G$115,OFFSET(#REF!,AN293,0,1000000),0)+AN293,"")</f>
        <v/>
      </c>
      <c r="AO294" s="17" t="str">
        <f ca="1">IFERROR(_xlfn.SINGLE(INDEX(#REF!,'Monthly Report'!AN294)),"")</f>
        <v/>
      </c>
      <c r="AP294" s="12" t="str">
        <f ca="1">IFERROR(_xlfn.SINGLE(INDEX(#REF!,'Monthly Report'!AN294)),"")</f>
        <v/>
      </c>
    </row>
    <row r="295" spans="36:42">
      <c r="AJ295" s="12" t="str">
        <f ca="1">IFERROR(MATCH($B$114,OFFSET(#REF!,AJ294,0,1000000),0)+AJ294,"")</f>
        <v/>
      </c>
      <c r="AK295" s="17" t="str">
        <f ca="1">IFERROR(_xlfn.SINGLE(INDEX(#REF!,'Monthly Report'!AJ295)),"")</f>
        <v/>
      </c>
      <c r="AL295" s="12" t="str">
        <f ca="1">IFERROR(_xlfn.SINGLE(INDEX(#REF!,'Monthly Report'!AJ295)),"")</f>
        <v/>
      </c>
      <c r="AN295" s="12" t="str">
        <f ca="1">IFERROR(MATCH($G$115,OFFSET(#REF!,AN294,0,1000000),0)+AN294,"")</f>
        <v/>
      </c>
      <c r="AO295" s="17" t="str">
        <f ca="1">IFERROR(_xlfn.SINGLE(INDEX(#REF!,'Monthly Report'!AN295)),"")</f>
        <v/>
      </c>
      <c r="AP295" s="12" t="str">
        <f ca="1">IFERROR(_xlfn.SINGLE(INDEX(#REF!,'Monthly Report'!AN295)),"")</f>
        <v/>
      </c>
    </row>
    <row r="296" spans="36:42">
      <c r="AJ296" s="12" t="str">
        <f ca="1">IFERROR(MATCH($B$114,OFFSET(#REF!,AJ295,0,1000000),0)+AJ295,"")</f>
        <v/>
      </c>
      <c r="AK296" s="17" t="str">
        <f ca="1">IFERROR(_xlfn.SINGLE(INDEX(#REF!,'Monthly Report'!AJ296)),"")</f>
        <v/>
      </c>
      <c r="AL296" s="12" t="str">
        <f ca="1">IFERROR(_xlfn.SINGLE(INDEX(#REF!,'Monthly Report'!AJ296)),"")</f>
        <v/>
      </c>
      <c r="AN296" s="12" t="str">
        <f ca="1">IFERROR(MATCH($G$115,OFFSET(#REF!,AN295,0,1000000),0)+AN295,"")</f>
        <v/>
      </c>
      <c r="AO296" s="17" t="str">
        <f ca="1">IFERROR(_xlfn.SINGLE(INDEX(#REF!,'Monthly Report'!AN296)),"")</f>
        <v/>
      </c>
      <c r="AP296" s="12" t="str">
        <f ca="1">IFERROR(_xlfn.SINGLE(INDEX(#REF!,'Monthly Report'!AN296)),"")</f>
        <v/>
      </c>
    </row>
    <row r="297" spans="36:42">
      <c r="AJ297" s="12" t="str">
        <f ca="1">IFERROR(MATCH($B$114,OFFSET(#REF!,AJ296,0,1000000),0)+AJ296,"")</f>
        <v/>
      </c>
      <c r="AK297" s="17" t="str">
        <f ca="1">IFERROR(_xlfn.SINGLE(INDEX(#REF!,'Monthly Report'!AJ297)),"")</f>
        <v/>
      </c>
      <c r="AL297" s="12" t="str">
        <f ca="1">IFERROR(_xlfn.SINGLE(INDEX(#REF!,'Monthly Report'!AJ297)),"")</f>
        <v/>
      </c>
      <c r="AN297" s="12" t="str">
        <f ca="1">IFERROR(MATCH($G$115,OFFSET(#REF!,AN296,0,1000000),0)+AN296,"")</f>
        <v/>
      </c>
      <c r="AO297" s="17" t="str">
        <f ca="1">IFERROR(_xlfn.SINGLE(INDEX(#REF!,'Monthly Report'!AN297)),"")</f>
        <v/>
      </c>
      <c r="AP297" s="12" t="str">
        <f ca="1">IFERROR(_xlfn.SINGLE(INDEX(#REF!,'Monthly Report'!AN297)),"")</f>
        <v/>
      </c>
    </row>
    <row r="298" spans="36:42">
      <c r="AJ298" s="12" t="str">
        <f ca="1">IFERROR(MATCH($B$114,OFFSET(#REF!,AJ297,0,1000000),0)+AJ297,"")</f>
        <v/>
      </c>
      <c r="AK298" s="17" t="str">
        <f ca="1">IFERROR(_xlfn.SINGLE(INDEX(#REF!,'Monthly Report'!AJ298)),"")</f>
        <v/>
      </c>
      <c r="AL298" s="12" t="str">
        <f ca="1">IFERROR(_xlfn.SINGLE(INDEX(#REF!,'Monthly Report'!AJ298)),"")</f>
        <v/>
      </c>
      <c r="AN298" s="12" t="str">
        <f ca="1">IFERROR(MATCH($G$115,OFFSET(#REF!,AN297,0,1000000),0)+AN297,"")</f>
        <v/>
      </c>
      <c r="AO298" s="17" t="str">
        <f ca="1">IFERROR(_xlfn.SINGLE(INDEX(#REF!,'Monthly Report'!AN298)),"")</f>
        <v/>
      </c>
      <c r="AP298" s="12" t="str">
        <f ca="1">IFERROR(_xlfn.SINGLE(INDEX(#REF!,'Monthly Report'!AN298)),"")</f>
        <v/>
      </c>
    </row>
    <row r="299" spans="36:42">
      <c r="AJ299" s="12" t="str">
        <f ca="1">IFERROR(MATCH($B$114,OFFSET(#REF!,AJ298,0,1000000),0)+AJ298,"")</f>
        <v/>
      </c>
      <c r="AK299" s="17" t="str">
        <f ca="1">IFERROR(_xlfn.SINGLE(INDEX(#REF!,'Monthly Report'!AJ299)),"")</f>
        <v/>
      </c>
      <c r="AL299" s="12" t="str">
        <f ca="1">IFERROR(_xlfn.SINGLE(INDEX(#REF!,'Monthly Report'!AJ299)),"")</f>
        <v/>
      </c>
      <c r="AN299" s="12" t="str">
        <f ca="1">IFERROR(MATCH($G$115,OFFSET(#REF!,AN298,0,1000000),0)+AN298,"")</f>
        <v/>
      </c>
      <c r="AO299" s="17" t="str">
        <f ca="1">IFERROR(_xlfn.SINGLE(INDEX(#REF!,'Monthly Report'!AN299)),"")</f>
        <v/>
      </c>
      <c r="AP299" s="12" t="str">
        <f ca="1">IFERROR(_xlfn.SINGLE(INDEX(#REF!,'Monthly Report'!AN299)),"")</f>
        <v/>
      </c>
    </row>
    <row r="300" spans="36:42">
      <c r="AJ300" s="12" t="str">
        <f ca="1">IFERROR(MATCH($B$114,OFFSET(#REF!,AJ299,0,1000000),0)+AJ299,"")</f>
        <v/>
      </c>
      <c r="AK300" s="17" t="str">
        <f ca="1">IFERROR(_xlfn.SINGLE(INDEX(#REF!,'Monthly Report'!AJ300)),"")</f>
        <v/>
      </c>
      <c r="AL300" s="12" t="str">
        <f ca="1">IFERROR(_xlfn.SINGLE(INDEX(#REF!,'Monthly Report'!AJ300)),"")</f>
        <v/>
      </c>
      <c r="AN300" s="12" t="str">
        <f ca="1">IFERROR(MATCH($G$115,OFFSET(#REF!,AN299,0,1000000),0)+AN299,"")</f>
        <v/>
      </c>
      <c r="AO300" s="17" t="str">
        <f ca="1">IFERROR(_xlfn.SINGLE(INDEX(#REF!,'Monthly Report'!AN300)),"")</f>
        <v/>
      </c>
      <c r="AP300" s="12" t="str">
        <f ca="1">IFERROR(_xlfn.SINGLE(INDEX(#REF!,'Monthly Report'!AN300)),"")</f>
        <v/>
      </c>
    </row>
    <row r="301" spans="36:42">
      <c r="AJ301" s="12" t="str">
        <f ca="1">IFERROR(MATCH($B$114,OFFSET(#REF!,AJ300,0,1000000),0)+AJ300,"")</f>
        <v/>
      </c>
      <c r="AK301" s="17" t="str">
        <f ca="1">IFERROR(_xlfn.SINGLE(INDEX(#REF!,'Monthly Report'!AJ301)),"")</f>
        <v/>
      </c>
      <c r="AL301" s="12" t="str">
        <f ca="1">IFERROR(_xlfn.SINGLE(INDEX(#REF!,'Monthly Report'!AJ301)),"")</f>
        <v/>
      </c>
      <c r="AN301" s="12" t="str">
        <f ca="1">IFERROR(MATCH($G$115,OFFSET(#REF!,AN300,0,1000000),0)+AN300,"")</f>
        <v/>
      </c>
      <c r="AO301" s="17" t="str">
        <f ca="1">IFERROR(_xlfn.SINGLE(INDEX(#REF!,'Monthly Report'!AN301)),"")</f>
        <v/>
      </c>
      <c r="AP301" s="12" t="str">
        <f ca="1">IFERROR(_xlfn.SINGLE(INDEX(#REF!,'Monthly Report'!AN301)),"")</f>
        <v/>
      </c>
    </row>
    <row r="302" spans="36:42">
      <c r="AJ302" s="12" t="str">
        <f ca="1">IFERROR(MATCH($B$114,OFFSET(#REF!,AJ301,0,1000000),0)+AJ301,"")</f>
        <v/>
      </c>
      <c r="AK302" s="17" t="str">
        <f ca="1">IFERROR(_xlfn.SINGLE(INDEX(#REF!,'Monthly Report'!AJ302)),"")</f>
        <v/>
      </c>
      <c r="AL302" s="12" t="str">
        <f ca="1">IFERROR(_xlfn.SINGLE(INDEX(#REF!,'Monthly Report'!AJ302)),"")</f>
        <v/>
      </c>
      <c r="AN302" s="12" t="str">
        <f ca="1">IFERROR(MATCH($G$115,OFFSET(#REF!,AN301,0,1000000),0)+AN301,"")</f>
        <v/>
      </c>
      <c r="AO302" s="17" t="str">
        <f ca="1">IFERROR(_xlfn.SINGLE(INDEX(#REF!,'Monthly Report'!AN302)),"")</f>
        <v/>
      </c>
      <c r="AP302" s="12" t="str">
        <f ca="1">IFERROR(_xlfn.SINGLE(INDEX(#REF!,'Monthly Report'!AN302)),"")</f>
        <v/>
      </c>
    </row>
    <row r="303" spans="36:42">
      <c r="AJ303" s="12" t="str">
        <f ca="1">IFERROR(MATCH($B$114,OFFSET(#REF!,AJ302,0,1000000),0)+AJ302,"")</f>
        <v/>
      </c>
      <c r="AK303" s="17" t="str">
        <f ca="1">IFERROR(_xlfn.SINGLE(INDEX(#REF!,'Monthly Report'!AJ303)),"")</f>
        <v/>
      </c>
      <c r="AL303" s="12" t="str">
        <f ca="1">IFERROR(_xlfn.SINGLE(INDEX(#REF!,'Monthly Report'!AJ303)),"")</f>
        <v/>
      </c>
      <c r="AN303" s="12" t="str">
        <f ca="1">IFERROR(MATCH($G$115,OFFSET(#REF!,AN302,0,1000000),0)+AN302,"")</f>
        <v/>
      </c>
      <c r="AO303" s="17" t="str">
        <f ca="1">IFERROR(_xlfn.SINGLE(INDEX(#REF!,'Monthly Report'!AN303)),"")</f>
        <v/>
      </c>
      <c r="AP303" s="12" t="str">
        <f ca="1">IFERROR(_xlfn.SINGLE(INDEX(#REF!,'Monthly Report'!AN303)),"")</f>
        <v/>
      </c>
    </row>
    <row r="304" spans="36:42">
      <c r="AJ304" s="12" t="str">
        <f ca="1">IFERROR(MATCH($B$114,OFFSET(#REF!,AJ303,0,1000000),0)+AJ303,"")</f>
        <v/>
      </c>
      <c r="AK304" s="17" t="str">
        <f ca="1">IFERROR(_xlfn.SINGLE(INDEX(#REF!,'Monthly Report'!AJ304)),"")</f>
        <v/>
      </c>
      <c r="AL304" s="12" t="str">
        <f ca="1">IFERROR(_xlfn.SINGLE(INDEX(#REF!,'Monthly Report'!AJ304)),"")</f>
        <v/>
      </c>
      <c r="AN304" s="12" t="str">
        <f ca="1">IFERROR(MATCH($G$115,OFFSET(#REF!,AN303,0,1000000),0)+AN303,"")</f>
        <v/>
      </c>
      <c r="AO304" s="17" t="str">
        <f ca="1">IFERROR(_xlfn.SINGLE(INDEX(#REF!,'Monthly Report'!AN304)),"")</f>
        <v/>
      </c>
      <c r="AP304" s="12" t="str">
        <f ca="1">IFERROR(_xlfn.SINGLE(INDEX(#REF!,'Monthly Report'!AN304)),"")</f>
        <v/>
      </c>
    </row>
    <row r="305" spans="36:42">
      <c r="AJ305" s="12" t="str">
        <f ca="1">IFERROR(MATCH($B$114,OFFSET(#REF!,AJ304,0,1000000),0)+AJ304,"")</f>
        <v/>
      </c>
      <c r="AK305" s="17" t="str">
        <f ca="1">IFERROR(_xlfn.SINGLE(INDEX(#REF!,'Monthly Report'!AJ305)),"")</f>
        <v/>
      </c>
      <c r="AL305" s="12" t="str">
        <f ca="1">IFERROR(_xlfn.SINGLE(INDEX(#REF!,'Monthly Report'!AJ305)),"")</f>
        <v/>
      </c>
      <c r="AN305" s="12" t="str">
        <f ca="1">IFERROR(MATCH($G$115,OFFSET(#REF!,AN304,0,1000000),0)+AN304,"")</f>
        <v/>
      </c>
      <c r="AO305" s="17" t="str">
        <f ca="1">IFERROR(_xlfn.SINGLE(INDEX(#REF!,'Monthly Report'!AN305)),"")</f>
        <v/>
      </c>
      <c r="AP305" s="12" t="str">
        <f ca="1">IFERROR(_xlfn.SINGLE(INDEX(#REF!,'Monthly Report'!AN305)),"")</f>
        <v/>
      </c>
    </row>
    <row r="306" spans="36:42">
      <c r="AJ306" s="12" t="str">
        <f ca="1">IFERROR(MATCH($B$114,OFFSET(#REF!,AJ305,0,1000000),0)+AJ305,"")</f>
        <v/>
      </c>
      <c r="AK306" s="17" t="str">
        <f ca="1">IFERROR(_xlfn.SINGLE(INDEX(#REF!,'Monthly Report'!AJ306)),"")</f>
        <v/>
      </c>
      <c r="AL306" s="12" t="str">
        <f ca="1">IFERROR(_xlfn.SINGLE(INDEX(#REF!,'Monthly Report'!AJ306)),"")</f>
        <v/>
      </c>
      <c r="AN306" s="12" t="str">
        <f ca="1">IFERROR(MATCH($G$115,OFFSET(#REF!,AN305,0,1000000),0)+AN305,"")</f>
        <v/>
      </c>
      <c r="AO306" s="17" t="str">
        <f ca="1">IFERROR(_xlfn.SINGLE(INDEX(#REF!,'Monthly Report'!AN306)),"")</f>
        <v/>
      </c>
      <c r="AP306" s="12" t="str">
        <f ca="1">IFERROR(_xlfn.SINGLE(INDEX(#REF!,'Monthly Report'!AN306)),"")</f>
        <v/>
      </c>
    </row>
    <row r="307" spans="36:42">
      <c r="AJ307" s="12" t="str">
        <f ca="1">IFERROR(MATCH($B$114,OFFSET(#REF!,AJ306,0,1000000),0)+AJ306,"")</f>
        <v/>
      </c>
      <c r="AK307" s="17" t="str">
        <f ca="1">IFERROR(_xlfn.SINGLE(INDEX(#REF!,'Monthly Report'!AJ307)),"")</f>
        <v/>
      </c>
      <c r="AL307" s="12" t="str">
        <f ca="1">IFERROR(_xlfn.SINGLE(INDEX(#REF!,'Monthly Report'!AJ307)),"")</f>
        <v/>
      </c>
      <c r="AN307" s="12" t="str">
        <f ca="1">IFERROR(MATCH($G$115,OFFSET(#REF!,AN306,0,1000000),0)+AN306,"")</f>
        <v/>
      </c>
      <c r="AO307" s="17" t="str">
        <f ca="1">IFERROR(_xlfn.SINGLE(INDEX(#REF!,'Monthly Report'!AN307)),"")</f>
        <v/>
      </c>
      <c r="AP307" s="12" t="str">
        <f ca="1">IFERROR(_xlfn.SINGLE(INDEX(#REF!,'Monthly Report'!AN307)),"")</f>
        <v/>
      </c>
    </row>
    <row r="308" spans="36:42">
      <c r="AJ308" s="12" t="str">
        <f ca="1">IFERROR(MATCH($B$114,OFFSET(#REF!,AJ307,0,1000000),0)+AJ307,"")</f>
        <v/>
      </c>
      <c r="AK308" s="17" t="str">
        <f ca="1">IFERROR(_xlfn.SINGLE(INDEX(#REF!,'Monthly Report'!AJ308)),"")</f>
        <v/>
      </c>
      <c r="AL308" s="12" t="str">
        <f ca="1">IFERROR(_xlfn.SINGLE(INDEX(#REF!,'Monthly Report'!AJ308)),"")</f>
        <v/>
      </c>
      <c r="AN308" s="12" t="str">
        <f ca="1">IFERROR(MATCH($G$115,OFFSET(#REF!,AN307,0,1000000),0)+AN307,"")</f>
        <v/>
      </c>
      <c r="AO308" s="17" t="str">
        <f ca="1">IFERROR(_xlfn.SINGLE(INDEX(#REF!,'Monthly Report'!AN308)),"")</f>
        <v/>
      </c>
      <c r="AP308" s="12" t="str">
        <f ca="1">IFERROR(_xlfn.SINGLE(INDEX(#REF!,'Monthly Report'!AN308)),"")</f>
        <v/>
      </c>
    </row>
    <row r="309" spans="36:42">
      <c r="AJ309" s="12" t="str">
        <f ca="1">IFERROR(MATCH($B$114,OFFSET(#REF!,AJ308,0,1000000),0)+AJ308,"")</f>
        <v/>
      </c>
      <c r="AK309" s="17" t="str">
        <f ca="1">IFERROR(_xlfn.SINGLE(INDEX(#REF!,'Monthly Report'!AJ309)),"")</f>
        <v/>
      </c>
      <c r="AL309" s="12" t="str">
        <f ca="1">IFERROR(_xlfn.SINGLE(INDEX(#REF!,'Monthly Report'!AJ309)),"")</f>
        <v/>
      </c>
      <c r="AN309" s="12" t="str">
        <f ca="1">IFERROR(MATCH($G$115,OFFSET(#REF!,AN308,0,1000000),0)+AN308,"")</f>
        <v/>
      </c>
      <c r="AO309" s="17" t="str">
        <f ca="1">IFERROR(_xlfn.SINGLE(INDEX(#REF!,'Monthly Report'!AN309)),"")</f>
        <v/>
      </c>
      <c r="AP309" s="12" t="str">
        <f ca="1">IFERROR(_xlfn.SINGLE(INDEX(#REF!,'Monthly Report'!AN309)),"")</f>
        <v/>
      </c>
    </row>
    <row r="310" spans="36:42">
      <c r="AJ310" s="12" t="str">
        <f ca="1">IFERROR(MATCH($B$114,OFFSET(#REF!,AJ309,0,1000000),0)+AJ309,"")</f>
        <v/>
      </c>
      <c r="AK310" s="17" t="str">
        <f ca="1">IFERROR(_xlfn.SINGLE(INDEX(#REF!,'Monthly Report'!AJ310)),"")</f>
        <v/>
      </c>
      <c r="AL310" s="12" t="str">
        <f ca="1">IFERROR(_xlfn.SINGLE(INDEX(#REF!,'Monthly Report'!AJ310)),"")</f>
        <v/>
      </c>
      <c r="AN310" s="12" t="str">
        <f ca="1">IFERROR(MATCH($G$115,OFFSET(#REF!,AN309,0,1000000),0)+AN309,"")</f>
        <v/>
      </c>
      <c r="AO310" s="17" t="str">
        <f ca="1">IFERROR(_xlfn.SINGLE(INDEX(#REF!,'Monthly Report'!AN310)),"")</f>
        <v/>
      </c>
      <c r="AP310" s="12" t="str">
        <f ca="1">IFERROR(_xlfn.SINGLE(INDEX(#REF!,'Monthly Report'!AN310)),"")</f>
        <v/>
      </c>
    </row>
    <row r="311" spans="36:42">
      <c r="AJ311" s="12" t="str">
        <f ca="1">IFERROR(MATCH($B$114,OFFSET(#REF!,AJ310,0,1000000),0)+AJ310,"")</f>
        <v/>
      </c>
      <c r="AK311" s="17" t="str">
        <f ca="1">IFERROR(_xlfn.SINGLE(INDEX(#REF!,'Monthly Report'!AJ311)),"")</f>
        <v/>
      </c>
      <c r="AL311" s="12" t="str">
        <f ca="1">IFERROR(_xlfn.SINGLE(INDEX(#REF!,'Monthly Report'!AJ311)),"")</f>
        <v/>
      </c>
      <c r="AN311" s="12" t="str">
        <f ca="1">IFERROR(MATCH($G$115,OFFSET(#REF!,AN310,0,1000000),0)+AN310,"")</f>
        <v/>
      </c>
      <c r="AO311" s="17" t="str">
        <f ca="1">IFERROR(_xlfn.SINGLE(INDEX(#REF!,'Monthly Report'!AN311)),"")</f>
        <v/>
      </c>
      <c r="AP311" s="12" t="str">
        <f ca="1">IFERROR(_xlfn.SINGLE(INDEX(#REF!,'Monthly Report'!AN311)),"")</f>
        <v/>
      </c>
    </row>
    <row r="312" spans="36:42">
      <c r="AJ312" s="12" t="str">
        <f ca="1">IFERROR(MATCH($B$114,OFFSET(#REF!,AJ311,0,1000000),0)+AJ311,"")</f>
        <v/>
      </c>
      <c r="AK312" s="17" t="str">
        <f ca="1">IFERROR(_xlfn.SINGLE(INDEX(#REF!,'Monthly Report'!AJ312)),"")</f>
        <v/>
      </c>
      <c r="AL312" s="12" t="str">
        <f ca="1">IFERROR(_xlfn.SINGLE(INDEX(#REF!,'Monthly Report'!AJ312)),"")</f>
        <v/>
      </c>
      <c r="AN312" s="12" t="str">
        <f ca="1">IFERROR(MATCH($G$115,OFFSET(#REF!,AN311,0,1000000),0)+AN311,"")</f>
        <v/>
      </c>
      <c r="AO312" s="17" t="str">
        <f ca="1">IFERROR(_xlfn.SINGLE(INDEX(#REF!,'Monthly Report'!AN312)),"")</f>
        <v/>
      </c>
      <c r="AP312" s="12" t="str">
        <f ca="1">IFERROR(_xlfn.SINGLE(INDEX(#REF!,'Monthly Report'!AN312)),"")</f>
        <v/>
      </c>
    </row>
    <row r="313" spans="36:42">
      <c r="AJ313" s="12" t="str">
        <f ca="1">IFERROR(MATCH($B$114,OFFSET(#REF!,AJ312,0,1000000),0)+AJ312,"")</f>
        <v/>
      </c>
      <c r="AK313" s="17" t="str">
        <f ca="1">IFERROR(_xlfn.SINGLE(INDEX(#REF!,'Monthly Report'!AJ313)),"")</f>
        <v/>
      </c>
      <c r="AL313" s="12" t="str">
        <f ca="1">IFERROR(_xlfn.SINGLE(INDEX(#REF!,'Monthly Report'!AJ313)),"")</f>
        <v/>
      </c>
      <c r="AN313" s="12" t="str">
        <f ca="1">IFERROR(MATCH($G$115,OFFSET(#REF!,AN312,0,1000000),0)+AN312,"")</f>
        <v/>
      </c>
      <c r="AO313" s="17" t="str">
        <f ca="1">IFERROR(_xlfn.SINGLE(INDEX(#REF!,'Monthly Report'!AN313)),"")</f>
        <v/>
      </c>
      <c r="AP313" s="12" t="str">
        <f ca="1">IFERROR(_xlfn.SINGLE(INDEX(#REF!,'Monthly Report'!AN313)),"")</f>
        <v/>
      </c>
    </row>
    <row r="314" spans="36:42">
      <c r="AJ314" s="12" t="str">
        <f ca="1">IFERROR(MATCH($B$114,OFFSET(#REF!,AJ313,0,1000000),0)+AJ313,"")</f>
        <v/>
      </c>
      <c r="AK314" s="17" t="str">
        <f ca="1">IFERROR(_xlfn.SINGLE(INDEX(#REF!,'Monthly Report'!AJ314)),"")</f>
        <v/>
      </c>
      <c r="AL314" s="12" t="str">
        <f ca="1">IFERROR(_xlfn.SINGLE(INDEX(#REF!,'Monthly Report'!AJ314)),"")</f>
        <v/>
      </c>
      <c r="AN314" s="12" t="str">
        <f ca="1">IFERROR(MATCH($G$115,OFFSET(#REF!,AN313,0,1000000),0)+AN313,"")</f>
        <v/>
      </c>
      <c r="AO314" s="17" t="str">
        <f ca="1">IFERROR(_xlfn.SINGLE(INDEX(#REF!,'Monthly Report'!AN314)),"")</f>
        <v/>
      </c>
      <c r="AP314" s="12" t="str">
        <f ca="1">IFERROR(_xlfn.SINGLE(INDEX(#REF!,'Monthly Report'!AN314)),"")</f>
        <v/>
      </c>
    </row>
    <row r="315" spans="36:42">
      <c r="AJ315" s="12" t="str">
        <f ca="1">IFERROR(MATCH($B$114,OFFSET(#REF!,AJ314,0,1000000),0)+AJ314,"")</f>
        <v/>
      </c>
      <c r="AK315" s="17" t="str">
        <f ca="1">IFERROR(_xlfn.SINGLE(INDEX(#REF!,'Monthly Report'!AJ315)),"")</f>
        <v/>
      </c>
      <c r="AL315" s="12" t="str">
        <f ca="1">IFERROR(_xlfn.SINGLE(INDEX(#REF!,'Monthly Report'!AJ315)),"")</f>
        <v/>
      </c>
      <c r="AN315" s="12" t="str">
        <f ca="1">IFERROR(MATCH($G$115,OFFSET(#REF!,AN314,0,1000000),0)+AN314,"")</f>
        <v/>
      </c>
      <c r="AO315" s="17" t="str">
        <f ca="1">IFERROR(_xlfn.SINGLE(INDEX(#REF!,'Monthly Report'!AN315)),"")</f>
        <v/>
      </c>
      <c r="AP315" s="12" t="str">
        <f ca="1">IFERROR(_xlfn.SINGLE(INDEX(#REF!,'Monthly Report'!AN315)),"")</f>
        <v/>
      </c>
    </row>
    <row r="316" spans="36:42">
      <c r="AJ316" s="12" t="str">
        <f ca="1">IFERROR(MATCH($B$114,OFFSET(#REF!,AJ315,0,1000000),0)+AJ315,"")</f>
        <v/>
      </c>
      <c r="AK316" s="17" t="str">
        <f ca="1">IFERROR(_xlfn.SINGLE(INDEX(#REF!,'Monthly Report'!AJ316)),"")</f>
        <v/>
      </c>
      <c r="AL316" s="12" t="str">
        <f ca="1">IFERROR(_xlfn.SINGLE(INDEX(#REF!,'Monthly Report'!AJ316)),"")</f>
        <v/>
      </c>
      <c r="AN316" s="12" t="str">
        <f ca="1">IFERROR(MATCH($G$115,OFFSET(#REF!,AN315,0,1000000),0)+AN315,"")</f>
        <v/>
      </c>
      <c r="AO316" s="17" t="str">
        <f ca="1">IFERROR(_xlfn.SINGLE(INDEX(#REF!,'Monthly Report'!AN316)),"")</f>
        <v/>
      </c>
      <c r="AP316" s="12" t="str">
        <f ca="1">IFERROR(_xlfn.SINGLE(INDEX(#REF!,'Monthly Report'!AN316)),"")</f>
        <v/>
      </c>
    </row>
    <row r="317" spans="36:42">
      <c r="AJ317" s="12" t="str">
        <f ca="1">IFERROR(MATCH($B$114,OFFSET(#REF!,AJ316,0,1000000),0)+AJ316,"")</f>
        <v/>
      </c>
      <c r="AK317" s="17" t="str">
        <f ca="1">IFERROR(_xlfn.SINGLE(INDEX(#REF!,'Monthly Report'!AJ317)),"")</f>
        <v/>
      </c>
      <c r="AL317" s="12" t="str">
        <f ca="1">IFERROR(_xlfn.SINGLE(INDEX(#REF!,'Monthly Report'!AJ317)),"")</f>
        <v/>
      </c>
      <c r="AN317" s="12" t="str">
        <f ca="1">IFERROR(MATCH($G$115,OFFSET(#REF!,AN316,0,1000000),0)+AN316,"")</f>
        <v/>
      </c>
      <c r="AO317" s="17" t="str">
        <f ca="1">IFERROR(_xlfn.SINGLE(INDEX(#REF!,'Monthly Report'!AN317)),"")</f>
        <v/>
      </c>
      <c r="AP317" s="12" t="str">
        <f ca="1">IFERROR(_xlfn.SINGLE(INDEX(#REF!,'Monthly Report'!AN317)),"")</f>
        <v/>
      </c>
    </row>
    <row r="318" spans="36:42">
      <c r="AJ318" s="12" t="str">
        <f ca="1">IFERROR(MATCH($B$114,OFFSET(#REF!,AJ317,0,1000000),0)+AJ317,"")</f>
        <v/>
      </c>
      <c r="AK318" s="17" t="str">
        <f ca="1">IFERROR(_xlfn.SINGLE(INDEX(#REF!,'Monthly Report'!AJ318)),"")</f>
        <v/>
      </c>
      <c r="AL318" s="12" t="str">
        <f ca="1">IFERROR(_xlfn.SINGLE(INDEX(#REF!,'Monthly Report'!AJ318)),"")</f>
        <v/>
      </c>
      <c r="AN318" s="12" t="str">
        <f ca="1">IFERROR(MATCH($G$115,OFFSET(#REF!,AN317,0,1000000),0)+AN317,"")</f>
        <v/>
      </c>
      <c r="AO318" s="17" t="str">
        <f ca="1">IFERROR(_xlfn.SINGLE(INDEX(#REF!,'Monthly Report'!AN318)),"")</f>
        <v/>
      </c>
      <c r="AP318" s="12" t="str">
        <f ca="1">IFERROR(_xlfn.SINGLE(INDEX(#REF!,'Monthly Report'!AN318)),"")</f>
        <v/>
      </c>
    </row>
    <row r="319" spans="36:42">
      <c r="AJ319" s="12" t="str">
        <f ca="1">IFERROR(MATCH($B$114,OFFSET(#REF!,AJ318,0,1000000),0)+AJ318,"")</f>
        <v/>
      </c>
      <c r="AK319" s="17" t="str">
        <f ca="1">IFERROR(_xlfn.SINGLE(INDEX(#REF!,'Monthly Report'!AJ319)),"")</f>
        <v/>
      </c>
      <c r="AL319" s="12" t="str">
        <f ca="1">IFERROR(_xlfn.SINGLE(INDEX(#REF!,'Monthly Report'!AJ319)),"")</f>
        <v/>
      </c>
      <c r="AN319" s="12" t="str">
        <f ca="1">IFERROR(MATCH($G$115,OFFSET(#REF!,AN318,0,1000000),0)+AN318,"")</f>
        <v/>
      </c>
      <c r="AO319" s="17" t="str">
        <f ca="1">IFERROR(_xlfn.SINGLE(INDEX(#REF!,'Monthly Report'!AN319)),"")</f>
        <v/>
      </c>
      <c r="AP319" s="12" t="str">
        <f ca="1">IFERROR(_xlfn.SINGLE(INDEX(#REF!,'Monthly Report'!AN319)),"")</f>
        <v/>
      </c>
    </row>
    <row r="320" spans="36:42">
      <c r="AJ320" s="12" t="str">
        <f ca="1">IFERROR(MATCH($B$114,OFFSET(#REF!,AJ319,0,1000000),0)+AJ319,"")</f>
        <v/>
      </c>
      <c r="AK320" s="17" t="str">
        <f ca="1">IFERROR(_xlfn.SINGLE(INDEX(#REF!,'Monthly Report'!AJ320)),"")</f>
        <v/>
      </c>
      <c r="AL320" s="12" t="str">
        <f ca="1">IFERROR(_xlfn.SINGLE(INDEX(#REF!,'Monthly Report'!AJ320)),"")</f>
        <v/>
      </c>
      <c r="AN320" s="12" t="str">
        <f ca="1">IFERROR(MATCH($G$115,OFFSET(#REF!,AN319,0,1000000),0)+AN319,"")</f>
        <v/>
      </c>
      <c r="AO320" s="17" t="str">
        <f ca="1">IFERROR(_xlfn.SINGLE(INDEX(#REF!,'Monthly Report'!AN320)),"")</f>
        <v/>
      </c>
      <c r="AP320" s="12" t="str">
        <f ca="1">IFERROR(_xlfn.SINGLE(INDEX(#REF!,'Monthly Report'!AN320)),"")</f>
        <v/>
      </c>
    </row>
    <row r="321" spans="36:42">
      <c r="AJ321" s="12" t="str">
        <f ca="1">IFERROR(MATCH($B$114,OFFSET(#REF!,AJ320,0,1000000),0)+AJ320,"")</f>
        <v/>
      </c>
      <c r="AK321" s="17" t="str">
        <f ca="1">IFERROR(_xlfn.SINGLE(INDEX(#REF!,'Monthly Report'!AJ321)),"")</f>
        <v/>
      </c>
      <c r="AL321" s="12" t="str">
        <f ca="1">IFERROR(_xlfn.SINGLE(INDEX(#REF!,'Monthly Report'!AJ321)),"")</f>
        <v/>
      </c>
      <c r="AN321" s="12" t="str">
        <f ca="1">IFERROR(MATCH($G$115,OFFSET(#REF!,AN320,0,1000000),0)+AN320,"")</f>
        <v/>
      </c>
      <c r="AO321" s="17" t="str">
        <f ca="1">IFERROR(_xlfn.SINGLE(INDEX(#REF!,'Monthly Report'!AN321)),"")</f>
        <v/>
      </c>
      <c r="AP321" s="12" t="str">
        <f ca="1">IFERROR(_xlfn.SINGLE(INDEX(#REF!,'Monthly Report'!AN321)),"")</f>
        <v/>
      </c>
    </row>
    <row r="322" spans="36:42">
      <c r="AJ322" s="12" t="str">
        <f ca="1">IFERROR(MATCH($B$114,OFFSET(#REF!,AJ321,0,1000000),0)+AJ321,"")</f>
        <v/>
      </c>
      <c r="AK322" s="17" t="str">
        <f ca="1">IFERROR(_xlfn.SINGLE(INDEX(#REF!,'Monthly Report'!AJ322)),"")</f>
        <v/>
      </c>
      <c r="AL322" s="12" t="str">
        <f ca="1">IFERROR(_xlfn.SINGLE(INDEX(#REF!,'Monthly Report'!AJ322)),"")</f>
        <v/>
      </c>
      <c r="AN322" s="12" t="str">
        <f ca="1">IFERROR(MATCH($G$115,OFFSET(#REF!,AN321,0,1000000),0)+AN321,"")</f>
        <v/>
      </c>
      <c r="AO322" s="17" t="str">
        <f ca="1">IFERROR(_xlfn.SINGLE(INDEX(#REF!,'Monthly Report'!AN322)),"")</f>
        <v/>
      </c>
      <c r="AP322" s="12" t="str">
        <f ca="1">IFERROR(_xlfn.SINGLE(INDEX(#REF!,'Monthly Report'!AN322)),"")</f>
        <v/>
      </c>
    </row>
    <row r="323" spans="36:42">
      <c r="AJ323" s="12" t="str">
        <f ca="1">IFERROR(MATCH($B$114,OFFSET(#REF!,AJ322,0,1000000),0)+AJ322,"")</f>
        <v/>
      </c>
      <c r="AK323" s="17" t="str">
        <f ca="1">IFERROR(_xlfn.SINGLE(INDEX(#REF!,'Monthly Report'!AJ323)),"")</f>
        <v/>
      </c>
      <c r="AL323" s="12" t="str">
        <f ca="1">IFERROR(_xlfn.SINGLE(INDEX(#REF!,'Monthly Report'!AJ323)),"")</f>
        <v/>
      </c>
      <c r="AN323" s="12" t="str">
        <f ca="1">IFERROR(MATCH($G$115,OFFSET(#REF!,AN322,0,1000000),0)+AN322,"")</f>
        <v/>
      </c>
      <c r="AO323" s="17" t="str">
        <f ca="1">IFERROR(_xlfn.SINGLE(INDEX(#REF!,'Monthly Report'!AN323)),"")</f>
        <v/>
      </c>
      <c r="AP323" s="12" t="str">
        <f ca="1">IFERROR(_xlfn.SINGLE(INDEX(#REF!,'Monthly Report'!AN323)),"")</f>
        <v/>
      </c>
    </row>
    <row r="324" spans="36:42">
      <c r="AJ324" s="12" t="str">
        <f ca="1">IFERROR(MATCH($B$114,OFFSET(#REF!,AJ323,0,1000000),0)+AJ323,"")</f>
        <v/>
      </c>
      <c r="AK324" s="17" t="str">
        <f ca="1">IFERROR(_xlfn.SINGLE(INDEX(#REF!,'Monthly Report'!AJ324)),"")</f>
        <v/>
      </c>
      <c r="AL324" s="12" t="str">
        <f ca="1">IFERROR(_xlfn.SINGLE(INDEX(#REF!,'Monthly Report'!AJ324)),"")</f>
        <v/>
      </c>
      <c r="AN324" s="12" t="str">
        <f ca="1">IFERROR(MATCH($G$115,OFFSET(#REF!,AN323,0,1000000),0)+AN323,"")</f>
        <v/>
      </c>
      <c r="AO324" s="17" t="str">
        <f ca="1">IFERROR(_xlfn.SINGLE(INDEX(#REF!,'Monthly Report'!AN324)),"")</f>
        <v/>
      </c>
      <c r="AP324" s="12" t="str">
        <f ca="1">IFERROR(_xlfn.SINGLE(INDEX(#REF!,'Monthly Report'!AN324)),"")</f>
        <v/>
      </c>
    </row>
    <row r="325" spans="36:42">
      <c r="AJ325" s="12" t="str">
        <f ca="1">IFERROR(MATCH($B$114,OFFSET(#REF!,AJ324,0,1000000),0)+AJ324,"")</f>
        <v/>
      </c>
      <c r="AK325" s="17" t="str">
        <f ca="1">IFERROR(_xlfn.SINGLE(INDEX(#REF!,'Monthly Report'!AJ325)),"")</f>
        <v/>
      </c>
      <c r="AL325" s="12" t="str">
        <f ca="1">IFERROR(_xlfn.SINGLE(INDEX(#REF!,'Monthly Report'!AJ325)),"")</f>
        <v/>
      </c>
      <c r="AN325" s="12" t="str">
        <f ca="1">IFERROR(MATCH($G$115,OFFSET(#REF!,AN324,0,1000000),0)+AN324,"")</f>
        <v/>
      </c>
      <c r="AO325" s="17" t="str">
        <f ca="1">IFERROR(_xlfn.SINGLE(INDEX(#REF!,'Monthly Report'!AN325)),"")</f>
        <v/>
      </c>
      <c r="AP325" s="12" t="str">
        <f ca="1">IFERROR(_xlfn.SINGLE(INDEX(#REF!,'Monthly Report'!AN325)),"")</f>
        <v/>
      </c>
    </row>
    <row r="326" spans="36:42">
      <c r="AJ326" s="12" t="str">
        <f ca="1">IFERROR(MATCH($B$114,OFFSET(#REF!,AJ325,0,1000000),0)+AJ325,"")</f>
        <v/>
      </c>
      <c r="AK326" s="17" t="str">
        <f ca="1">IFERROR(_xlfn.SINGLE(INDEX(#REF!,'Monthly Report'!AJ326)),"")</f>
        <v/>
      </c>
      <c r="AL326" s="12" t="str">
        <f ca="1">IFERROR(_xlfn.SINGLE(INDEX(#REF!,'Monthly Report'!AJ326)),"")</f>
        <v/>
      </c>
      <c r="AN326" s="12" t="str">
        <f ca="1">IFERROR(MATCH($G$115,OFFSET(#REF!,AN325,0,1000000),0)+AN325,"")</f>
        <v/>
      </c>
      <c r="AO326" s="17" t="str">
        <f ca="1">IFERROR(_xlfn.SINGLE(INDEX(#REF!,'Monthly Report'!AN326)),"")</f>
        <v/>
      </c>
      <c r="AP326" s="12" t="str">
        <f ca="1">IFERROR(_xlfn.SINGLE(INDEX(#REF!,'Monthly Report'!AN326)),"")</f>
        <v/>
      </c>
    </row>
    <row r="327" spans="36:42">
      <c r="AJ327" s="12" t="str">
        <f ca="1">IFERROR(MATCH($B$114,OFFSET(#REF!,AJ326,0,1000000),0)+AJ326,"")</f>
        <v/>
      </c>
      <c r="AK327" s="17" t="str">
        <f ca="1">IFERROR(_xlfn.SINGLE(INDEX(#REF!,'Monthly Report'!AJ327)),"")</f>
        <v/>
      </c>
      <c r="AL327" s="12" t="str">
        <f ca="1">IFERROR(_xlfn.SINGLE(INDEX(#REF!,'Monthly Report'!AJ327)),"")</f>
        <v/>
      </c>
      <c r="AN327" s="12" t="str">
        <f ca="1">IFERROR(MATCH($G$115,OFFSET(#REF!,AN326,0,1000000),0)+AN326,"")</f>
        <v/>
      </c>
      <c r="AO327" s="17" t="str">
        <f ca="1">IFERROR(_xlfn.SINGLE(INDEX(#REF!,'Monthly Report'!AN327)),"")</f>
        <v/>
      </c>
      <c r="AP327" s="12" t="str">
        <f ca="1">IFERROR(_xlfn.SINGLE(INDEX(#REF!,'Monthly Report'!AN327)),"")</f>
        <v/>
      </c>
    </row>
    <row r="328" spans="36:42">
      <c r="AJ328" s="12" t="str">
        <f ca="1">IFERROR(MATCH($B$114,OFFSET(#REF!,AJ327,0,1000000),0)+AJ327,"")</f>
        <v/>
      </c>
      <c r="AK328" s="17" t="str">
        <f ca="1">IFERROR(_xlfn.SINGLE(INDEX(#REF!,'Monthly Report'!AJ328)),"")</f>
        <v/>
      </c>
      <c r="AL328" s="12" t="str">
        <f ca="1">IFERROR(_xlfn.SINGLE(INDEX(#REF!,'Monthly Report'!AJ328)),"")</f>
        <v/>
      </c>
      <c r="AN328" s="12" t="str">
        <f ca="1">IFERROR(MATCH($G$115,OFFSET(#REF!,AN327,0,1000000),0)+AN327,"")</f>
        <v/>
      </c>
      <c r="AO328" s="17" t="str">
        <f ca="1">IFERROR(_xlfn.SINGLE(INDEX(#REF!,'Monthly Report'!AN328)),"")</f>
        <v/>
      </c>
      <c r="AP328" s="12" t="str">
        <f ca="1">IFERROR(_xlfn.SINGLE(INDEX(#REF!,'Monthly Report'!AN328)),"")</f>
        <v/>
      </c>
    </row>
    <row r="329" spans="36:42">
      <c r="AJ329" s="12" t="str">
        <f ca="1">IFERROR(MATCH($B$114,OFFSET(#REF!,AJ328,0,1000000),0)+AJ328,"")</f>
        <v/>
      </c>
      <c r="AK329" s="17" t="str">
        <f ca="1">IFERROR(_xlfn.SINGLE(INDEX(#REF!,'Monthly Report'!AJ329)),"")</f>
        <v/>
      </c>
      <c r="AL329" s="12" t="str">
        <f ca="1">IFERROR(_xlfn.SINGLE(INDEX(#REF!,'Monthly Report'!AJ329)),"")</f>
        <v/>
      </c>
      <c r="AN329" s="12" t="str">
        <f ca="1">IFERROR(MATCH($G$115,OFFSET(#REF!,AN328,0,1000000),0)+AN328,"")</f>
        <v/>
      </c>
      <c r="AO329" s="17" t="str">
        <f ca="1">IFERROR(_xlfn.SINGLE(INDEX(#REF!,'Monthly Report'!AN329)),"")</f>
        <v/>
      </c>
      <c r="AP329" s="12" t="str">
        <f ca="1">IFERROR(_xlfn.SINGLE(INDEX(#REF!,'Monthly Report'!AN329)),"")</f>
        <v/>
      </c>
    </row>
    <row r="330" spans="36:42">
      <c r="AJ330" s="12" t="str">
        <f ca="1">IFERROR(MATCH($B$114,OFFSET(#REF!,AJ329,0,1000000),0)+AJ329,"")</f>
        <v/>
      </c>
      <c r="AK330" s="17" t="str">
        <f ca="1">IFERROR(_xlfn.SINGLE(INDEX(#REF!,'Monthly Report'!AJ330)),"")</f>
        <v/>
      </c>
      <c r="AL330" s="12" t="str">
        <f ca="1">IFERROR(_xlfn.SINGLE(INDEX(#REF!,'Monthly Report'!AJ330)),"")</f>
        <v/>
      </c>
      <c r="AN330" s="12" t="str">
        <f ca="1">IFERROR(MATCH($G$115,OFFSET(#REF!,AN329,0,1000000),0)+AN329,"")</f>
        <v/>
      </c>
      <c r="AO330" s="17" t="str">
        <f ca="1">IFERROR(_xlfn.SINGLE(INDEX(#REF!,'Monthly Report'!AN330)),"")</f>
        <v/>
      </c>
      <c r="AP330" s="12" t="str">
        <f ca="1">IFERROR(_xlfn.SINGLE(INDEX(#REF!,'Monthly Report'!AN330)),"")</f>
        <v/>
      </c>
    </row>
    <row r="331" spans="36:42">
      <c r="AJ331" s="12" t="str">
        <f ca="1">IFERROR(MATCH($B$114,OFFSET(#REF!,AJ330,0,1000000),0)+AJ330,"")</f>
        <v/>
      </c>
      <c r="AK331" s="17" t="str">
        <f ca="1">IFERROR(_xlfn.SINGLE(INDEX(#REF!,'Monthly Report'!AJ331)),"")</f>
        <v/>
      </c>
      <c r="AL331" s="12" t="str">
        <f ca="1">IFERROR(_xlfn.SINGLE(INDEX(#REF!,'Monthly Report'!AJ331)),"")</f>
        <v/>
      </c>
      <c r="AN331" s="12" t="str">
        <f ca="1">IFERROR(MATCH($G$115,OFFSET(#REF!,AN330,0,1000000),0)+AN330,"")</f>
        <v/>
      </c>
      <c r="AO331" s="17" t="str">
        <f ca="1">IFERROR(_xlfn.SINGLE(INDEX(#REF!,'Monthly Report'!AN331)),"")</f>
        <v/>
      </c>
      <c r="AP331" s="12" t="str">
        <f ca="1">IFERROR(_xlfn.SINGLE(INDEX(#REF!,'Monthly Report'!AN331)),"")</f>
        <v/>
      </c>
    </row>
    <row r="332" spans="36:42">
      <c r="AJ332" s="12" t="str">
        <f ca="1">IFERROR(MATCH($B$114,OFFSET(#REF!,AJ331,0,1000000),0)+AJ331,"")</f>
        <v/>
      </c>
      <c r="AK332" s="17" t="str">
        <f ca="1">IFERROR(_xlfn.SINGLE(INDEX(#REF!,'Monthly Report'!AJ332)),"")</f>
        <v/>
      </c>
      <c r="AL332" s="12" t="str">
        <f ca="1">IFERROR(_xlfn.SINGLE(INDEX(#REF!,'Monthly Report'!AJ332)),"")</f>
        <v/>
      </c>
      <c r="AN332" s="12" t="str">
        <f ca="1">IFERROR(MATCH($G$115,OFFSET(#REF!,AN331,0,1000000),0)+AN331,"")</f>
        <v/>
      </c>
      <c r="AO332" s="17" t="str">
        <f ca="1">IFERROR(_xlfn.SINGLE(INDEX(#REF!,'Monthly Report'!AN332)),"")</f>
        <v/>
      </c>
      <c r="AP332" s="12" t="str">
        <f ca="1">IFERROR(_xlfn.SINGLE(INDEX(#REF!,'Monthly Report'!AN332)),"")</f>
        <v/>
      </c>
    </row>
    <row r="333" spans="36:42">
      <c r="AJ333" s="12" t="str">
        <f ca="1">IFERROR(MATCH($B$114,OFFSET(#REF!,AJ332,0,1000000),0)+AJ332,"")</f>
        <v/>
      </c>
      <c r="AK333" s="17" t="str">
        <f ca="1">IFERROR(_xlfn.SINGLE(INDEX(#REF!,'Monthly Report'!AJ333)),"")</f>
        <v/>
      </c>
      <c r="AL333" s="12" t="str">
        <f ca="1">IFERROR(_xlfn.SINGLE(INDEX(#REF!,'Monthly Report'!AJ333)),"")</f>
        <v/>
      </c>
      <c r="AN333" s="12" t="str">
        <f ca="1">IFERROR(MATCH($G$115,OFFSET(#REF!,AN332,0,1000000),0)+AN332,"")</f>
        <v/>
      </c>
      <c r="AO333" s="17" t="str">
        <f ca="1">IFERROR(_xlfn.SINGLE(INDEX(#REF!,'Monthly Report'!AN333)),"")</f>
        <v/>
      </c>
      <c r="AP333" s="12" t="str">
        <f ca="1">IFERROR(_xlfn.SINGLE(INDEX(#REF!,'Monthly Report'!AN333)),"")</f>
        <v/>
      </c>
    </row>
    <row r="334" spans="36:42">
      <c r="AJ334" s="12" t="str">
        <f ca="1">IFERROR(MATCH($B$114,OFFSET(#REF!,AJ333,0,1000000),0)+AJ333,"")</f>
        <v/>
      </c>
      <c r="AK334" s="17" t="str">
        <f ca="1">IFERROR(_xlfn.SINGLE(INDEX(#REF!,'Monthly Report'!AJ334)),"")</f>
        <v/>
      </c>
      <c r="AL334" s="12" t="str">
        <f ca="1">IFERROR(_xlfn.SINGLE(INDEX(#REF!,'Monthly Report'!AJ334)),"")</f>
        <v/>
      </c>
      <c r="AN334" s="12" t="str">
        <f ca="1">IFERROR(MATCH($G$115,OFFSET(#REF!,AN333,0,1000000),0)+AN333,"")</f>
        <v/>
      </c>
      <c r="AO334" s="17" t="str">
        <f ca="1">IFERROR(_xlfn.SINGLE(INDEX(#REF!,'Monthly Report'!AN334)),"")</f>
        <v/>
      </c>
      <c r="AP334" s="12" t="str">
        <f ca="1">IFERROR(_xlfn.SINGLE(INDEX(#REF!,'Monthly Report'!AN334)),"")</f>
        <v/>
      </c>
    </row>
    <row r="335" spans="36:42">
      <c r="AJ335" s="12" t="str">
        <f ca="1">IFERROR(MATCH($B$114,OFFSET(#REF!,AJ334,0,1000000),0)+AJ334,"")</f>
        <v/>
      </c>
      <c r="AK335" s="17" t="str">
        <f ca="1">IFERROR(_xlfn.SINGLE(INDEX(#REF!,'Monthly Report'!AJ335)),"")</f>
        <v/>
      </c>
      <c r="AL335" s="12" t="str">
        <f ca="1">IFERROR(_xlfn.SINGLE(INDEX(#REF!,'Monthly Report'!AJ335)),"")</f>
        <v/>
      </c>
      <c r="AN335" s="12" t="str">
        <f ca="1">IFERROR(MATCH($G$115,OFFSET(#REF!,AN334,0,1000000),0)+AN334,"")</f>
        <v/>
      </c>
      <c r="AO335" s="17" t="str">
        <f ca="1">IFERROR(_xlfn.SINGLE(INDEX(#REF!,'Monthly Report'!AN335)),"")</f>
        <v/>
      </c>
      <c r="AP335" s="12" t="str">
        <f ca="1">IFERROR(_xlfn.SINGLE(INDEX(#REF!,'Monthly Report'!AN335)),"")</f>
        <v/>
      </c>
    </row>
    <row r="336" spans="36:42">
      <c r="AJ336" s="12" t="str">
        <f ca="1">IFERROR(MATCH($B$114,OFFSET(#REF!,AJ335,0,1000000),0)+AJ335,"")</f>
        <v/>
      </c>
      <c r="AK336" s="17" t="str">
        <f ca="1">IFERROR(_xlfn.SINGLE(INDEX(#REF!,'Monthly Report'!AJ336)),"")</f>
        <v/>
      </c>
      <c r="AL336" s="12" t="str">
        <f ca="1">IFERROR(_xlfn.SINGLE(INDEX(#REF!,'Monthly Report'!AJ336)),"")</f>
        <v/>
      </c>
      <c r="AN336" s="12" t="str">
        <f ca="1">IFERROR(MATCH($G$115,OFFSET(#REF!,AN335,0,1000000),0)+AN335,"")</f>
        <v/>
      </c>
      <c r="AO336" s="17" t="str">
        <f ca="1">IFERROR(_xlfn.SINGLE(INDEX(#REF!,'Monthly Report'!AN336)),"")</f>
        <v/>
      </c>
      <c r="AP336" s="12" t="str">
        <f ca="1">IFERROR(_xlfn.SINGLE(INDEX(#REF!,'Monthly Report'!AN336)),"")</f>
        <v/>
      </c>
    </row>
    <row r="337" spans="36:42">
      <c r="AJ337" s="12" t="str">
        <f ca="1">IFERROR(MATCH($B$114,OFFSET(#REF!,AJ336,0,1000000),0)+AJ336,"")</f>
        <v/>
      </c>
      <c r="AK337" s="17" t="str">
        <f ca="1">IFERROR(_xlfn.SINGLE(INDEX(#REF!,'Monthly Report'!AJ337)),"")</f>
        <v/>
      </c>
      <c r="AL337" s="12" t="str">
        <f ca="1">IFERROR(_xlfn.SINGLE(INDEX(#REF!,'Monthly Report'!AJ337)),"")</f>
        <v/>
      </c>
      <c r="AN337" s="12" t="str">
        <f ca="1">IFERROR(MATCH($G$115,OFFSET(#REF!,AN336,0,1000000),0)+AN336,"")</f>
        <v/>
      </c>
      <c r="AO337" s="17" t="str">
        <f ca="1">IFERROR(_xlfn.SINGLE(INDEX(#REF!,'Monthly Report'!AN337)),"")</f>
        <v/>
      </c>
      <c r="AP337" s="12" t="str">
        <f ca="1">IFERROR(_xlfn.SINGLE(INDEX(#REF!,'Monthly Report'!AN337)),"")</f>
        <v/>
      </c>
    </row>
    <row r="338" spans="36:42">
      <c r="AJ338" s="12" t="str">
        <f ca="1">IFERROR(MATCH($B$114,OFFSET(#REF!,AJ337,0,1000000),0)+AJ337,"")</f>
        <v/>
      </c>
      <c r="AK338" s="17" t="str">
        <f ca="1">IFERROR(_xlfn.SINGLE(INDEX(#REF!,'Monthly Report'!AJ338)),"")</f>
        <v/>
      </c>
      <c r="AL338" s="12" t="str">
        <f ca="1">IFERROR(_xlfn.SINGLE(INDEX(#REF!,'Monthly Report'!AJ338)),"")</f>
        <v/>
      </c>
      <c r="AN338" s="12" t="str">
        <f ca="1">IFERROR(MATCH($G$115,OFFSET(#REF!,AN337,0,1000000),0)+AN337,"")</f>
        <v/>
      </c>
      <c r="AO338" s="17" t="str">
        <f ca="1">IFERROR(_xlfn.SINGLE(INDEX(#REF!,'Monthly Report'!AN338)),"")</f>
        <v/>
      </c>
      <c r="AP338" s="12" t="str">
        <f ca="1">IFERROR(_xlfn.SINGLE(INDEX(#REF!,'Monthly Report'!AN338)),"")</f>
        <v/>
      </c>
    </row>
    <row r="339" spans="36:42">
      <c r="AJ339" s="12" t="str">
        <f ca="1">IFERROR(MATCH($B$114,OFFSET(#REF!,AJ338,0,1000000),0)+AJ338,"")</f>
        <v/>
      </c>
      <c r="AK339" s="17" t="str">
        <f ca="1">IFERROR(_xlfn.SINGLE(INDEX(#REF!,'Monthly Report'!AJ339)),"")</f>
        <v/>
      </c>
      <c r="AL339" s="12" t="str">
        <f ca="1">IFERROR(_xlfn.SINGLE(INDEX(#REF!,'Monthly Report'!AJ339)),"")</f>
        <v/>
      </c>
      <c r="AN339" s="12" t="str">
        <f ca="1">IFERROR(MATCH($G$115,OFFSET(#REF!,AN338,0,1000000),0)+AN338,"")</f>
        <v/>
      </c>
      <c r="AO339" s="17" t="str">
        <f ca="1">IFERROR(_xlfn.SINGLE(INDEX(#REF!,'Monthly Report'!AN339)),"")</f>
        <v/>
      </c>
      <c r="AP339" s="12" t="str">
        <f ca="1">IFERROR(_xlfn.SINGLE(INDEX(#REF!,'Monthly Report'!AN339)),"")</f>
        <v/>
      </c>
    </row>
    <row r="340" spans="36:42">
      <c r="AJ340" s="12" t="str">
        <f ca="1">IFERROR(MATCH($B$114,OFFSET(#REF!,AJ339,0,1000000),0)+AJ339,"")</f>
        <v/>
      </c>
      <c r="AK340" s="17" t="str">
        <f ca="1">IFERROR(_xlfn.SINGLE(INDEX(#REF!,'Monthly Report'!AJ340)),"")</f>
        <v/>
      </c>
      <c r="AL340" s="12" t="str">
        <f ca="1">IFERROR(_xlfn.SINGLE(INDEX(#REF!,'Monthly Report'!AJ340)),"")</f>
        <v/>
      </c>
      <c r="AN340" s="12" t="str">
        <f ca="1">IFERROR(MATCH($G$115,OFFSET(#REF!,AN339,0,1000000),0)+AN339,"")</f>
        <v/>
      </c>
      <c r="AO340" s="17" t="str">
        <f ca="1">IFERROR(_xlfn.SINGLE(INDEX(#REF!,'Monthly Report'!AN340)),"")</f>
        <v/>
      </c>
      <c r="AP340" s="12" t="str">
        <f ca="1">IFERROR(_xlfn.SINGLE(INDEX(#REF!,'Monthly Report'!AN340)),"")</f>
        <v/>
      </c>
    </row>
    <row r="341" spans="36:42">
      <c r="AJ341" s="12" t="str">
        <f ca="1">IFERROR(MATCH($B$114,OFFSET(#REF!,AJ340,0,1000000),0)+AJ340,"")</f>
        <v/>
      </c>
      <c r="AK341" s="17" t="str">
        <f ca="1">IFERROR(_xlfn.SINGLE(INDEX(#REF!,'Monthly Report'!AJ341)),"")</f>
        <v/>
      </c>
      <c r="AL341" s="12" t="str">
        <f ca="1">IFERROR(_xlfn.SINGLE(INDEX(#REF!,'Monthly Report'!AJ341)),"")</f>
        <v/>
      </c>
      <c r="AN341" s="12" t="str">
        <f ca="1">IFERROR(MATCH($G$115,OFFSET(#REF!,AN340,0,1000000),0)+AN340,"")</f>
        <v/>
      </c>
      <c r="AO341" s="17" t="str">
        <f ca="1">IFERROR(_xlfn.SINGLE(INDEX(#REF!,'Monthly Report'!AN341)),"")</f>
        <v/>
      </c>
      <c r="AP341" s="12" t="str">
        <f ca="1">IFERROR(_xlfn.SINGLE(INDEX(#REF!,'Monthly Report'!AN341)),"")</f>
        <v/>
      </c>
    </row>
    <row r="342" spans="36:42">
      <c r="AJ342" s="12" t="str">
        <f ca="1">IFERROR(MATCH($B$114,OFFSET(#REF!,AJ341,0,1000000),0)+AJ341,"")</f>
        <v/>
      </c>
      <c r="AK342" s="17" t="str">
        <f ca="1">IFERROR(_xlfn.SINGLE(INDEX(#REF!,'Monthly Report'!AJ342)),"")</f>
        <v/>
      </c>
      <c r="AL342" s="12" t="str">
        <f ca="1">IFERROR(_xlfn.SINGLE(INDEX(#REF!,'Monthly Report'!AJ342)),"")</f>
        <v/>
      </c>
      <c r="AN342" s="12" t="str">
        <f ca="1">IFERROR(MATCH($G$115,OFFSET(#REF!,AN341,0,1000000),0)+AN341,"")</f>
        <v/>
      </c>
      <c r="AO342" s="17" t="str">
        <f ca="1">IFERROR(_xlfn.SINGLE(INDEX(#REF!,'Monthly Report'!AN342)),"")</f>
        <v/>
      </c>
      <c r="AP342" s="12" t="str">
        <f ca="1">IFERROR(_xlfn.SINGLE(INDEX(#REF!,'Monthly Report'!AN342)),"")</f>
        <v/>
      </c>
    </row>
    <row r="343" spans="36:42">
      <c r="AJ343" s="12" t="str">
        <f ca="1">IFERROR(MATCH($B$114,OFFSET(#REF!,AJ342,0,1000000),0)+AJ342,"")</f>
        <v/>
      </c>
      <c r="AK343" s="17" t="str">
        <f ca="1">IFERROR(_xlfn.SINGLE(INDEX(#REF!,'Monthly Report'!AJ343)),"")</f>
        <v/>
      </c>
      <c r="AL343" s="12" t="str">
        <f ca="1">IFERROR(_xlfn.SINGLE(INDEX(#REF!,'Monthly Report'!AJ343)),"")</f>
        <v/>
      </c>
      <c r="AN343" s="12" t="str">
        <f ca="1">IFERROR(MATCH($G$115,OFFSET(#REF!,AN342,0,1000000),0)+AN342,"")</f>
        <v/>
      </c>
      <c r="AO343" s="17" t="str">
        <f ca="1">IFERROR(_xlfn.SINGLE(INDEX(#REF!,'Monthly Report'!AN343)),"")</f>
        <v/>
      </c>
      <c r="AP343" s="12" t="str">
        <f ca="1">IFERROR(_xlfn.SINGLE(INDEX(#REF!,'Monthly Report'!AN343)),"")</f>
        <v/>
      </c>
    </row>
    <row r="344" spans="36:42">
      <c r="AJ344" s="12" t="str">
        <f ca="1">IFERROR(MATCH($B$114,OFFSET(#REF!,AJ343,0,1000000),0)+AJ343,"")</f>
        <v/>
      </c>
      <c r="AK344" s="17" t="str">
        <f ca="1">IFERROR(_xlfn.SINGLE(INDEX(#REF!,'Monthly Report'!AJ344)),"")</f>
        <v/>
      </c>
      <c r="AL344" s="12" t="str">
        <f ca="1">IFERROR(_xlfn.SINGLE(INDEX(#REF!,'Monthly Report'!AJ344)),"")</f>
        <v/>
      </c>
      <c r="AN344" s="12" t="str">
        <f ca="1">IFERROR(MATCH($G$115,OFFSET(#REF!,AN343,0,1000000),0)+AN343,"")</f>
        <v/>
      </c>
      <c r="AO344" s="17" t="str">
        <f ca="1">IFERROR(_xlfn.SINGLE(INDEX(#REF!,'Monthly Report'!AN344)),"")</f>
        <v/>
      </c>
      <c r="AP344" s="12" t="str">
        <f ca="1">IFERROR(_xlfn.SINGLE(INDEX(#REF!,'Monthly Report'!AN344)),"")</f>
        <v/>
      </c>
    </row>
    <row r="345" spans="36:42">
      <c r="AJ345" s="12" t="str">
        <f ca="1">IFERROR(MATCH($B$114,OFFSET(#REF!,AJ344,0,1000000),0)+AJ344,"")</f>
        <v/>
      </c>
      <c r="AK345" s="17" t="str">
        <f ca="1">IFERROR(_xlfn.SINGLE(INDEX(#REF!,'Monthly Report'!AJ345)),"")</f>
        <v/>
      </c>
      <c r="AL345" s="12" t="str">
        <f ca="1">IFERROR(_xlfn.SINGLE(INDEX(#REF!,'Monthly Report'!AJ345)),"")</f>
        <v/>
      </c>
      <c r="AN345" s="12" t="str">
        <f ca="1">IFERROR(MATCH($G$115,OFFSET(#REF!,AN344,0,1000000),0)+AN344,"")</f>
        <v/>
      </c>
      <c r="AO345" s="17" t="str">
        <f ca="1">IFERROR(_xlfn.SINGLE(INDEX(#REF!,'Monthly Report'!AN345)),"")</f>
        <v/>
      </c>
      <c r="AP345" s="12" t="str">
        <f ca="1">IFERROR(_xlfn.SINGLE(INDEX(#REF!,'Monthly Report'!AN345)),"")</f>
        <v/>
      </c>
    </row>
    <row r="346" spans="36:42">
      <c r="AJ346" s="12" t="str">
        <f ca="1">IFERROR(MATCH($B$114,OFFSET(#REF!,AJ345,0,1000000),0)+AJ345,"")</f>
        <v/>
      </c>
      <c r="AK346" s="17" t="str">
        <f ca="1">IFERROR(_xlfn.SINGLE(INDEX(#REF!,'Monthly Report'!AJ346)),"")</f>
        <v/>
      </c>
      <c r="AL346" s="12" t="str">
        <f ca="1">IFERROR(_xlfn.SINGLE(INDEX(#REF!,'Monthly Report'!AJ346)),"")</f>
        <v/>
      </c>
      <c r="AN346" s="12" t="str">
        <f ca="1">IFERROR(MATCH($G$115,OFFSET(#REF!,AN345,0,1000000),0)+AN345,"")</f>
        <v/>
      </c>
      <c r="AO346" s="17" t="str">
        <f ca="1">IFERROR(_xlfn.SINGLE(INDEX(#REF!,'Monthly Report'!AN346)),"")</f>
        <v/>
      </c>
      <c r="AP346" s="12" t="str">
        <f ca="1">IFERROR(_xlfn.SINGLE(INDEX(#REF!,'Monthly Report'!AN346)),"")</f>
        <v/>
      </c>
    </row>
    <row r="347" spans="36:42">
      <c r="AJ347" s="12" t="str">
        <f ca="1">IFERROR(MATCH($B$114,OFFSET(#REF!,AJ346,0,1000000),0)+AJ346,"")</f>
        <v/>
      </c>
      <c r="AK347" s="17" t="str">
        <f ca="1">IFERROR(_xlfn.SINGLE(INDEX(#REF!,'Monthly Report'!AJ347)),"")</f>
        <v/>
      </c>
      <c r="AL347" s="12" t="str">
        <f ca="1">IFERROR(_xlfn.SINGLE(INDEX(#REF!,'Monthly Report'!AJ347)),"")</f>
        <v/>
      </c>
      <c r="AN347" s="12" t="str">
        <f ca="1">IFERROR(MATCH($G$115,OFFSET(#REF!,AN346,0,1000000),0)+AN346,"")</f>
        <v/>
      </c>
      <c r="AO347" s="17" t="str">
        <f ca="1">IFERROR(_xlfn.SINGLE(INDEX(#REF!,'Monthly Report'!AN347)),"")</f>
        <v/>
      </c>
      <c r="AP347" s="12" t="str">
        <f ca="1">IFERROR(_xlfn.SINGLE(INDEX(#REF!,'Monthly Report'!AN347)),"")</f>
        <v/>
      </c>
    </row>
    <row r="348" spans="36:42">
      <c r="AJ348" s="12" t="str">
        <f ca="1">IFERROR(MATCH($B$114,OFFSET(#REF!,AJ347,0,1000000),0)+AJ347,"")</f>
        <v/>
      </c>
      <c r="AK348" s="17" t="str">
        <f ca="1">IFERROR(_xlfn.SINGLE(INDEX(#REF!,'Monthly Report'!AJ348)),"")</f>
        <v/>
      </c>
      <c r="AL348" s="12" t="str">
        <f ca="1">IFERROR(_xlfn.SINGLE(INDEX(#REF!,'Monthly Report'!AJ348)),"")</f>
        <v/>
      </c>
      <c r="AN348" s="12" t="str">
        <f ca="1">IFERROR(MATCH($G$115,OFFSET(#REF!,AN347,0,1000000),0)+AN347,"")</f>
        <v/>
      </c>
      <c r="AO348" s="17" t="str">
        <f ca="1">IFERROR(_xlfn.SINGLE(INDEX(#REF!,'Monthly Report'!AN348)),"")</f>
        <v/>
      </c>
      <c r="AP348" s="12" t="str">
        <f ca="1">IFERROR(_xlfn.SINGLE(INDEX(#REF!,'Monthly Report'!AN348)),"")</f>
        <v/>
      </c>
    </row>
    <row r="349" spans="36:42">
      <c r="AJ349" s="12" t="str">
        <f ca="1">IFERROR(MATCH($B$114,OFFSET(#REF!,AJ348,0,1000000),0)+AJ348,"")</f>
        <v/>
      </c>
      <c r="AK349" s="17" t="str">
        <f ca="1">IFERROR(_xlfn.SINGLE(INDEX(#REF!,'Monthly Report'!AJ349)),"")</f>
        <v/>
      </c>
      <c r="AL349" s="12" t="str">
        <f ca="1">IFERROR(_xlfn.SINGLE(INDEX(#REF!,'Monthly Report'!AJ349)),"")</f>
        <v/>
      </c>
      <c r="AN349" s="12" t="str">
        <f ca="1">IFERROR(MATCH($G$115,OFFSET(#REF!,AN348,0,1000000),0)+AN348,"")</f>
        <v/>
      </c>
      <c r="AO349" s="17" t="str">
        <f ca="1">IFERROR(_xlfn.SINGLE(INDEX(#REF!,'Monthly Report'!AN349)),"")</f>
        <v/>
      </c>
      <c r="AP349" s="12" t="str">
        <f ca="1">IFERROR(_xlfn.SINGLE(INDEX(#REF!,'Monthly Report'!AN349)),"")</f>
        <v/>
      </c>
    </row>
    <row r="350" spans="36:42">
      <c r="AJ350" s="12" t="str">
        <f ca="1">IFERROR(MATCH($B$114,OFFSET(#REF!,AJ349,0,1000000),0)+AJ349,"")</f>
        <v/>
      </c>
      <c r="AK350" s="17" t="str">
        <f ca="1">IFERROR(_xlfn.SINGLE(INDEX(#REF!,'Monthly Report'!AJ350)),"")</f>
        <v/>
      </c>
      <c r="AL350" s="12" t="str">
        <f ca="1">IFERROR(_xlfn.SINGLE(INDEX(#REF!,'Monthly Report'!AJ350)),"")</f>
        <v/>
      </c>
      <c r="AN350" s="12" t="str">
        <f ca="1">IFERROR(MATCH($G$115,OFFSET(#REF!,AN349,0,1000000),0)+AN349,"")</f>
        <v/>
      </c>
      <c r="AO350" s="17" t="str">
        <f ca="1">IFERROR(_xlfn.SINGLE(INDEX(#REF!,'Monthly Report'!AN350)),"")</f>
        <v/>
      </c>
      <c r="AP350" s="12" t="str">
        <f ca="1">IFERROR(_xlfn.SINGLE(INDEX(#REF!,'Monthly Report'!AN350)),"")</f>
        <v/>
      </c>
    </row>
    <row r="351" spans="36:42">
      <c r="AJ351" s="12" t="str">
        <f ca="1">IFERROR(MATCH($B$114,OFFSET(#REF!,AJ350,0,1000000),0)+AJ350,"")</f>
        <v/>
      </c>
      <c r="AK351" s="17" t="str">
        <f ca="1">IFERROR(_xlfn.SINGLE(INDEX(#REF!,'Monthly Report'!AJ351)),"")</f>
        <v/>
      </c>
      <c r="AL351" s="12" t="str">
        <f ca="1">IFERROR(_xlfn.SINGLE(INDEX(#REF!,'Monthly Report'!AJ351)),"")</f>
        <v/>
      </c>
      <c r="AN351" s="12" t="str">
        <f ca="1">IFERROR(MATCH($G$115,OFFSET(#REF!,AN350,0,1000000),0)+AN350,"")</f>
        <v/>
      </c>
      <c r="AO351" s="17" t="str">
        <f ca="1">IFERROR(_xlfn.SINGLE(INDEX(#REF!,'Monthly Report'!AN351)),"")</f>
        <v/>
      </c>
      <c r="AP351" s="12" t="str">
        <f ca="1">IFERROR(_xlfn.SINGLE(INDEX(#REF!,'Monthly Report'!AN351)),"")</f>
        <v/>
      </c>
    </row>
    <row r="352" spans="36:42">
      <c r="AJ352" s="12" t="str">
        <f ca="1">IFERROR(MATCH($B$114,OFFSET(#REF!,AJ351,0,1000000),0)+AJ351,"")</f>
        <v/>
      </c>
      <c r="AK352" s="17" t="str">
        <f ca="1">IFERROR(_xlfn.SINGLE(INDEX(#REF!,'Monthly Report'!AJ352)),"")</f>
        <v/>
      </c>
      <c r="AL352" s="12" t="str">
        <f ca="1">IFERROR(_xlfn.SINGLE(INDEX(#REF!,'Monthly Report'!AJ352)),"")</f>
        <v/>
      </c>
      <c r="AN352" s="12" t="str">
        <f ca="1">IFERROR(MATCH($G$115,OFFSET(#REF!,AN351,0,1000000),0)+AN351,"")</f>
        <v/>
      </c>
      <c r="AO352" s="17" t="str">
        <f ca="1">IFERROR(_xlfn.SINGLE(INDEX(#REF!,'Monthly Report'!AN352)),"")</f>
        <v/>
      </c>
      <c r="AP352" s="12" t="str">
        <f ca="1">IFERROR(_xlfn.SINGLE(INDEX(#REF!,'Monthly Report'!AN352)),"")</f>
        <v/>
      </c>
    </row>
    <row r="353" spans="36:42">
      <c r="AJ353" s="12" t="str">
        <f ca="1">IFERROR(MATCH($B$114,OFFSET(#REF!,AJ352,0,1000000),0)+AJ352,"")</f>
        <v/>
      </c>
      <c r="AK353" s="17" t="str">
        <f ca="1">IFERROR(_xlfn.SINGLE(INDEX(#REF!,'Monthly Report'!AJ353)),"")</f>
        <v/>
      </c>
      <c r="AL353" s="12" t="str">
        <f ca="1">IFERROR(_xlfn.SINGLE(INDEX(#REF!,'Monthly Report'!AJ353)),"")</f>
        <v/>
      </c>
      <c r="AN353" s="12" t="str">
        <f ca="1">IFERROR(MATCH($G$115,OFFSET(#REF!,AN352,0,1000000),0)+AN352,"")</f>
        <v/>
      </c>
      <c r="AO353" s="17" t="str">
        <f ca="1">IFERROR(_xlfn.SINGLE(INDEX(#REF!,'Monthly Report'!AN353)),"")</f>
        <v/>
      </c>
      <c r="AP353" s="12" t="str">
        <f ca="1">IFERROR(_xlfn.SINGLE(INDEX(#REF!,'Monthly Report'!AN353)),"")</f>
        <v/>
      </c>
    </row>
    <row r="354" spans="36:42">
      <c r="AJ354" s="12" t="str">
        <f ca="1">IFERROR(MATCH($B$114,OFFSET(#REF!,AJ353,0,1000000),0)+AJ353,"")</f>
        <v/>
      </c>
      <c r="AK354" s="17" t="str">
        <f ca="1">IFERROR(_xlfn.SINGLE(INDEX(#REF!,'Monthly Report'!AJ354)),"")</f>
        <v/>
      </c>
      <c r="AL354" s="12" t="str">
        <f ca="1">IFERROR(_xlfn.SINGLE(INDEX(#REF!,'Monthly Report'!AJ354)),"")</f>
        <v/>
      </c>
      <c r="AN354" s="12" t="str">
        <f ca="1">IFERROR(MATCH($G$115,OFFSET(#REF!,AN353,0,1000000),0)+AN353,"")</f>
        <v/>
      </c>
      <c r="AO354" s="17" t="str">
        <f ca="1">IFERROR(_xlfn.SINGLE(INDEX(#REF!,'Monthly Report'!AN354)),"")</f>
        <v/>
      </c>
      <c r="AP354" s="12" t="str">
        <f ca="1">IFERROR(_xlfn.SINGLE(INDEX(#REF!,'Monthly Report'!AN354)),"")</f>
        <v/>
      </c>
    </row>
    <row r="355" spans="36:42">
      <c r="AJ355" s="12" t="str">
        <f ca="1">IFERROR(MATCH($B$114,OFFSET(#REF!,AJ354,0,1000000),0)+AJ354,"")</f>
        <v/>
      </c>
      <c r="AK355" s="17" t="str">
        <f ca="1">IFERROR(_xlfn.SINGLE(INDEX(#REF!,'Monthly Report'!AJ355)),"")</f>
        <v/>
      </c>
      <c r="AL355" s="12" t="str">
        <f ca="1">IFERROR(_xlfn.SINGLE(INDEX(#REF!,'Monthly Report'!AJ355)),"")</f>
        <v/>
      </c>
      <c r="AN355" s="12" t="str">
        <f ca="1">IFERROR(MATCH($G$115,OFFSET(#REF!,AN354,0,1000000),0)+AN354,"")</f>
        <v/>
      </c>
      <c r="AO355" s="17" t="str">
        <f ca="1">IFERROR(_xlfn.SINGLE(INDEX(#REF!,'Monthly Report'!AN355)),"")</f>
        <v/>
      </c>
      <c r="AP355" s="12" t="str">
        <f ca="1">IFERROR(_xlfn.SINGLE(INDEX(#REF!,'Monthly Report'!AN355)),"")</f>
        <v/>
      </c>
    </row>
    <row r="356" spans="36:42">
      <c r="AJ356" s="12" t="str">
        <f ca="1">IFERROR(MATCH($B$114,OFFSET(#REF!,AJ355,0,1000000),0)+AJ355,"")</f>
        <v/>
      </c>
      <c r="AK356" s="17" t="str">
        <f ca="1">IFERROR(_xlfn.SINGLE(INDEX(#REF!,'Monthly Report'!AJ356)),"")</f>
        <v/>
      </c>
      <c r="AL356" s="12" t="str">
        <f ca="1">IFERROR(_xlfn.SINGLE(INDEX(#REF!,'Monthly Report'!AJ356)),"")</f>
        <v/>
      </c>
      <c r="AN356" s="12" t="str">
        <f ca="1">IFERROR(MATCH($G$115,OFFSET(#REF!,AN355,0,1000000),0)+AN355,"")</f>
        <v/>
      </c>
      <c r="AO356" s="17" t="str">
        <f ca="1">IFERROR(_xlfn.SINGLE(INDEX(#REF!,'Monthly Report'!AN356)),"")</f>
        <v/>
      </c>
      <c r="AP356" s="12" t="str">
        <f ca="1">IFERROR(_xlfn.SINGLE(INDEX(#REF!,'Monthly Report'!AN356)),"")</f>
        <v/>
      </c>
    </row>
    <row r="357" spans="36:42">
      <c r="AJ357" s="12" t="str">
        <f ca="1">IFERROR(MATCH($B$114,OFFSET(#REF!,AJ356,0,1000000),0)+AJ356,"")</f>
        <v/>
      </c>
      <c r="AK357" s="17" t="str">
        <f ca="1">IFERROR(_xlfn.SINGLE(INDEX(#REF!,'Monthly Report'!AJ357)),"")</f>
        <v/>
      </c>
      <c r="AL357" s="12" t="str">
        <f ca="1">IFERROR(_xlfn.SINGLE(INDEX(#REF!,'Monthly Report'!AJ357)),"")</f>
        <v/>
      </c>
      <c r="AN357" s="12" t="str">
        <f ca="1">IFERROR(MATCH($G$115,OFFSET(#REF!,AN356,0,1000000),0)+AN356,"")</f>
        <v/>
      </c>
      <c r="AO357" s="17" t="str">
        <f ca="1">IFERROR(_xlfn.SINGLE(INDEX(#REF!,'Monthly Report'!AN357)),"")</f>
        <v/>
      </c>
      <c r="AP357" s="12" t="str">
        <f ca="1">IFERROR(_xlfn.SINGLE(INDEX(#REF!,'Monthly Report'!AN357)),"")</f>
        <v/>
      </c>
    </row>
    <row r="358" spans="36:42">
      <c r="AJ358" s="12" t="str">
        <f ca="1">IFERROR(MATCH($B$114,OFFSET(#REF!,AJ357,0,1000000),0)+AJ357,"")</f>
        <v/>
      </c>
      <c r="AK358" s="17" t="str">
        <f ca="1">IFERROR(_xlfn.SINGLE(INDEX(#REF!,'Monthly Report'!AJ358)),"")</f>
        <v/>
      </c>
      <c r="AL358" s="12" t="str">
        <f ca="1">IFERROR(_xlfn.SINGLE(INDEX(#REF!,'Monthly Report'!AJ358)),"")</f>
        <v/>
      </c>
      <c r="AN358" s="12" t="str">
        <f ca="1">IFERROR(MATCH($G$115,OFFSET(#REF!,AN357,0,1000000),0)+AN357,"")</f>
        <v/>
      </c>
      <c r="AO358" s="17" t="str">
        <f ca="1">IFERROR(_xlfn.SINGLE(INDEX(#REF!,'Monthly Report'!AN358)),"")</f>
        <v/>
      </c>
      <c r="AP358" s="12" t="str">
        <f ca="1">IFERROR(_xlfn.SINGLE(INDEX(#REF!,'Monthly Report'!AN358)),"")</f>
        <v/>
      </c>
    </row>
    <row r="359" spans="36:42">
      <c r="AJ359" s="12" t="str">
        <f ca="1">IFERROR(MATCH($B$114,OFFSET(#REF!,AJ358,0,1000000),0)+AJ358,"")</f>
        <v/>
      </c>
      <c r="AK359" s="17" t="str">
        <f ca="1">IFERROR(_xlfn.SINGLE(INDEX(#REF!,'Monthly Report'!AJ359)),"")</f>
        <v/>
      </c>
      <c r="AL359" s="12" t="str">
        <f ca="1">IFERROR(_xlfn.SINGLE(INDEX(#REF!,'Monthly Report'!AJ359)),"")</f>
        <v/>
      </c>
      <c r="AN359" s="12" t="str">
        <f ca="1">IFERROR(MATCH($G$115,OFFSET(#REF!,AN358,0,1000000),0)+AN358,"")</f>
        <v/>
      </c>
      <c r="AO359" s="17" t="str">
        <f ca="1">IFERROR(_xlfn.SINGLE(INDEX(#REF!,'Monthly Report'!AN359)),"")</f>
        <v/>
      </c>
      <c r="AP359" s="12" t="str">
        <f ca="1">IFERROR(_xlfn.SINGLE(INDEX(#REF!,'Monthly Report'!AN359)),"")</f>
        <v/>
      </c>
    </row>
    <row r="360" spans="36:42">
      <c r="AJ360" s="12" t="str">
        <f ca="1">IFERROR(MATCH($B$114,OFFSET(#REF!,AJ359,0,1000000),0)+AJ359,"")</f>
        <v/>
      </c>
      <c r="AK360" s="17" t="str">
        <f ca="1">IFERROR(_xlfn.SINGLE(INDEX(#REF!,'Monthly Report'!AJ360)),"")</f>
        <v/>
      </c>
      <c r="AL360" s="12" t="str">
        <f ca="1">IFERROR(_xlfn.SINGLE(INDEX(#REF!,'Monthly Report'!AJ360)),"")</f>
        <v/>
      </c>
      <c r="AN360" s="12" t="str">
        <f ca="1">IFERROR(MATCH($G$115,OFFSET(#REF!,AN359,0,1000000),0)+AN359,"")</f>
        <v/>
      </c>
      <c r="AO360" s="17" t="str">
        <f ca="1">IFERROR(_xlfn.SINGLE(INDEX(#REF!,'Monthly Report'!AN360)),"")</f>
        <v/>
      </c>
      <c r="AP360" s="12" t="str">
        <f ca="1">IFERROR(_xlfn.SINGLE(INDEX(#REF!,'Monthly Report'!AN360)),"")</f>
        <v/>
      </c>
    </row>
    <row r="361" spans="36:42">
      <c r="AJ361" s="12" t="str">
        <f ca="1">IFERROR(MATCH($B$114,OFFSET(#REF!,AJ360,0,1000000),0)+AJ360,"")</f>
        <v/>
      </c>
      <c r="AK361" s="17" t="str">
        <f ca="1">IFERROR(_xlfn.SINGLE(INDEX(#REF!,'Monthly Report'!AJ361)),"")</f>
        <v/>
      </c>
      <c r="AL361" s="12" t="str">
        <f ca="1">IFERROR(_xlfn.SINGLE(INDEX(#REF!,'Monthly Report'!AJ361)),"")</f>
        <v/>
      </c>
      <c r="AN361" s="12" t="str">
        <f ca="1">IFERROR(MATCH($G$115,OFFSET(#REF!,AN360,0,1000000),0)+AN360,"")</f>
        <v/>
      </c>
      <c r="AO361" s="17" t="str">
        <f ca="1">IFERROR(_xlfn.SINGLE(INDEX(#REF!,'Monthly Report'!AN361)),"")</f>
        <v/>
      </c>
      <c r="AP361" s="12" t="str">
        <f ca="1">IFERROR(_xlfn.SINGLE(INDEX(#REF!,'Monthly Report'!AN361)),"")</f>
        <v/>
      </c>
    </row>
    <row r="362" spans="36:42">
      <c r="AJ362" s="12" t="str">
        <f ca="1">IFERROR(MATCH($B$114,OFFSET(#REF!,AJ361,0,1000000),0)+AJ361,"")</f>
        <v/>
      </c>
      <c r="AK362" s="17" t="str">
        <f ca="1">IFERROR(_xlfn.SINGLE(INDEX(#REF!,'Monthly Report'!AJ362)),"")</f>
        <v/>
      </c>
      <c r="AL362" s="12" t="str">
        <f ca="1">IFERROR(_xlfn.SINGLE(INDEX(#REF!,'Monthly Report'!AJ362)),"")</f>
        <v/>
      </c>
      <c r="AN362" s="12" t="str">
        <f ca="1">IFERROR(MATCH($G$115,OFFSET(#REF!,AN361,0,1000000),0)+AN361,"")</f>
        <v/>
      </c>
      <c r="AO362" s="17" t="str">
        <f ca="1">IFERROR(_xlfn.SINGLE(INDEX(#REF!,'Monthly Report'!AN362)),"")</f>
        <v/>
      </c>
      <c r="AP362" s="12" t="str">
        <f ca="1">IFERROR(_xlfn.SINGLE(INDEX(#REF!,'Monthly Report'!AN362)),"")</f>
        <v/>
      </c>
    </row>
    <row r="363" spans="36:42">
      <c r="AJ363" s="12" t="str">
        <f ca="1">IFERROR(MATCH($B$114,OFFSET(#REF!,AJ362,0,1000000),0)+AJ362,"")</f>
        <v/>
      </c>
      <c r="AK363" s="17" t="str">
        <f ca="1">IFERROR(_xlfn.SINGLE(INDEX(#REF!,'Monthly Report'!AJ363)),"")</f>
        <v/>
      </c>
      <c r="AL363" s="12" t="str">
        <f ca="1">IFERROR(_xlfn.SINGLE(INDEX(#REF!,'Monthly Report'!AJ363)),"")</f>
        <v/>
      </c>
      <c r="AN363" s="12" t="str">
        <f ca="1">IFERROR(MATCH($G$115,OFFSET(#REF!,AN362,0,1000000),0)+AN362,"")</f>
        <v/>
      </c>
      <c r="AO363" s="17" t="str">
        <f ca="1">IFERROR(_xlfn.SINGLE(INDEX(#REF!,'Monthly Report'!AN363)),"")</f>
        <v/>
      </c>
      <c r="AP363" s="12" t="str">
        <f ca="1">IFERROR(_xlfn.SINGLE(INDEX(#REF!,'Monthly Report'!AN363)),"")</f>
        <v/>
      </c>
    </row>
    <row r="364" spans="36:42">
      <c r="AJ364" s="12" t="str">
        <f ca="1">IFERROR(MATCH($B$114,OFFSET(#REF!,AJ363,0,1000000),0)+AJ363,"")</f>
        <v/>
      </c>
      <c r="AK364" s="17" t="str">
        <f ca="1">IFERROR(_xlfn.SINGLE(INDEX(#REF!,'Monthly Report'!AJ364)),"")</f>
        <v/>
      </c>
      <c r="AL364" s="12" t="str">
        <f ca="1">IFERROR(_xlfn.SINGLE(INDEX(#REF!,'Monthly Report'!AJ364)),"")</f>
        <v/>
      </c>
      <c r="AN364" s="12" t="str">
        <f ca="1">IFERROR(MATCH($G$115,OFFSET(#REF!,AN363,0,1000000),0)+AN363,"")</f>
        <v/>
      </c>
      <c r="AO364" s="17" t="str">
        <f ca="1">IFERROR(_xlfn.SINGLE(INDEX(#REF!,'Monthly Report'!AN364)),"")</f>
        <v/>
      </c>
      <c r="AP364" s="12" t="str">
        <f ca="1">IFERROR(_xlfn.SINGLE(INDEX(#REF!,'Monthly Report'!AN364)),"")</f>
        <v/>
      </c>
    </row>
    <row r="365" spans="36:42">
      <c r="AJ365" s="12" t="str">
        <f ca="1">IFERROR(MATCH($B$114,OFFSET(#REF!,AJ364,0,1000000),0)+AJ364,"")</f>
        <v/>
      </c>
      <c r="AK365" s="17" t="str">
        <f ca="1">IFERROR(_xlfn.SINGLE(INDEX(#REF!,'Monthly Report'!AJ365)),"")</f>
        <v/>
      </c>
      <c r="AL365" s="12" t="str">
        <f ca="1">IFERROR(_xlfn.SINGLE(INDEX(#REF!,'Monthly Report'!AJ365)),"")</f>
        <v/>
      </c>
      <c r="AN365" s="12" t="str">
        <f ca="1">IFERROR(MATCH($G$115,OFFSET(#REF!,AN364,0,1000000),0)+AN364,"")</f>
        <v/>
      </c>
      <c r="AO365" s="17" t="str">
        <f ca="1">IFERROR(_xlfn.SINGLE(INDEX(#REF!,'Monthly Report'!AN365)),"")</f>
        <v/>
      </c>
      <c r="AP365" s="12" t="str">
        <f ca="1">IFERROR(_xlfn.SINGLE(INDEX(#REF!,'Monthly Report'!AN365)),"")</f>
        <v/>
      </c>
    </row>
    <row r="366" spans="36:42">
      <c r="AJ366" s="12" t="str">
        <f ca="1">IFERROR(MATCH($B$114,OFFSET(#REF!,AJ365,0,1000000),0)+AJ365,"")</f>
        <v/>
      </c>
      <c r="AK366" s="17" t="str">
        <f ca="1">IFERROR(_xlfn.SINGLE(INDEX(#REF!,'Monthly Report'!AJ366)),"")</f>
        <v/>
      </c>
      <c r="AL366" s="12" t="str">
        <f ca="1">IFERROR(_xlfn.SINGLE(INDEX(#REF!,'Monthly Report'!AJ366)),"")</f>
        <v/>
      </c>
      <c r="AN366" s="12" t="str">
        <f ca="1">IFERROR(MATCH($G$115,OFFSET(#REF!,AN365,0,1000000),0)+AN365,"")</f>
        <v/>
      </c>
      <c r="AO366" s="17" t="str">
        <f ca="1">IFERROR(_xlfn.SINGLE(INDEX(#REF!,'Monthly Report'!AN366)),"")</f>
        <v/>
      </c>
      <c r="AP366" s="12" t="str">
        <f ca="1">IFERROR(_xlfn.SINGLE(INDEX(#REF!,'Monthly Report'!AN366)),"")</f>
        <v/>
      </c>
    </row>
    <row r="367" spans="36:42">
      <c r="AJ367" s="12" t="str">
        <f ca="1">IFERROR(MATCH($B$114,OFFSET(#REF!,AJ366,0,1000000),0)+AJ366,"")</f>
        <v/>
      </c>
      <c r="AK367" s="17" t="str">
        <f ca="1">IFERROR(_xlfn.SINGLE(INDEX(#REF!,'Monthly Report'!AJ367)),"")</f>
        <v/>
      </c>
      <c r="AL367" s="12" t="str">
        <f ca="1">IFERROR(_xlfn.SINGLE(INDEX(#REF!,'Monthly Report'!AJ367)),"")</f>
        <v/>
      </c>
      <c r="AN367" s="12" t="str">
        <f ca="1">IFERROR(MATCH($G$115,OFFSET(#REF!,AN366,0,1000000),0)+AN366,"")</f>
        <v/>
      </c>
      <c r="AO367" s="17" t="str">
        <f ca="1">IFERROR(_xlfn.SINGLE(INDEX(#REF!,'Monthly Report'!AN367)),"")</f>
        <v/>
      </c>
      <c r="AP367" s="12" t="str">
        <f ca="1">IFERROR(_xlfn.SINGLE(INDEX(#REF!,'Monthly Report'!AN367)),"")</f>
        <v/>
      </c>
    </row>
    <row r="368" spans="36:42">
      <c r="AJ368" s="12" t="str">
        <f ca="1">IFERROR(MATCH($B$114,OFFSET(#REF!,AJ367,0,1000000),0)+AJ367,"")</f>
        <v/>
      </c>
      <c r="AK368" s="17" t="str">
        <f ca="1">IFERROR(_xlfn.SINGLE(INDEX(#REF!,'Monthly Report'!AJ368)),"")</f>
        <v/>
      </c>
      <c r="AL368" s="12" t="str">
        <f ca="1">IFERROR(_xlfn.SINGLE(INDEX(#REF!,'Monthly Report'!AJ368)),"")</f>
        <v/>
      </c>
      <c r="AN368" s="12" t="str">
        <f ca="1">IFERROR(MATCH($G$115,OFFSET(#REF!,AN367,0,1000000),0)+AN367,"")</f>
        <v/>
      </c>
      <c r="AO368" s="17" t="str">
        <f ca="1">IFERROR(_xlfn.SINGLE(INDEX(#REF!,'Monthly Report'!AN368)),"")</f>
        <v/>
      </c>
      <c r="AP368" s="12" t="str">
        <f ca="1">IFERROR(_xlfn.SINGLE(INDEX(#REF!,'Monthly Report'!AN368)),"")</f>
        <v/>
      </c>
    </row>
    <row r="369" spans="36:42">
      <c r="AJ369" s="12" t="str">
        <f ca="1">IFERROR(MATCH($B$114,OFFSET(#REF!,AJ368,0,1000000),0)+AJ368,"")</f>
        <v/>
      </c>
      <c r="AK369" s="17" t="str">
        <f ca="1">IFERROR(_xlfn.SINGLE(INDEX(#REF!,'Monthly Report'!AJ369)),"")</f>
        <v/>
      </c>
      <c r="AL369" s="12" t="str">
        <f ca="1">IFERROR(_xlfn.SINGLE(INDEX(#REF!,'Monthly Report'!AJ369)),"")</f>
        <v/>
      </c>
      <c r="AN369" s="12" t="str">
        <f ca="1">IFERROR(MATCH($G$115,OFFSET(#REF!,AN368,0,1000000),0)+AN368,"")</f>
        <v/>
      </c>
      <c r="AO369" s="17" t="str">
        <f ca="1">IFERROR(_xlfn.SINGLE(INDEX(#REF!,'Monthly Report'!AN369)),"")</f>
        <v/>
      </c>
      <c r="AP369" s="12" t="str">
        <f ca="1">IFERROR(_xlfn.SINGLE(INDEX(#REF!,'Monthly Report'!AN369)),"")</f>
        <v/>
      </c>
    </row>
    <row r="370" spans="36:42">
      <c r="AJ370" s="12" t="str">
        <f ca="1">IFERROR(MATCH($B$114,OFFSET(#REF!,AJ369,0,1000000),0)+AJ369,"")</f>
        <v/>
      </c>
      <c r="AK370" s="17" t="str">
        <f ca="1">IFERROR(_xlfn.SINGLE(INDEX(#REF!,'Monthly Report'!AJ370)),"")</f>
        <v/>
      </c>
      <c r="AL370" s="12" t="str">
        <f ca="1">IFERROR(_xlfn.SINGLE(INDEX(#REF!,'Monthly Report'!AJ370)),"")</f>
        <v/>
      </c>
      <c r="AN370" s="12" t="str">
        <f ca="1">IFERROR(MATCH($G$115,OFFSET(#REF!,AN369,0,1000000),0)+AN369,"")</f>
        <v/>
      </c>
      <c r="AO370" s="17" t="str">
        <f ca="1">IFERROR(_xlfn.SINGLE(INDEX(#REF!,'Monthly Report'!AN370)),"")</f>
        <v/>
      </c>
      <c r="AP370" s="12" t="str">
        <f ca="1">IFERROR(_xlfn.SINGLE(INDEX(#REF!,'Monthly Report'!AN370)),"")</f>
        <v/>
      </c>
    </row>
    <row r="371" spans="36:42">
      <c r="AJ371" s="12" t="str">
        <f ca="1">IFERROR(MATCH($B$114,OFFSET(#REF!,AJ370,0,1000000),0)+AJ370,"")</f>
        <v/>
      </c>
      <c r="AK371" s="17" t="str">
        <f ca="1">IFERROR(_xlfn.SINGLE(INDEX(#REF!,'Monthly Report'!AJ371)),"")</f>
        <v/>
      </c>
      <c r="AL371" s="12" t="str">
        <f ca="1">IFERROR(_xlfn.SINGLE(INDEX(#REF!,'Monthly Report'!AJ371)),"")</f>
        <v/>
      </c>
      <c r="AN371" s="12" t="str">
        <f ca="1">IFERROR(MATCH($G$115,OFFSET(#REF!,AN370,0,1000000),0)+AN370,"")</f>
        <v/>
      </c>
      <c r="AO371" s="17" t="str">
        <f ca="1">IFERROR(_xlfn.SINGLE(INDEX(#REF!,'Monthly Report'!AN371)),"")</f>
        <v/>
      </c>
      <c r="AP371" s="12" t="str">
        <f ca="1">IFERROR(_xlfn.SINGLE(INDEX(#REF!,'Monthly Report'!AN371)),"")</f>
        <v/>
      </c>
    </row>
    <row r="372" spans="36:42">
      <c r="AJ372" s="12" t="str">
        <f ca="1">IFERROR(MATCH($B$114,OFFSET(#REF!,AJ371,0,1000000),0)+AJ371,"")</f>
        <v/>
      </c>
      <c r="AK372" s="17" t="str">
        <f ca="1">IFERROR(_xlfn.SINGLE(INDEX(#REF!,'Monthly Report'!AJ372)),"")</f>
        <v/>
      </c>
      <c r="AL372" s="12" t="str">
        <f ca="1">IFERROR(_xlfn.SINGLE(INDEX(#REF!,'Monthly Report'!AJ372)),"")</f>
        <v/>
      </c>
      <c r="AN372" s="12" t="str">
        <f ca="1">IFERROR(MATCH($G$115,OFFSET(#REF!,AN371,0,1000000),0)+AN371,"")</f>
        <v/>
      </c>
      <c r="AO372" s="17" t="str">
        <f ca="1">IFERROR(_xlfn.SINGLE(INDEX(#REF!,'Monthly Report'!AN372)),"")</f>
        <v/>
      </c>
      <c r="AP372" s="12" t="str">
        <f ca="1">IFERROR(_xlfn.SINGLE(INDEX(#REF!,'Monthly Report'!AN372)),"")</f>
        <v/>
      </c>
    </row>
    <row r="373" spans="36:42">
      <c r="AJ373" s="12" t="str">
        <f ca="1">IFERROR(MATCH($B$114,OFFSET(#REF!,AJ372,0,1000000),0)+AJ372,"")</f>
        <v/>
      </c>
      <c r="AK373" s="17" t="str">
        <f ca="1">IFERROR(_xlfn.SINGLE(INDEX(#REF!,'Monthly Report'!AJ373)),"")</f>
        <v/>
      </c>
      <c r="AL373" s="12" t="str">
        <f ca="1">IFERROR(_xlfn.SINGLE(INDEX(#REF!,'Monthly Report'!AJ373)),"")</f>
        <v/>
      </c>
      <c r="AN373" s="12" t="str">
        <f ca="1">IFERROR(MATCH($G$115,OFFSET(#REF!,AN372,0,1000000),0)+AN372,"")</f>
        <v/>
      </c>
      <c r="AO373" s="17" t="str">
        <f ca="1">IFERROR(_xlfn.SINGLE(INDEX(#REF!,'Monthly Report'!AN373)),"")</f>
        <v/>
      </c>
      <c r="AP373" s="12" t="str">
        <f ca="1">IFERROR(_xlfn.SINGLE(INDEX(#REF!,'Monthly Report'!AN373)),"")</f>
        <v/>
      </c>
    </row>
    <row r="374" spans="36:42">
      <c r="AJ374" s="12" t="str">
        <f ca="1">IFERROR(MATCH($B$114,OFFSET(#REF!,AJ373,0,1000000),0)+AJ373,"")</f>
        <v/>
      </c>
      <c r="AK374" s="17" t="str">
        <f ca="1">IFERROR(_xlfn.SINGLE(INDEX(#REF!,'Monthly Report'!AJ374)),"")</f>
        <v/>
      </c>
      <c r="AL374" s="12" t="str">
        <f ca="1">IFERROR(_xlfn.SINGLE(INDEX(#REF!,'Monthly Report'!AJ374)),"")</f>
        <v/>
      </c>
      <c r="AN374" s="12" t="str">
        <f ca="1">IFERROR(MATCH($G$115,OFFSET(#REF!,AN373,0,1000000),0)+AN373,"")</f>
        <v/>
      </c>
      <c r="AO374" s="17" t="str">
        <f ca="1">IFERROR(_xlfn.SINGLE(INDEX(#REF!,'Monthly Report'!AN374)),"")</f>
        <v/>
      </c>
      <c r="AP374" s="12" t="str">
        <f ca="1">IFERROR(_xlfn.SINGLE(INDEX(#REF!,'Monthly Report'!AN374)),"")</f>
        <v/>
      </c>
    </row>
    <row r="375" spans="36:42">
      <c r="AJ375" s="12" t="str">
        <f ca="1">IFERROR(MATCH($B$114,OFFSET(#REF!,AJ374,0,1000000),0)+AJ374,"")</f>
        <v/>
      </c>
      <c r="AK375" s="17" t="str">
        <f ca="1">IFERROR(_xlfn.SINGLE(INDEX(#REF!,'Monthly Report'!AJ375)),"")</f>
        <v/>
      </c>
      <c r="AL375" s="12" t="str">
        <f ca="1">IFERROR(_xlfn.SINGLE(INDEX(#REF!,'Monthly Report'!AJ375)),"")</f>
        <v/>
      </c>
      <c r="AN375" s="12" t="str">
        <f ca="1">IFERROR(MATCH($G$115,OFFSET(#REF!,AN374,0,1000000),0)+AN374,"")</f>
        <v/>
      </c>
      <c r="AO375" s="17" t="str">
        <f ca="1">IFERROR(_xlfn.SINGLE(INDEX(#REF!,'Monthly Report'!AN375)),"")</f>
        <v/>
      </c>
      <c r="AP375" s="12" t="str">
        <f ca="1">IFERROR(_xlfn.SINGLE(INDEX(#REF!,'Monthly Report'!AN375)),"")</f>
        <v/>
      </c>
    </row>
    <row r="376" spans="36:42">
      <c r="AJ376" s="12" t="str">
        <f ca="1">IFERROR(MATCH($B$114,OFFSET(#REF!,AJ375,0,1000000),0)+AJ375,"")</f>
        <v/>
      </c>
      <c r="AK376" s="17" t="str">
        <f ca="1">IFERROR(_xlfn.SINGLE(INDEX(#REF!,'Monthly Report'!AJ376)),"")</f>
        <v/>
      </c>
      <c r="AL376" s="12" t="str">
        <f ca="1">IFERROR(_xlfn.SINGLE(INDEX(#REF!,'Monthly Report'!AJ376)),"")</f>
        <v/>
      </c>
      <c r="AN376" s="12" t="str">
        <f ca="1">IFERROR(MATCH($G$115,OFFSET(#REF!,AN375,0,1000000),0)+AN375,"")</f>
        <v/>
      </c>
      <c r="AO376" s="17" t="str">
        <f ca="1">IFERROR(_xlfn.SINGLE(INDEX(#REF!,'Monthly Report'!AN376)),"")</f>
        <v/>
      </c>
      <c r="AP376" s="12" t="str">
        <f ca="1">IFERROR(_xlfn.SINGLE(INDEX(#REF!,'Monthly Report'!AN376)),"")</f>
        <v/>
      </c>
    </row>
    <row r="377" spans="36:42">
      <c r="AJ377" s="12" t="str">
        <f ca="1">IFERROR(MATCH($B$114,OFFSET(#REF!,AJ376,0,1000000),0)+AJ376,"")</f>
        <v/>
      </c>
      <c r="AK377" s="17" t="str">
        <f ca="1">IFERROR(_xlfn.SINGLE(INDEX(#REF!,'Monthly Report'!AJ377)),"")</f>
        <v/>
      </c>
      <c r="AL377" s="12" t="str">
        <f ca="1">IFERROR(_xlfn.SINGLE(INDEX(#REF!,'Monthly Report'!AJ377)),"")</f>
        <v/>
      </c>
      <c r="AN377" s="12" t="str">
        <f ca="1">IFERROR(MATCH($G$115,OFFSET(#REF!,AN376,0,1000000),0)+AN376,"")</f>
        <v/>
      </c>
      <c r="AO377" s="17" t="str">
        <f ca="1">IFERROR(_xlfn.SINGLE(INDEX(#REF!,'Monthly Report'!AN377)),"")</f>
        <v/>
      </c>
      <c r="AP377" s="12" t="str">
        <f ca="1">IFERROR(_xlfn.SINGLE(INDEX(#REF!,'Monthly Report'!AN377)),"")</f>
        <v/>
      </c>
    </row>
    <row r="378" spans="36:42">
      <c r="AJ378" s="12" t="str">
        <f ca="1">IFERROR(MATCH($B$114,OFFSET(#REF!,AJ377,0,1000000),0)+AJ377,"")</f>
        <v/>
      </c>
      <c r="AK378" s="17" t="str">
        <f ca="1">IFERROR(_xlfn.SINGLE(INDEX(#REF!,'Monthly Report'!AJ378)),"")</f>
        <v/>
      </c>
      <c r="AL378" s="12" t="str">
        <f ca="1">IFERROR(_xlfn.SINGLE(INDEX(#REF!,'Monthly Report'!AJ378)),"")</f>
        <v/>
      </c>
      <c r="AN378" s="12" t="str">
        <f ca="1">IFERROR(MATCH($G$115,OFFSET(#REF!,AN377,0,1000000),0)+AN377,"")</f>
        <v/>
      </c>
      <c r="AO378" s="17" t="str">
        <f ca="1">IFERROR(_xlfn.SINGLE(INDEX(#REF!,'Monthly Report'!AN378)),"")</f>
        <v/>
      </c>
      <c r="AP378" s="12" t="str">
        <f ca="1">IFERROR(_xlfn.SINGLE(INDEX(#REF!,'Monthly Report'!AN378)),"")</f>
        <v/>
      </c>
    </row>
    <row r="379" spans="36:42">
      <c r="AJ379" s="12" t="str">
        <f ca="1">IFERROR(MATCH($B$114,OFFSET(#REF!,AJ378,0,1000000),0)+AJ378,"")</f>
        <v/>
      </c>
      <c r="AK379" s="17" t="str">
        <f ca="1">IFERROR(_xlfn.SINGLE(INDEX(#REF!,'Monthly Report'!AJ379)),"")</f>
        <v/>
      </c>
      <c r="AL379" s="12" t="str">
        <f ca="1">IFERROR(_xlfn.SINGLE(INDEX(#REF!,'Monthly Report'!AJ379)),"")</f>
        <v/>
      </c>
      <c r="AN379" s="12" t="str">
        <f ca="1">IFERROR(MATCH($G$115,OFFSET(#REF!,AN378,0,1000000),0)+AN378,"")</f>
        <v/>
      </c>
      <c r="AO379" s="17" t="str">
        <f ca="1">IFERROR(_xlfn.SINGLE(INDEX(#REF!,'Monthly Report'!AN379)),"")</f>
        <v/>
      </c>
      <c r="AP379" s="12" t="str">
        <f ca="1">IFERROR(_xlfn.SINGLE(INDEX(#REF!,'Monthly Report'!AN379)),"")</f>
        <v/>
      </c>
    </row>
    <row r="380" spans="36:42">
      <c r="AJ380" s="12" t="str">
        <f ca="1">IFERROR(MATCH($B$114,OFFSET(#REF!,AJ379,0,1000000),0)+AJ379,"")</f>
        <v/>
      </c>
      <c r="AK380" s="17" t="str">
        <f ca="1">IFERROR(_xlfn.SINGLE(INDEX(#REF!,'Monthly Report'!AJ380)),"")</f>
        <v/>
      </c>
      <c r="AL380" s="12" t="str">
        <f ca="1">IFERROR(_xlfn.SINGLE(INDEX(#REF!,'Monthly Report'!AJ380)),"")</f>
        <v/>
      </c>
      <c r="AN380" s="12" t="str">
        <f ca="1">IFERROR(MATCH($G$115,OFFSET(#REF!,AN379,0,1000000),0)+AN379,"")</f>
        <v/>
      </c>
      <c r="AO380" s="17" t="str">
        <f ca="1">IFERROR(_xlfn.SINGLE(INDEX(#REF!,'Monthly Report'!AN380)),"")</f>
        <v/>
      </c>
      <c r="AP380" s="12" t="str">
        <f ca="1">IFERROR(_xlfn.SINGLE(INDEX(#REF!,'Monthly Report'!AN380)),"")</f>
        <v/>
      </c>
    </row>
    <row r="381" spans="36:42">
      <c r="AJ381" s="12" t="str">
        <f ca="1">IFERROR(MATCH($B$114,OFFSET(#REF!,AJ380,0,1000000),0)+AJ380,"")</f>
        <v/>
      </c>
      <c r="AK381" s="17" t="str">
        <f ca="1">IFERROR(_xlfn.SINGLE(INDEX(#REF!,'Monthly Report'!AJ381)),"")</f>
        <v/>
      </c>
      <c r="AL381" s="12" t="str">
        <f ca="1">IFERROR(_xlfn.SINGLE(INDEX(#REF!,'Monthly Report'!AJ381)),"")</f>
        <v/>
      </c>
      <c r="AN381" s="12" t="str">
        <f ca="1">IFERROR(MATCH($G$115,OFFSET(#REF!,AN380,0,1000000),0)+AN380,"")</f>
        <v/>
      </c>
      <c r="AO381" s="17" t="str">
        <f ca="1">IFERROR(_xlfn.SINGLE(INDEX(#REF!,'Monthly Report'!AN381)),"")</f>
        <v/>
      </c>
      <c r="AP381" s="12" t="str">
        <f ca="1">IFERROR(_xlfn.SINGLE(INDEX(#REF!,'Monthly Report'!AN381)),"")</f>
        <v/>
      </c>
    </row>
    <row r="382" spans="36:42">
      <c r="AJ382" s="12" t="str">
        <f ca="1">IFERROR(MATCH($B$114,OFFSET(#REF!,AJ381,0,1000000),0)+AJ381,"")</f>
        <v/>
      </c>
      <c r="AK382" s="17" t="str">
        <f ca="1">IFERROR(_xlfn.SINGLE(INDEX(#REF!,'Monthly Report'!AJ382)),"")</f>
        <v/>
      </c>
      <c r="AL382" s="12" t="str">
        <f ca="1">IFERROR(_xlfn.SINGLE(INDEX(#REF!,'Monthly Report'!AJ382)),"")</f>
        <v/>
      </c>
      <c r="AN382" s="12" t="str">
        <f ca="1">IFERROR(MATCH($G$115,OFFSET(#REF!,AN381,0,1000000),0)+AN381,"")</f>
        <v/>
      </c>
      <c r="AO382" s="17" t="str">
        <f ca="1">IFERROR(_xlfn.SINGLE(INDEX(#REF!,'Monthly Report'!AN382)),"")</f>
        <v/>
      </c>
      <c r="AP382" s="12" t="str">
        <f ca="1">IFERROR(_xlfn.SINGLE(INDEX(#REF!,'Monthly Report'!AN382)),"")</f>
        <v/>
      </c>
    </row>
    <row r="383" spans="36:42">
      <c r="AJ383" s="12" t="str">
        <f ca="1">IFERROR(MATCH($B$114,OFFSET(#REF!,AJ382,0,1000000),0)+AJ382,"")</f>
        <v/>
      </c>
      <c r="AK383" s="17" t="str">
        <f ca="1">IFERROR(_xlfn.SINGLE(INDEX(#REF!,'Monthly Report'!AJ383)),"")</f>
        <v/>
      </c>
      <c r="AL383" s="12" t="str">
        <f ca="1">IFERROR(_xlfn.SINGLE(INDEX(#REF!,'Monthly Report'!AJ383)),"")</f>
        <v/>
      </c>
      <c r="AN383" s="12" t="str">
        <f ca="1">IFERROR(MATCH($G$115,OFFSET(#REF!,AN382,0,1000000),0)+AN382,"")</f>
        <v/>
      </c>
      <c r="AO383" s="17" t="str">
        <f ca="1">IFERROR(_xlfn.SINGLE(INDEX(#REF!,'Monthly Report'!AN383)),"")</f>
        <v/>
      </c>
      <c r="AP383" s="12" t="str">
        <f ca="1">IFERROR(_xlfn.SINGLE(INDEX(#REF!,'Monthly Report'!AN383)),"")</f>
        <v/>
      </c>
    </row>
    <row r="384" spans="36:42">
      <c r="AJ384" s="12" t="str">
        <f ca="1">IFERROR(MATCH($B$114,OFFSET(#REF!,AJ383,0,1000000),0)+AJ383,"")</f>
        <v/>
      </c>
      <c r="AK384" s="17" t="str">
        <f ca="1">IFERROR(_xlfn.SINGLE(INDEX(#REF!,'Monthly Report'!AJ384)),"")</f>
        <v/>
      </c>
      <c r="AL384" s="12" t="str">
        <f ca="1">IFERROR(_xlfn.SINGLE(INDEX(#REF!,'Monthly Report'!AJ384)),"")</f>
        <v/>
      </c>
      <c r="AN384" s="12" t="str">
        <f ca="1">IFERROR(MATCH($G$115,OFFSET(#REF!,AN383,0,1000000),0)+AN383,"")</f>
        <v/>
      </c>
      <c r="AO384" s="17" t="str">
        <f ca="1">IFERROR(_xlfn.SINGLE(INDEX(#REF!,'Monthly Report'!AN384)),"")</f>
        <v/>
      </c>
      <c r="AP384" s="12" t="str">
        <f ca="1">IFERROR(_xlfn.SINGLE(INDEX(#REF!,'Monthly Report'!AN384)),"")</f>
        <v/>
      </c>
    </row>
    <row r="385" spans="36:42">
      <c r="AJ385" s="12" t="str">
        <f ca="1">IFERROR(MATCH($B$114,OFFSET(#REF!,AJ384,0,1000000),0)+AJ384,"")</f>
        <v/>
      </c>
      <c r="AK385" s="17" t="str">
        <f ca="1">IFERROR(_xlfn.SINGLE(INDEX(#REF!,'Monthly Report'!AJ385)),"")</f>
        <v/>
      </c>
      <c r="AL385" s="12" t="str">
        <f ca="1">IFERROR(_xlfn.SINGLE(INDEX(#REF!,'Monthly Report'!AJ385)),"")</f>
        <v/>
      </c>
      <c r="AN385" s="12" t="str">
        <f ca="1">IFERROR(MATCH($G$115,OFFSET(#REF!,AN384,0,1000000),0)+AN384,"")</f>
        <v/>
      </c>
      <c r="AO385" s="17" t="str">
        <f ca="1">IFERROR(_xlfn.SINGLE(INDEX(#REF!,'Monthly Report'!AN385)),"")</f>
        <v/>
      </c>
      <c r="AP385" s="12" t="str">
        <f ca="1">IFERROR(_xlfn.SINGLE(INDEX(#REF!,'Monthly Report'!AN385)),"")</f>
        <v/>
      </c>
    </row>
    <row r="386" spans="36:42">
      <c r="AJ386" s="12" t="str">
        <f ca="1">IFERROR(MATCH($B$114,OFFSET(#REF!,AJ385,0,1000000),0)+AJ385,"")</f>
        <v/>
      </c>
      <c r="AK386" s="17" t="str">
        <f ca="1">IFERROR(_xlfn.SINGLE(INDEX(#REF!,'Monthly Report'!AJ386)),"")</f>
        <v/>
      </c>
      <c r="AL386" s="12" t="str">
        <f ca="1">IFERROR(_xlfn.SINGLE(INDEX(#REF!,'Monthly Report'!AJ386)),"")</f>
        <v/>
      </c>
      <c r="AN386" s="12" t="str">
        <f ca="1">IFERROR(MATCH($G$115,OFFSET(#REF!,AN385,0,1000000),0)+AN385,"")</f>
        <v/>
      </c>
      <c r="AO386" s="17" t="str">
        <f ca="1">IFERROR(_xlfn.SINGLE(INDEX(#REF!,'Monthly Report'!AN386)),"")</f>
        <v/>
      </c>
      <c r="AP386" s="12" t="str">
        <f ca="1">IFERROR(_xlfn.SINGLE(INDEX(#REF!,'Monthly Report'!AN386)),"")</f>
        <v/>
      </c>
    </row>
    <row r="387" spans="36:42">
      <c r="AJ387" s="12" t="str">
        <f ca="1">IFERROR(MATCH($B$114,OFFSET(#REF!,AJ386,0,1000000),0)+AJ386,"")</f>
        <v/>
      </c>
      <c r="AK387" s="17" t="str">
        <f ca="1">IFERROR(_xlfn.SINGLE(INDEX(#REF!,'Monthly Report'!AJ387)),"")</f>
        <v/>
      </c>
      <c r="AL387" s="12" t="str">
        <f ca="1">IFERROR(_xlfn.SINGLE(INDEX(#REF!,'Monthly Report'!AJ387)),"")</f>
        <v/>
      </c>
      <c r="AN387" s="12" t="str">
        <f ca="1">IFERROR(MATCH($G$115,OFFSET(#REF!,AN386,0,1000000),0)+AN386,"")</f>
        <v/>
      </c>
      <c r="AO387" s="17" t="str">
        <f ca="1">IFERROR(_xlfn.SINGLE(INDEX(#REF!,'Monthly Report'!AN387)),"")</f>
        <v/>
      </c>
      <c r="AP387" s="12" t="str">
        <f ca="1">IFERROR(_xlfn.SINGLE(INDEX(#REF!,'Monthly Report'!AN387)),"")</f>
        <v/>
      </c>
    </row>
    <row r="388" spans="36:42">
      <c r="AJ388" s="12" t="str">
        <f ca="1">IFERROR(MATCH($B$114,OFFSET(#REF!,AJ387,0,1000000),0)+AJ387,"")</f>
        <v/>
      </c>
      <c r="AK388" s="17" t="str">
        <f ca="1">IFERROR(_xlfn.SINGLE(INDEX(#REF!,'Monthly Report'!AJ388)),"")</f>
        <v/>
      </c>
      <c r="AL388" s="12" t="str">
        <f ca="1">IFERROR(_xlfn.SINGLE(INDEX(#REF!,'Monthly Report'!AJ388)),"")</f>
        <v/>
      </c>
      <c r="AN388" s="12" t="str">
        <f ca="1">IFERROR(MATCH($G$115,OFFSET(#REF!,AN387,0,1000000),0)+AN387,"")</f>
        <v/>
      </c>
      <c r="AO388" s="17" t="str">
        <f ca="1">IFERROR(_xlfn.SINGLE(INDEX(#REF!,'Monthly Report'!AN388)),"")</f>
        <v/>
      </c>
      <c r="AP388" s="12" t="str">
        <f ca="1">IFERROR(_xlfn.SINGLE(INDEX(#REF!,'Monthly Report'!AN388)),"")</f>
        <v/>
      </c>
    </row>
    <row r="389" spans="36:42">
      <c r="AJ389" s="12" t="str">
        <f ca="1">IFERROR(MATCH($B$114,OFFSET(#REF!,AJ388,0,1000000),0)+AJ388,"")</f>
        <v/>
      </c>
      <c r="AK389" s="17" t="str">
        <f ca="1">IFERROR(_xlfn.SINGLE(INDEX(#REF!,'Monthly Report'!AJ389)),"")</f>
        <v/>
      </c>
      <c r="AL389" s="12" t="str">
        <f ca="1">IFERROR(_xlfn.SINGLE(INDEX(#REF!,'Monthly Report'!AJ389)),"")</f>
        <v/>
      </c>
      <c r="AN389" s="12" t="str">
        <f ca="1">IFERROR(MATCH($G$115,OFFSET(#REF!,AN388,0,1000000),0)+AN388,"")</f>
        <v/>
      </c>
      <c r="AO389" s="17" t="str">
        <f ca="1">IFERROR(_xlfn.SINGLE(INDEX(#REF!,'Monthly Report'!AN389)),"")</f>
        <v/>
      </c>
      <c r="AP389" s="12" t="str">
        <f ca="1">IFERROR(_xlfn.SINGLE(INDEX(#REF!,'Monthly Report'!AN389)),"")</f>
        <v/>
      </c>
    </row>
    <row r="390" spans="36:42">
      <c r="AJ390" s="12" t="str">
        <f ca="1">IFERROR(MATCH($B$114,OFFSET(#REF!,AJ389,0,1000000),0)+AJ389,"")</f>
        <v/>
      </c>
      <c r="AK390" s="17" t="str">
        <f ca="1">IFERROR(_xlfn.SINGLE(INDEX(#REF!,'Monthly Report'!AJ390)),"")</f>
        <v/>
      </c>
      <c r="AL390" s="12" t="str">
        <f ca="1">IFERROR(_xlfn.SINGLE(INDEX(#REF!,'Monthly Report'!AJ390)),"")</f>
        <v/>
      </c>
      <c r="AN390" s="12" t="str">
        <f ca="1">IFERROR(MATCH($G$115,OFFSET(#REF!,AN389,0,1000000),0)+AN389,"")</f>
        <v/>
      </c>
      <c r="AO390" s="17" t="str">
        <f ca="1">IFERROR(_xlfn.SINGLE(INDEX(#REF!,'Monthly Report'!AN390)),"")</f>
        <v/>
      </c>
      <c r="AP390" s="12" t="str">
        <f ca="1">IFERROR(_xlfn.SINGLE(INDEX(#REF!,'Monthly Report'!AN390)),"")</f>
        <v/>
      </c>
    </row>
    <row r="391" spans="36:42">
      <c r="AJ391" s="12" t="str">
        <f ca="1">IFERROR(MATCH($B$114,OFFSET(#REF!,AJ390,0,1000000),0)+AJ390,"")</f>
        <v/>
      </c>
      <c r="AK391" s="17" t="str">
        <f ca="1">IFERROR(_xlfn.SINGLE(INDEX(#REF!,'Monthly Report'!AJ391)),"")</f>
        <v/>
      </c>
      <c r="AL391" s="12" t="str">
        <f ca="1">IFERROR(_xlfn.SINGLE(INDEX(#REF!,'Monthly Report'!AJ391)),"")</f>
        <v/>
      </c>
      <c r="AN391" s="12" t="str">
        <f ca="1">IFERROR(MATCH($G$115,OFFSET(#REF!,AN390,0,1000000),0)+AN390,"")</f>
        <v/>
      </c>
      <c r="AO391" s="17" t="str">
        <f ca="1">IFERROR(_xlfn.SINGLE(INDEX(#REF!,'Monthly Report'!AN391)),"")</f>
        <v/>
      </c>
      <c r="AP391" s="12" t="str">
        <f ca="1">IFERROR(_xlfn.SINGLE(INDEX(#REF!,'Monthly Report'!AN391)),"")</f>
        <v/>
      </c>
    </row>
    <row r="392" spans="36:42">
      <c r="AJ392" s="12" t="str">
        <f ca="1">IFERROR(MATCH($B$114,OFFSET(#REF!,AJ391,0,1000000),0)+AJ391,"")</f>
        <v/>
      </c>
      <c r="AK392" s="17" t="str">
        <f ca="1">IFERROR(_xlfn.SINGLE(INDEX(#REF!,'Monthly Report'!AJ392)),"")</f>
        <v/>
      </c>
      <c r="AL392" s="12" t="str">
        <f ca="1">IFERROR(_xlfn.SINGLE(INDEX(#REF!,'Monthly Report'!AJ392)),"")</f>
        <v/>
      </c>
      <c r="AN392" s="12" t="str">
        <f ca="1">IFERROR(MATCH($G$115,OFFSET(#REF!,AN391,0,1000000),0)+AN391,"")</f>
        <v/>
      </c>
      <c r="AO392" s="17" t="str">
        <f ca="1">IFERROR(_xlfn.SINGLE(INDEX(#REF!,'Monthly Report'!AN392)),"")</f>
        <v/>
      </c>
      <c r="AP392" s="12" t="str">
        <f ca="1">IFERROR(_xlfn.SINGLE(INDEX(#REF!,'Monthly Report'!AN392)),"")</f>
        <v/>
      </c>
    </row>
    <row r="393" spans="36:42">
      <c r="AJ393" s="12" t="str">
        <f ca="1">IFERROR(MATCH($B$114,OFFSET(#REF!,AJ392,0,1000000),0)+AJ392,"")</f>
        <v/>
      </c>
      <c r="AK393" s="17" t="str">
        <f ca="1">IFERROR(_xlfn.SINGLE(INDEX(#REF!,'Monthly Report'!AJ393)),"")</f>
        <v/>
      </c>
      <c r="AL393" s="12" t="str">
        <f ca="1">IFERROR(_xlfn.SINGLE(INDEX(#REF!,'Monthly Report'!AJ393)),"")</f>
        <v/>
      </c>
      <c r="AN393" s="12" t="str">
        <f ca="1">IFERROR(MATCH($G$115,OFFSET(#REF!,AN392,0,1000000),0)+AN392,"")</f>
        <v/>
      </c>
      <c r="AO393" s="17" t="str">
        <f ca="1">IFERROR(_xlfn.SINGLE(INDEX(#REF!,'Monthly Report'!AN393)),"")</f>
        <v/>
      </c>
      <c r="AP393" s="12" t="str">
        <f ca="1">IFERROR(_xlfn.SINGLE(INDEX(#REF!,'Monthly Report'!AN393)),"")</f>
        <v/>
      </c>
    </row>
    <row r="394" spans="36:42">
      <c r="AJ394" s="12" t="str">
        <f ca="1">IFERROR(MATCH($B$114,OFFSET(#REF!,AJ393,0,1000000),0)+AJ393,"")</f>
        <v/>
      </c>
      <c r="AK394" s="17" t="str">
        <f ca="1">IFERROR(_xlfn.SINGLE(INDEX(#REF!,'Monthly Report'!AJ394)),"")</f>
        <v/>
      </c>
      <c r="AL394" s="12" t="str">
        <f ca="1">IFERROR(_xlfn.SINGLE(INDEX(#REF!,'Monthly Report'!AJ394)),"")</f>
        <v/>
      </c>
      <c r="AN394" s="12" t="str">
        <f ca="1">IFERROR(MATCH($G$115,OFFSET(#REF!,AN393,0,1000000),0)+AN393,"")</f>
        <v/>
      </c>
      <c r="AO394" s="17" t="str">
        <f ca="1">IFERROR(_xlfn.SINGLE(INDEX(#REF!,'Monthly Report'!AN394)),"")</f>
        <v/>
      </c>
      <c r="AP394" s="12" t="str">
        <f ca="1">IFERROR(_xlfn.SINGLE(INDEX(#REF!,'Monthly Report'!AN394)),"")</f>
        <v/>
      </c>
    </row>
    <row r="395" spans="36:42">
      <c r="AJ395" s="12" t="str">
        <f ca="1">IFERROR(MATCH($B$114,OFFSET(#REF!,AJ394,0,1000000),0)+AJ394,"")</f>
        <v/>
      </c>
      <c r="AK395" s="17" t="str">
        <f ca="1">IFERROR(_xlfn.SINGLE(INDEX(#REF!,'Monthly Report'!AJ395)),"")</f>
        <v/>
      </c>
      <c r="AL395" s="12" t="str">
        <f ca="1">IFERROR(_xlfn.SINGLE(INDEX(#REF!,'Monthly Report'!AJ395)),"")</f>
        <v/>
      </c>
      <c r="AN395" s="12" t="str">
        <f ca="1">IFERROR(MATCH($G$115,OFFSET(#REF!,AN394,0,1000000),0)+AN394,"")</f>
        <v/>
      </c>
      <c r="AO395" s="17" t="str">
        <f ca="1">IFERROR(_xlfn.SINGLE(INDEX(#REF!,'Monthly Report'!AN395)),"")</f>
        <v/>
      </c>
      <c r="AP395" s="12" t="str">
        <f ca="1">IFERROR(_xlfn.SINGLE(INDEX(#REF!,'Monthly Report'!AN395)),"")</f>
        <v/>
      </c>
    </row>
    <row r="396" spans="36:42">
      <c r="AJ396" s="12" t="str">
        <f ca="1">IFERROR(MATCH($B$114,OFFSET(#REF!,AJ395,0,1000000),0)+AJ395,"")</f>
        <v/>
      </c>
      <c r="AK396" s="17" t="str">
        <f ca="1">IFERROR(_xlfn.SINGLE(INDEX(#REF!,'Monthly Report'!AJ396)),"")</f>
        <v/>
      </c>
      <c r="AL396" s="12" t="str">
        <f ca="1">IFERROR(_xlfn.SINGLE(INDEX(#REF!,'Monthly Report'!AJ396)),"")</f>
        <v/>
      </c>
      <c r="AN396" s="12" t="str">
        <f ca="1">IFERROR(MATCH($G$115,OFFSET(#REF!,AN395,0,1000000),0)+AN395,"")</f>
        <v/>
      </c>
      <c r="AO396" s="17" t="str">
        <f ca="1">IFERROR(_xlfn.SINGLE(INDEX(#REF!,'Monthly Report'!AN396)),"")</f>
        <v/>
      </c>
      <c r="AP396" s="12" t="str">
        <f ca="1">IFERROR(_xlfn.SINGLE(INDEX(#REF!,'Monthly Report'!AN396)),"")</f>
        <v/>
      </c>
    </row>
    <row r="397" spans="36:42">
      <c r="AJ397" s="12" t="str">
        <f ca="1">IFERROR(MATCH($B$114,OFFSET(#REF!,AJ396,0,1000000),0)+AJ396,"")</f>
        <v/>
      </c>
      <c r="AK397" s="17" t="str">
        <f ca="1">IFERROR(_xlfn.SINGLE(INDEX(#REF!,'Monthly Report'!AJ397)),"")</f>
        <v/>
      </c>
      <c r="AL397" s="12" t="str">
        <f ca="1">IFERROR(_xlfn.SINGLE(INDEX(#REF!,'Monthly Report'!AJ397)),"")</f>
        <v/>
      </c>
      <c r="AN397" s="12" t="str">
        <f ca="1">IFERROR(MATCH($G$115,OFFSET(#REF!,AN396,0,1000000),0)+AN396,"")</f>
        <v/>
      </c>
      <c r="AO397" s="17" t="str">
        <f ca="1">IFERROR(_xlfn.SINGLE(INDEX(#REF!,'Monthly Report'!AN397)),"")</f>
        <v/>
      </c>
      <c r="AP397" s="12" t="str">
        <f ca="1">IFERROR(_xlfn.SINGLE(INDEX(#REF!,'Monthly Report'!AN397)),"")</f>
        <v/>
      </c>
    </row>
    <row r="398" spans="36:42">
      <c r="AJ398" s="12" t="str">
        <f ca="1">IFERROR(MATCH($B$114,OFFSET(#REF!,AJ397,0,1000000),0)+AJ397,"")</f>
        <v/>
      </c>
      <c r="AK398" s="17" t="str">
        <f ca="1">IFERROR(_xlfn.SINGLE(INDEX(#REF!,'Monthly Report'!AJ398)),"")</f>
        <v/>
      </c>
      <c r="AL398" s="12" t="str">
        <f ca="1">IFERROR(_xlfn.SINGLE(INDEX(#REF!,'Monthly Report'!AJ398)),"")</f>
        <v/>
      </c>
      <c r="AN398" s="12" t="str">
        <f ca="1">IFERROR(MATCH($G$115,OFFSET(#REF!,AN397,0,1000000),0)+AN397,"")</f>
        <v/>
      </c>
      <c r="AO398" s="17" t="str">
        <f ca="1">IFERROR(_xlfn.SINGLE(INDEX(#REF!,'Monthly Report'!AN398)),"")</f>
        <v/>
      </c>
      <c r="AP398" s="12" t="str">
        <f ca="1">IFERROR(_xlfn.SINGLE(INDEX(#REF!,'Monthly Report'!AN398)),"")</f>
        <v/>
      </c>
    </row>
    <row r="399" spans="36:42">
      <c r="AJ399" s="12" t="str">
        <f ca="1">IFERROR(MATCH($B$114,OFFSET(#REF!,AJ398,0,1000000),0)+AJ398,"")</f>
        <v/>
      </c>
      <c r="AK399" s="17" t="str">
        <f ca="1">IFERROR(_xlfn.SINGLE(INDEX(#REF!,'Monthly Report'!AJ399)),"")</f>
        <v/>
      </c>
      <c r="AL399" s="12" t="str">
        <f ca="1">IFERROR(_xlfn.SINGLE(INDEX(#REF!,'Monthly Report'!AJ399)),"")</f>
        <v/>
      </c>
      <c r="AN399" s="12" t="str">
        <f ca="1">IFERROR(MATCH($G$115,OFFSET(#REF!,AN398,0,1000000),0)+AN398,"")</f>
        <v/>
      </c>
      <c r="AO399" s="17" t="str">
        <f ca="1">IFERROR(_xlfn.SINGLE(INDEX(#REF!,'Monthly Report'!AN399)),"")</f>
        <v/>
      </c>
      <c r="AP399" s="12" t="str">
        <f ca="1">IFERROR(_xlfn.SINGLE(INDEX(#REF!,'Monthly Report'!AN399)),"")</f>
        <v/>
      </c>
    </row>
    <row r="400" spans="36:42">
      <c r="AJ400" s="12" t="str">
        <f ca="1">IFERROR(MATCH($B$114,OFFSET(#REF!,AJ399,0,1000000),0)+AJ399,"")</f>
        <v/>
      </c>
      <c r="AK400" s="17" t="str">
        <f ca="1">IFERROR(_xlfn.SINGLE(INDEX(#REF!,'Monthly Report'!AJ400)),"")</f>
        <v/>
      </c>
      <c r="AL400" s="12" t="str">
        <f ca="1">IFERROR(_xlfn.SINGLE(INDEX(#REF!,'Monthly Report'!AJ400)),"")</f>
        <v/>
      </c>
      <c r="AN400" s="12" t="str">
        <f ca="1">IFERROR(MATCH($G$115,OFFSET(#REF!,AN399,0,1000000),0)+AN399,"")</f>
        <v/>
      </c>
      <c r="AO400" s="17" t="str">
        <f ca="1">IFERROR(_xlfn.SINGLE(INDEX(#REF!,'Monthly Report'!AN400)),"")</f>
        <v/>
      </c>
      <c r="AP400" s="12" t="str">
        <f ca="1">IFERROR(_xlfn.SINGLE(INDEX(#REF!,'Monthly Report'!AN400)),"")</f>
        <v/>
      </c>
    </row>
    <row r="401" spans="36:42">
      <c r="AJ401" s="12" t="str">
        <f ca="1">IFERROR(MATCH($B$114,OFFSET(#REF!,AJ400,0,1000000),0)+AJ400,"")</f>
        <v/>
      </c>
      <c r="AK401" s="17" t="str">
        <f ca="1">IFERROR(_xlfn.SINGLE(INDEX(#REF!,'Monthly Report'!AJ401)),"")</f>
        <v/>
      </c>
      <c r="AL401" s="12" t="str">
        <f ca="1">IFERROR(_xlfn.SINGLE(INDEX(#REF!,'Monthly Report'!AJ401)),"")</f>
        <v/>
      </c>
      <c r="AN401" s="12" t="str">
        <f ca="1">IFERROR(MATCH($G$115,OFFSET(#REF!,AN400,0,1000000),0)+AN400,"")</f>
        <v/>
      </c>
      <c r="AO401" s="17" t="str">
        <f ca="1">IFERROR(_xlfn.SINGLE(INDEX(#REF!,'Monthly Report'!AN401)),"")</f>
        <v/>
      </c>
      <c r="AP401" s="12" t="str">
        <f ca="1">IFERROR(_xlfn.SINGLE(INDEX(#REF!,'Monthly Report'!AN401)),"")</f>
        <v/>
      </c>
    </row>
    <row r="402" spans="36:42">
      <c r="AJ402" s="12" t="str">
        <f ca="1">IFERROR(MATCH($B$114,OFFSET(#REF!,AJ401,0,1000000),0)+AJ401,"")</f>
        <v/>
      </c>
      <c r="AK402" s="17" t="str">
        <f ca="1">IFERROR(_xlfn.SINGLE(INDEX(#REF!,'Monthly Report'!AJ402)),"")</f>
        <v/>
      </c>
      <c r="AL402" s="12" t="str">
        <f ca="1">IFERROR(_xlfn.SINGLE(INDEX(#REF!,'Monthly Report'!AJ402)),"")</f>
        <v/>
      </c>
      <c r="AN402" s="12" t="str">
        <f ca="1">IFERROR(MATCH($G$115,OFFSET(#REF!,AN401,0,1000000),0)+AN401,"")</f>
        <v/>
      </c>
      <c r="AO402" s="17" t="str">
        <f ca="1">IFERROR(_xlfn.SINGLE(INDEX(#REF!,'Monthly Report'!AN402)),"")</f>
        <v/>
      </c>
      <c r="AP402" s="12" t="str">
        <f ca="1">IFERROR(_xlfn.SINGLE(INDEX(#REF!,'Monthly Report'!AN402)),"")</f>
        <v/>
      </c>
    </row>
    <row r="403" spans="36:42">
      <c r="AJ403" s="12" t="str">
        <f ca="1">IFERROR(MATCH($B$114,OFFSET(#REF!,AJ402,0,1000000),0)+AJ402,"")</f>
        <v/>
      </c>
      <c r="AK403" s="17" t="str">
        <f ca="1">IFERROR(_xlfn.SINGLE(INDEX(#REF!,'Monthly Report'!AJ403)),"")</f>
        <v/>
      </c>
      <c r="AL403" s="12" t="str">
        <f ca="1">IFERROR(_xlfn.SINGLE(INDEX(#REF!,'Monthly Report'!AJ403)),"")</f>
        <v/>
      </c>
      <c r="AN403" s="12" t="str">
        <f ca="1">IFERROR(MATCH($G$115,OFFSET(#REF!,AN402,0,1000000),0)+AN402,"")</f>
        <v/>
      </c>
      <c r="AO403" s="17" t="str">
        <f ca="1">IFERROR(_xlfn.SINGLE(INDEX(#REF!,'Monthly Report'!AN403)),"")</f>
        <v/>
      </c>
      <c r="AP403" s="12" t="str">
        <f ca="1">IFERROR(_xlfn.SINGLE(INDEX(#REF!,'Monthly Report'!AN403)),"")</f>
        <v/>
      </c>
    </row>
    <row r="404" spans="36:42">
      <c r="AJ404" s="12" t="str">
        <f ca="1">IFERROR(MATCH($B$114,OFFSET(#REF!,AJ403,0,1000000),0)+AJ403,"")</f>
        <v/>
      </c>
      <c r="AK404" s="17" t="str">
        <f ca="1">IFERROR(_xlfn.SINGLE(INDEX(#REF!,'Monthly Report'!AJ404)),"")</f>
        <v/>
      </c>
      <c r="AL404" s="12" t="str">
        <f ca="1">IFERROR(_xlfn.SINGLE(INDEX(#REF!,'Monthly Report'!AJ404)),"")</f>
        <v/>
      </c>
      <c r="AN404" s="12" t="str">
        <f ca="1">IFERROR(MATCH($G$115,OFFSET(#REF!,AN403,0,1000000),0)+AN403,"")</f>
        <v/>
      </c>
      <c r="AO404" s="17" t="str">
        <f ca="1">IFERROR(_xlfn.SINGLE(INDEX(#REF!,'Monthly Report'!AN404)),"")</f>
        <v/>
      </c>
      <c r="AP404" s="12" t="str">
        <f ca="1">IFERROR(_xlfn.SINGLE(INDEX(#REF!,'Monthly Report'!AN404)),"")</f>
        <v/>
      </c>
    </row>
    <row r="405" spans="36:42">
      <c r="AJ405" s="12" t="str">
        <f ca="1">IFERROR(MATCH($B$114,OFFSET(#REF!,AJ404,0,1000000),0)+AJ404,"")</f>
        <v/>
      </c>
      <c r="AK405" s="17" t="str">
        <f ca="1">IFERROR(_xlfn.SINGLE(INDEX(#REF!,'Monthly Report'!AJ405)),"")</f>
        <v/>
      </c>
      <c r="AL405" s="12" t="str">
        <f ca="1">IFERROR(_xlfn.SINGLE(INDEX(#REF!,'Monthly Report'!AJ405)),"")</f>
        <v/>
      </c>
      <c r="AN405" s="12" t="str">
        <f ca="1">IFERROR(MATCH($G$115,OFFSET(#REF!,AN404,0,1000000),0)+AN404,"")</f>
        <v/>
      </c>
      <c r="AO405" s="17" t="str">
        <f ca="1">IFERROR(_xlfn.SINGLE(INDEX(#REF!,'Monthly Report'!AN405)),"")</f>
        <v/>
      </c>
      <c r="AP405" s="12" t="str">
        <f ca="1">IFERROR(_xlfn.SINGLE(INDEX(#REF!,'Monthly Report'!AN405)),"")</f>
        <v/>
      </c>
    </row>
    <row r="406" spans="36:42">
      <c r="AJ406" s="12" t="str">
        <f ca="1">IFERROR(MATCH($B$114,OFFSET(#REF!,AJ405,0,1000000),0)+AJ405,"")</f>
        <v/>
      </c>
      <c r="AK406" s="17" t="str">
        <f ca="1">IFERROR(_xlfn.SINGLE(INDEX(#REF!,'Monthly Report'!AJ406)),"")</f>
        <v/>
      </c>
      <c r="AL406" s="12" t="str">
        <f ca="1">IFERROR(_xlfn.SINGLE(INDEX(#REF!,'Monthly Report'!AJ406)),"")</f>
        <v/>
      </c>
      <c r="AN406" s="12" t="str">
        <f ca="1">IFERROR(MATCH($G$115,OFFSET(#REF!,AN405,0,1000000),0)+AN405,"")</f>
        <v/>
      </c>
      <c r="AO406" s="17" t="str">
        <f ca="1">IFERROR(_xlfn.SINGLE(INDEX(#REF!,'Monthly Report'!AN406)),"")</f>
        <v/>
      </c>
      <c r="AP406" s="12" t="str">
        <f ca="1">IFERROR(_xlfn.SINGLE(INDEX(#REF!,'Monthly Report'!AN406)),"")</f>
        <v/>
      </c>
    </row>
    <row r="407" spans="36:42">
      <c r="AJ407" s="12" t="str">
        <f ca="1">IFERROR(MATCH($B$114,OFFSET(#REF!,AJ406,0,1000000),0)+AJ406,"")</f>
        <v/>
      </c>
      <c r="AK407" s="17" t="str">
        <f ca="1">IFERROR(_xlfn.SINGLE(INDEX(#REF!,'Monthly Report'!AJ407)),"")</f>
        <v/>
      </c>
      <c r="AL407" s="12" t="str">
        <f ca="1">IFERROR(_xlfn.SINGLE(INDEX(#REF!,'Monthly Report'!AJ407)),"")</f>
        <v/>
      </c>
      <c r="AN407" s="12" t="str">
        <f ca="1">IFERROR(MATCH($G$115,OFFSET(#REF!,AN406,0,1000000),0)+AN406,"")</f>
        <v/>
      </c>
      <c r="AO407" s="17" t="str">
        <f ca="1">IFERROR(_xlfn.SINGLE(INDEX(#REF!,'Monthly Report'!AN407)),"")</f>
        <v/>
      </c>
      <c r="AP407" s="12" t="str">
        <f ca="1">IFERROR(_xlfn.SINGLE(INDEX(#REF!,'Monthly Report'!AN407)),"")</f>
        <v/>
      </c>
    </row>
    <row r="408" spans="36:42">
      <c r="AJ408" s="12" t="str">
        <f ca="1">IFERROR(MATCH($B$114,OFFSET(#REF!,AJ407,0,1000000),0)+AJ407,"")</f>
        <v/>
      </c>
      <c r="AK408" s="17" t="str">
        <f ca="1">IFERROR(_xlfn.SINGLE(INDEX(#REF!,'Monthly Report'!AJ408)),"")</f>
        <v/>
      </c>
      <c r="AL408" s="12" t="str">
        <f ca="1">IFERROR(_xlfn.SINGLE(INDEX(#REF!,'Monthly Report'!AJ408)),"")</f>
        <v/>
      </c>
      <c r="AN408" s="12" t="str">
        <f ca="1">IFERROR(MATCH($G$115,OFFSET(#REF!,AN407,0,1000000),0)+AN407,"")</f>
        <v/>
      </c>
      <c r="AO408" s="17" t="str">
        <f ca="1">IFERROR(_xlfn.SINGLE(INDEX(#REF!,'Monthly Report'!AN408)),"")</f>
        <v/>
      </c>
      <c r="AP408" s="12" t="str">
        <f ca="1">IFERROR(_xlfn.SINGLE(INDEX(#REF!,'Monthly Report'!AN408)),"")</f>
        <v/>
      </c>
    </row>
    <row r="409" spans="36:42">
      <c r="AJ409" s="12" t="str">
        <f ca="1">IFERROR(MATCH($B$114,OFFSET(#REF!,AJ408,0,1000000),0)+AJ408,"")</f>
        <v/>
      </c>
      <c r="AK409" s="17" t="str">
        <f ca="1">IFERROR(_xlfn.SINGLE(INDEX(#REF!,'Monthly Report'!AJ409)),"")</f>
        <v/>
      </c>
      <c r="AL409" s="12" t="str">
        <f ca="1">IFERROR(_xlfn.SINGLE(INDEX(#REF!,'Monthly Report'!AJ409)),"")</f>
        <v/>
      </c>
      <c r="AN409" s="12" t="str">
        <f ca="1">IFERROR(MATCH($G$115,OFFSET(#REF!,AN408,0,1000000),0)+AN408,"")</f>
        <v/>
      </c>
      <c r="AO409" s="17" t="str">
        <f ca="1">IFERROR(_xlfn.SINGLE(INDEX(#REF!,'Monthly Report'!AN409)),"")</f>
        <v/>
      </c>
      <c r="AP409" s="12" t="str">
        <f ca="1">IFERROR(_xlfn.SINGLE(INDEX(#REF!,'Monthly Report'!AN409)),"")</f>
        <v/>
      </c>
    </row>
    <row r="410" spans="36:42">
      <c r="AJ410" s="12" t="str">
        <f ca="1">IFERROR(MATCH($B$114,OFFSET(#REF!,AJ409,0,1000000),0)+AJ409,"")</f>
        <v/>
      </c>
      <c r="AK410" s="17" t="str">
        <f ca="1">IFERROR(_xlfn.SINGLE(INDEX(#REF!,'Monthly Report'!AJ410)),"")</f>
        <v/>
      </c>
      <c r="AL410" s="12" t="str">
        <f ca="1">IFERROR(_xlfn.SINGLE(INDEX(#REF!,'Monthly Report'!AJ410)),"")</f>
        <v/>
      </c>
      <c r="AN410" s="12" t="str">
        <f ca="1">IFERROR(MATCH($G$115,OFFSET(#REF!,AN409,0,1000000),0)+AN409,"")</f>
        <v/>
      </c>
      <c r="AO410" s="17" t="str">
        <f ca="1">IFERROR(_xlfn.SINGLE(INDEX(#REF!,'Monthly Report'!AN410)),"")</f>
        <v/>
      </c>
      <c r="AP410" s="12" t="str">
        <f ca="1">IFERROR(_xlfn.SINGLE(INDEX(#REF!,'Monthly Report'!AN410)),"")</f>
        <v/>
      </c>
    </row>
    <row r="411" spans="36:42">
      <c r="AJ411" s="12" t="str">
        <f ca="1">IFERROR(MATCH($B$114,OFFSET(#REF!,AJ410,0,1000000),0)+AJ410,"")</f>
        <v/>
      </c>
      <c r="AK411" s="17" t="str">
        <f ca="1">IFERROR(_xlfn.SINGLE(INDEX(#REF!,'Monthly Report'!AJ411)),"")</f>
        <v/>
      </c>
      <c r="AL411" s="12" t="str">
        <f ca="1">IFERROR(_xlfn.SINGLE(INDEX(#REF!,'Monthly Report'!AJ411)),"")</f>
        <v/>
      </c>
      <c r="AN411" s="12" t="str">
        <f ca="1">IFERROR(MATCH($G$115,OFFSET(#REF!,AN410,0,1000000),0)+AN410,"")</f>
        <v/>
      </c>
      <c r="AO411" s="17" t="str">
        <f ca="1">IFERROR(_xlfn.SINGLE(INDEX(#REF!,'Monthly Report'!AN411)),"")</f>
        <v/>
      </c>
      <c r="AP411" s="12" t="str">
        <f ca="1">IFERROR(_xlfn.SINGLE(INDEX(#REF!,'Monthly Report'!AN411)),"")</f>
        <v/>
      </c>
    </row>
    <row r="412" spans="36:42">
      <c r="AJ412" s="12" t="str">
        <f ca="1">IFERROR(MATCH($B$114,OFFSET(#REF!,AJ411,0,1000000),0)+AJ411,"")</f>
        <v/>
      </c>
      <c r="AK412" s="17" t="str">
        <f ca="1">IFERROR(_xlfn.SINGLE(INDEX(#REF!,'Monthly Report'!AJ412)),"")</f>
        <v/>
      </c>
      <c r="AL412" s="12" t="str">
        <f ca="1">IFERROR(_xlfn.SINGLE(INDEX(#REF!,'Monthly Report'!AJ412)),"")</f>
        <v/>
      </c>
      <c r="AN412" s="12" t="str">
        <f ca="1">IFERROR(MATCH($G$115,OFFSET(#REF!,AN411,0,1000000),0)+AN411,"")</f>
        <v/>
      </c>
      <c r="AO412" s="17" t="str">
        <f ca="1">IFERROR(_xlfn.SINGLE(INDEX(#REF!,'Monthly Report'!AN412)),"")</f>
        <v/>
      </c>
      <c r="AP412" s="12" t="str">
        <f ca="1">IFERROR(_xlfn.SINGLE(INDEX(#REF!,'Monthly Report'!AN412)),"")</f>
        <v/>
      </c>
    </row>
    <row r="413" spans="36:42">
      <c r="AJ413" s="12" t="str">
        <f ca="1">IFERROR(MATCH($B$114,OFFSET(#REF!,AJ412,0,1000000),0)+AJ412,"")</f>
        <v/>
      </c>
      <c r="AK413" s="17" t="str">
        <f ca="1">IFERROR(_xlfn.SINGLE(INDEX(#REF!,'Monthly Report'!AJ413)),"")</f>
        <v/>
      </c>
      <c r="AL413" s="12" t="str">
        <f ca="1">IFERROR(_xlfn.SINGLE(INDEX(#REF!,'Monthly Report'!AJ413)),"")</f>
        <v/>
      </c>
      <c r="AN413" s="12" t="str">
        <f ca="1">IFERROR(MATCH($G$115,OFFSET(#REF!,AN412,0,1000000),0)+AN412,"")</f>
        <v/>
      </c>
      <c r="AO413" s="17" t="str">
        <f ca="1">IFERROR(_xlfn.SINGLE(INDEX(#REF!,'Monthly Report'!AN413)),"")</f>
        <v/>
      </c>
      <c r="AP413" s="12" t="str">
        <f ca="1">IFERROR(_xlfn.SINGLE(INDEX(#REF!,'Monthly Report'!AN413)),"")</f>
        <v/>
      </c>
    </row>
    <row r="414" spans="36:42">
      <c r="AJ414" s="12" t="str">
        <f ca="1">IFERROR(MATCH($B$114,OFFSET(#REF!,AJ413,0,1000000),0)+AJ413,"")</f>
        <v/>
      </c>
      <c r="AK414" s="17" t="str">
        <f ca="1">IFERROR(_xlfn.SINGLE(INDEX(#REF!,'Monthly Report'!AJ414)),"")</f>
        <v/>
      </c>
      <c r="AL414" s="12" t="str">
        <f ca="1">IFERROR(_xlfn.SINGLE(INDEX(#REF!,'Monthly Report'!AJ414)),"")</f>
        <v/>
      </c>
      <c r="AN414" s="12" t="str">
        <f ca="1">IFERROR(MATCH($G$115,OFFSET(#REF!,AN413,0,1000000),0)+AN413,"")</f>
        <v/>
      </c>
      <c r="AO414" s="17" t="str">
        <f ca="1">IFERROR(_xlfn.SINGLE(INDEX(#REF!,'Monthly Report'!AN414)),"")</f>
        <v/>
      </c>
      <c r="AP414" s="12" t="str">
        <f ca="1">IFERROR(_xlfn.SINGLE(INDEX(#REF!,'Monthly Report'!AN414)),"")</f>
        <v/>
      </c>
    </row>
    <row r="415" spans="36:42">
      <c r="AJ415" s="12" t="str">
        <f ca="1">IFERROR(MATCH($B$114,OFFSET(#REF!,AJ414,0,1000000),0)+AJ414,"")</f>
        <v/>
      </c>
      <c r="AK415" s="17" t="str">
        <f ca="1">IFERROR(_xlfn.SINGLE(INDEX(#REF!,'Monthly Report'!AJ415)),"")</f>
        <v/>
      </c>
      <c r="AL415" s="12" t="str">
        <f ca="1">IFERROR(_xlfn.SINGLE(INDEX(#REF!,'Monthly Report'!AJ415)),"")</f>
        <v/>
      </c>
      <c r="AN415" s="12" t="str">
        <f ca="1">IFERROR(MATCH($G$115,OFFSET(#REF!,AN414,0,1000000),0)+AN414,"")</f>
        <v/>
      </c>
      <c r="AO415" s="17" t="str">
        <f ca="1">IFERROR(_xlfn.SINGLE(INDEX(#REF!,'Monthly Report'!AN415)),"")</f>
        <v/>
      </c>
      <c r="AP415" s="12" t="str">
        <f ca="1">IFERROR(_xlfn.SINGLE(INDEX(#REF!,'Monthly Report'!AN415)),"")</f>
        <v/>
      </c>
    </row>
    <row r="416" spans="36:42">
      <c r="AJ416" s="12" t="str">
        <f ca="1">IFERROR(MATCH($B$114,OFFSET(#REF!,AJ415,0,1000000),0)+AJ415,"")</f>
        <v/>
      </c>
      <c r="AK416" s="17" t="str">
        <f ca="1">IFERROR(_xlfn.SINGLE(INDEX(#REF!,'Monthly Report'!AJ416)),"")</f>
        <v/>
      </c>
      <c r="AL416" s="12" t="str">
        <f ca="1">IFERROR(_xlfn.SINGLE(INDEX(#REF!,'Monthly Report'!AJ416)),"")</f>
        <v/>
      </c>
      <c r="AN416" s="12" t="str">
        <f ca="1">IFERROR(MATCH($G$115,OFFSET(#REF!,AN415,0,1000000),0)+AN415,"")</f>
        <v/>
      </c>
      <c r="AO416" s="17" t="str">
        <f ca="1">IFERROR(_xlfn.SINGLE(INDEX(#REF!,'Monthly Report'!AN416)),"")</f>
        <v/>
      </c>
      <c r="AP416" s="12" t="str">
        <f ca="1">IFERROR(_xlfn.SINGLE(INDEX(#REF!,'Monthly Report'!AN416)),"")</f>
        <v/>
      </c>
    </row>
    <row r="417" spans="36:42">
      <c r="AJ417" s="12" t="str">
        <f ca="1">IFERROR(MATCH($B$114,OFFSET(#REF!,AJ416,0,1000000),0)+AJ416,"")</f>
        <v/>
      </c>
      <c r="AK417" s="17" t="str">
        <f ca="1">IFERROR(_xlfn.SINGLE(INDEX(#REF!,'Monthly Report'!AJ417)),"")</f>
        <v/>
      </c>
      <c r="AL417" s="12" t="str">
        <f ca="1">IFERROR(_xlfn.SINGLE(INDEX(#REF!,'Monthly Report'!AJ417)),"")</f>
        <v/>
      </c>
      <c r="AN417" s="12" t="str">
        <f ca="1">IFERROR(MATCH($G$115,OFFSET(#REF!,AN416,0,1000000),0)+AN416,"")</f>
        <v/>
      </c>
      <c r="AO417" s="17" t="str">
        <f ca="1">IFERROR(_xlfn.SINGLE(INDEX(#REF!,'Monthly Report'!AN417)),"")</f>
        <v/>
      </c>
      <c r="AP417" s="12" t="str">
        <f ca="1">IFERROR(_xlfn.SINGLE(INDEX(#REF!,'Monthly Report'!AN417)),"")</f>
        <v/>
      </c>
    </row>
    <row r="418" spans="36:42">
      <c r="AJ418" s="12" t="str">
        <f ca="1">IFERROR(MATCH($B$114,OFFSET(#REF!,AJ417,0,1000000),0)+AJ417,"")</f>
        <v/>
      </c>
      <c r="AK418" s="17" t="str">
        <f ca="1">IFERROR(_xlfn.SINGLE(INDEX(#REF!,'Monthly Report'!AJ418)),"")</f>
        <v/>
      </c>
      <c r="AL418" s="12" t="str">
        <f ca="1">IFERROR(_xlfn.SINGLE(INDEX(#REF!,'Monthly Report'!AJ418)),"")</f>
        <v/>
      </c>
      <c r="AN418" s="12" t="str">
        <f ca="1">IFERROR(MATCH($G$115,OFFSET(#REF!,AN417,0,1000000),0)+AN417,"")</f>
        <v/>
      </c>
      <c r="AO418" s="17" t="str">
        <f ca="1">IFERROR(_xlfn.SINGLE(INDEX(#REF!,'Monthly Report'!AN418)),"")</f>
        <v/>
      </c>
      <c r="AP418" s="12" t="str">
        <f ca="1">IFERROR(_xlfn.SINGLE(INDEX(#REF!,'Monthly Report'!AN418)),"")</f>
        <v/>
      </c>
    </row>
    <row r="419" spans="36:42">
      <c r="AJ419" s="12" t="str">
        <f ca="1">IFERROR(MATCH($B$114,OFFSET(#REF!,AJ418,0,1000000),0)+AJ418,"")</f>
        <v/>
      </c>
      <c r="AK419" s="17" t="str">
        <f ca="1">IFERROR(_xlfn.SINGLE(INDEX(#REF!,'Monthly Report'!AJ419)),"")</f>
        <v/>
      </c>
      <c r="AL419" s="12" t="str">
        <f ca="1">IFERROR(_xlfn.SINGLE(INDEX(#REF!,'Monthly Report'!AJ419)),"")</f>
        <v/>
      </c>
      <c r="AN419" s="12" t="str">
        <f ca="1">IFERROR(MATCH($G$115,OFFSET(#REF!,AN418,0,1000000),0)+AN418,"")</f>
        <v/>
      </c>
      <c r="AO419" s="17" t="str">
        <f ca="1">IFERROR(_xlfn.SINGLE(INDEX(#REF!,'Monthly Report'!AN419)),"")</f>
        <v/>
      </c>
      <c r="AP419" s="12" t="str">
        <f ca="1">IFERROR(_xlfn.SINGLE(INDEX(#REF!,'Monthly Report'!AN419)),"")</f>
        <v/>
      </c>
    </row>
    <row r="420" spans="36:42">
      <c r="AJ420" s="12" t="str">
        <f ca="1">IFERROR(MATCH($B$114,OFFSET(#REF!,AJ419,0,1000000),0)+AJ419,"")</f>
        <v/>
      </c>
      <c r="AK420" s="17" t="str">
        <f ca="1">IFERROR(_xlfn.SINGLE(INDEX(#REF!,'Monthly Report'!AJ420)),"")</f>
        <v/>
      </c>
      <c r="AL420" s="12" t="str">
        <f ca="1">IFERROR(_xlfn.SINGLE(INDEX(#REF!,'Monthly Report'!AJ420)),"")</f>
        <v/>
      </c>
      <c r="AN420" s="12" t="str">
        <f ca="1">IFERROR(MATCH($G$115,OFFSET(#REF!,AN419,0,1000000),0)+AN419,"")</f>
        <v/>
      </c>
      <c r="AO420" s="17" t="str">
        <f ca="1">IFERROR(_xlfn.SINGLE(INDEX(#REF!,'Monthly Report'!AN420)),"")</f>
        <v/>
      </c>
      <c r="AP420" s="12" t="str">
        <f ca="1">IFERROR(_xlfn.SINGLE(INDEX(#REF!,'Monthly Report'!AN420)),"")</f>
        <v/>
      </c>
    </row>
    <row r="421" spans="36:42">
      <c r="AJ421" s="12" t="str">
        <f ca="1">IFERROR(MATCH($B$114,OFFSET(#REF!,AJ420,0,1000000),0)+AJ420,"")</f>
        <v/>
      </c>
      <c r="AK421" s="17" t="str">
        <f ca="1">IFERROR(_xlfn.SINGLE(INDEX(#REF!,'Monthly Report'!AJ421)),"")</f>
        <v/>
      </c>
      <c r="AL421" s="12" t="str">
        <f ca="1">IFERROR(_xlfn.SINGLE(INDEX(#REF!,'Monthly Report'!AJ421)),"")</f>
        <v/>
      </c>
      <c r="AN421" s="12" t="str">
        <f ca="1">IFERROR(MATCH($G$115,OFFSET(#REF!,AN420,0,1000000),0)+AN420,"")</f>
        <v/>
      </c>
      <c r="AO421" s="17" t="str">
        <f ca="1">IFERROR(_xlfn.SINGLE(INDEX(#REF!,'Monthly Report'!AN421)),"")</f>
        <v/>
      </c>
      <c r="AP421" s="12" t="str">
        <f ca="1">IFERROR(_xlfn.SINGLE(INDEX(#REF!,'Monthly Report'!AN421)),"")</f>
        <v/>
      </c>
    </row>
    <row r="422" spans="36:42">
      <c r="AJ422" s="12" t="str">
        <f ca="1">IFERROR(MATCH($B$114,OFFSET(#REF!,AJ421,0,1000000),0)+AJ421,"")</f>
        <v/>
      </c>
      <c r="AK422" s="17" t="str">
        <f ca="1">IFERROR(_xlfn.SINGLE(INDEX(#REF!,'Monthly Report'!AJ422)),"")</f>
        <v/>
      </c>
      <c r="AL422" s="12" t="str">
        <f ca="1">IFERROR(_xlfn.SINGLE(INDEX(#REF!,'Monthly Report'!AJ422)),"")</f>
        <v/>
      </c>
      <c r="AN422" s="12" t="str">
        <f ca="1">IFERROR(MATCH($G$115,OFFSET(#REF!,AN421,0,1000000),0)+AN421,"")</f>
        <v/>
      </c>
      <c r="AO422" s="17" t="str">
        <f ca="1">IFERROR(_xlfn.SINGLE(INDEX(#REF!,'Monthly Report'!AN422)),"")</f>
        <v/>
      </c>
      <c r="AP422" s="12" t="str">
        <f ca="1">IFERROR(_xlfn.SINGLE(INDEX(#REF!,'Monthly Report'!AN422)),"")</f>
        <v/>
      </c>
    </row>
    <row r="423" spans="36:42">
      <c r="AJ423" s="12" t="str">
        <f ca="1">IFERROR(MATCH($B$114,OFFSET(#REF!,AJ422,0,1000000),0)+AJ422,"")</f>
        <v/>
      </c>
      <c r="AK423" s="17" t="str">
        <f ca="1">IFERROR(_xlfn.SINGLE(INDEX(#REF!,'Monthly Report'!AJ423)),"")</f>
        <v/>
      </c>
      <c r="AL423" s="12" t="str">
        <f ca="1">IFERROR(_xlfn.SINGLE(INDEX(#REF!,'Monthly Report'!AJ423)),"")</f>
        <v/>
      </c>
      <c r="AN423" s="12" t="str">
        <f ca="1">IFERROR(MATCH($G$115,OFFSET(#REF!,AN422,0,1000000),0)+AN422,"")</f>
        <v/>
      </c>
      <c r="AO423" s="17" t="str">
        <f ca="1">IFERROR(_xlfn.SINGLE(INDEX(#REF!,'Monthly Report'!AN423)),"")</f>
        <v/>
      </c>
      <c r="AP423" s="12" t="str">
        <f ca="1">IFERROR(_xlfn.SINGLE(INDEX(#REF!,'Monthly Report'!AN423)),"")</f>
        <v/>
      </c>
    </row>
    <row r="424" spans="36:42">
      <c r="AJ424" s="12" t="str">
        <f ca="1">IFERROR(MATCH($B$114,OFFSET(#REF!,AJ423,0,1000000),0)+AJ423,"")</f>
        <v/>
      </c>
      <c r="AK424" s="17" t="str">
        <f ca="1">IFERROR(_xlfn.SINGLE(INDEX(#REF!,'Monthly Report'!AJ424)),"")</f>
        <v/>
      </c>
      <c r="AL424" s="12" t="str">
        <f ca="1">IFERROR(_xlfn.SINGLE(INDEX(#REF!,'Monthly Report'!AJ424)),"")</f>
        <v/>
      </c>
      <c r="AN424" s="12" t="str">
        <f ca="1">IFERROR(MATCH($G$115,OFFSET(#REF!,AN423,0,1000000),0)+AN423,"")</f>
        <v/>
      </c>
      <c r="AO424" s="17" t="str">
        <f ca="1">IFERROR(_xlfn.SINGLE(INDEX(#REF!,'Monthly Report'!AN424)),"")</f>
        <v/>
      </c>
      <c r="AP424" s="12" t="str">
        <f ca="1">IFERROR(_xlfn.SINGLE(INDEX(#REF!,'Monthly Report'!AN424)),"")</f>
        <v/>
      </c>
    </row>
    <row r="425" spans="36:42">
      <c r="AJ425" s="12" t="str">
        <f ca="1">IFERROR(MATCH($B$114,OFFSET(#REF!,AJ424,0,1000000),0)+AJ424,"")</f>
        <v/>
      </c>
      <c r="AK425" s="17" t="str">
        <f ca="1">IFERROR(_xlfn.SINGLE(INDEX(#REF!,'Monthly Report'!AJ425)),"")</f>
        <v/>
      </c>
      <c r="AL425" s="12" t="str">
        <f ca="1">IFERROR(_xlfn.SINGLE(INDEX(#REF!,'Monthly Report'!AJ425)),"")</f>
        <v/>
      </c>
      <c r="AN425" s="12" t="str">
        <f ca="1">IFERROR(MATCH($G$115,OFFSET(#REF!,AN424,0,1000000),0)+AN424,"")</f>
        <v/>
      </c>
      <c r="AO425" s="17" t="str">
        <f ca="1">IFERROR(_xlfn.SINGLE(INDEX(#REF!,'Monthly Report'!AN425)),"")</f>
        <v/>
      </c>
      <c r="AP425" s="12" t="str">
        <f ca="1">IFERROR(_xlfn.SINGLE(INDEX(#REF!,'Monthly Report'!AN425)),"")</f>
        <v/>
      </c>
    </row>
    <row r="426" spans="36:42">
      <c r="AJ426" s="12" t="str">
        <f ca="1">IFERROR(MATCH($B$114,OFFSET(#REF!,AJ425,0,1000000),0)+AJ425,"")</f>
        <v/>
      </c>
      <c r="AK426" s="17" t="str">
        <f ca="1">IFERROR(_xlfn.SINGLE(INDEX(#REF!,'Monthly Report'!AJ426)),"")</f>
        <v/>
      </c>
      <c r="AL426" s="12" t="str">
        <f ca="1">IFERROR(_xlfn.SINGLE(INDEX(#REF!,'Monthly Report'!AJ426)),"")</f>
        <v/>
      </c>
      <c r="AN426" s="12" t="str">
        <f ca="1">IFERROR(MATCH($G$115,OFFSET(#REF!,AN425,0,1000000),0)+AN425,"")</f>
        <v/>
      </c>
      <c r="AO426" s="17" t="str">
        <f ca="1">IFERROR(_xlfn.SINGLE(INDEX(#REF!,'Monthly Report'!AN426)),"")</f>
        <v/>
      </c>
      <c r="AP426" s="12" t="str">
        <f ca="1">IFERROR(_xlfn.SINGLE(INDEX(#REF!,'Monthly Report'!AN426)),"")</f>
        <v/>
      </c>
    </row>
    <row r="427" spans="36:42">
      <c r="AJ427" s="12" t="str">
        <f ca="1">IFERROR(MATCH($B$114,OFFSET(#REF!,AJ426,0,1000000),0)+AJ426,"")</f>
        <v/>
      </c>
      <c r="AK427" s="17" t="str">
        <f ca="1">IFERROR(_xlfn.SINGLE(INDEX(#REF!,'Monthly Report'!AJ427)),"")</f>
        <v/>
      </c>
      <c r="AL427" s="12" t="str">
        <f ca="1">IFERROR(_xlfn.SINGLE(INDEX(#REF!,'Monthly Report'!AJ427)),"")</f>
        <v/>
      </c>
      <c r="AN427" s="12" t="str">
        <f ca="1">IFERROR(MATCH($G$115,OFFSET(#REF!,AN426,0,1000000),0)+AN426,"")</f>
        <v/>
      </c>
      <c r="AO427" s="17" t="str">
        <f ca="1">IFERROR(_xlfn.SINGLE(INDEX(#REF!,'Monthly Report'!AN427)),"")</f>
        <v/>
      </c>
      <c r="AP427" s="12" t="str">
        <f ca="1">IFERROR(_xlfn.SINGLE(INDEX(#REF!,'Monthly Report'!AN427)),"")</f>
        <v/>
      </c>
    </row>
    <row r="428" spans="36:42">
      <c r="AJ428" s="12" t="str">
        <f ca="1">IFERROR(MATCH($B$114,OFFSET(#REF!,AJ427,0,1000000),0)+AJ427,"")</f>
        <v/>
      </c>
      <c r="AK428" s="17" t="str">
        <f ca="1">IFERROR(_xlfn.SINGLE(INDEX(#REF!,'Monthly Report'!AJ428)),"")</f>
        <v/>
      </c>
      <c r="AL428" s="12" t="str">
        <f ca="1">IFERROR(_xlfn.SINGLE(INDEX(#REF!,'Monthly Report'!AJ428)),"")</f>
        <v/>
      </c>
      <c r="AN428" s="12" t="str">
        <f ca="1">IFERROR(MATCH($G$115,OFFSET(#REF!,AN427,0,1000000),0)+AN427,"")</f>
        <v/>
      </c>
      <c r="AO428" s="17" t="str">
        <f ca="1">IFERROR(_xlfn.SINGLE(INDEX(#REF!,'Monthly Report'!AN428)),"")</f>
        <v/>
      </c>
      <c r="AP428" s="12" t="str">
        <f ca="1">IFERROR(_xlfn.SINGLE(INDEX(#REF!,'Monthly Report'!AN428)),"")</f>
        <v/>
      </c>
    </row>
    <row r="429" spans="36:42">
      <c r="AJ429" s="12" t="str">
        <f ca="1">IFERROR(MATCH($B$114,OFFSET(#REF!,AJ428,0,1000000),0)+AJ428,"")</f>
        <v/>
      </c>
      <c r="AK429" s="17" t="str">
        <f ca="1">IFERROR(_xlfn.SINGLE(INDEX(#REF!,'Monthly Report'!AJ429)),"")</f>
        <v/>
      </c>
      <c r="AL429" s="12" t="str">
        <f ca="1">IFERROR(_xlfn.SINGLE(INDEX(#REF!,'Monthly Report'!AJ429)),"")</f>
        <v/>
      </c>
      <c r="AN429" s="12" t="str">
        <f ca="1">IFERROR(MATCH($G$115,OFFSET(#REF!,AN428,0,1000000),0)+AN428,"")</f>
        <v/>
      </c>
      <c r="AO429" s="17" t="str">
        <f ca="1">IFERROR(_xlfn.SINGLE(INDEX(#REF!,'Monthly Report'!AN429)),"")</f>
        <v/>
      </c>
      <c r="AP429" s="12" t="str">
        <f ca="1">IFERROR(_xlfn.SINGLE(INDEX(#REF!,'Monthly Report'!AN429)),"")</f>
        <v/>
      </c>
    </row>
    <row r="430" spans="36:42">
      <c r="AJ430" s="12" t="str">
        <f ca="1">IFERROR(MATCH($B$114,OFFSET(#REF!,AJ429,0,1000000),0)+AJ429,"")</f>
        <v/>
      </c>
      <c r="AK430" s="17" t="str">
        <f ca="1">IFERROR(_xlfn.SINGLE(INDEX(#REF!,'Monthly Report'!AJ430)),"")</f>
        <v/>
      </c>
      <c r="AL430" s="12" t="str">
        <f ca="1">IFERROR(_xlfn.SINGLE(INDEX(#REF!,'Monthly Report'!AJ430)),"")</f>
        <v/>
      </c>
      <c r="AN430" s="12" t="str">
        <f ca="1">IFERROR(MATCH($G$115,OFFSET(#REF!,AN429,0,1000000),0)+AN429,"")</f>
        <v/>
      </c>
      <c r="AO430" s="17" t="str">
        <f ca="1">IFERROR(_xlfn.SINGLE(INDEX(#REF!,'Monthly Report'!AN430)),"")</f>
        <v/>
      </c>
      <c r="AP430" s="12" t="str">
        <f ca="1">IFERROR(_xlfn.SINGLE(INDEX(#REF!,'Monthly Report'!AN430)),"")</f>
        <v/>
      </c>
    </row>
    <row r="431" spans="36:42">
      <c r="AJ431" s="12" t="str">
        <f ca="1">IFERROR(MATCH($B$114,OFFSET(#REF!,AJ430,0,1000000),0)+AJ430,"")</f>
        <v/>
      </c>
      <c r="AK431" s="17" t="str">
        <f ca="1">IFERROR(_xlfn.SINGLE(INDEX(#REF!,'Monthly Report'!AJ431)),"")</f>
        <v/>
      </c>
      <c r="AL431" s="12" t="str">
        <f ca="1">IFERROR(_xlfn.SINGLE(INDEX(#REF!,'Monthly Report'!AJ431)),"")</f>
        <v/>
      </c>
      <c r="AN431" s="12" t="str">
        <f ca="1">IFERROR(MATCH($G$115,OFFSET(#REF!,AN430,0,1000000),0)+AN430,"")</f>
        <v/>
      </c>
      <c r="AO431" s="17" t="str">
        <f ca="1">IFERROR(_xlfn.SINGLE(INDEX(#REF!,'Monthly Report'!AN431)),"")</f>
        <v/>
      </c>
      <c r="AP431" s="12" t="str">
        <f ca="1">IFERROR(_xlfn.SINGLE(INDEX(#REF!,'Monthly Report'!AN431)),"")</f>
        <v/>
      </c>
    </row>
    <row r="432" spans="36:42">
      <c r="AJ432" s="12" t="str">
        <f ca="1">IFERROR(MATCH($B$114,OFFSET(#REF!,AJ431,0,1000000),0)+AJ431,"")</f>
        <v/>
      </c>
      <c r="AK432" s="17" t="str">
        <f ca="1">IFERROR(_xlfn.SINGLE(INDEX(#REF!,'Monthly Report'!AJ432)),"")</f>
        <v/>
      </c>
      <c r="AL432" s="12" t="str">
        <f ca="1">IFERROR(_xlfn.SINGLE(INDEX(#REF!,'Monthly Report'!AJ432)),"")</f>
        <v/>
      </c>
      <c r="AN432" s="12" t="str">
        <f ca="1">IFERROR(MATCH($G$115,OFFSET(#REF!,AN431,0,1000000),0)+AN431,"")</f>
        <v/>
      </c>
      <c r="AO432" s="17" t="str">
        <f ca="1">IFERROR(_xlfn.SINGLE(INDEX(#REF!,'Monthly Report'!AN432)),"")</f>
        <v/>
      </c>
      <c r="AP432" s="12" t="str">
        <f ca="1">IFERROR(_xlfn.SINGLE(INDEX(#REF!,'Monthly Report'!AN432)),"")</f>
        <v/>
      </c>
    </row>
    <row r="433" spans="36:42">
      <c r="AJ433" s="12" t="str">
        <f ca="1">IFERROR(MATCH($B$114,OFFSET(#REF!,AJ432,0,1000000),0)+AJ432,"")</f>
        <v/>
      </c>
      <c r="AK433" s="17" t="str">
        <f ca="1">IFERROR(_xlfn.SINGLE(INDEX(#REF!,'Monthly Report'!AJ433)),"")</f>
        <v/>
      </c>
      <c r="AL433" s="12" t="str">
        <f ca="1">IFERROR(_xlfn.SINGLE(INDEX(#REF!,'Monthly Report'!AJ433)),"")</f>
        <v/>
      </c>
      <c r="AN433" s="12" t="str">
        <f ca="1">IFERROR(MATCH($G$115,OFFSET(#REF!,AN432,0,1000000),0)+AN432,"")</f>
        <v/>
      </c>
      <c r="AO433" s="17" t="str">
        <f ca="1">IFERROR(_xlfn.SINGLE(INDEX(#REF!,'Monthly Report'!AN433)),"")</f>
        <v/>
      </c>
      <c r="AP433" s="12" t="str">
        <f ca="1">IFERROR(_xlfn.SINGLE(INDEX(#REF!,'Monthly Report'!AN433)),"")</f>
        <v/>
      </c>
    </row>
    <row r="434" spans="36:42">
      <c r="AJ434" s="12" t="str">
        <f ca="1">IFERROR(MATCH($B$114,OFFSET(#REF!,AJ433,0,1000000),0)+AJ433,"")</f>
        <v/>
      </c>
      <c r="AK434" s="17" t="str">
        <f ca="1">IFERROR(_xlfn.SINGLE(INDEX(#REF!,'Monthly Report'!AJ434)),"")</f>
        <v/>
      </c>
      <c r="AL434" s="12" t="str">
        <f ca="1">IFERROR(_xlfn.SINGLE(INDEX(#REF!,'Monthly Report'!AJ434)),"")</f>
        <v/>
      </c>
      <c r="AN434" s="12" t="str">
        <f ca="1">IFERROR(MATCH($G$115,OFFSET(#REF!,AN433,0,1000000),0)+AN433,"")</f>
        <v/>
      </c>
      <c r="AO434" s="17" t="str">
        <f ca="1">IFERROR(_xlfn.SINGLE(INDEX(#REF!,'Monthly Report'!AN434)),"")</f>
        <v/>
      </c>
      <c r="AP434" s="12" t="str">
        <f ca="1">IFERROR(_xlfn.SINGLE(INDEX(#REF!,'Monthly Report'!AN434)),"")</f>
        <v/>
      </c>
    </row>
    <row r="435" spans="36:42">
      <c r="AJ435" s="12" t="str">
        <f ca="1">IFERROR(MATCH($B$114,OFFSET(#REF!,AJ434,0,1000000),0)+AJ434,"")</f>
        <v/>
      </c>
      <c r="AK435" s="17" t="str">
        <f ca="1">IFERROR(_xlfn.SINGLE(INDEX(#REF!,'Monthly Report'!AJ435)),"")</f>
        <v/>
      </c>
      <c r="AL435" s="12" t="str">
        <f ca="1">IFERROR(_xlfn.SINGLE(INDEX(#REF!,'Monthly Report'!AJ435)),"")</f>
        <v/>
      </c>
      <c r="AN435" s="12" t="str">
        <f ca="1">IFERROR(MATCH($G$115,OFFSET(#REF!,AN434,0,1000000),0)+AN434,"")</f>
        <v/>
      </c>
      <c r="AO435" s="17" t="str">
        <f ca="1">IFERROR(_xlfn.SINGLE(INDEX(#REF!,'Monthly Report'!AN435)),"")</f>
        <v/>
      </c>
      <c r="AP435" s="12" t="str">
        <f ca="1">IFERROR(_xlfn.SINGLE(INDEX(#REF!,'Monthly Report'!AN435)),"")</f>
        <v/>
      </c>
    </row>
    <row r="436" spans="36:42">
      <c r="AJ436" s="12" t="str">
        <f ca="1">IFERROR(MATCH($B$114,OFFSET(#REF!,AJ435,0,1000000),0)+AJ435,"")</f>
        <v/>
      </c>
      <c r="AK436" s="17" t="str">
        <f ca="1">IFERROR(_xlfn.SINGLE(INDEX(#REF!,'Monthly Report'!AJ436)),"")</f>
        <v/>
      </c>
      <c r="AL436" s="12" t="str">
        <f ca="1">IFERROR(_xlfn.SINGLE(INDEX(#REF!,'Monthly Report'!AJ436)),"")</f>
        <v/>
      </c>
      <c r="AN436" s="12" t="str">
        <f ca="1">IFERROR(MATCH($G$115,OFFSET(#REF!,AN435,0,1000000),0)+AN435,"")</f>
        <v/>
      </c>
      <c r="AO436" s="17" t="str">
        <f ca="1">IFERROR(_xlfn.SINGLE(INDEX(#REF!,'Monthly Report'!AN436)),"")</f>
        <v/>
      </c>
      <c r="AP436" s="12" t="str">
        <f ca="1">IFERROR(_xlfn.SINGLE(INDEX(#REF!,'Monthly Report'!AN436)),"")</f>
        <v/>
      </c>
    </row>
    <row r="437" spans="36:42">
      <c r="AJ437" s="12" t="str">
        <f ca="1">IFERROR(MATCH($B$114,OFFSET(#REF!,AJ436,0,1000000),0)+AJ436,"")</f>
        <v/>
      </c>
      <c r="AK437" s="17" t="str">
        <f ca="1">IFERROR(_xlfn.SINGLE(INDEX(#REF!,'Monthly Report'!AJ437)),"")</f>
        <v/>
      </c>
      <c r="AL437" s="12" t="str">
        <f ca="1">IFERROR(_xlfn.SINGLE(INDEX(#REF!,'Monthly Report'!AJ437)),"")</f>
        <v/>
      </c>
      <c r="AN437" s="12" t="str">
        <f ca="1">IFERROR(MATCH($G$115,OFFSET(#REF!,AN436,0,1000000),0)+AN436,"")</f>
        <v/>
      </c>
      <c r="AO437" s="17" t="str">
        <f ca="1">IFERROR(_xlfn.SINGLE(INDEX(#REF!,'Monthly Report'!AN437)),"")</f>
        <v/>
      </c>
      <c r="AP437" s="12" t="str">
        <f ca="1">IFERROR(_xlfn.SINGLE(INDEX(#REF!,'Monthly Report'!AN437)),"")</f>
        <v/>
      </c>
    </row>
    <row r="438" spans="36:42">
      <c r="AJ438" s="12" t="str">
        <f ca="1">IFERROR(MATCH($B$114,OFFSET(#REF!,AJ437,0,1000000),0)+AJ437,"")</f>
        <v/>
      </c>
      <c r="AK438" s="17" t="str">
        <f ca="1">IFERROR(_xlfn.SINGLE(INDEX(#REF!,'Monthly Report'!AJ438)),"")</f>
        <v/>
      </c>
      <c r="AL438" s="12" t="str">
        <f ca="1">IFERROR(_xlfn.SINGLE(INDEX(#REF!,'Monthly Report'!AJ438)),"")</f>
        <v/>
      </c>
      <c r="AN438" s="12" t="str">
        <f ca="1">IFERROR(MATCH($G$115,OFFSET(#REF!,AN437,0,1000000),0)+AN437,"")</f>
        <v/>
      </c>
      <c r="AO438" s="17" t="str">
        <f ca="1">IFERROR(_xlfn.SINGLE(INDEX(#REF!,'Monthly Report'!AN438)),"")</f>
        <v/>
      </c>
      <c r="AP438" s="12" t="str">
        <f ca="1">IFERROR(_xlfn.SINGLE(INDEX(#REF!,'Monthly Report'!AN438)),"")</f>
        <v/>
      </c>
    </row>
    <row r="439" spans="36:42">
      <c r="AJ439" s="12" t="str">
        <f ca="1">IFERROR(MATCH($B$114,OFFSET(#REF!,AJ438,0,1000000),0)+AJ438,"")</f>
        <v/>
      </c>
      <c r="AK439" s="17" t="str">
        <f ca="1">IFERROR(_xlfn.SINGLE(INDEX(#REF!,'Monthly Report'!AJ439)),"")</f>
        <v/>
      </c>
      <c r="AL439" s="12" t="str">
        <f ca="1">IFERROR(_xlfn.SINGLE(INDEX(#REF!,'Monthly Report'!AJ439)),"")</f>
        <v/>
      </c>
      <c r="AN439" s="12" t="str">
        <f ca="1">IFERROR(MATCH($G$115,OFFSET(#REF!,AN438,0,1000000),0)+AN438,"")</f>
        <v/>
      </c>
      <c r="AO439" s="17" t="str">
        <f ca="1">IFERROR(_xlfn.SINGLE(INDEX(#REF!,'Monthly Report'!AN439)),"")</f>
        <v/>
      </c>
      <c r="AP439" s="12" t="str">
        <f ca="1">IFERROR(_xlfn.SINGLE(INDEX(#REF!,'Monthly Report'!AN439)),"")</f>
        <v/>
      </c>
    </row>
    <row r="440" spans="36:42">
      <c r="AJ440" s="12" t="str">
        <f ca="1">IFERROR(MATCH($B$114,OFFSET(#REF!,AJ439,0,1000000),0)+AJ439,"")</f>
        <v/>
      </c>
      <c r="AK440" s="17" t="str">
        <f ca="1">IFERROR(_xlfn.SINGLE(INDEX(#REF!,'Monthly Report'!AJ440)),"")</f>
        <v/>
      </c>
      <c r="AL440" s="12" t="str">
        <f ca="1">IFERROR(_xlfn.SINGLE(INDEX(#REF!,'Monthly Report'!AJ440)),"")</f>
        <v/>
      </c>
      <c r="AN440" s="12" t="str">
        <f ca="1">IFERROR(MATCH($G$115,OFFSET(#REF!,AN439,0,1000000),0)+AN439,"")</f>
        <v/>
      </c>
      <c r="AO440" s="17" t="str">
        <f ca="1">IFERROR(_xlfn.SINGLE(INDEX(#REF!,'Monthly Report'!AN440)),"")</f>
        <v/>
      </c>
      <c r="AP440" s="12" t="str">
        <f ca="1">IFERROR(_xlfn.SINGLE(INDEX(#REF!,'Monthly Report'!AN440)),"")</f>
        <v/>
      </c>
    </row>
    <row r="441" spans="36:42">
      <c r="AJ441" s="12" t="str">
        <f ca="1">IFERROR(MATCH($B$114,OFFSET(#REF!,AJ440,0,1000000),0)+AJ440,"")</f>
        <v/>
      </c>
      <c r="AK441" s="17" t="str">
        <f ca="1">IFERROR(_xlfn.SINGLE(INDEX(#REF!,'Monthly Report'!AJ441)),"")</f>
        <v/>
      </c>
      <c r="AL441" s="12" t="str">
        <f ca="1">IFERROR(_xlfn.SINGLE(INDEX(#REF!,'Monthly Report'!AJ441)),"")</f>
        <v/>
      </c>
      <c r="AN441" s="12" t="str">
        <f ca="1">IFERROR(MATCH($G$115,OFFSET(#REF!,AN440,0,1000000),0)+AN440,"")</f>
        <v/>
      </c>
      <c r="AO441" s="17" t="str">
        <f ca="1">IFERROR(_xlfn.SINGLE(INDEX(#REF!,'Monthly Report'!AN441)),"")</f>
        <v/>
      </c>
      <c r="AP441" s="12" t="str">
        <f ca="1">IFERROR(_xlfn.SINGLE(INDEX(#REF!,'Monthly Report'!AN441)),"")</f>
        <v/>
      </c>
    </row>
    <row r="442" spans="36:42">
      <c r="AJ442" s="12" t="str">
        <f ca="1">IFERROR(MATCH($B$114,OFFSET(#REF!,AJ441,0,1000000),0)+AJ441,"")</f>
        <v/>
      </c>
      <c r="AK442" s="17" t="str">
        <f ca="1">IFERROR(_xlfn.SINGLE(INDEX(#REF!,'Monthly Report'!AJ442)),"")</f>
        <v/>
      </c>
      <c r="AL442" s="12" t="str">
        <f ca="1">IFERROR(_xlfn.SINGLE(INDEX(#REF!,'Monthly Report'!AJ442)),"")</f>
        <v/>
      </c>
      <c r="AN442" s="12" t="str">
        <f ca="1">IFERROR(MATCH($G$115,OFFSET(#REF!,AN441,0,1000000),0)+AN441,"")</f>
        <v/>
      </c>
      <c r="AO442" s="17" t="str">
        <f ca="1">IFERROR(_xlfn.SINGLE(INDEX(#REF!,'Monthly Report'!AN442)),"")</f>
        <v/>
      </c>
      <c r="AP442" s="12" t="str">
        <f ca="1">IFERROR(_xlfn.SINGLE(INDEX(#REF!,'Monthly Report'!AN442)),"")</f>
        <v/>
      </c>
    </row>
    <row r="443" spans="36:42">
      <c r="AJ443" s="12" t="str">
        <f ca="1">IFERROR(MATCH($B$114,OFFSET(#REF!,AJ442,0,1000000),0)+AJ442,"")</f>
        <v/>
      </c>
      <c r="AK443" s="17" t="str">
        <f ca="1">IFERROR(_xlfn.SINGLE(INDEX(#REF!,'Monthly Report'!AJ443)),"")</f>
        <v/>
      </c>
      <c r="AL443" s="12" t="str">
        <f ca="1">IFERROR(_xlfn.SINGLE(INDEX(#REF!,'Monthly Report'!AJ443)),"")</f>
        <v/>
      </c>
      <c r="AN443" s="12" t="str">
        <f ca="1">IFERROR(MATCH($G$115,OFFSET(#REF!,AN442,0,1000000),0)+AN442,"")</f>
        <v/>
      </c>
      <c r="AO443" s="17" t="str">
        <f ca="1">IFERROR(_xlfn.SINGLE(INDEX(#REF!,'Monthly Report'!AN443)),"")</f>
        <v/>
      </c>
      <c r="AP443" s="12" t="str">
        <f ca="1">IFERROR(_xlfn.SINGLE(INDEX(#REF!,'Monthly Report'!AN443)),"")</f>
        <v/>
      </c>
    </row>
    <row r="444" spans="36:42">
      <c r="AJ444" s="12" t="str">
        <f ca="1">IFERROR(MATCH($B$114,OFFSET(#REF!,AJ443,0,1000000),0)+AJ443,"")</f>
        <v/>
      </c>
      <c r="AK444" s="17" t="str">
        <f ca="1">IFERROR(_xlfn.SINGLE(INDEX(#REF!,'Monthly Report'!AJ444)),"")</f>
        <v/>
      </c>
      <c r="AL444" s="12" t="str">
        <f ca="1">IFERROR(_xlfn.SINGLE(INDEX(#REF!,'Monthly Report'!AJ444)),"")</f>
        <v/>
      </c>
      <c r="AN444" s="12" t="str">
        <f ca="1">IFERROR(MATCH($G$115,OFFSET(#REF!,AN443,0,1000000),0)+AN443,"")</f>
        <v/>
      </c>
      <c r="AO444" s="17" t="str">
        <f ca="1">IFERROR(_xlfn.SINGLE(INDEX(#REF!,'Monthly Report'!AN444)),"")</f>
        <v/>
      </c>
      <c r="AP444" s="12" t="str">
        <f ca="1">IFERROR(_xlfn.SINGLE(INDEX(#REF!,'Monthly Report'!AN444)),"")</f>
        <v/>
      </c>
    </row>
    <row r="445" spans="36:42">
      <c r="AJ445" s="12" t="str">
        <f ca="1">IFERROR(MATCH($B$114,OFFSET(#REF!,AJ444,0,1000000),0)+AJ444,"")</f>
        <v/>
      </c>
      <c r="AK445" s="17" t="str">
        <f ca="1">IFERROR(_xlfn.SINGLE(INDEX(#REF!,'Monthly Report'!AJ445)),"")</f>
        <v/>
      </c>
      <c r="AL445" s="12" t="str">
        <f ca="1">IFERROR(_xlfn.SINGLE(INDEX(#REF!,'Monthly Report'!AJ445)),"")</f>
        <v/>
      </c>
      <c r="AN445" s="12" t="str">
        <f ca="1">IFERROR(MATCH($G$115,OFFSET(#REF!,AN444,0,1000000),0)+AN444,"")</f>
        <v/>
      </c>
      <c r="AO445" s="17" t="str">
        <f ca="1">IFERROR(_xlfn.SINGLE(INDEX(#REF!,'Monthly Report'!AN445)),"")</f>
        <v/>
      </c>
      <c r="AP445" s="12" t="str">
        <f ca="1">IFERROR(_xlfn.SINGLE(INDEX(#REF!,'Monthly Report'!AN445)),"")</f>
        <v/>
      </c>
    </row>
    <row r="446" spans="36:42">
      <c r="AJ446" s="12" t="str">
        <f ca="1">IFERROR(MATCH($B$114,OFFSET(#REF!,AJ445,0,1000000),0)+AJ445,"")</f>
        <v/>
      </c>
      <c r="AK446" s="17" t="str">
        <f ca="1">IFERROR(_xlfn.SINGLE(INDEX(#REF!,'Monthly Report'!AJ446)),"")</f>
        <v/>
      </c>
      <c r="AL446" s="12" t="str">
        <f ca="1">IFERROR(_xlfn.SINGLE(INDEX(#REF!,'Monthly Report'!AJ446)),"")</f>
        <v/>
      </c>
      <c r="AN446" s="12" t="str">
        <f ca="1">IFERROR(MATCH($G$115,OFFSET(#REF!,AN445,0,1000000),0)+AN445,"")</f>
        <v/>
      </c>
      <c r="AO446" s="17" t="str">
        <f ca="1">IFERROR(_xlfn.SINGLE(INDEX(#REF!,'Monthly Report'!AN446)),"")</f>
        <v/>
      </c>
      <c r="AP446" s="12" t="str">
        <f ca="1">IFERROR(_xlfn.SINGLE(INDEX(#REF!,'Monthly Report'!AN446)),"")</f>
        <v/>
      </c>
    </row>
    <row r="447" spans="36:42">
      <c r="AJ447" s="12" t="str">
        <f ca="1">IFERROR(MATCH($B$114,OFFSET(#REF!,AJ446,0,1000000),0)+AJ446,"")</f>
        <v/>
      </c>
      <c r="AK447" s="17" t="str">
        <f ca="1">IFERROR(_xlfn.SINGLE(INDEX(#REF!,'Monthly Report'!AJ447)),"")</f>
        <v/>
      </c>
      <c r="AL447" s="12" t="str">
        <f ca="1">IFERROR(_xlfn.SINGLE(INDEX(#REF!,'Monthly Report'!AJ447)),"")</f>
        <v/>
      </c>
      <c r="AN447" s="12" t="str">
        <f ca="1">IFERROR(MATCH($G$115,OFFSET(#REF!,AN446,0,1000000),0)+AN446,"")</f>
        <v/>
      </c>
      <c r="AO447" s="17" t="str">
        <f ca="1">IFERROR(_xlfn.SINGLE(INDEX(#REF!,'Monthly Report'!AN447)),"")</f>
        <v/>
      </c>
      <c r="AP447" s="12" t="str">
        <f ca="1">IFERROR(_xlfn.SINGLE(INDEX(#REF!,'Monthly Report'!AN447)),"")</f>
        <v/>
      </c>
    </row>
    <row r="448" spans="36:42">
      <c r="AJ448" s="12" t="str">
        <f ca="1">IFERROR(MATCH($B$114,OFFSET(#REF!,AJ447,0,1000000),0)+AJ447,"")</f>
        <v/>
      </c>
      <c r="AK448" s="17" t="str">
        <f ca="1">IFERROR(_xlfn.SINGLE(INDEX(#REF!,'Monthly Report'!AJ448)),"")</f>
        <v/>
      </c>
      <c r="AL448" s="12" t="str">
        <f ca="1">IFERROR(_xlfn.SINGLE(INDEX(#REF!,'Monthly Report'!AJ448)),"")</f>
        <v/>
      </c>
      <c r="AN448" s="12" t="str">
        <f ca="1">IFERROR(MATCH($G$115,OFFSET(#REF!,AN447,0,1000000),0)+AN447,"")</f>
        <v/>
      </c>
      <c r="AO448" s="17" t="str">
        <f ca="1">IFERROR(_xlfn.SINGLE(INDEX(#REF!,'Monthly Report'!AN448)),"")</f>
        <v/>
      </c>
      <c r="AP448" s="12" t="str">
        <f ca="1">IFERROR(_xlfn.SINGLE(INDEX(#REF!,'Monthly Report'!AN448)),"")</f>
        <v/>
      </c>
    </row>
    <row r="449" spans="36:42">
      <c r="AJ449" s="12" t="str">
        <f ca="1">IFERROR(MATCH($B$114,OFFSET(#REF!,AJ448,0,1000000),0)+AJ448,"")</f>
        <v/>
      </c>
      <c r="AK449" s="17" t="str">
        <f ca="1">IFERROR(_xlfn.SINGLE(INDEX(#REF!,'Monthly Report'!AJ449)),"")</f>
        <v/>
      </c>
      <c r="AL449" s="12" t="str">
        <f ca="1">IFERROR(_xlfn.SINGLE(INDEX(#REF!,'Monthly Report'!AJ449)),"")</f>
        <v/>
      </c>
      <c r="AN449" s="12" t="str">
        <f ca="1">IFERROR(MATCH($G$115,OFFSET(#REF!,AN448,0,1000000),0)+AN448,"")</f>
        <v/>
      </c>
      <c r="AO449" s="17" t="str">
        <f ca="1">IFERROR(_xlfn.SINGLE(INDEX(#REF!,'Monthly Report'!AN449)),"")</f>
        <v/>
      </c>
      <c r="AP449" s="12" t="str">
        <f ca="1">IFERROR(_xlfn.SINGLE(INDEX(#REF!,'Monthly Report'!AN449)),"")</f>
        <v/>
      </c>
    </row>
    <row r="450" spans="36:42">
      <c r="AJ450" s="12" t="str">
        <f ca="1">IFERROR(MATCH($B$114,OFFSET(#REF!,AJ449,0,1000000),0)+AJ449,"")</f>
        <v/>
      </c>
      <c r="AK450" s="17" t="str">
        <f ca="1">IFERROR(_xlfn.SINGLE(INDEX(#REF!,'Monthly Report'!AJ450)),"")</f>
        <v/>
      </c>
      <c r="AL450" s="12" t="str">
        <f ca="1">IFERROR(_xlfn.SINGLE(INDEX(#REF!,'Monthly Report'!AJ450)),"")</f>
        <v/>
      </c>
      <c r="AN450" s="12" t="str">
        <f ca="1">IFERROR(MATCH($G$115,OFFSET(#REF!,AN449,0,1000000),0)+AN449,"")</f>
        <v/>
      </c>
      <c r="AO450" s="17" t="str">
        <f ca="1">IFERROR(_xlfn.SINGLE(INDEX(#REF!,'Monthly Report'!AN450)),"")</f>
        <v/>
      </c>
      <c r="AP450" s="12" t="str">
        <f ca="1">IFERROR(_xlfn.SINGLE(INDEX(#REF!,'Monthly Report'!AN450)),"")</f>
        <v/>
      </c>
    </row>
    <row r="451" spans="36:42">
      <c r="AJ451" s="12" t="str">
        <f ca="1">IFERROR(MATCH($B$114,OFFSET(#REF!,AJ450,0,1000000),0)+AJ450,"")</f>
        <v/>
      </c>
      <c r="AK451" s="17" t="str">
        <f ca="1">IFERROR(_xlfn.SINGLE(INDEX(#REF!,'Monthly Report'!AJ451)),"")</f>
        <v/>
      </c>
      <c r="AL451" s="12" t="str">
        <f ca="1">IFERROR(_xlfn.SINGLE(INDEX(#REF!,'Monthly Report'!AJ451)),"")</f>
        <v/>
      </c>
      <c r="AN451" s="12" t="str">
        <f ca="1">IFERROR(MATCH($G$115,OFFSET(#REF!,AN450,0,1000000),0)+AN450,"")</f>
        <v/>
      </c>
      <c r="AO451" s="17" t="str">
        <f ca="1">IFERROR(_xlfn.SINGLE(INDEX(#REF!,'Monthly Report'!AN451)),"")</f>
        <v/>
      </c>
      <c r="AP451" s="12" t="str">
        <f ca="1">IFERROR(_xlfn.SINGLE(INDEX(#REF!,'Monthly Report'!AN451)),"")</f>
        <v/>
      </c>
    </row>
    <row r="452" spans="36:42">
      <c r="AJ452" s="12" t="str">
        <f ca="1">IFERROR(MATCH($B$114,OFFSET(#REF!,AJ451,0,1000000),0)+AJ451,"")</f>
        <v/>
      </c>
      <c r="AK452" s="17" t="str">
        <f ca="1">IFERROR(_xlfn.SINGLE(INDEX(#REF!,'Monthly Report'!AJ452)),"")</f>
        <v/>
      </c>
      <c r="AL452" s="12" t="str">
        <f ca="1">IFERROR(_xlfn.SINGLE(INDEX(#REF!,'Monthly Report'!AJ452)),"")</f>
        <v/>
      </c>
      <c r="AN452" s="12" t="str">
        <f ca="1">IFERROR(MATCH($G$115,OFFSET(#REF!,AN451,0,1000000),0)+AN451,"")</f>
        <v/>
      </c>
      <c r="AO452" s="17" t="str">
        <f ca="1">IFERROR(_xlfn.SINGLE(INDEX(#REF!,'Monthly Report'!AN452)),"")</f>
        <v/>
      </c>
      <c r="AP452" s="12" t="str">
        <f ca="1">IFERROR(_xlfn.SINGLE(INDEX(#REF!,'Monthly Report'!AN452)),"")</f>
        <v/>
      </c>
    </row>
    <row r="453" spans="36:42">
      <c r="AJ453" s="12" t="str">
        <f ca="1">IFERROR(MATCH($B$114,OFFSET(#REF!,AJ452,0,1000000),0)+AJ452,"")</f>
        <v/>
      </c>
      <c r="AK453" s="17" t="str">
        <f ca="1">IFERROR(_xlfn.SINGLE(INDEX(#REF!,'Monthly Report'!AJ453)),"")</f>
        <v/>
      </c>
      <c r="AL453" s="12" t="str">
        <f ca="1">IFERROR(_xlfn.SINGLE(INDEX(#REF!,'Monthly Report'!AJ453)),"")</f>
        <v/>
      </c>
      <c r="AN453" s="12" t="str">
        <f ca="1">IFERROR(MATCH($G$115,OFFSET(#REF!,AN452,0,1000000),0)+AN452,"")</f>
        <v/>
      </c>
      <c r="AO453" s="17" t="str">
        <f ca="1">IFERROR(_xlfn.SINGLE(INDEX(#REF!,'Monthly Report'!AN453)),"")</f>
        <v/>
      </c>
      <c r="AP453" s="12" t="str">
        <f ca="1">IFERROR(_xlfn.SINGLE(INDEX(#REF!,'Monthly Report'!AN453)),"")</f>
        <v/>
      </c>
    </row>
    <row r="454" spans="36:42">
      <c r="AJ454" s="12" t="str">
        <f ca="1">IFERROR(MATCH($B$114,OFFSET(#REF!,AJ453,0,1000000),0)+AJ453,"")</f>
        <v/>
      </c>
      <c r="AK454" s="17" t="str">
        <f ca="1">IFERROR(_xlfn.SINGLE(INDEX(#REF!,'Monthly Report'!AJ454)),"")</f>
        <v/>
      </c>
      <c r="AL454" s="12" t="str">
        <f ca="1">IFERROR(_xlfn.SINGLE(INDEX(#REF!,'Monthly Report'!AJ454)),"")</f>
        <v/>
      </c>
      <c r="AN454" s="12" t="str">
        <f ca="1">IFERROR(MATCH($G$115,OFFSET(#REF!,AN453,0,1000000),0)+AN453,"")</f>
        <v/>
      </c>
      <c r="AO454" s="17" t="str">
        <f ca="1">IFERROR(_xlfn.SINGLE(INDEX(#REF!,'Monthly Report'!AN454)),"")</f>
        <v/>
      </c>
      <c r="AP454" s="12" t="str">
        <f ca="1">IFERROR(_xlfn.SINGLE(INDEX(#REF!,'Monthly Report'!AN454)),"")</f>
        <v/>
      </c>
    </row>
    <row r="455" spans="36:42">
      <c r="AJ455" s="12" t="str">
        <f ca="1">IFERROR(MATCH($B$114,OFFSET(#REF!,AJ454,0,1000000),0)+AJ454,"")</f>
        <v/>
      </c>
      <c r="AK455" s="17" t="str">
        <f ca="1">IFERROR(_xlfn.SINGLE(INDEX(#REF!,'Monthly Report'!AJ455)),"")</f>
        <v/>
      </c>
      <c r="AL455" s="12" t="str">
        <f ca="1">IFERROR(_xlfn.SINGLE(INDEX(#REF!,'Monthly Report'!AJ455)),"")</f>
        <v/>
      </c>
      <c r="AN455" s="12" t="str">
        <f ca="1">IFERROR(MATCH($G$115,OFFSET(#REF!,AN454,0,1000000),0)+AN454,"")</f>
        <v/>
      </c>
      <c r="AO455" s="17" t="str">
        <f ca="1">IFERROR(_xlfn.SINGLE(INDEX(#REF!,'Monthly Report'!AN455)),"")</f>
        <v/>
      </c>
      <c r="AP455" s="12" t="str">
        <f ca="1">IFERROR(_xlfn.SINGLE(INDEX(#REF!,'Monthly Report'!AN455)),"")</f>
        <v/>
      </c>
    </row>
    <row r="456" spans="36:42">
      <c r="AJ456" s="12" t="str">
        <f ca="1">IFERROR(MATCH($B$114,OFFSET(#REF!,AJ455,0,1000000),0)+AJ455,"")</f>
        <v/>
      </c>
      <c r="AK456" s="17" t="str">
        <f ca="1">IFERROR(_xlfn.SINGLE(INDEX(#REF!,'Monthly Report'!AJ456)),"")</f>
        <v/>
      </c>
      <c r="AL456" s="12" t="str">
        <f ca="1">IFERROR(_xlfn.SINGLE(INDEX(#REF!,'Monthly Report'!AJ456)),"")</f>
        <v/>
      </c>
      <c r="AN456" s="12" t="str">
        <f ca="1">IFERROR(MATCH($G$115,OFFSET(#REF!,AN455,0,1000000),0)+AN455,"")</f>
        <v/>
      </c>
      <c r="AO456" s="17" t="str">
        <f ca="1">IFERROR(_xlfn.SINGLE(INDEX(#REF!,'Monthly Report'!AN456)),"")</f>
        <v/>
      </c>
      <c r="AP456" s="12" t="str">
        <f ca="1">IFERROR(_xlfn.SINGLE(INDEX(#REF!,'Monthly Report'!AN456)),"")</f>
        <v/>
      </c>
    </row>
    <row r="457" spans="36:42">
      <c r="AJ457" s="12" t="str">
        <f ca="1">IFERROR(MATCH($B$114,OFFSET(#REF!,AJ456,0,1000000),0)+AJ456,"")</f>
        <v/>
      </c>
      <c r="AK457" s="17" t="str">
        <f ca="1">IFERROR(_xlfn.SINGLE(INDEX(#REF!,'Monthly Report'!AJ457)),"")</f>
        <v/>
      </c>
      <c r="AL457" s="12" t="str">
        <f ca="1">IFERROR(_xlfn.SINGLE(INDEX(#REF!,'Monthly Report'!AJ457)),"")</f>
        <v/>
      </c>
      <c r="AN457" s="12" t="str">
        <f ca="1">IFERROR(MATCH($G$115,OFFSET(#REF!,AN456,0,1000000),0)+AN456,"")</f>
        <v/>
      </c>
      <c r="AO457" s="17" t="str">
        <f ca="1">IFERROR(_xlfn.SINGLE(INDEX(#REF!,'Monthly Report'!AN457)),"")</f>
        <v/>
      </c>
      <c r="AP457" s="12" t="str">
        <f ca="1">IFERROR(_xlfn.SINGLE(INDEX(#REF!,'Monthly Report'!AN457)),"")</f>
        <v/>
      </c>
    </row>
    <row r="458" spans="36:42">
      <c r="AJ458" s="12" t="str">
        <f ca="1">IFERROR(MATCH($B$114,OFFSET(#REF!,AJ457,0,1000000),0)+AJ457,"")</f>
        <v/>
      </c>
      <c r="AK458" s="17" t="str">
        <f ca="1">IFERROR(_xlfn.SINGLE(INDEX(#REF!,'Monthly Report'!AJ458)),"")</f>
        <v/>
      </c>
      <c r="AL458" s="12" t="str">
        <f ca="1">IFERROR(_xlfn.SINGLE(INDEX(#REF!,'Monthly Report'!AJ458)),"")</f>
        <v/>
      </c>
      <c r="AN458" s="12" t="str">
        <f ca="1">IFERROR(MATCH($G$115,OFFSET(#REF!,AN457,0,1000000),0)+AN457,"")</f>
        <v/>
      </c>
      <c r="AO458" s="17" t="str">
        <f ca="1">IFERROR(_xlfn.SINGLE(INDEX(#REF!,'Monthly Report'!AN458)),"")</f>
        <v/>
      </c>
      <c r="AP458" s="12" t="str">
        <f ca="1">IFERROR(_xlfn.SINGLE(INDEX(#REF!,'Monthly Report'!AN458)),"")</f>
        <v/>
      </c>
    </row>
    <row r="459" spans="36:42">
      <c r="AJ459" s="12" t="str">
        <f ca="1">IFERROR(MATCH($B$114,OFFSET(#REF!,AJ458,0,1000000),0)+AJ458,"")</f>
        <v/>
      </c>
      <c r="AK459" s="17" t="str">
        <f ca="1">IFERROR(_xlfn.SINGLE(INDEX(#REF!,'Monthly Report'!AJ459)),"")</f>
        <v/>
      </c>
      <c r="AL459" s="12" t="str">
        <f ca="1">IFERROR(_xlfn.SINGLE(INDEX(#REF!,'Monthly Report'!AJ459)),"")</f>
        <v/>
      </c>
      <c r="AN459" s="12" t="str">
        <f ca="1">IFERROR(MATCH($G$115,OFFSET(#REF!,AN458,0,1000000),0)+AN458,"")</f>
        <v/>
      </c>
      <c r="AO459" s="17" t="str">
        <f ca="1">IFERROR(_xlfn.SINGLE(INDEX(#REF!,'Monthly Report'!AN459)),"")</f>
        <v/>
      </c>
      <c r="AP459" s="12" t="str">
        <f ca="1">IFERROR(_xlfn.SINGLE(INDEX(#REF!,'Monthly Report'!AN459)),"")</f>
        <v/>
      </c>
    </row>
    <row r="460" spans="36:42">
      <c r="AJ460" s="12" t="str">
        <f ca="1">IFERROR(MATCH($B$114,OFFSET(#REF!,AJ459,0,1000000),0)+AJ459,"")</f>
        <v/>
      </c>
      <c r="AK460" s="17" t="str">
        <f ca="1">IFERROR(_xlfn.SINGLE(INDEX(#REF!,'Monthly Report'!AJ460)),"")</f>
        <v/>
      </c>
      <c r="AL460" s="12" t="str">
        <f ca="1">IFERROR(_xlfn.SINGLE(INDEX(#REF!,'Monthly Report'!AJ460)),"")</f>
        <v/>
      </c>
      <c r="AN460" s="12" t="str">
        <f ca="1">IFERROR(MATCH($G$115,OFFSET(#REF!,AN459,0,1000000),0)+AN459,"")</f>
        <v/>
      </c>
      <c r="AO460" s="17" t="str">
        <f ca="1">IFERROR(_xlfn.SINGLE(INDEX(#REF!,'Monthly Report'!AN460)),"")</f>
        <v/>
      </c>
      <c r="AP460" s="12" t="str">
        <f ca="1">IFERROR(_xlfn.SINGLE(INDEX(#REF!,'Monthly Report'!AN460)),"")</f>
        <v/>
      </c>
    </row>
    <row r="461" spans="36:42">
      <c r="AJ461" s="12" t="str">
        <f ca="1">IFERROR(MATCH($B$114,OFFSET(#REF!,AJ460,0,1000000),0)+AJ460,"")</f>
        <v/>
      </c>
      <c r="AK461" s="17" t="str">
        <f ca="1">IFERROR(_xlfn.SINGLE(INDEX(#REF!,'Monthly Report'!AJ461)),"")</f>
        <v/>
      </c>
      <c r="AL461" s="12" t="str">
        <f ca="1">IFERROR(_xlfn.SINGLE(INDEX(#REF!,'Monthly Report'!AJ461)),"")</f>
        <v/>
      </c>
      <c r="AN461" s="12" t="str">
        <f ca="1">IFERROR(MATCH($G$115,OFFSET(#REF!,AN460,0,1000000),0)+AN460,"")</f>
        <v/>
      </c>
      <c r="AO461" s="17" t="str">
        <f ca="1">IFERROR(_xlfn.SINGLE(INDEX(#REF!,'Monthly Report'!AN461)),"")</f>
        <v/>
      </c>
      <c r="AP461" s="12" t="str">
        <f ca="1">IFERROR(_xlfn.SINGLE(INDEX(#REF!,'Monthly Report'!AN461)),"")</f>
        <v/>
      </c>
    </row>
    <row r="462" spans="36:42">
      <c r="AJ462" s="12" t="str">
        <f ca="1">IFERROR(MATCH($B$114,OFFSET(#REF!,AJ461,0,1000000),0)+AJ461,"")</f>
        <v/>
      </c>
      <c r="AK462" s="17" t="str">
        <f ca="1">IFERROR(_xlfn.SINGLE(INDEX(#REF!,'Monthly Report'!AJ462)),"")</f>
        <v/>
      </c>
      <c r="AL462" s="12" t="str">
        <f ca="1">IFERROR(_xlfn.SINGLE(INDEX(#REF!,'Monthly Report'!AJ462)),"")</f>
        <v/>
      </c>
      <c r="AN462" s="12" t="str">
        <f ca="1">IFERROR(MATCH($G$115,OFFSET(#REF!,AN461,0,1000000),0)+AN461,"")</f>
        <v/>
      </c>
      <c r="AO462" s="17" t="str">
        <f ca="1">IFERROR(_xlfn.SINGLE(INDEX(#REF!,'Monthly Report'!AN462)),"")</f>
        <v/>
      </c>
      <c r="AP462" s="12" t="str">
        <f ca="1">IFERROR(_xlfn.SINGLE(INDEX(#REF!,'Monthly Report'!AN462)),"")</f>
        <v/>
      </c>
    </row>
    <row r="463" spans="36:42">
      <c r="AJ463" s="12" t="str">
        <f ca="1">IFERROR(MATCH($B$114,OFFSET(#REF!,AJ462,0,1000000),0)+AJ462,"")</f>
        <v/>
      </c>
      <c r="AK463" s="17" t="str">
        <f ca="1">IFERROR(_xlfn.SINGLE(INDEX(#REF!,'Monthly Report'!AJ463)),"")</f>
        <v/>
      </c>
      <c r="AL463" s="12" t="str">
        <f ca="1">IFERROR(_xlfn.SINGLE(INDEX(#REF!,'Monthly Report'!AJ463)),"")</f>
        <v/>
      </c>
      <c r="AN463" s="12" t="str">
        <f ca="1">IFERROR(MATCH($G$115,OFFSET(#REF!,AN462,0,1000000),0)+AN462,"")</f>
        <v/>
      </c>
      <c r="AO463" s="17" t="str">
        <f ca="1">IFERROR(_xlfn.SINGLE(INDEX(#REF!,'Monthly Report'!AN463)),"")</f>
        <v/>
      </c>
      <c r="AP463" s="12" t="str">
        <f ca="1">IFERROR(_xlfn.SINGLE(INDEX(#REF!,'Monthly Report'!AN463)),"")</f>
        <v/>
      </c>
    </row>
    <row r="464" spans="36:42">
      <c r="AJ464" s="12" t="str">
        <f ca="1">IFERROR(MATCH($B$114,OFFSET(#REF!,AJ463,0,1000000),0)+AJ463,"")</f>
        <v/>
      </c>
      <c r="AK464" s="17" t="str">
        <f ca="1">IFERROR(_xlfn.SINGLE(INDEX(#REF!,'Monthly Report'!AJ464)),"")</f>
        <v/>
      </c>
      <c r="AL464" s="12" t="str">
        <f ca="1">IFERROR(_xlfn.SINGLE(INDEX(#REF!,'Monthly Report'!AJ464)),"")</f>
        <v/>
      </c>
      <c r="AN464" s="12" t="str">
        <f ca="1">IFERROR(MATCH($G$115,OFFSET(#REF!,AN463,0,1000000),0)+AN463,"")</f>
        <v/>
      </c>
      <c r="AO464" s="17" t="str">
        <f ca="1">IFERROR(_xlfn.SINGLE(INDEX(#REF!,'Monthly Report'!AN464)),"")</f>
        <v/>
      </c>
      <c r="AP464" s="12" t="str">
        <f ca="1">IFERROR(_xlfn.SINGLE(INDEX(#REF!,'Monthly Report'!AN464)),"")</f>
        <v/>
      </c>
    </row>
    <row r="465" spans="36:42">
      <c r="AJ465" s="12" t="str">
        <f ca="1">IFERROR(MATCH($B$114,OFFSET(#REF!,AJ464,0,1000000),0)+AJ464,"")</f>
        <v/>
      </c>
      <c r="AK465" s="17" t="str">
        <f ca="1">IFERROR(_xlfn.SINGLE(INDEX(#REF!,'Monthly Report'!AJ465)),"")</f>
        <v/>
      </c>
      <c r="AL465" s="12" t="str">
        <f ca="1">IFERROR(_xlfn.SINGLE(INDEX(#REF!,'Monthly Report'!AJ465)),"")</f>
        <v/>
      </c>
      <c r="AN465" s="12" t="str">
        <f ca="1">IFERROR(MATCH($G$115,OFFSET(#REF!,AN464,0,1000000),0)+AN464,"")</f>
        <v/>
      </c>
      <c r="AO465" s="17" t="str">
        <f ca="1">IFERROR(_xlfn.SINGLE(INDEX(#REF!,'Monthly Report'!AN465)),"")</f>
        <v/>
      </c>
      <c r="AP465" s="12" t="str">
        <f ca="1">IFERROR(_xlfn.SINGLE(INDEX(#REF!,'Monthly Report'!AN465)),"")</f>
        <v/>
      </c>
    </row>
    <row r="466" spans="36:42">
      <c r="AJ466" s="12" t="str">
        <f ca="1">IFERROR(MATCH($B$114,OFFSET(#REF!,AJ465,0,1000000),0)+AJ465,"")</f>
        <v/>
      </c>
      <c r="AK466" s="17" t="str">
        <f ca="1">IFERROR(_xlfn.SINGLE(INDEX(#REF!,'Monthly Report'!AJ466)),"")</f>
        <v/>
      </c>
      <c r="AL466" s="12" t="str">
        <f ca="1">IFERROR(_xlfn.SINGLE(INDEX(#REF!,'Monthly Report'!AJ466)),"")</f>
        <v/>
      </c>
      <c r="AN466" s="12" t="str">
        <f ca="1">IFERROR(MATCH($G$115,OFFSET(#REF!,AN465,0,1000000),0)+AN465,"")</f>
        <v/>
      </c>
      <c r="AO466" s="17" t="str">
        <f ca="1">IFERROR(_xlfn.SINGLE(INDEX(#REF!,'Monthly Report'!AN466)),"")</f>
        <v/>
      </c>
      <c r="AP466" s="12" t="str">
        <f ca="1">IFERROR(_xlfn.SINGLE(INDEX(#REF!,'Monthly Report'!AN466)),"")</f>
        <v/>
      </c>
    </row>
    <row r="467" spans="36:42">
      <c r="AJ467" s="12" t="str">
        <f ca="1">IFERROR(MATCH($B$114,OFFSET(#REF!,AJ466,0,1000000),0)+AJ466,"")</f>
        <v/>
      </c>
      <c r="AK467" s="17" t="str">
        <f ca="1">IFERROR(_xlfn.SINGLE(INDEX(#REF!,'Monthly Report'!AJ467)),"")</f>
        <v/>
      </c>
      <c r="AL467" s="12" t="str">
        <f ca="1">IFERROR(_xlfn.SINGLE(INDEX(#REF!,'Monthly Report'!AJ467)),"")</f>
        <v/>
      </c>
      <c r="AN467" s="12" t="str">
        <f ca="1">IFERROR(MATCH($G$115,OFFSET(#REF!,AN466,0,1000000),0)+AN466,"")</f>
        <v/>
      </c>
      <c r="AO467" s="17" t="str">
        <f ca="1">IFERROR(_xlfn.SINGLE(INDEX(#REF!,'Monthly Report'!AN467)),"")</f>
        <v/>
      </c>
      <c r="AP467" s="12" t="str">
        <f ca="1">IFERROR(_xlfn.SINGLE(INDEX(#REF!,'Monthly Report'!AN467)),"")</f>
        <v/>
      </c>
    </row>
    <row r="468" spans="36:42">
      <c r="AJ468" s="12" t="str">
        <f ca="1">IFERROR(MATCH($B$114,OFFSET(#REF!,AJ467,0,1000000),0)+AJ467,"")</f>
        <v/>
      </c>
      <c r="AK468" s="17" t="str">
        <f ca="1">IFERROR(_xlfn.SINGLE(INDEX(#REF!,'Monthly Report'!AJ468)),"")</f>
        <v/>
      </c>
      <c r="AL468" s="12" t="str">
        <f ca="1">IFERROR(_xlfn.SINGLE(INDEX(#REF!,'Monthly Report'!AJ468)),"")</f>
        <v/>
      </c>
      <c r="AN468" s="12" t="str">
        <f ca="1">IFERROR(MATCH($G$115,OFFSET(#REF!,AN467,0,1000000),0)+AN467,"")</f>
        <v/>
      </c>
      <c r="AO468" s="17" t="str">
        <f ca="1">IFERROR(_xlfn.SINGLE(INDEX(#REF!,'Monthly Report'!AN468)),"")</f>
        <v/>
      </c>
      <c r="AP468" s="12" t="str">
        <f ca="1">IFERROR(_xlfn.SINGLE(INDEX(#REF!,'Monthly Report'!AN468)),"")</f>
        <v/>
      </c>
    </row>
    <row r="469" spans="36:42">
      <c r="AJ469" s="12" t="str">
        <f ca="1">IFERROR(MATCH($B$114,OFFSET(#REF!,AJ468,0,1000000),0)+AJ468,"")</f>
        <v/>
      </c>
      <c r="AK469" s="17" t="str">
        <f ca="1">IFERROR(_xlfn.SINGLE(INDEX(#REF!,'Monthly Report'!AJ469)),"")</f>
        <v/>
      </c>
      <c r="AL469" s="12" t="str">
        <f ca="1">IFERROR(_xlfn.SINGLE(INDEX(#REF!,'Monthly Report'!AJ469)),"")</f>
        <v/>
      </c>
      <c r="AN469" s="12" t="str">
        <f ca="1">IFERROR(MATCH($G$115,OFFSET(#REF!,AN468,0,1000000),0)+AN468,"")</f>
        <v/>
      </c>
      <c r="AO469" s="17" t="str">
        <f ca="1">IFERROR(_xlfn.SINGLE(INDEX(#REF!,'Monthly Report'!AN469)),"")</f>
        <v/>
      </c>
      <c r="AP469" s="12" t="str">
        <f ca="1">IFERROR(_xlfn.SINGLE(INDEX(#REF!,'Monthly Report'!AN469)),"")</f>
        <v/>
      </c>
    </row>
    <row r="470" spans="36:42">
      <c r="AJ470" s="12" t="str">
        <f ca="1">IFERROR(MATCH($B$114,OFFSET(#REF!,AJ469,0,1000000),0)+AJ469,"")</f>
        <v/>
      </c>
      <c r="AK470" s="17" t="str">
        <f ca="1">IFERROR(_xlfn.SINGLE(INDEX(#REF!,'Monthly Report'!AJ470)),"")</f>
        <v/>
      </c>
      <c r="AL470" s="12" t="str">
        <f ca="1">IFERROR(_xlfn.SINGLE(INDEX(#REF!,'Monthly Report'!AJ470)),"")</f>
        <v/>
      </c>
      <c r="AN470" s="12" t="str">
        <f ca="1">IFERROR(MATCH($G$115,OFFSET(#REF!,AN469,0,1000000),0)+AN469,"")</f>
        <v/>
      </c>
      <c r="AO470" s="17" t="str">
        <f ca="1">IFERROR(_xlfn.SINGLE(INDEX(#REF!,'Monthly Report'!AN470)),"")</f>
        <v/>
      </c>
      <c r="AP470" s="12" t="str">
        <f ca="1">IFERROR(_xlfn.SINGLE(INDEX(#REF!,'Monthly Report'!AN470)),"")</f>
        <v/>
      </c>
    </row>
    <row r="471" spans="36:42">
      <c r="AJ471" s="12" t="str">
        <f ca="1">IFERROR(MATCH($B$114,OFFSET(#REF!,AJ470,0,1000000),0)+AJ470,"")</f>
        <v/>
      </c>
      <c r="AK471" s="17" t="str">
        <f ca="1">IFERROR(_xlfn.SINGLE(INDEX(#REF!,'Monthly Report'!AJ471)),"")</f>
        <v/>
      </c>
      <c r="AL471" s="12" t="str">
        <f ca="1">IFERROR(_xlfn.SINGLE(INDEX(#REF!,'Monthly Report'!AJ471)),"")</f>
        <v/>
      </c>
      <c r="AN471" s="12" t="str">
        <f ca="1">IFERROR(MATCH($G$115,OFFSET(#REF!,AN470,0,1000000),0)+AN470,"")</f>
        <v/>
      </c>
      <c r="AO471" s="17" t="str">
        <f ca="1">IFERROR(_xlfn.SINGLE(INDEX(#REF!,'Monthly Report'!AN471)),"")</f>
        <v/>
      </c>
      <c r="AP471" s="12" t="str">
        <f ca="1">IFERROR(_xlfn.SINGLE(INDEX(#REF!,'Monthly Report'!AN471)),"")</f>
        <v/>
      </c>
    </row>
    <row r="472" spans="36:42">
      <c r="AJ472" s="12" t="str">
        <f ca="1">IFERROR(MATCH($B$114,OFFSET(#REF!,AJ471,0,1000000),0)+AJ471,"")</f>
        <v/>
      </c>
      <c r="AK472" s="17" t="str">
        <f ca="1">IFERROR(_xlfn.SINGLE(INDEX(#REF!,'Monthly Report'!AJ472)),"")</f>
        <v/>
      </c>
      <c r="AL472" s="12" t="str">
        <f ca="1">IFERROR(_xlfn.SINGLE(INDEX(#REF!,'Monthly Report'!AJ472)),"")</f>
        <v/>
      </c>
      <c r="AN472" s="12" t="str">
        <f ca="1">IFERROR(MATCH($G$115,OFFSET(#REF!,AN471,0,1000000),0)+AN471,"")</f>
        <v/>
      </c>
      <c r="AO472" s="17" t="str">
        <f ca="1">IFERROR(_xlfn.SINGLE(INDEX(#REF!,'Monthly Report'!AN472)),"")</f>
        <v/>
      </c>
      <c r="AP472" s="12" t="str">
        <f ca="1">IFERROR(_xlfn.SINGLE(INDEX(#REF!,'Monthly Report'!AN472)),"")</f>
        <v/>
      </c>
    </row>
    <row r="473" spans="36:42">
      <c r="AJ473" s="12" t="str">
        <f ca="1">IFERROR(MATCH($B$114,OFFSET(#REF!,AJ472,0,1000000),0)+AJ472,"")</f>
        <v/>
      </c>
      <c r="AK473" s="17" t="str">
        <f ca="1">IFERROR(_xlfn.SINGLE(INDEX(#REF!,'Monthly Report'!AJ473)),"")</f>
        <v/>
      </c>
      <c r="AL473" s="12" t="str">
        <f ca="1">IFERROR(_xlfn.SINGLE(INDEX(#REF!,'Monthly Report'!AJ473)),"")</f>
        <v/>
      </c>
      <c r="AN473" s="12" t="str">
        <f ca="1">IFERROR(MATCH($G$115,OFFSET(#REF!,AN472,0,1000000),0)+AN472,"")</f>
        <v/>
      </c>
      <c r="AO473" s="17" t="str">
        <f ca="1">IFERROR(_xlfn.SINGLE(INDEX(#REF!,'Monthly Report'!AN473)),"")</f>
        <v/>
      </c>
      <c r="AP473" s="12" t="str">
        <f ca="1">IFERROR(_xlfn.SINGLE(INDEX(#REF!,'Monthly Report'!AN473)),"")</f>
        <v/>
      </c>
    </row>
    <row r="474" spans="36:42">
      <c r="AJ474" s="12" t="str">
        <f ca="1">IFERROR(MATCH($B$114,OFFSET(#REF!,AJ473,0,1000000),0)+AJ473,"")</f>
        <v/>
      </c>
      <c r="AK474" s="17" t="str">
        <f ca="1">IFERROR(_xlfn.SINGLE(INDEX(#REF!,'Monthly Report'!AJ474)),"")</f>
        <v/>
      </c>
      <c r="AL474" s="12" t="str">
        <f ca="1">IFERROR(_xlfn.SINGLE(INDEX(#REF!,'Monthly Report'!AJ474)),"")</f>
        <v/>
      </c>
      <c r="AN474" s="12" t="str">
        <f ca="1">IFERROR(MATCH($G$115,OFFSET(#REF!,AN473,0,1000000),0)+AN473,"")</f>
        <v/>
      </c>
      <c r="AO474" s="17" t="str">
        <f ca="1">IFERROR(_xlfn.SINGLE(INDEX(#REF!,'Monthly Report'!AN474)),"")</f>
        <v/>
      </c>
      <c r="AP474" s="12" t="str">
        <f ca="1">IFERROR(_xlfn.SINGLE(INDEX(#REF!,'Monthly Report'!AN474)),"")</f>
        <v/>
      </c>
    </row>
    <row r="475" spans="36:42">
      <c r="AJ475" s="12" t="str">
        <f ca="1">IFERROR(MATCH($B$114,OFFSET(#REF!,AJ474,0,1000000),0)+AJ474,"")</f>
        <v/>
      </c>
      <c r="AK475" s="17" t="str">
        <f ca="1">IFERROR(_xlfn.SINGLE(INDEX(#REF!,'Monthly Report'!AJ475)),"")</f>
        <v/>
      </c>
      <c r="AL475" s="12" t="str">
        <f ca="1">IFERROR(_xlfn.SINGLE(INDEX(#REF!,'Monthly Report'!AJ475)),"")</f>
        <v/>
      </c>
      <c r="AN475" s="12" t="str">
        <f ca="1">IFERROR(MATCH($G$115,OFFSET(#REF!,AN474,0,1000000),0)+AN474,"")</f>
        <v/>
      </c>
      <c r="AO475" s="17" t="str">
        <f ca="1">IFERROR(_xlfn.SINGLE(INDEX(#REF!,'Monthly Report'!AN475)),"")</f>
        <v/>
      </c>
      <c r="AP475" s="12" t="str">
        <f ca="1">IFERROR(_xlfn.SINGLE(INDEX(#REF!,'Monthly Report'!AN475)),"")</f>
        <v/>
      </c>
    </row>
    <row r="476" spans="36:42">
      <c r="AJ476" s="12" t="str">
        <f ca="1">IFERROR(MATCH($B$114,OFFSET(#REF!,AJ475,0,1000000),0)+AJ475,"")</f>
        <v/>
      </c>
      <c r="AK476" s="17" t="str">
        <f ca="1">IFERROR(_xlfn.SINGLE(INDEX(#REF!,'Monthly Report'!AJ476)),"")</f>
        <v/>
      </c>
      <c r="AL476" s="12" t="str">
        <f ca="1">IFERROR(_xlfn.SINGLE(INDEX(#REF!,'Monthly Report'!AJ476)),"")</f>
        <v/>
      </c>
      <c r="AN476" s="12" t="str">
        <f ca="1">IFERROR(MATCH($G$115,OFFSET(#REF!,AN475,0,1000000),0)+AN475,"")</f>
        <v/>
      </c>
      <c r="AO476" s="17" t="str">
        <f ca="1">IFERROR(_xlfn.SINGLE(INDEX(#REF!,'Monthly Report'!AN476)),"")</f>
        <v/>
      </c>
      <c r="AP476" s="12" t="str">
        <f ca="1">IFERROR(_xlfn.SINGLE(INDEX(#REF!,'Monthly Report'!AN476)),"")</f>
        <v/>
      </c>
    </row>
    <row r="477" spans="36:42">
      <c r="AJ477" s="12" t="str">
        <f ca="1">IFERROR(MATCH($B$114,OFFSET(#REF!,AJ476,0,1000000),0)+AJ476,"")</f>
        <v/>
      </c>
      <c r="AK477" s="17" t="str">
        <f ca="1">IFERROR(_xlfn.SINGLE(INDEX(#REF!,'Monthly Report'!AJ477)),"")</f>
        <v/>
      </c>
      <c r="AL477" s="12" t="str">
        <f ca="1">IFERROR(_xlfn.SINGLE(INDEX(#REF!,'Monthly Report'!AJ477)),"")</f>
        <v/>
      </c>
      <c r="AN477" s="12" t="str">
        <f ca="1">IFERROR(MATCH($G$115,OFFSET(#REF!,AN476,0,1000000),0)+AN476,"")</f>
        <v/>
      </c>
      <c r="AO477" s="17" t="str">
        <f ca="1">IFERROR(_xlfn.SINGLE(INDEX(#REF!,'Monthly Report'!AN477)),"")</f>
        <v/>
      </c>
      <c r="AP477" s="12" t="str">
        <f ca="1">IFERROR(_xlfn.SINGLE(INDEX(#REF!,'Monthly Report'!AN477)),"")</f>
        <v/>
      </c>
    </row>
    <row r="478" spans="36:42">
      <c r="AJ478" s="12" t="str">
        <f ca="1">IFERROR(MATCH($B$114,OFFSET(#REF!,AJ477,0,1000000),0)+AJ477,"")</f>
        <v/>
      </c>
      <c r="AK478" s="17" t="str">
        <f ca="1">IFERROR(_xlfn.SINGLE(INDEX(#REF!,'Monthly Report'!AJ478)),"")</f>
        <v/>
      </c>
      <c r="AL478" s="12" t="str">
        <f ca="1">IFERROR(_xlfn.SINGLE(INDEX(#REF!,'Monthly Report'!AJ478)),"")</f>
        <v/>
      </c>
      <c r="AN478" s="12" t="str">
        <f ca="1">IFERROR(MATCH($G$115,OFFSET(#REF!,AN477,0,1000000),0)+AN477,"")</f>
        <v/>
      </c>
      <c r="AO478" s="17" t="str">
        <f ca="1">IFERROR(_xlfn.SINGLE(INDEX(#REF!,'Monthly Report'!AN478)),"")</f>
        <v/>
      </c>
      <c r="AP478" s="12" t="str">
        <f ca="1">IFERROR(_xlfn.SINGLE(INDEX(#REF!,'Monthly Report'!AN478)),"")</f>
        <v/>
      </c>
    </row>
    <row r="479" spans="36:42">
      <c r="AJ479" s="12" t="str">
        <f ca="1">IFERROR(MATCH($B$114,OFFSET(#REF!,AJ478,0,1000000),0)+AJ478,"")</f>
        <v/>
      </c>
      <c r="AK479" s="17" t="str">
        <f ca="1">IFERROR(_xlfn.SINGLE(INDEX(#REF!,'Monthly Report'!AJ479)),"")</f>
        <v/>
      </c>
      <c r="AL479" s="12" t="str">
        <f ca="1">IFERROR(_xlfn.SINGLE(INDEX(#REF!,'Monthly Report'!AJ479)),"")</f>
        <v/>
      </c>
      <c r="AN479" s="12" t="str">
        <f ca="1">IFERROR(MATCH($G$115,OFFSET(#REF!,AN478,0,1000000),0)+AN478,"")</f>
        <v/>
      </c>
      <c r="AO479" s="17" t="str">
        <f ca="1">IFERROR(_xlfn.SINGLE(INDEX(#REF!,'Monthly Report'!AN479)),"")</f>
        <v/>
      </c>
      <c r="AP479" s="12" t="str">
        <f ca="1">IFERROR(_xlfn.SINGLE(INDEX(#REF!,'Monthly Report'!AN479)),"")</f>
        <v/>
      </c>
    </row>
    <row r="480" spans="36:42">
      <c r="AJ480" s="12" t="str">
        <f ca="1">IFERROR(MATCH($B$114,OFFSET(#REF!,AJ479,0,1000000),0)+AJ479,"")</f>
        <v/>
      </c>
      <c r="AK480" s="17" t="str">
        <f ca="1">IFERROR(_xlfn.SINGLE(INDEX(#REF!,'Monthly Report'!AJ480)),"")</f>
        <v/>
      </c>
      <c r="AL480" s="12" t="str">
        <f ca="1">IFERROR(_xlfn.SINGLE(INDEX(#REF!,'Monthly Report'!AJ480)),"")</f>
        <v/>
      </c>
      <c r="AN480" s="12" t="str">
        <f ca="1">IFERROR(MATCH($G$115,OFFSET(#REF!,AN479,0,1000000),0)+AN479,"")</f>
        <v/>
      </c>
      <c r="AO480" s="17" t="str">
        <f ca="1">IFERROR(_xlfn.SINGLE(INDEX(#REF!,'Monthly Report'!AN480)),"")</f>
        <v/>
      </c>
      <c r="AP480" s="12" t="str">
        <f ca="1">IFERROR(_xlfn.SINGLE(INDEX(#REF!,'Monthly Report'!AN480)),"")</f>
        <v/>
      </c>
    </row>
    <row r="481" spans="36:42">
      <c r="AJ481" s="12" t="str">
        <f ca="1">IFERROR(MATCH($B$114,OFFSET(#REF!,AJ480,0,1000000),0)+AJ480,"")</f>
        <v/>
      </c>
      <c r="AK481" s="17" t="str">
        <f ca="1">IFERROR(_xlfn.SINGLE(INDEX(#REF!,'Monthly Report'!AJ481)),"")</f>
        <v/>
      </c>
      <c r="AL481" s="12" t="str">
        <f ca="1">IFERROR(_xlfn.SINGLE(INDEX(#REF!,'Monthly Report'!AJ481)),"")</f>
        <v/>
      </c>
      <c r="AN481" s="12" t="str">
        <f ca="1">IFERROR(MATCH($G$115,OFFSET(#REF!,AN480,0,1000000),0)+AN480,"")</f>
        <v/>
      </c>
      <c r="AO481" s="17" t="str">
        <f ca="1">IFERROR(_xlfn.SINGLE(INDEX(#REF!,'Monthly Report'!AN481)),"")</f>
        <v/>
      </c>
      <c r="AP481" s="12" t="str">
        <f ca="1">IFERROR(_xlfn.SINGLE(INDEX(#REF!,'Monthly Report'!AN481)),"")</f>
        <v/>
      </c>
    </row>
    <row r="482" spans="36:42">
      <c r="AJ482" s="12" t="str">
        <f ca="1">IFERROR(MATCH($B$114,OFFSET(#REF!,AJ481,0,1000000),0)+AJ481,"")</f>
        <v/>
      </c>
      <c r="AK482" s="17" t="str">
        <f ca="1">IFERROR(_xlfn.SINGLE(INDEX(#REF!,'Monthly Report'!AJ482)),"")</f>
        <v/>
      </c>
      <c r="AL482" s="12" t="str">
        <f ca="1">IFERROR(_xlfn.SINGLE(INDEX(#REF!,'Monthly Report'!AJ482)),"")</f>
        <v/>
      </c>
      <c r="AN482" s="12" t="str">
        <f ca="1">IFERROR(MATCH($G$115,OFFSET(#REF!,AN481,0,1000000),0)+AN481,"")</f>
        <v/>
      </c>
      <c r="AO482" s="17" t="str">
        <f ca="1">IFERROR(_xlfn.SINGLE(INDEX(#REF!,'Monthly Report'!AN482)),"")</f>
        <v/>
      </c>
      <c r="AP482" s="12" t="str">
        <f ca="1">IFERROR(_xlfn.SINGLE(INDEX(#REF!,'Monthly Report'!AN482)),"")</f>
        <v/>
      </c>
    </row>
    <row r="483" spans="36:42">
      <c r="AJ483" s="12" t="str">
        <f ca="1">IFERROR(MATCH($B$114,OFFSET(#REF!,AJ482,0,1000000),0)+AJ482,"")</f>
        <v/>
      </c>
      <c r="AK483" s="17" t="str">
        <f ca="1">IFERROR(_xlfn.SINGLE(INDEX(#REF!,'Monthly Report'!AJ483)),"")</f>
        <v/>
      </c>
      <c r="AL483" s="12" t="str">
        <f ca="1">IFERROR(_xlfn.SINGLE(INDEX(#REF!,'Monthly Report'!AJ483)),"")</f>
        <v/>
      </c>
      <c r="AN483" s="12" t="str">
        <f ca="1">IFERROR(MATCH($G$115,OFFSET(#REF!,AN482,0,1000000),0)+AN482,"")</f>
        <v/>
      </c>
      <c r="AO483" s="17" t="str">
        <f ca="1">IFERROR(_xlfn.SINGLE(INDEX(#REF!,'Monthly Report'!AN483)),"")</f>
        <v/>
      </c>
      <c r="AP483" s="12" t="str">
        <f ca="1">IFERROR(_xlfn.SINGLE(INDEX(#REF!,'Monthly Report'!AN483)),"")</f>
        <v/>
      </c>
    </row>
    <row r="484" spans="36:42">
      <c r="AJ484" s="12" t="str">
        <f ca="1">IFERROR(MATCH($B$114,OFFSET(#REF!,AJ483,0,1000000),0)+AJ483,"")</f>
        <v/>
      </c>
      <c r="AK484" s="17" t="str">
        <f ca="1">IFERROR(_xlfn.SINGLE(INDEX(#REF!,'Monthly Report'!AJ484)),"")</f>
        <v/>
      </c>
      <c r="AL484" s="12" t="str">
        <f ca="1">IFERROR(_xlfn.SINGLE(INDEX(#REF!,'Monthly Report'!AJ484)),"")</f>
        <v/>
      </c>
      <c r="AN484" s="12" t="str">
        <f ca="1">IFERROR(MATCH($G$115,OFFSET(#REF!,AN483,0,1000000),0)+AN483,"")</f>
        <v/>
      </c>
      <c r="AO484" s="17" t="str">
        <f ca="1">IFERROR(_xlfn.SINGLE(INDEX(#REF!,'Monthly Report'!AN484)),"")</f>
        <v/>
      </c>
      <c r="AP484" s="12" t="str">
        <f ca="1">IFERROR(_xlfn.SINGLE(INDEX(#REF!,'Monthly Report'!AN484)),"")</f>
        <v/>
      </c>
    </row>
    <row r="485" spans="36:42">
      <c r="AJ485" s="12" t="str">
        <f ca="1">IFERROR(MATCH($B$114,OFFSET(#REF!,AJ484,0,1000000),0)+AJ484,"")</f>
        <v/>
      </c>
      <c r="AK485" s="17" t="str">
        <f ca="1">IFERROR(_xlfn.SINGLE(INDEX(#REF!,'Monthly Report'!AJ485)),"")</f>
        <v/>
      </c>
      <c r="AL485" s="12" t="str">
        <f ca="1">IFERROR(_xlfn.SINGLE(INDEX(#REF!,'Monthly Report'!AJ485)),"")</f>
        <v/>
      </c>
      <c r="AN485" s="12" t="str">
        <f ca="1">IFERROR(MATCH($G$115,OFFSET(#REF!,AN484,0,1000000),0)+AN484,"")</f>
        <v/>
      </c>
      <c r="AO485" s="17" t="str">
        <f ca="1">IFERROR(_xlfn.SINGLE(INDEX(#REF!,'Monthly Report'!AN485)),"")</f>
        <v/>
      </c>
      <c r="AP485" s="12" t="str">
        <f ca="1">IFERROR(_xlfn.SINGLE(INDEX(#REF!,'Monthly Report'!AN485)),"")</f>
        <v/>
      </c>
    </row>
    <row r="486" spans="36:42">
      <c r="AJ486" s="12" t="str">
        <f ca="1">IFERROR(MATCH($B$114,OFFSET(#REF!,AJ485,0,1000000),0)+AJ485,"")</f>
        <v/>
      </c>
      <c r="AK486" s="17" t="str">
        <f ca="1">IFERROR(_xlfn.SINGLE(INDEX(#REF!,'Monthly Report'!AJ486)),"")</f>
        <v/>
      </c>
      <c r="AL486" s="12" t="str">
        <f ca="1">IFERROR(_xlfn.SINGLE(INDEX(#REF!,'Monthly Report'!AJ486)),"")</f>
        <v/>
      </c>
      <c r="AN486" s="12" t="str">
        <f ca="1">IFERROR(MATCH($G$115,OFFSET(#REF!,AN485,0,1000000),0)+AN485,"")</f>
        <v/>
      </c>
      <c r="AO486" s="17" t="str">
        <f ca="1">IFERROR(_xlfn.SINGLE(INDEX(#REF!,'Monthly Report'!AN486)),"")</f>
        <v/>
      </c>
      <c r="AP486" s="12" t="str">
        <f ca="1">IFERROR(_xlfn.SINGLE(INDEX(#REF!,'Monthly Report'!AN486)),"")</f>
        <v/>
      </c>
    </row>
    <row r="487" spans="36:42">
      <c r="AJ487" s="12" t="str">
        <f ca="1">IFERROR(MATCH($B$114,OFFSET(#REF!,AJ486,0,1000000),0)+AJ486,"")</f>
        <v/>
      </c>
      <c r="AK487" s="17" t="str">
        <f ca="1">IFERROR(_xlfn.SINGLE(INDEX(#REF!,'Monthly Report'!AJ487)),"")</f>
        <v/>
      </c>
      <c r="AL487" s="12" t="str">
        <f ca="1">IFERROR(_xlfn.SINGLE(INDEX(#REF!,'Monthly Report'!AJ487)),"")</f>
        <v/>
      </c>
      <c r="AN487" s="12" t="str">
        <f ca="1">IFERROR(MATCH($G$115,OFFSET(#REF!,AN486,0,1000000),0)+AN486,"")</f>
        <v/>
      </c>
      <c r="AO487" s="17" t="str">
        <f ca="1">IFERROR(_xlfn.SINGLE(INDEX(#REF!,'Monthly Report'!AN487)),"")</f>
        <v/>
      </c>
      <c r="AP487" s="12" t="str">
        <f ca="1">IFERROR(_xlfn.SINGLE(INDEX(#REF!,'Monthly Report'!AN487)),"")</f>
        <v/>
      </c>
    </row>
    <row r="488" spans="36:42">
      <c r="AJ488" s="12" t="str">
        <f ca="1">IFERROR(MATCH($B$114,OFFSET(#REF!,AJ487,0,1000000),0)+AJ487,"")</f>
        <v/>
      </c>
      <c r="AK488" s="17" t="str">
        <f ca="1">IFERROR(_xlfn.SINGLE(INDEX(#REF!,'Monthly Report'!AJ488)),"")</f>
        <v/>
      </c>
      <c r="AL488" s="12" t="str">
        <f ca="1">IFERROR(_xlfn.SINGLE(INDEX(#REF!,'Monthly Report'!AJ488)),"")</f>
        <v/>
      </c>
      <c r="AN488" s="12" t="str">
        <f ca="1">IFERROR(MATCH($G$115,OFFSET(#REF!,AN487,0,1000000),0)+AN487,"")</f>
        <v/>
      </c>
      <c r="AO488" s="17" t="str">
        <f ca="1">IFERROR(_xlfn.SINGLE(INDEX(#REF!,'Monthly Report'!AN488)),"")</f>
        <v/>
      </c>
      <c r="AP488" s="12" t="str">
        <f ca="1">IFERROR(_xlfn.SINGLE(INDEX(#REF!,'Monthly Report'!AN488)),"")</f>
        <v/>
      </c>
    </row>
    <row r="489" spans="36:42">
      <c r="AJ489" s="12" t="str">
        <f ca="1">IFERROR(MATCH($B$114,OFFSET(#REF!,AJ488,0,1000000),0)+AJ488,"")</f>
        <v/>
      </c>
      <c r="AK489" s="17" t="str">
        <f ca="1">IFERROR(_xlfn.SINGLE(INDEX(#REF!,'Monthly Report'!AJ489)),"")</f>
        <v/>
      </c>
      <c r="AL489" s="12" t="str">
        <f ca="1">IFERROR(_xlfn.SINGLE(INDEX(#REF!,'Monthly Report'!AJ489)),"")</f>
        <v/>
      </c>
      <c r="AN489" s="12" t="str">
        <f ca="1">IFERROR(MATCH($G$115,OFFSET(#REF!,AN488,0,1000000),0)+AN488,"")</f>
        <v/>
      </c>
      <c r="AO489" s="17" t="str">
        <f ca="1">IFERROR(_xlfn.SINGLE(INDEX(#REF!,'Monthly Report'!AN489)),"")</f>
        <v/>
      </c>
      <c r="AP489" s="12" t="str">
        <f ca="1">IFERROR(_xlfn.SINGLE(INDEX(#REF!,'Monthly Report'!AN489)),"")</f>
        <v/>
      </c>
    </row>
    <row r="490" spans="36:42">
      <c r="AJ490" s="12" t="str">
        <f ca="1">IFERROR(MATCH($B$114,OFFSET(#REF!,AJ489,0,1000000),0)+AJ489,"")</f>
        <v/>
      </c>
      <c r="AK490" s="17" t="str">
        <f ca="1">IFERROR(_xlfn.SINGLE(INDEX(#REF!,'Monthly Report'!AJ490)),"")</f>
        <v/>
      </c>
      <c r="AL490" s="12" t="str">
        <f ca="1">IFERROR(_xlfn.SINGLE(INDEX(#REF!,'Monthly Report'!AJ490)),"")</f>
        <v/>
      </c>
      <c r="AN490" s="12" t="str">
        <f ca="1">IFERROR(MATCH($G$115,OFFSET(#REF!,AN489,0,1000000),0)+AN489,"")</f>
        <v/>
      </c>
      <c r="AO490" s="17" t="str">
        <f ca="1">IFERROR(_xlfn.SINGLE(INDEX(#REF!,'Monthly Report'!AN490)),"")</f>
        <v/>
      </c>
      <c r="AP490" s="12" t="str">
        <f ca="1">IFERROR(_xlfn.SINGLE(INDEX(#REF!,'Monthly Report'!AN490)),"")</f>
        <v/>
      </c>
    </row>
    <row r="491" spans="36:42">
      <c r="AJ491" s="12" t="str">
        <f ca="1">IFERROR(MATCH($B$114,OFFSET(#REF!,AJ490,0,1000000),0)+AJ490,"")</f>
        <v/>
      </c>
      <c r="AK491" s="17" t="str">
        <f ca="1">IFERROR(_xlfn.SINGLE(INDEX(#REF!,'Monthly Report'!AJ491)),"")</f>
        <v/>
      </c>
      <c r="AL491" s="12" t="str">
        <f ca="1">IFERROR(_xlfn.SINGLE(INDEX(#REF!,'Monthly Report'!AJ491)),"")</f>
        <v/>
      </c>
      <c r="AN491" s="12" t="str">
        <f ca="1">IFERROR(MATCH($G$115,OFFSET(#REF!,AN490,0,1000000),0)+AN490,"")</f>
        <v/>
      </c>
      <c r="AO491" s="17" t="str">
        <f ca="1">IFERROR(_xlfn.SINGLE(INDEX(#REF!,'Monthly Report'!AN491)),"")</f>
        <v/>
      </c>
      <c r="AP491" s="12" t="str">
        <f ca="1">IFERROR(_xlfn.SINGLE(INDEX(#REF!,'Monthly Report'!AN491)),"")</f>
        <v/>
      </c>
    </row>
    <row r="492" spans="36:42">
      <c r="AJ492" s="12" t="str">
        <f ca="1">IFERROR(MATCH($B$114,OFFSET(#REF!,AJ491,0,1000000),0)+AJ491,"")</f>
        <v/>
      </c>
      <c r="AK492" s="17" t="str">
        <f ca="1">IFERROR(_xlfn.SINGLE(INDEX(#REF!,'Monthly Report'!AJ492)),"")</f>
        <v/>
      </c>
      <c r="AL492" s="12" t="str">
        <f ca="1">IFERROR(_xlfn.SINGLE(INDEX(#REF!,'Monthly Report'!AJ492)),"")</f>
        <v/>
      </c>
      <c r="AN492" s="12" t="str">
        <f ca="1">IFERROR(MATCH($G$115,OFFSET(#REF!,AN491,0,1000000),0)+AN491,"")</f>
        <v/>
      </c>
      <c r="AO492" s="17" t="str">
        <f ca="1">IFERROR(_xlfn.SINGLE(INDEX(#REF!,'Monthly Report'!AN492)),"")</f>
        <v/>
      </c>
      <c r="AP492" s="12" t="str">
        <f ca="1">IFERROR(_xlfn.SINGLE(INDEX(#REF!,'Monthly Report'!AN492)),"")</f>
        <v/>
      </c>
    </row>
    <row r="493" spans="36:42">
      <c r="AJ493" s="12" t="str">
        <f ca="1">IFERROR(MATCH($B$114,OFFSET(#REF!,AJ492,0,1000000),0)+AJ492,"")</f>
        <v/>
      </c>
      <c r="AK493" s="17" t="str">
        <f ca="1">IFERROR(_xlfn.SINGLE(INDEX(#REF!,'Monthly Report'!AJ493)),"")</f>
        <v/>
      </c>
      <c r="AL493" s="12" t="str">
        <f ca="1">IFERROR(_xlfn.SINGLE(INDEX(#REF!,'Monthly Report'!AJ493)),"")</f>
        <v/>
      </c>
      <c r="AN493" s="12" t="str">
        <f ca="1">IFERROR(MATCH($G$115,OFFSET(#REF!,AN492,0,1000000),0)+AN492,"")</f>
        <v/>
      </c>
      <c r="AO493" s="17" t="str">
        <f ca="1">IFERROR(_xlfn.SINGLE(INDEX(#REF!,'Monthly Report'!AN493)),"")</f>
        <v/>
      </c>
      <c r="AP493" s="12" t="str">
        <f ca="1">IFERROR(_xlfn.SINGLE(INDEX(#REF!,'Monthly Report'!AN493)),"")</f>
        <v/>
      </c>
    </row>
    <row r="494" spans="36:42">
      <c r="AJ494" s="12" t="str">
        <f ca="1">IFERROR(MATCH($B$114,OFFSET(#REF!,AJ493,0,1000000),0)+AJ493,"")</f>
        <v/>
      </c>
      <c r="AK494" s="17" t="str">
        <f ca="1">IFERROR(_xlfn.SINGLE(INDEX(#REF!,'Monthly Report'!AJ494)),"")</f>
        <v/>
      </c>
      <c r="AL494" s="12" t="str">
        <f ca="1">IFERROR(_xlfn.SINGLE(INDEX(#REF!,'Monthly Report'!AJ494)),"")</f>
        <v/>
      </c>
      <c r="AN494" s="12" t="str">
        <f ca="1">IFERROR(MATCH($G$115,OFFSET(#REF!,AN493,0,1000000),0)+AN493,"")</f>
        <v/>
      </c>
      <c r="AO494" s="17" t="str">
        <f ca="1">IFERROR(_xlfn.SINGLE(INDEX(#REF!,'Monthly Report'!AN494)),"")</f>
        <v/>
      </c>
      <c r="AP494" s="12" t="str">
        <f ca="1">IFERROR(_xlfn.SINGLE(INDEX(#REF!,'Monthly Report'!AN494)),"")</f>
        <v/>
      </c>
    </row>
    <row r="495" spans="36:42">
      <c r="AJ495" s="12" t="str">
        <f ca="1">IFERROR(MATCH($B$114,OFFSET(#REF!,AJ494,0,1000000),0)+AJ494,"")</f>
        <v/>
      </c>
      <c r="AK495" s="17" t="str">
        <f ca="1">IFERROR(_xlfn.SINGLE(INDEX(#REF!,'Monthly Report'!AJ495)),"")</f>
        <v/>
      </c>
      <c r="AL495" s="12" t="str">
        <f ca="1">IFERROR(_xlfn.SINGLE(INDEX(#REF!,'Monthly Report'!AJ495)),"")</f>
        <v/>
      </c>
      <c r="AN495" s="12" t="str">
        <f ca="1">IFERROR(MATCH($G$115,OFFSET(#REF!,AN494,0,1000000),0)+AN494,"")</f>
        <v/>
      </c>
      <c r="AO495" s="17" t="str">
        <f ca="1">IFERROR(_xlfn.SINGLE(INDEX(#REF!,'Monthly Report'!AN495)),"")</f>
        <v/>
      </c>
      <c r="AP495" s="12" t="str">
        <f ca="1">IFERROR(_xlfn.SINGLE(INDEX(#REF!,'Monthly Report'!AN495)),"")</f>
        <v/>
      </c>
    </row>
    <row r="496" spans="36:42">
      <c r="AJ496" s="12" t="str">
        <f ca="1">IFERROR(MATCH($B$114,OFFSET(#REF!,AJ495,0,1000000),0)+AJ495,"")</f>
        <v/>
      </c>
      <c r="AK496" s="17" t="str">
        <f ca="1">IFERROR(_xlfn.SINGLE(INDEX(#REF!,'Monthly Report'!AJ496)),"")</f>
        <v/>
      </c>
      <c r="AL496" s="12" t="str">
        <f ca="1">IFERROR(_xlfn.SINGLE(INDEX(#REF!,'Monthly Report'!AJ496)),"")</f>
        <v/>
      </c>
      <c r="AN496" s="12" t="str">
        <f ca="1">IFERROR(MATCH($G$115,OFFSET(#REF!,AN495,0,1000000),0)+AN495,"")</f>
        <v/>
      </c>
      <c r="AO496" s="17" t="str">
        <f ca="1">IFERROR(_xlfn.SINGLE(INDEX(#REF!,'Monthly Report'!AN496)),"")</f>
        <v/>
      </c>
      <c r="AP496" s="12" t="str">
        <f ca="1">IFERROR(_xlfn.SINGLE(INDEX(#REF!,'Monthly Report'!AN496)),"")</f>
        <v/>
      </c>
    </row>
    <row r="497" spans="36:42">
      <c r="AJ497" s="12" t="str">
        <f ca="1">IFERROR(MATCH($B$114,OFFSET(#REF!,AJ496,0,1000000),0)+AJ496,"")</f>
        <v/>
      </c>
      <c r="AK497" s="17" t="str">
        <f ca="1">IFERROR(_xlfn.SINGLE(INDEX(#REF!,'Monthly Report'!AJ497)),"")</f>
        <v/>
      </c>
      <c r="AL497" s="12" t="str">
        <f ca="1">IFERROR(_xlfn.SINGLE(INDEX(#REF!,'Monthly Report'!AJ497)),"")</f>
        <v/>
      </c>
      <c r="AN497" s="12" t="str">
        <f ca="1">IFERROR(MATCH($G$115,OFFSET(#REF!,AN496,0,1000000),0)+AN496,"")</f>
        <v/>
      </c>
      <c r="AO497" s="17" t="str">
        <f ca="1">IFERROR(_xlfn.SINGLE(INDEX(#REF!,'Monthly Report'!AN497)),"")</f>
        <v/>
      </c>
      <c r="AP497" s="12" t="str">
        <f ca="1">IFERROR(_xlfn.SINGLE(INDEX(#REF!,'Monthly Report'!AN497)),"")</f>
        <v/>
      </c>
    </row>
    <row r="498" spans="36:42">
      <c r="AJ498" s="12" t="str">
        <f ca="1">IFERROR(MATCH($B$114,OFFSET(#REF!,AJ497,0,1000000),0)+AJ497,"")</f>
        <v/>
      </c>
      <c r="AK498" s="17" t="str">
        <f ca="1">IFERROR(_xlfn.SINGLE(INDEX(#REF!,'Monthly Report'!AJ498)),"")</f>
        <v/>
      </c>
      <c r="AL498" s="12" t="str">
        <f ca="1">IFERROR(_xlfn.SINGLE(INDEX(#REF!,'Monthly Report'!AJ498)),"")</f>
        <v/>
      </c>
      <c r="AN498" s="12" t="str">
        <f ca="1">IFERROR(MATCH($G$115,OFFSET(#REF!,AN497,0,1000000),0)+AN497,"")</f>
        <v/>
      </c>
      <c r="AO498" s="17" t="str">
        <f ca="1">IFERROR(_xlfn.SINGLE(INDEX(#REF!,'Monthly Report'!AN498)),"")</f>
        <v/>
      </c>
      <c r="AP498" s="12" t="str">
        <f ca="1">IFERROR(_xlfn.SINGLE(INDEX(#REF!,'Monthly Report'!AN498)),"")</f>
        <v/>
      </c>
    </row>
    <row r="499" spans="36:42">
      <c r="AJ499" s="12" t="str">
        <f ca="1">IFERROR(MATCH($B$114,OFFSET(#REF!,AJ498,0,1000000),0)+AJ498,"")</f>
        <v/>
      </c>
      <c r="AK499" s="17" t="str">
        <f ca="1">IFERROR(_xlfn.SINGLE(INDEX(#REF!,'Monthly Report'!AJ499)),"")</f>
        <v/>
      </c>
      <c r="AL499" s="12" t="str">
        <f ca="1">IFERROR(_xlfn.SINGLE(INDEX(#REF!,'Monthly Report'!AJ499)),"")</f>
        <v/>
      </c>
      <c r="AN499" s="12" t="str">
        <f ca="1">IFERROR(MATCH($G$115,OFFSET(#REF!,AN498,0,1000000),0)+AN498,"")</f>
        <v/>
      </c>
      <c r="AO499" s="17" t="str">
        <f ca="1">IFERROR(_xlfn.SINGLE(INDEX(#REF!,'Monthly Report'!AN499)),"")</f>
        <v/>
      </c>
      <c r="AP499" s="12" t="str">
        <f ca="1">IFERROR(_xlfn.SINGLE(INDEX(#REF!,'Monthly Report'!AN499)),"")</f>
        <v/>
      </c>
    </row>
    <row r="500" spans="36:42">
      <c r="AJ500" s="12" t="str">
        <f ca="1">IFERROR(MATCH($B$114,OFFSET(#REF!,AJ499,0,1000000),0)+AJ499,"")</f>
        <v/>
      </c>
      <c r="AK500" s="17" t="str">
        <f ca="1">IFERROR(_xlfn.SINGLE(INDEX(#REF!,'Monthly Report'!AJ500)),"")</f>
        <v/>
      </c>
      <c r="AL500" s="12" t="str">
        <f ca="1">IFERROR(_xlfn.SINGLE(INDEX(#REF!,'Monthly Report'!AJ500)),"")</f>
        <v/>
      </c>
      <c r="AN500" s="12" t="str">
        <f ca="1">IFERROR(MATCH($G$115,OFFSET(#REF!,AN499,0,1000000),0)+AN499,"")</f>
        <v/>
      </c>
      <c r="AO500" s="17" t="str">
        <f ca="1">IFERROR(_xlfn.SINGLE(INDEX(#REF!,'Monthly Report'!AN500)),"")</f>
        <v/>
      </c>
      <c r="AP500" s="12" t="str">
        <f ca="1">IFERROR(_xlfn.SINGLE(INDEX(#REF!,'Monthly Report'!AN500)),"")</f>
        <v/>
      </c>
    </row>
    <row r="501" spans="36:42">
      <c r="AJ501" s="12" t="str">
        <f ca="1">IFERROR(MATCH($B$114,OFFSET(#REF!,AJ500,0,1000000),0)+AJ500,"")</f>
        <v/>
      </c>
      <c r="AK501" s="17" t="str">
        <f ca="1">IFERROR(_xlfn.SINGLE(INDEX(#REF!,'Monthly Report'!AJ501)),"")</f>
        <v/>
      </c>
      <c r="AL501" s="12" t="str">
        <f ca="1">IFERROR(_xlfn.SINGLE(INDEX(#REF!,'Monthly Report'!AJ501)),"")</f>
        <v/>
      </c>
      <c r="AN501" s="12" t="str">
        <f ca="1">IFERROR(MATCH($G$115,OFFSET(#REF!,AN500,0,1000000),0)+AN500,"")</f>
        <v/>
      </c>
      <c r="AO501" s="17" t="str">
        <f ca="1">IFERROR(_xlfn.SINGLE(INDEX(#REF!,'Monthly Report'!AN501)),"")</f>
        <v/>
      </c>
      <c r="AP501" s="12" t="str">
        <f ca="1">IFERROR(_xlfn.SINGLE(INDEX(#REF!,'Monthly Report'!AN501)),"")</f>
        <v/>
      </c>
    </row>
    <row r="502" spans="36:42">
      <c r="AJ502" s="12" t="str">
        <f ca="1">IFERROR(MATCH($B$114,OFFSET(#REF!,AJ501,0,1000000),0)+AJ501,"")</f>
        <v/>
      </c>
      <c r="AK502" s="17" t="str">
        <f ca="1">IFERROR(_xlfn.SINGLE(INDEX(#REF!,'Monthly Report'!AJ502)),"")</f>
        <v/>
      </c>
      <c r="AL502" s="12" t="str">
        <f ca="1">IFERROR(_xlfn.SINGLE(INDEX(#REF!,'Monthly Report'!AJ502)),"")</f>
        <v/>
      </c>
      <c r="AN502" s="12" t="str">
        <f ca="1">IFERROR(MATCH($G$115,OFFSET(#REF!,AN501,0,1000000),0)+AN501,"")</f>
        <v/>
      </c>
      <c r="AO502" s="17" t="str">
        <f ca="1">IFERROR(_xlfn.SINGLE(INDEX(#REF!,'Monthly Report'!AN502)),"")</f>
        <v/>
      </c>
      <c r="AP502" s="12" t="str">
        <f ca="1">IFERROR(_xlfn.SINGLE(INDEX(#REF!,'Monthly Report'!AN502)),"")</f>
        <v/>
      </c>
    </row>
    <row r="503" spans="36:42">
      <c r="AJ503" s="12" t="str">
        <f ca="1">IFERROR(MATCH($B$114,OFFSET(#REF!,AJ502,0,1000000),0)+AJ502,"")</f>
        <v/>
      </c>
      <c r="AK503" s="17" t="str">
        <f ca="1">IFERROR(_xlfn.SINGLE(INDEX(#REF!,'Monthly Report'!AJ503)),"")</f>
        <v/>
      </c>
      <c r="AL503" s="12" t="str">
        <f ca="1">IFERROR(_xlfn.SINGLE(INDEX(#REF!,'Monthly Report'!AJ503)),"")</f>
        <v/>
      </c>
      <c r="AN503" s="12" t="str">
        <f ca="1">IFERROR(MATCH($G$115,OFFSET(#REF!,AN502,0,1000000),0)+AN502,"")</f>
        <v/>
      </c>
      <c r="AO503" s="17" t="str">
        <f ca="1">IFERROR(_xlfn.SINGLE(INDEX(#REF!,'Monthly Report'!AN503)),"")</f>
        <v/>
      </c>
      <c r="AP503" s="12" t="str">
        <f ca="1">IFERROR(_xlfn.SINGLE(INDEX(#REF!,'Monthly Report'!AN503)),"")</f>
        <v/>
      </c>
    </row>
    <row r="504" spans="36:42">
      <c r="AJ504" s="12" t="str">
        <f ca="1">IFERROR(MATCH($B$114,OFFSET(#REF!,AJ503,0,1000000),0)+AJ503,"")</f>
        <v/>
      </c>
      <c r="AK504" s="17" t="str">
        <f ca="1">IFERROR(_xlfn.SINGLE(INDEX(#REF!,'Monthly Report'!AJ504)),"")</f>
        <v/>
      </c>
      <c r="AL504" s="12" t="str">
        <f ca="1">IFERROR(_xlfn.SINGLE(INDEX(#REF!,'Monthly Report'!AJ504)),"")</f>
        <v/>
      </c>
      <c r="AN504" s="12" t="str">
        <f ca="1">IFERROR(MATCH($G$115,OFFSET(#REF!,AN503,0,1000000),0)+AN503,"")</f>
        <v/>
      </c>
      <c r="AO504" s="17" t="str">
        <f ca="1">IFERROR(_xlfn.SINGLE(INDEX(#REF!,'Monthly Report'!AN504)),"")</f>
        <v/>
      </c>
      <c r="AP504" s="12" t="str">
        <f ca="1">IFERROR(_xlfn.SINGLE(INDEX(#REF!,'Monthly Report'!AN504)),"")</f>
        <v/>
      </c>
    </row>
    <row r="505" spans="36:42">
      <c r="AJ505" s="12" t="str">
        <f ca="1">IFERROR(MATCH($B$114,OFFSET(#REF!,AJ504,0,1000000),0)+AJ504,"")</f>
        <v/>
      </c>
      <c r="AK505" s="17" t="str">
        <f ca="1">IFERROR(_xlfn.SINGLE(INDEX(#REF!,'Monthly Report'!AJ505)),"")</f>
        <v/>
      </c>
      <c r="AL505" s="12" t="str">
        <f ca="1">IFERROR(_xlfn.SINGLE(INDEX(#REF!,'Monthly Report'!AJ505)),"")</f>
        <v/>
      </c>
      <c r="AN505" s="12" t="str">
        <f ca="1">IFERROR(MATCH($G$115,OFFSET(#REF!,AN504,0,1000000),0)+AN504,"")</f>
        <v/>
      </c>
      <c r="AO505" s="17" t="str">
        <f ca="1">IFERROR(_xlfn.SINGLE(INDEX(#REF!,'Monthly Report'!AN505)),"")</f>
        <v/>
      </c>
      <c r="AP505" s="12" t="str">
        <f ca="1">IFERROR(_xlfn.SINGLE(INDEX(#REF!,'Monthly Report'!AN505)),"")</f>
        <v/>
      </c>
    </row>
    <row r="506" spans="36:42">
      <c r="AJ506" s="12" t="str">
        <f ca="1">IFERROR(MATCH($B$114,OFFSET(#REF!,AJ505,0,1000000),0)+AJ505,"")</f>
        <v/>
      </c>
      <c r="AK506" s="17" t="str">
        <f ca="1">IFERROR(_xlfn.SINGLE(INDEX(#REF!,'Monthly Report'!AJ506)),"")</f>
        <v/>
      </c>
      <c r="AL506" s="12" t="str">
        <f ca="1">IFERROR(_xlfn.SINGLE(INDEX(#REF!,'Monthly Report'!AJ506)),"")</f>
        <v/>
      </c>
      <c r="AN506" s="12" t="str">
        <f ca="1">IFERROR(MATCH($G$115,OFFSET(#REF!,AN505,0,1000000),0)+AN505,"")</f>
        <v/>
      </c>
      <c r="AO506" s="17" t="str">
        <f ca="1">IFERROR(_xlfn.SINGLE(INDEX(#REF!,'Monthly Report'!AN506)),"")</f>
        <v/>
      </c>
      <c r="AP506" s="12" t="str">
        <f ca="1">IFERROR(_xlfn.SINGLE(INDEX(#REF!,'Monthly Report'!AN506)),"")</f>
        <v/>
      </c>
    </row>
    <row r="507" spans="36:42">
      <c r="AJ507" s="12" t="str">
        <f ca="1">IFERROR(MATCH($B$114,OFFSET(#REF!,AJ506,0,1000000),0)+AJ506,"")</f>
        <v/>
      </c>
      <c r="AK507" s="17" t="str">
        <f ca="1">IFERROR(_xlfn.SINGLE(INDEX(#REF!,'Monthly Report'!AJ507)),"")</f>
        <v/>
      </c>
      <c r="AL507" s="12" t="str">
        <f ca="1">IFERROR(_xlfn.SINGLE(INDEX(#REF!,'Monthly Report'!AJ507)),"")</f>
        <v/>
      </c>
      <c r="AN507" s="12" t="str">
        <f ca="1">IFERROR(MATCH($G$115,OFFSET(#REF!,AN506,0,1000000),0)+AN506,"")</f>
        <v/>
      </c>
      <c r="AO507" s="17" t="str">
        <f ca="1">IFERROR(_xlfn.SINGLE(INDEX(#REF!,'Monthly Report'!AN507)),"")</f>
        <v/>
      </c>
      <c r="AP507" s="12" t="str">
        <f ca="1">IFERROR(_xlfn.SINGLE(INDEX(#REF!,'Monthly Report'!AN507)),"")</f>
        <v/>
      </c>
    </row>
    <row r="508" spans="36:42">
      <c r="AJ508" s="12" t="str">
        <f ca="1">IFERROR(MATCH($B$114,OFFSET(#REF!,AJ507,0,1000000),0)+AJ507,"")</f>
        <v/>
      </c>
      <c r="AK508" s="17" t="str">
        <f ca="1">IFERROR(_xlfn.SINGLE(INDEX(#REF!,'Monthly Report'!AJ508)),"")</f>
        <v/>
      </c>
      <c r="AL508" s="12" t="str">
        <f ca="1">IFERROR(_xlfn.SINGLE(INDEX(#REF!,'Monthly Report'!AJ508)),"")</f>
        <v/>
      </c>
      <c r="AN508" s="12" t="str">
        <f ca="1">IFERROR(MATCH($G$115,OFFSET(#REF!,AN507,0,1000000),0)+AN507,"")</f>
        <v/>
      </c>
      <c r="AO508" s="17" t="str">
        <f ca="1">IFERROR(_xlfn.SINGLE(INDEX(#REF!,'Monthly Report'!AN508)),"")</f>
        <v/>
      </c>
      <c r="AP508" s="12" t="str">
        <f ca="1">IFERROR(_xlfn.SINGLE(INDEX(#REF!,'Monthly Report'!AN508)),"")</f>
        <v/>
      </c>
    </row>
    <row r="509" spans="36:42">
      <c r="AJ509" s="12" t="str">
        <f ca="1">IFERROR(MATCH($B$114,OFFSET(#REF!,AJ508,0,1000000),0)+AJ508,"")</f>
        <v/>
      </c>
      <c r="AK509" s="17" t="str">
        <f ca="1">IFERROR(_xlfn.SINGLE(INDEX(#REF!,'Monthly Report'!AJ509)),"")</f>
        <v/>
      </c>
      <c r="AL509" s="12" t="str">
        <f ca="1">IFERROR(_xlfn.SINGLE(INDEX(#REF!,'Monthly Report'!AJ509)),"")</f>
        <v/>
      </c>
      <c r="AN509" s="12" t="str">
        <f ca="1">IFERROR(MATCH($G$115,OFFSET(#REF!,AN508,0,1000000),0)+AN508,"")</f>
        <v/>
      </c>
      <c r="AO509" s="17" t="str">
        <f ca="1">IFERROR(_xlfn.SINGLE(INDEX(#REF!,'Monthly Report'!AN509)),"")</f>
        <v/>
      </c>
      <c r="AP509" s="12" t="str">
        <f ca="1">IFERROR(_xlfn.SINGLE(INDEX(#REF!,'Monthly Report'!AN509)),"")</f>
        <v/>
      </c>
    </row>
    <row r="510" spans="36:42">
      <c r="AJ510" s="12" t="str">
        <f ca="1">IFERROR(MATCH($B$114,OFFSET(#REF!,AJ509,0,1000000),0)+AJ509,"")</f>
        <v/>
      </c>
      <c r="AK510" s="17" t="str">
        <f ca="1">IFERROR(_xlfn.SINGLE(INDEX(#REF!,'Monthly Report'!AJ510)),"")</f>
        <v/>
      </c>
      <c r="AL510" s="12" t="str">
        <f ca="1">IFERROR(_xlfn.SINGLE(INDEX(#REF!,'Monthly Report'!AJ510)),"")</f>
        <v/>
      </c>
      <c r="AN510" s="12" t="str">
        <f ca="1">IFERROR(MATCH($G$115,OFFSET(#REF!,AN509,0,1000000),0)+AN509,"")</f>
        <v/>
      </c>
      <c r="AO510" s="17" t="str">
        <f ca="1">IFERROR(_xlfn.SINGLE(INDEX(#REF!,'Monthly Report'!AN510)),"")</f>
        <v/>
      </c>
      <c r="AP510" s="12" t="str">
        <f ca="1">IFERROR(_xlfn.SINGLE(INDEX(#REF!,'Monthly Report'!AN510)),"")</f>
        <v/>
      </c>
    </row>
    <row r="511" spans="36:42">
      <c r="AJ511" s="12" t="str">
        <f ca="1">IFERROR(MATCH($B$114,OFFSET(#REF!,AJ510,0,1000000),0)+AJ510,"")</f>
        <v/>
      </c>
      <c r="AK511" s="17" t="str">
        <f ca="1">IFERROR(_xlfn.SINGLE(INDEX(#REF!,'Monthly Report'!AJ511)),"")</f>
        <v/>
      </c>
      <c r="AL511" s="12" t="str">
        <f ca="1">IFERROR(_xlfn.SINGLE(INDEX(#REF!,'Monthly Report'!AJ511)),"")</f>
        <v/>
      </c>
      <c r="AN511" s="12" t="str">
        <f ca="1">IFERROR(MATCH($G$115,OFFSET(#REF!,AN510,0,1000000),0)+AN510,"")</f>
        <v/>
      </c>
      <c r="AO511" s="17" t="str">
        <f ca="1">IFERROR(_xlfn.SINGLE(INDEX(#REF!,'Monthly Report'!AN511)),"")</f>
        <v/>
      </c>
      <c r="AP511" s="12" t="str">
        <f ca="1">IFERROR(_xlfn.SINGLE(INDEX(#REF!,'Monthly Report'!AN511)),"")</f>
        <v/>
      </c>
    </row>
    <row r="512" spans="36:42">
      <c r="AJ512" s="12" t="str">
        <f ca="1">IFERROR(MATCH($B$114,OFFSET(#REF!,AJ511,0,1000000),0)+AJ511,"")</f>
        <v/>
      </c>
      <c r="AK512" s="17" t="str">
        <f ca="1">IFERROR(_xlfn.SINGLE(INDEX(#REF!,'Monthly Report'!AJ512)),"")</f>
        <v/>
      </c>
      <c r="AL512" s="12" t="str">
        <f ca="1">IFERROR(_xlfn.SINGLE(INDEX(#REF!,'Monthly Report'!AJ512)),"")</f>
        <v/>
      </c>
      <c r="AN512" s="12" t="str">
        <f ca="1">IFERROR(MATCH($G$115,OFFSET(#REF!,AN511,0,1000000),0)+AN511,"")</f>
        <v/>
      </c>
      <c r="AO512" s="17" t="str">
        <f ca="1">IFERROR(_xlfn.SINGLE(INDEX(#REF!,'Monthly Report'!AN512)),"")</f>
        <v/>
      </c>
      <c r="AP512" s="12" t="str">
        <f ca="1">IFERROR(_xlfn.SINGLE(INDEX(#REF!,'Monthly Report'!AN512)),"")</f>
        <v/>
      </c>
    </row>
    <row r="513" spans="36:42">
      <c r="AJ513" s="12" t="str">
        <f ca="1">IFERROR(MATCH($B$114,OFFSET(#REF!,AJ512,0,1000000),0)+AJ512,"")</f>
        <v/>
      </c>
      <c r="AK513" s="17" t="str">
        <f ca="1">IFERROR(_xlfn.SINGLE(INDEX(#REF!,'Monthly Report'!AJ513)),"")</f>
        <v/>
      </c>
      <c r="AL513" s="12" t="str">
        <f ca="1">IFERROR(_xlfn.SINGLE(INDEX(#REF!,'Monthly Report'!AJ513)),"")</f>
        <v/>
      </c>
      <c r="AN513" s="12" t="str">
        <f ca="1">IFERROR(MATCH($G$115,OFFSET(#REF!,AN512,0,1000000),0)+AN512,"")</f>
        <v/>
      </c>
      <c r="AO513" s="17" t="str">
        <f ca="1">IFERROR(_xlfn.SINGLE(INDEX(#REF!,'Monthly Report'!AN513)),"")</f>
        <v/>
      </c>
      <c r="AP513" s="12" t="str">
        <f ca="1">IFERROR(_xlfn.SINGLE(INDEX(#REF!,'Monthly Report'!AN513)),"")</f>
        <v/>
      </c>
    </row>
    <row r="514" spans="36:42">
      <c r="AJ514" s="12" t="str">
        <f ca="1">IFERROR(MATCH($B$114,OFFSET(#REF!,AJ513,0,1000000),0)+AJ513,"")</f>
        <v/>
      </c>
      <c r="AK514" s="17" t="str">
        <f ca="1">IFERROR(_xlfn.SINGLE(INDEX(#REF!,'Monthly Report'!AJ514)),"")</f>
        <v/>
      </c>
      <c r="AL514" s="12" t="str">
        <f ca="1">IFERROR(_xlfn.SINGLE(INDEX(#REF!,'Monthly Report'!AJ514)),"")</f>
        <v/>
      </c>
      <c r="AN514" s="12" t="str">
        <f ca="1">IFERROR(MATCH($G$115,OFFSET(#REF!,AN513,0,1000000),0)+AN513,"")</f>
        <v/>
      </c>
      <c r="AO514" s="17" t="str">
        <f ca="1">IFERROR(_xlfn.SINGLE(INDEX(#REF!,'Monthly Report'!AN514)),"")</f>
        <v/>
      </c>
      <c r="AP514" s="12" t="str">
        <f ca="1">IFERROR(_xlfn.SINGLE(INDEX(#REF!,'Monthly Report'!AN514)),"")</f>
        <v/>
      </c>
    </row>
    <row r="515" spans="36:42">
      <c r="AJ515" s="12" t="str">
        <f ca="1">IFERROR(MATCH($B$114,OFFSET(#REF!,AJ514,0,1000000),0)+AJ514,"")</f>
        <v/>
      </c>
      <c r="AK515" s="17" t="str">
        <f ca="1">IFERROR(_xlfn.SINGLE(INDEX(#REF!,'Monthly Report'!AJ515)),"")</f>
        <v/>
      </c>
      <c r="AL515" s="12" t="str">
        <f ca="1">IFERROR(_xlfn.SINGLE(INDEX(#REF!,'Monthly Report'!AJ515)),"")</f>
        <v/>
      </c>
      <c r="AN515" s="12" t="str">
        <f ca="1">IFERROR(MATCH($G$115,OFFSET(#REF!,AN514,0,1000000),0)+AN514,"")</f>
        <v/>
      </c>
      <c r="AO515" s="17" t="str">
        <f ca="1">IFERROR(_xlfn.SINGLE(INDEX(#REF!,'Monthly Report'!AN515)),"")</f>
        <v/>
      </c>
      <c r="AP515" s="12" t="str">
        <f ca="1">IFERROR(_xlfn.SINGLE(INDEX(#REF!,'Monthly Report'!AN515)),"")</f>
        <v/>
      </c>
    </row>
    <row r="516" spans="36:42">
      <c r="AJ516" s="12" t="str">
        <f ca="1">IFERROR(MATCH($B$114,OFFSET(#REF!,AJ515,0,1000000),0)+AJ515,"")</f>
        <v/>
      </c>
      <c r="AK516" s="17" t="str">
        <f ca="1">IFERROR(_xlfn.SINGLE(INDEX(#REF!,'Monthly Report'!AJ516)),"")</f>
        <v/>
      </c>
      <c r="AL516" s="12" t="str">
        <f ca="1">IFERROR(_xlfn.SINGLE(INDEX(#REF!,'Monthly Report'!AJ516)),"")</f>
        <v/>
      </c>
      <c r="AN516" s="12" t="str">
        <f ca="1">IFERROR(MATCH($G$115,OFFSET(#REF!,AN515,0,1000000),0)+AN515,"")</f>
        <v/>
      </c>
      <c r="AO516" s="17" t="str">
        <f ca="1">IFERROR(_xlfn.SINGLE(INDEX(#REF!,'Monthly Report'!AN516)),"")</f>
        <v/>
      </c>
      <c r="AP516" s="12" t="str">
        <f ca="1">IFERROR(_xlfn.SINGLE(INDEX(#REF!,'Monthly Report'!AN516)),"")</f>
        <v/>
      </c>
    </row>
    <row r="517" spans="36:42">
      <c r="AJ517" s="12" t="str">
        <f ca="1">IFERROR(MATCH($B$114,OFFSET(#REF!,AJ516,0,1000000),0)+AJ516,"")</f>
        <v/>
      </c>
      <c r="AK517" s="17" t="str">
        <f ca="1">IFERROR(_xlfn.SINGLE(INDEX(#REF!,'Monthly Report'!AJ517)),"")</f>
        <v/>
      </c>
      <c r="AL517" s="12" t="str">
        <f ca="1">IFERROR(_xlfn.SINGLE(INDEX(#REF!,'Monthly Report'!AJ517)),"")</f>
        <v/>
      </c>
      <c r="AN517" s="12" t="str">
        <f ca="1">IFERROR(MATCH($G$115,OFFSET(#REF!,AN516,0,1000000),0)+AN516,"")</f>
        <v/>
      </c>
      <c r="AO517" s="17" t="str">
        <f ca="1">IFERROR(_xlfn.SINGLE(INDEX(#REF!,'Monthly Report'!AN517)),"")</f>
        <v/>
      </c>
      <c r="AP517" s="12" t="str">
        <f ca="1">IFERROR(_xlfn.SINGLE(INDEX(#REF!,'Monthly Report'!AN517)),"")</f>
        <v/>
      </c>
    </row>
    <row r="518" spans="36:42">
      <c r="AJ518" s="12" t="str">
        <f ca="1">IFERROR(MATCH($B$114,OFFSET(#REF!,AJ517,0,1000000),0)+AJ517,"")</f>
        <v/>
      </c>
      <c r="AK518" s="17" t="str">
        <f ca="1">IFERROR(_xlfn.SINGLE(INDEX(#REF!,'Monthly Report'!AJ518)),"")</f>
        <v/>
      </c>
      <c r="AL518" s="12" t="str">
        <f ca="1">IFERROR(_xlfn.SINGLE(INDEX(#REF!,'Monthly Report'!AJ518)),"")</f>
        <v/>
      </c>
      <c r="AN518" s="12" t="str">
        <f ca="1">IFERROR(MATCH($G$115,OFFSET(#REF!,AN517,0,1000000),0)+AN517,"")</f>
        <v/>
      </c>
      <c r="AO518" s="17" t="str">
        <f ca="1">IFERROR(_xlfn.SINGLE(INDEX(#REF!,'Monthly Report'!AN518)),"")</f>
        <v/>
      </c>
      <c r="AP518" s="12" t="str">
        <f ca="1">IFERROR(_xlfn.SINGLE(INDEX(#REF!,'Monthly Report'!AN518)),"")</f>
        <v/>
      </c>
    </row>
    <row r="519" spans="36:42">
      <c r="AJ519" s="12" t="str">
        <f ca="1">IFERROR(MATCH($B$114,OFFSET(#REF!,AJ518,0,1000000),0)+AJ518,"")</f>
        <v/>
      </c>
      <c r="AK519" s="17" t="str">
        <f ca="1">IFERROR(_xlfn.SINGLE(INDEX(#REF!,'Monthly Report'!AJ519)),"")</f>
        <v/>
      </c>
      <c r="AL519" s="12" t="str">
        <f ca="1">IFERROR(_xlfn.SINGLE(INDEX(#REF!,'Monthly Report'!AJ519)),"")</f>
        <v/>
      </c>
      <c r="AN519" s="12" t="str">
        <f ca="1">IFERROR(MATCH($G$115,OFFSET(#REF!,AN518,0,1000000),0)+AN518,"")</f>
        <v/>
      </c>
      <c r="AO519" s="17" t="str">
        <f ca="1">IFERROR(_xlfn.SINGLE(INDEX(#REF!,'Monthly Report'!AN519)),"")</f>
        <v/>
      </c>
      <c r="AP519" s="12" t="str">
        <f ca="1">IFERROR(_xlfn.SINGLE(INDEX(#REF!,'Monthly Report'!AN519)),"")</f>
        <v/>
      </c>
    </row>
    <row r="520" spans="36:42">
      <c r="AJ520" s="12" t="str">
        <f ca="1">IFERROR(MATCH($B$114,OFFSET(#REF!,AJ519,0,1000000),0)+AJ519,"")</f>
        <v/>
      </c>
      <c r="AK520" s="17" t="str">
        <f ca="1">IFERROR(_xlfn.SINGLE(INDEX(#REF!,'Monthly Report'!AJ520)),"")</f>
        <v/>
      </c>
      <c r="AL520" s="12" t="str">
        <f ca="1">IFERROR(_xlfn.SINGLE(INDEX(#REF!,'Monthly Report'!AJ520)),"")</f>
        <v/>
      </c>
      <c r="AN520" s="12" t="str">
        <f ca="1">IFERROR(MATCH($G$115,OFFSET(#REF!,AN519,0,1000000),0)+AN519,"")</f>
        <v/>
      </c>
      <c r="AO520" s="17" t="str">
        <f ca="1">IFERROR(_xlfn.SINGLE(INDEX(#REF!,'Monthly Report'!AN520)),"")</f>
        <v/>
      </c>
      <c r="AP520" s="12" t="str">
        <f ca="1">IFERROR(_xlfn.SINGLE(INDEX(#REF!,'Monthly Report'!AN520)),"")</f>
        <v/>
      </c>
    </row>
    <row r="521" spans="36:42">
      <c r="AJ521" s="12" t="str">
        <f ca="1">IFERROR(MATCH($B$114,OFFSET(#REF!,AJ520,0,1000000),0)+AJ520,"")</f>
        <v/>
      </c>
      <c r="AK521" s="17" t="str">
        <f ca="1">IFERROR(_xlfn.SINGLE(INDEX(#REF!,'Monthly Report'!AJ521)),"")</f>
        <v/>
      </c>
      <c r="AL521" s="12" t="str">
        <f ca="1">IFERROR(_xlfn.SINGLE(INDEX(#REF!,'Monthly Report'!AJ521)),"")</f>
        <v/>
      </c>
      <c r="AN521" s="12" t="str">
        <f ca="1">IFERROR(MATCH($G$115,OFFSET(#REF!,AN520,0,1000000),0)+AN520,"")</f>
        <v/>
      </c>
      <c r="AO521" s="17" t="str">
        <f ca="1">IFERROR(_xlfn.SINGLE(INDEX(#REF!,'Monthly Report'!AN521)),"")</f>
        <v/>
      </c>
      <c r="AP521" s="12" t="str">
        <f ca="1">IFERROR(_xlfn.SINGLE(INDEX(#REF!,'Monthly Report'!AN521)),"")</f>
        <v/>
      </c>
    </row>
    <row r="522" spans="36:42">
      <c r="AJ522" s="12" t="str">
        <f ca="1">IFERROR(MATCH($B$114,OFFSET(#REF!,AJ521,0,1000000),0)+AJ521,"")</f>
        <v/>
      </c>
      <c r="AK522" s="17" t="str">
        <f ca="1">IFERROR(_xlfn.SINGLE(INDEX(#REF!,'Monthly Report'!AJ522)),"")</f>
        <v/>
      </c>
      <c r="AL522" s="12" t="str">
        <f ca="1">IFERROR(_xlfn.SINGLE(INDEX(#REF!,'Monthly Report'!AJ522)),"")</f>
        <v/>
      </c>
      <c r="AN522" s="12" t="str">
        <f ca="1">IFERROR(MATCH($G$115,OFFSET(#REF!,AN521,0,1000000),0)+AN521,"")</f>
        <v/>
      </c>
      <c r="AO522" s="17" t="str">
        <f ca="1">IFERROR(_xlfn.SINGLE(INDEX(#REF!,'Monthly Report'!AN522)),"")</f>
        <v/>
      </c>
      <c r="AP522" s="12" t="str">
        <f ca="1">IFERROR(_xlfn.SINGLE(INDEX(#REF!,'Monthly Report'!AN522)),"")</f>
        <v/>
      </c>
    </row>
    <row r="523" spans="36:42">
      <c r="AJ523" s="12" t="str">
        <f ca="1">IFERROR(MATCH($B$114,OFFSET(#REF!,AJ522,0,1000000),0)+AJ522,"")</f>
        <v/>
      </c>
      <c r="AK523" s="17" t="str">
        <f ca="1">IFERROR(_xlfn.SINGLE(INDEX(#REF!,'Monthly Report'!AJ523)),"")</f>
        <v/>
      </c>
      <c r="AL523" s="12" t="str">
        <f ca="1">IFERROR(_xlfn.SINGLE(INDEX(#REF!,'Monthly Report'!AJ523)),"")</f>
        <v/>
      </c>
      <c r="AN523" s="12" t="str">
        <f ca="1">IFERROR(MATCH($G$115,OFFSET(#REF!,AN522,0,1000000),0)+AN522,"")</f>
        <v/>
      </c>
      <c r="AO523" s="17" t="str">
        <f ca="1">IFERROR(_xlfn.SINGLE(INDEX(#REF!,'Monthly Report'!AN523)),"")</f>
        <v/>
      </c>
      <c r="AP523" s="12" t="str">
        <f ca="1">IFERROR(_xlfn.SINGLE(INDEX(#REF!,'Monthly Report'!AN523)),"")</f>
        <v/>
      </c>
    </row>
    <row r="524" spans="36:42">
      <c r="AJ524" s="12" t="str">
        <f ca="1">IFERROR(MATCH($B$114,OFFSET(#REF!,AJ523,0,1000000),0)+AJ523,"")</f>
        <v/>
      </c>
      <c r="AK524" s="17" t="str">
        <f ca="1">IFERROR(_xlfn.SINGLE(INDEX(#REF!,'Monthly Report'!AJ524)),"")</f>
        <v/>
      </c>
      <c r="AL524" s="12" t="str">
        <f ca="1">IFERROR(_xlfn.SINGLE(INDEX(#REF!,'Monthly Report'!AJ524)),"")</f>
        <v/>
      </c>
      <c r="AN524" s="12" t="str">
        <f ca="1">IFERROR(MATCH($G$115,OFFSET(#REF!,AN523,0,1000000),0)+AN523,"")</f>
        <v/>
      </c>
      <c r="AO524" s="17" t="str">
        <f ca="1">IFERROR(_xlfn.SINGLE(INDEX(#REF!,'Monthly Report'!AN524)),"")</f>
        <v/>
      </c>
      <c r="AP524" s="12" t="str">
        <f ca="1">IFERROR(_xlfn.SINGLE(INDEX(#REF!,'Monthly Report'!AN524)),"")</f>
        <v/>
      </c>
    </row>
    <row r="525" spans="36:42">
      <c r="AJ525" s="12" t="str">
        <f ca="1">IFERROR(MATCH($B$114,OFFSET(#REF!,AJ524,0,1000000),0)+AJ524,"")</f>
        <v/>
      </c>
      <c r="AK525" s="17" t="str">
        <f ca="1">IFERROR(_xlfn.SINGLE(INDEX(#REF!,'Monthly Report'!AJ525)),"")</f>
        <v/>
      </c>
      <c r="AL525" s="12" t="str">
        <f ca="1">IFERROR(_xlfn.SINGLE(INDEX(#REF!,'Monthly Report'!AJ525)),"")</f>
        <v/>
      </c>
      <c r="AN525" s="12" t="str">
        <f ca="1">IFERROR(MATCH($G$115,OFFSET(#REF!,AN524,0,1000000),0)+AN524,"")</f>
        <v/>
      </c>
      <c r="AO525" s="17" t="str">
        <f ca="1">IFERROR(_xlfn.SINGLE(INDEX(#REF!,'Monthly Report'!AN525)),"")</f>
        <v/>
      </c>
      <c r="AP525" s="12" t="str">
        <f ca="1">IFERROR(_xlfn.SINGLE(INDEX(#REF!,'Monthly Report'!AN525)),"")</f>
        <v/>
      </c>
    </row>
    <row r="526" spans="36:42">
      <c r="AJ526" s="12" t="str">
        <f ca="1">IFERROR(MATCH($B$114,OFFSET(#REF!,AJ525,0,1000000),0)+AJ525,"")</f>
        <v/>
      </c>
      <c r="AK526" s="17" t="str">
        <f ca="1">IFERROR(_xlfn.SINGLE(INDEX(#REF!,'Monthly Report'!AJ526)),"")</f>
        <v/>
      </c>
      <c r="AL526" s="12" t="str">
        <f ca="1">IFERROR(_xlfn.SINGLE(INDEX(#REF!,'Monthly Report'!AJ526)),"")</f>
        <v/>
      </c>
      <c r="AN526" s="12" t="str">
        <f ca="1">IFERROR(MATCH($G$115,OFFSET(#REF!,AN525,0,1000000),0)+AN525,"")</f>
        <v/>
      </c>
      <c r="AO526" s="17" t="str">
        <f ca="1">IFERROR(_xlfn.SINGLE(INDEX(#REF!,'Monthly Report'!AN526)),"")</f>
        <v/>
      </c>
      <c r="AP526" s="12" t="str">
        <f ca="1">IFERROR(_xlfn.SINGLE(INDEX(#REF!,'Monthly Report'!AN526)),"")</f>
        <v/>
      </c>
    </row>
    <row r="527" spans="36:42">
      <c r="AJ527" s="12" t="str">
        <f ca="1">IFERROR(MATCH($B$114,OFFSET(#REF!,AJ526,0,1000000),0)+AJ526,"")</f>
        <v/>
      </c>
      <c r="AK527" s="17" t="str">
        <f ca="1">IFERROR(_xlfn.SINGLE(INDEX(#REF!,'Monthly Report'!AJ527)),"")</f>
        <v/>
      </c>
      <c r="AL527" s="12" t="str">
        <f ca="1">IFERROR(_xlfn.SINGLE(INDEX(#REF!,'Monthly Report'!AJ527)),"")</f>
        <v/>
      </c>
      <c r="AN527" s="12" t="str">
        <f ca="1">IFERROR(MATCH($G$115,OFFSET(#REF!,AN526,0,1000000),0)+AN526,"")</f>
        <v/>
      </c>
      <c r="AO527" s="17" t="str">
        <f ca="1">IFERROR(_xlfn.SINGLE(INDEX(#REF!,'Monthly Report'!AN527)),"")</f>
        <v/>
      </c>
      <c r="AP527" s="12" t="str">
        <f ca="1">IFERROR(_xlfn.SINGLE(INDEX(#REF!,'Monthly Report'!AN527)),"")</f>
        <v/>
      </c>
    </row>
    <row r="528" spans="36:42">
      <c r="AJ528" s="12" t="str">
        <f ca="1">IFERROR(MATCH($B$114,OFFSET(#REF!,AJ527,0,1000000),0)+AJ527,"")</f>
        <v/>
      </c>
      <c r="AK528" s="17" t="str">
        <f ca="1">IFERROR(_xlfn.SINGLE(INDEX(#REF!,'Monthly Report'!AJ528)),"")</f>
        <v/>
      </c>
      <c r="AL528" s="12" t="str">
        <f ca="1">IFERROR(_xlfn.SINGLE(INDEX(#REF!,'Monthly Report'!AJ528)),"")</f>
        <v/>
      </c>
      <c r="AN528" s="12" t="str">
        <f ca="1">IFERROR(MATCH($G$115,OFFSET(#REF!,AN527,0,1000000),0)+AN527,"")</f>
        <v/>
      </c>
      <c r="AO528" s="17" t="str">
        <f ca="1">IFERROR(_xlfn.SINGLE(INDEX(#REF!,'Monthly Report'!AN528)),"")</f>
        <v/>
      </c>
      <c r="AP528" s="12" t="str">
        <f ca="1">IFERROR(_xlfn.SINGLE(INDEX(#REF!,'Monthly Report'!AN528)),"")</f>
        <v/>
      </c>
    </row>
    <row r="529" spans="36:42">
      <c r="AJ529" s="12" t="str">
        <f ca="1">IFERROR(MATCH($B$114,OFFSET(#REF!,AJ528,0,1000000),0)+AJ528,"")</f>
        <v/>
      </c>
      <c r="AK529" s="17" t="str">
        <f ca="1">IFERROR(_xlfn.SINGLE(INDEX(#REF!,'Monthly Report'!AJ529)),"")</f>
        <v/>
      </c>
      <c r="AL529" s="12" t="str">
        <f ca="1">IFERROR(_xlfn.SINGLE(INDEX(#REF!,'Monthly Report'!AJ529)),"")</f>
        <v/>
      </c>
      <c r="AN529" s="12" t="str">
        <f ca="1">IFERROR(MATCH($G$115,OFFSET(#REF!,AN528,0,1000000),0)+AN528,"")</f>
        <v/>
      </c>
      <c r="AO529" s="17" t="str">
        <f ca="1">IFERROR(_xlfn.SINGLE(INDEX(#REF!,'Monthly Report'!AN529)),"")</f>
        <v/>
      </c>
      <c r="AP529" s="12" t="str">
        <f ca="1">IFERROR(_xlfn.SINGLE(INDEX(#REF!,'Monthly Report'!AN529)),"")</f>
        <v/>
      </c>
    </row>
    <row r="530" spans="36:42">
      <c r="AJ530" s="12" t="str">
        <f ca="1">IFERROR(MATCH($B$114,OFFSET(#REF!,AJ529,0,1000000),0)+AJ529,"")</f>
        <v/>
      </c>
      <c r="AK530" s="17" t="str">
        <f ca="1">IFERROR(_xlfn.SINGLE(INDEX(#REF!,'Monthly Report'!AJ530)),"")</f>
        <v/>
      </c>
      <c r="AL530" s="12" t="str">
        <f ca="1">IFERROR(_xlfn.SINGLE(INDEX(#REF!,'Monthly Report'!AJ530)),"")</f>
        <v/>
      </c>
      <c r="AN530" s="12" t="str">
        <f ca="1">IFERROR(MATCH($G$115,OFFSET(#REF!,AN529,0,1000000),0)+AN529,"")</f>
        <v/>
      </c>
      <c r="AO530" s="17" t="str">
        <f ca="1">IFERROR(_xlfn.SINGLE(INDEX(#REF!,'Monthly Report'!AN530)),"")</f>
        <v/>
      </c>
      <c r="AP530" s="12" t="str">
        <f ca="1">IFERROR(_xlfn.SINGLE(INDEX(#REF!,'Monthly Report'!AN530)),"")</f>
        <v/>
      </c>
    </row>
    <row r="531" spans="36:42">
      <c r="AJ531" s="12" t="str">
        <f ca="1">IFERROR(MATCH($B$114,OFFSET(#REF!,AJ530,0,1000000),0)+AJ530,"")</f>
        <v/>
      </c>
      <c r="AK531" s="17" t="str">
        <f ca="1">IFERROR(_xlfn.SINGLE(INDEX(#REF!,'Monthly Report'!AJ531)),"")</f>
        <v/>
      </c>
      <c r="AL531" s="12" t="str">
        <f ca="1">IFERROR(_xlfn.SINGLE(INDEX(#REF!,'Monthly Report'!AJ531)),"")</f>
        <v/>
      </c>
      <c r="AN531" s="12" t="str">
        <f ca="1">IFERROR(MATCH($G$115,OFFSET(#REF!,AN530,0,1000000),0)+AN530,"")</f>
        <v/>
      </c>
      <c r="AO531" s="17" t="str">
        <f ca="1">IFERROR(_xlfn.SINGLE(INDEX(#REF!,'Monthly Report'!AN531)),"")</f>
        <v/>
      </c>
      <c r="AP531" s="12" t="str">
        <f ca="1">IFERROR(_xlfn.SINGLE(INDEX(#REF!,'Monthly Report'!AN531)),"")</f>
        <v/>
      </c>
    </row>
    <row r="532" spans="36:42">
      <c r="AJ532" s="12" t="str">
        <f ca="1">IFERROR(MATCH($B$114,OFFSET(#REF!,AJ531,0,1000000),0)+AJ531,"")</f>
        <v/>
      </c>
      <c r="AK532" s="17" t="str">
        <f ca="1">IFERROR(_xlfn.SINGLE(INDEX(#REF!,'Monthly Report'!AJ532)),"")</f>
        <v/>
      </c>
      <c r="AL532" s="12" t="str">
        <f ca="1">IFERROR(_xlfn.SINGLE(INDEX(#REF!,'Monthly Report'!AJ532)),"")</f>
        <v/>
      </c>
      <c r="AN532" s="12" t="str">
        <f ca="1">IFERROR(MATCH($G$115,OFFSET(#REF!,AN531,0,1000000),0)+AN531,"")</f>
        <v/>
      </c>
      <c r="AO532" s="17" t="str">
        <f ca="1">IFERROR(_xlfn.SINGLE(INDEX(#REF!,'Monthly Report'!AN532)),"")</f>
        <v/>
      </c>
      <c r="AP532" s="12" t="str">
        <f ca="1">IFERROR(_xlfn.SINGLE(INDEX(#REF!,'Monthly Report'!AN532)),"")</f>
        <v/>
      </c>
    </row>
    <row r="533" spans="36:42">
      <c r="AJ533" s="12" t="str">
        <f ca="1">IFERROR(MATCH($B$114,OFFSET(#REF!,AJ532,0,1000000),0)+AJ532,"")</f>
        <v/>
      </c>
      <c r="AK533" s="17" t="str">
        <f ca="1">IFERROR(_xlfn.SINGLE(INDEX(#REF!,'Monthly Report'!AJ533)),"")</f>
        <v/>
      </c>
      <c r="AL533" s="12" t="str">
        <f ca="1">IFERROR(_xlfn.SINGLE(INDEX(#REF!,'Monthly Report'!AJ533)),"")</f>
        <v/>
      </c>
      <c r="AN533" s="12" t="str">
        <f ca="1">IFERROR(MATCH($G$115,OFFSET(#REF!,AN532,0,1000000),0)+AN532,"")</f>
        <v/>
      </c>
      <c r="AO533" s="17" t="str">
        <f ca="1">IFERROR(_xlfn.SINGLE(INDEX(#REF!,'Monthly Report'!AN533)),"")</f>
        <v/>
      </c>
      <c r="AP533" s="12" t="str">
        <f ca="1">IFERROR(_xlfn.SINGLE(INDEX(#REF!,'Monthly Report'!AN533)),"")</f>
        <v/>
      </c>
    </row>
    <row r="534" spans="36:42">
      <c r="AJ534" s="12" t="str">
        <f ca="1">IFERROR(MATCH($B$114,OFFSET(#REF!,AJ533,0,1000000),0)+AJ533,"")</f>
        <v/>
      </c>
      <c r="AK534" s="17" t="str">
        <f ca="1">IFERROR(_xlfn.SINGLE(INDEX(#REF!,'Monthly Report'!AJ534)),"")</f>
        <v/>
      </c>
      <c r="AL534" s="12" t="str">
        <f ca="1">IFERROR(_xlfn.SINGLE(INDEX(#REF!,'Monthly Report'!AJ534)),"")</f>
        <v/>
      </c>
      <c r="AN534" s="12" t="str">
        <f ca="1">IFERROR(MATCH($G$115,OFFSET(#REF!,AN533,0,1000000),0)+AN533,"")</f>
        <v/>
      </c>
      <c r="AO534" s="17" t="str">
        <f ca="1">IFERROR(_xlfn.SINGLE(INDEX(#REF!,'Monthly Report'!AN534)),"")</f>
        <v/>
      </c>
      <c r="AP534" s="12" t="str">
        <f ca="1">IFERROR(_xlfn.SINGLE(INDEX(#REF!,'Monthly Report'!AN534)),"")</f>
        <v/>
      </c>
    </row>
    <row r="535" spans="36:42">
      <c r="AJ535" s="12" t="str">
        <f ca="1">IFERROR(MATCH($B$114,OFFSET(#REF!,AJ534,0,1000000),0)+AJ534,"")</f>
        <v/>
      </c>
      <c r="AK535" s="17" t="str">
        <f ca="1">IFERROR(_xlfn.SINGLE(INDEX(#REF!,'Monthly Report'!AJ535)),"")</f>
        <v/>
      </c>
      <c r="AL535" s="12" t="str">
        <f ca="1">IFERROR(_xlfn.SINGLE(INDEX(#REF!,'Monthly Report'!AJ535)),"")</f>
        <v/>
      </c>
      <c r="AN535" s="12" t="str">
        <f ca="1">IFERROR(MATCH($G$115,OFFSET(#REF!,AN534,0,1000000),0)+AN534,"")</f>
        <v/>
      </c>
      <c r="AO535" s="17" t="str">
        <f ca="1">IFERROR(_xlfn.SINGLE(INDEX(#REF!,'Monthly Report'!AN535)),"")</f>
        <v/>
      </c>
      <c r="AP535" s="12" t="str">
        <f ca="1">IFERROR(_xlfn.SINGLE(INDEX(#REF!,'Monthly Report'!AN535)),"")</f>
        <v/>
      </c>
    </row>
    <row r="536" spans="36:42">
      <c r="AJ536" s="12" t="str">
        <f ca="1">IFERROR(MATCH($B$114,OFFSET(#REF!,AJ535,0,1000000),0)+AJ535,"")</f>
        <v/>
      </c>
      <c r="AK536" s="17" t="str">
        <f ca="1">IFERROR(_xlfn.SINGLE(INDEX(#REF!,'Monthly Report'!AJ536)),"")</f>
        <v/>
      </c>
      <c r="AL536" s="12" t="str">
        <f ca="1">IFERROR(_xlfn.SINGLE(INDEX(#REF!,'Monthly Report'!AJ536)),"")</f>
        <v/>
      </c>
      <c r="AN536" s="12" t="str">
        <f ca="1">IFERROR(MATCH($G$115,OFFSET(#REF!,AN535,0,1000000),0)+AN535,"")</f>
        <v/>
      </c>
      <c r="AO536" s="17" t="str">
        <f ca="1">IFERROR(_xlfn.SINGLE(INDEX(#REF!,'Monthly Report'!AN536)),"")</f>
        <v/>
      </c>
      <c r="AP536" s="12" t="str">
        <f ca="1">IFERROR(_xlfn.SINGLE(INDEX(#REF!,'Monthly Report'!AN536)),"")</f>
        <v/>
      </c>
    </row>
    <row r="537" spans="36:42">
      <c r="AJ537" s="12" t="str">
        <f ca="1">IFERROR(MATCH($B$114,OFFSET(#REF!,AJ536,0,1000000),0)+AJ536,"")</f>
        <v/>
      </c>
      <c r="AK537" s="17" t="str">
        <f ca="1">IFERROR(_xlfn.SINGLE(INDEX(#REF!,'Monthly Report'!AJ537)),"")</f>
        <v/>
      </c>
      <c r="AL537" s="12" t="str">
        <f ca="1">IFERROR(_xlfn.SINGLE(INDEX(#REF!,'Monthly Report'!AJ537)),"")</f>
        <v/>
      </c>
      <c r="AN537" s="12" t="str">
        <f ca="1">IFERROR(MATCH($G$115,OFFSET(#REF!,AN536,0,1000000),0)+AN536,"")</f>
        <v/>
      </c>
      <c r="AO537" s="17" t="str">
        <f ca="1">IFERROR(_xlfn.SINGLE(INDEX(#REF!,'Monthly Report'!AN537)),"")</f>
        <v/>
      </c>
      <c r="AP537" s="12" t="str">
        <f ca="1">IFERROR(_xlfn.SINGLE(INDEX(#REF!,'Monthly Report'!AN537)),"")</f>
        <v/>
      </c>
    </row>
    <row r="538" spans="36:42">
      <c r="AJ538" s="12" t="str">
        <f ca="1">IFERROR(MATCH($B$114,OFFSET(#REF!,AJ537,0,1000000),0)+AJ537,"")</f>
        <v/>
      </c>
      <c r="AK538" s="17" t="str">
        <f ca="1">IFERROR(_xlfn.SINGLE(INDEX(#REF!,'Monthly Report'!AJ538)),"")</f>
        <v/>
      </c>
      <c r="AL538" s="12" t="str">
        <f ca="1">IFERROR(_xlfn.SINGLE(INDEX(#REF!,'Monthly Report'!AJ538)),"")</f>
        <v/>
      </c>
      <c r="AN538" s="12" t="str">
        <f ca="1">IFERROR(MATCH($G$115,OFFSET(#REF!,AN537,0,1000000),0)+AN537,"")</f>
        <v/>
      </c>
      <c r="AO538" s="17" t="str">
        <f ca="1">IFERROR(_xlfn.SINGLE(INDEX(#REF!,'Monthly Report'!AN538)),"")</f>
        <v/>
      </c>
      <c r="AP538" s="12" t="str">
        <f ca="1">IFERROR(_xlfn.SINGLE(INDEX(#REF!,'Monthly Report'!AN538)),"")</f>
        <v/>
      </c>
    </row>
    <row r="539" spans="36:42">
      <c r="AJ539" s="12" t="str">
        <f ca="1">IFERROR(MATCH($B$114,OFFSET(#REF!,AJ538,0,1000000),0)+AJ538,"")</f>
        <v/>
      </c>
      <c r="AK539" s="17" t="str">
        <f ca="1">IFERROR(_xlfn.SINGLE(INDEX(#REF!,'Monthly Report'!AJ539)),"")</f>
        <v/>
      </c>
      <c r="AL539" s="12" t="str">
        <f ca="1">IFERROR(_xlfn.SINGLE(INDEX(#REF!,'Monthly Report'!AJ539)),"")</f>
        <v/>
      </c>
      <c r="AN539" s="12" t="str">
        <f ca="1">IFERROR(MATCH($G$115,OFFSET(#REF!,AN538,0,1000000),0)+AN538,"")</f>
        <v/>
      </c>
      <c r="AO539" s="17" t="str">
        <f ca="1">IFERROR(_xlfn.SINGLE(INDEX(#REF!,'Monthly Report'!AN539)),"")</f>
        <v/>
      </c>
      <c r="AP539" s="12" t="str">
        <f ca="1">IFERROR(_xlfn.SINGLE(INDEX(#REF!,'Monthly Report'!AN539)),"")</f>
        <v/>
      </c>
    </row>
    <row r="540" spans="36:42">
      <c r="AJ540" s="12" t="str">
        <f ca="1">IFERROR(MATCH($B$114,OFFSET(#REF!,AJ539,0,1000000),0)+AJ539,"")</f>
        <v/>
      </c>
      <c r="AK540" s="17" t="str">
        <f ca="1">IFERROR(_xlfn.SINGLE(INDEX(#REF!,'Monthly Report'!AJ540)),"")</f>
        <v/>
      </c>
      <c r="AL540" s="12" t="str">
        <f ca="1">IFERROR(_xlfn.SINGLE(INDEX(#REF!,'Monthly Report'!AJ540)),"")</f>
        <v/>
      </c>
      <c r="AN540" s="12" t="str">
        <f ca="1">IFERROR(MATCH($G$115,OFFSET(#REF!,AN539,0,1000000),0)+AN539,"")</f>
        <v/>
      </c>
      <c r="AO540" s="17" t="str">
        <f ca="1">IFERROR(_xlfn.SINGLE(INDEX(#REF!,'Monthly Report'!AN540)),"")</f>
        <v/>
      </c>
      <c r="AP540" s="12" t="str">
        <f ca="1">IFERROR(_xlfn.SINGLE(INDEX(#REF!,'Monthly Report'!AN540)),"")</f>
        <v/>
      </c>
    </row>
    <row r="541" spans="36:42">
      <c r="AJ541" s="12" t="str">
        <f ca="1">IFERROR(MATCH($B$114,OFFSET(#REF!,AJ540,0,1000000),0)+AJ540,"")</f>
        <v/>
      </c>
      <c r="AK541" s="17" t="str">
        <f ca="1">IFERROR(_xlfn.SINGLE(INDEX(#REF!,'Monthly Report'!AJ541)),"")</f>
        <v/>
      </c>
      <c r="AL541" s="12" t="str">
        <f ca="1">IFERROR(_xlfn.SINGLE(INDEX(#REF!,'Monthly Report'!AJ541)),"")</f>
        <v/>
      </c>
      <c r="AN541" s="12" t="str">
        <f ca="1">IFERROR(MATCH($G$115,OFFSET(#REF!,AN540,0,1000000),0)+AN540,"")</f>
        <v/>
      </c>
      <c r="AO541" s="17" t="str">
        <f ca="1">IFERROR(_xlfn.SINGLE(INDEX(#REF!,'Monthly Report'!AN541)),"")</f>
        <v/>
      </c>
      <c r="AP541" s="12" t="str">
        <f ca="1">IFERROR(_xlfn.SINGLE(INDEX(#REF!,'Monthly Report'!AN541)),"")</f>
        <v/>
      </c>
    </row>
    <row r="542" spans="36:42">
      <c r="AJ542" s="12" t="str">
        <f ca="1">IFERROR(MATCH($B$114,OFFSET(#REF!,AJ541,0,1000000),0)+AJ541,"")</f>
        <v/>
      </c>
      <c r="AK542" s="17" t="str">
        <f ca="1">IFERROR(_xlfn.SINGLE(INDEX(#REF!,'Monthly Report'!AJ542)),"")</f>
        <v/>
      </c>
      <c r="AL542" s="12" t="str">
        <f ca="1">IFERROR(_xlfn.SINGLE(INDEX(#REF!,'Monthly Report'!AJ542)),"")</f>
        <v/>
      </c>
      <c r="AN542" s="12" t="str">
        <f ca="1">IFERROR(MATCH($G$115,OFFSET(#REF!,AN541,0,1000000),0)+AN541,"")</f>
        <v/>
      </c>
      <c r="AO542" s="17" t="str">
        <f ca="1">IFERROR(_xlfn.SINGLE(INDEX(#REF!,'Monthly Report'!AN542)),"")</f>
        <v/>
      </c>
      <c r="AP542" s="12" t="str">
        <f ca="1">IFERROR(_xlfn.SINGLE(INDEX(#REF!,'Monthly Report'!AN542)),"")</f>
        <v/>
      </c>
    </row>
    <row r="543" spans="36:42">
      <c r="AJ543" s="12" t="str">
        <f ca="1">IFERROR(MATCH($B$114,OFFSET(#REF!,AJ542,0,1000000),0)+AJ542,"")</f>
        <v/>
      </c>
      <c r="AK543" s="17" t="str">
        <f ca="1">IFERROR(_xlfn.SINGLE(INDEX(#REF!,'Monthly Report'!AJ543)),"")</f>
        <v/>
      </c>
      <c r="AL543" s="12" t="str">
        <f ca="1">IFERROR(_xlfn.SINGLE(INDEX(#REF!,'Monthly Report'!AJ543)),"")</f>
        <v/>
      </c>
      <c r="AN543" s="12" t="str">
        <f ca="1">IFERROR(MATCH($G$115,OFFSET(#REF!,AN542,0,1000000),0)+AN542,"")</f>
        <v/>
      </c>
      <c r="AO543" s="17" t="str">
        <f ca="1">IFERROR(_xlfn.SINGLE(INDEX(#REF!,'Monthly Report'!AN543)),"")</f>
        <v/>
      </c>
      <c r="AP543" s="12" t="str">
        <f ca="1">IFERROR(_xlfn.SINGLE(INDEX(#REF!,'Monthly Report'!AN543)),"")</f>
        <v/>
      </c>
    </row>
    <row r="544" spans="36:42">
      <c r="AJ544" s="12" t="str">
        <f ca="1">IFERROR(MATCH($B$114,OFFSET(#REF!,AJ543,0,1000000),0)+AJ543,"")</f>
        <v/>
      </c>
      <c r="AK544" s="17" t="str">
        <f ca="1">IFERROR(_xlfn.SINGLE(INDEX(#REF!,'Monthly Report'!AJ544)),"")</f>
        <v/>
      </c>
      <c r="AL544" s="12" t="str">
        <f ca="1">IFERROR(_xlfn.SINGLE(INDEX(#REF!,'Monthly Report'!AJ544)),"")</f>
        <v/>
      </c>
      <c r="AN544" s="12" t="str">
        <f ca="1">IFERROR(MATCH($G$115,OFFSET(#REF!,AN543,0,1000000),0)+AN543,"")</f>
        <v/>
      </c>
      <c r="AO544" s="17" t="str">
        <f ca="1">IFERROR(_xlfn.SINGLE(INDEX(#REF!,'Monthly Report'!AN544)),"")</f>
        <v/>
      </c>
      <c r="AP544" s="12" t="str">
        <f ca="1">IFERROR(_xlfn.SINGLE(INDEX(#REF!,'Monthly Report'!AN544)),"")</f>
        <v/>
      </c>
    </row>
    <row r="545" spans="36:42">
      <c r="AJ545" s="12" t="str">
        <f ca="1">IFERROR(MATCH($B$114,OFFSET(#REF!,AJ544,0,1000000),0)+AJ544,"")</f>
        <v/>
      </c>
      <c r="AK545" s="17" t="str">
        <f ca="1">IFERROR(_xlfn.SINGLE(INDEX(#REF!,'Monthly Report'!AJ545)),"")</f>
        <v/>
      </c>
      <c r="AL545" s="12" t="str">
        <f ca="1">IFERROR(_xlfn.SINGLE(INDEX(#REF!,'Monthly Report'!AJ545)),"")</f>
        <v/>
      </c>
      <c r="AN545" s="12" t="str">
        <f ca="1">IFERROR(MATCH($G$115,OFFSET(#REF!,AN544,0,1000000),0)+AN544,"")</f>
        <v/>
      </c>
      <c r="AO545" s="17" t="str">
        <f ca="1">IFERROR(_xlfn.SINGLE(INDEX(#REF!,'Monthly Report'!AN545)),"")</f>
        <v/>
      </c>
      <c r="AP545" s="12" t="str">
        <f ca="1">IFERROR(_xlfn.SINGLE(INDEX(#REF!,'Monthly Report'!AN545)),"")</f>
        <v/>
      </c>
    </row>
    <row r="546" spans="36:42">
      <c r="AJ546" s="12" t="str">
        <f ca="1">IFERROR(MATCH($B$114,OFFSET(#REF!,AJ545,0,1000000),0)+AJ545,"")</f>
        <v/>
      </c>
      <c r="AK546" s="17" t="str">
        <f ca="1">IFERROR(_xlfn.SINGLE(INDEX(#REF!,'Monthly Report'!AJ546)),"")</f>
        <v/>
      </c>
      <c r="AL546" s="12" t="str">
        <f ca="1">IFERROR(_xlfn.SINGLE(INDEX(#REF!,'Monthly Report'!AJ546)),"")</f>
        <v/>
      </c>
      <c r="AN546" s="12" t="str">
        <f ca="1">IFERROR(MATCH($G$115,OFFSET(#REF!,AN545,0,1000000),0)+AN545,"")</f>
        <v/>
      </c>
      <c r="AO546" s="17" t="str">
        <f ca="1">IFERROR(_xlfn.SINGLE(INDEX(#REF!,'Monthly Report'!AN546)),"")</f>
        <v/>
      </c>
      <c r="AP546" s="12" t="str">
        <f ca="1">IFERROR(_xlfn.SINGLE(INDEX(#REF!,'Monthly Report'!AN546)),"")</f>
        <v/>
      </c>
    </row>
    <row r="547" spans="36:42">
      <c r="AJ547" s="12" t="str">
        <f ca="1">IFERROR(MATCH($B$114,OFFSET(#REF!,AJ546,0,1000000),0)+AJ546,"")</f>
        <v/>
      </c>
      <c r="AK547" s="17" t="str">
        <f ca="1">IFERROR(_xlfn.SINGLE(INDEX(#REF!,'Monthly Report'!AJ547)),"")</f>
        <v/>
      </c>
      <c r="AL547" s="12" t="str">
        <f ca="1">IFERROR(_xlfn.SINGLE(INDEX(#REF!,'Monthly Report'!AJ547)),"")</f>
        <v/>
      </c>
      <c r="AN547" s="12" t="str">
        <f ca="1">IFERROR(MATCH($G$115,OFFSET(#REF!,AN546,0,1000000),0)+AN546,"")</f>
        <v/>
      </c>
      <c r="AO547" s="17" t="str">
        <f ca="1">IFERROR(_xlfn.SINGLE(INDEX(#REF!,'Monthly Report'!AN547)),"")</f>
        <v/>
      </c>
      <c r="AP547" s="12" t="str">
        <f ca="1">IFERROR(_xlfn.SINGLE(INDEX(#REF!,'Monthly Report'!AN547)),"")</f>
        <v/>
      </c>
    </row>
    <row r="548" spans="36:42">
      <c r="AJ548" s="12" t="str">
        <f ca="1">IFERROR(MATCH($B$114,OFFSET(#REF!,AJ547,0,1000000),0)+AJ547,"")</f>
        <v/>
      </c>
      <c r="AK548" s="17" t="str">
        <f ca="1">IFERROR(_xlfn.SINGLE(INDEX(#REF!,'Monthly Report'!AJ548)),"")</f>
        <v/>
      </c>
      <c r="AL548" s="12" t="str">
        <f ca="1">IFERROR(_xlfn.SINGLE(INDEX(#REF!,'Monthly Report'!AJ548)),"")</f>
        <v/>
      </c>
      <c r="AN548" s="12" t="str">
        <f ca="1">IFERROR(MATCH($G$115,OFFSET(#REF!,AN547,0,1000000),0)+AN547,"")</f>
        <v/>
      </c>
      <c r="AO548" s="17" t="str">
        <f ca="1">IFERROR(_xlfn.SINGLE(INDEX(#REF!,'Monthly Report'!AN548)),"")</f>
        <v/>
      </c>
      <c r="AP548" s="12" t="str">
        <f ca="1">IFERROR(_xlfn.SINGLE(INDEX(#REF!,'Monthly Report'!AN548)),"")</f>
        <v/>
      </c>
    </row>
    <row r="549" spans="36:42">
      <c r="AJ549" s="12" t="str">
        <f ca="1">IFERROR(MATCH($B$114,OFFSET(#REF!,AJ548,0,1000000),0)+AJ548,"")</f>
        <v/>
      </c>
      <c r="AK549" s="17" t="str">
        <f ca="1">IFERROR(_xlfn.SINGLE(INDEX(#REF!,'Monthly Report'!AJ549)),"")</f>
        <v/>
      </c>
      <c r="AL549" s="12" t="str">
        <f ca="1">IFERROR(_xlfn.SINGLE(INDEX(#REF!,'Monthly Report'!AJ549)),"")</f>
        <v/>
      </c>
      <c r="AN549" s="12" t="str">
        <f ca="1">IFERROR(MATCH($G$115,OFFSET(#REF!,AN548,0,1000000),0)+AN548,"")</f>
        <v/>
      </c>
      <c r="AO549" s="17" t="str">
        <f ca="1">IFERROR(_xlfn.SINGLE(INDEX(#REF!,'Monthly Report'!AN549)),"")</f>
        <v/>
      </c>
      <c r="AP549" s="12" t="str">
        <f ca="1">IFERROR(_xlfn.SINGLE(INDEX(#REF!,'Monthly Report'!AN549)),"")</f>
        <v/>
      </c>
    </row>
    <row r="550" spans="36:42">
      <c r="AJ550" s="12" t="str">
        <f ca="1">IFERROR(MATCH($B$114,OFFSET(#REF!,AJ549,0,1000000),0)+AJ549,"")</f>
        <v/>
      </c>
      <c r="AK550" s="17" t="str">
        <f ca="1">IFERROR(_xlfn.SINGLE(INDEX(#REF!,'Monthly Report'!AJ550)),"")</f>
        <v/>
      </c>
      <c r="AL550" s="12" t="str">
        <f ca="1">IFERROR(_xlfn.SINGLE(INDEX(#REF!,'Monthly Report'!AJ550)),"")</f>
        <v/>
      </c>
      <c r="AN550" s="12" t="str">
        <f ca="1">IFERROR(MATCH($G$115,OFFSET(#REF!,AN549,0,1000000),0)+AN549,"")</f>
        <v/>
      </c>
      <c r="AO550" s="17" t="str">
        <f ca="1">IFERROR(_xlfn.SINGLE(INDEX(#REF!,'Monthly Report'!AN550)),"")</f>
        <v/>
      </c>
      <c r="AP550" s="12" t="str">
        <f ca="1">IFERROR(_xlfn.SINGLE(INDEX(#REF!,'Monthly Report'!AN550)),"")</f>
        <v/>
      </c>
    </row>
    <row r="551" spans="36:42">
      <c r="AJ551" s="12" t="str">
        <f ca="1">IFERROR(MATCH($B$114,OFFSET(#REF!,AJ550,0,1000000),0)+AJ550,"")</f>
        <v/>
      </c>
      <c r="AK551" s="17" t="str">
        <f ca="1">IFERROR(_xlfn.SINGLE(INDEX(#REF!,'Monthly Report'!AJ551)),"")</f>
        <v/>
      </c>
      <c r="AL551" s="12" t="str">
        <f ca="1">IFERROR(_xlfn.SINGLE(INDEX(#REF!,'Monthly Report'!AJ551)),"")</f>
        <v/>
      </c>
      <c r="AN551" s="12" t="str">
        <f ca="1">IFERROR(MATCH($G$115,OFFSET(#REF!,AN550,0,1000000),0)+AN550,"")</f>
        <v/>
      </c>
      <c r="AO551" s="17" t="str">
        <f ca="1">IFERROR(_xlfn.SINGLE(INDEX(#REF!,'Monthly Report'!AN551)),"")</f>
        <v/>
      </c>
      <c r="AP551" s="12" t="str">
        <f ca="1">IFERROR(_xlfn.SINGLE(INDEX(#REF!,'Monthly Report'!AN551)),"")</f>
        <v/>
      </c>
    </row>
    <row r="552" spans="36:42">
      <c r="AJ552" s="12" t="str">
        <f ca="1">IFERROR(MATCH($B$114,OFFSET(#REF!,AJ551,0,1000000),0)+AJ551,"")</f>
        <v/>
      </c>
      <c r="AK552" s="17" t="str">
        <f ca="1">IFERROR(_xlfn.SINGLE(INDEX(#REF!,'Monthly Report'!AJ552)),"")</f>
        <v/>
      </c>
      <c r="AL552" s="12" t="str">
        <f ca="1">IFERROR(_xlfn.SINGLE(INDEX(#REF!,'Monthly Report'!AJ552)),"")</f>
        <v/>
      </c>
      <c r="AN552" s="12" t="str">
        <f ca="1">IFERROR(MATCH($G$115,OFFSET(#REF!,AN551,0,1000000),0)+AN551,"")</f>
        <v/>
      </c>
      <c r="AO552" s="17" t="str">
        <f ca="1">IFERROR(_xlfn.SINGLE(INDEX(#REF!,'Monthly Report'!AN552)),"")</f>
        <v/>
      </c>
      <c r="AP552" s="12" t="str">
        <f ca="1">IFERROR(_xlfn.SINGLE(INDEX(#REF!,'Monthly Report'!AN552)),"")</f>
        <v/>
      </c>
    </row>
    <row r="553" spans="36:42">
      <c r="AJ553" s="12" t="str">
        <f ca="1">IFERROR(MATCH($B$114,OFFSET(#REF!,AJ552,0,1000000),0)+AJ552,"")</f>
        <v/>
      </c>
      <c r="AK553" s="17" t="str">
        <f ca="1">IFERROR(_xlfn.SINGLE(INDEX(#REF!,'Monthly Report'!AJ553)),"")</f>
        <v/>
      </c>
      <c r="AL553" s="12" t="str">
        <f ca="1">IFERROR(_xlfn.SINGLE(INDEX(#REF!,'Monthly Report'!AJ553)),"")</f>
        <v/>
      </c>
      <c r="AN553" s="12" t="str">
        <f ca="1">IFERROR(MATCH($G$115,OFFSET(#REF!,AN552,0,1000000),0)+AN552,"")</f>
        <v/>
      </c>
      <c r="AO553" s="17" t="str">
        <f ca="1">IFERROR(_xlfn.SINGLE(INDEX(#REF!,'Monthly Report'!AN553)),"")</f>
        <v/>
      </c>
      <c r="AP553" s="12" t="str">
        <f ca="1">IFERROR(_xlfn.SINGLE(INDEX(#REF!,'Monthly Report'!AN553)),"")</f>
        <v/>
      </c>
    </row>
    <row r="554" spans="36:42">
      <c r="AJ554" s="12" t="str">
        <f ca="1">IFERROR(MATCH($B$114,OFFSET(#REF!,AJ553,0,1000000),0)+AJ553,"")</f>
        <v/>
      </c>
      <c r="AK554" s="17" t="str">
        <f ca="1">IFERROR(_xlfn.SINGLE(INDEX(#REF!,'Monthly Report'!AJ554)),"")</f>
        <v/>
      </c>
      <c r="AL554" s="12" t="str">
        <f ca="1">IFERROR(_xlfn.SINGLE(INDEX(#REF!,'Monthly Report'!AJ554)),"")</f>
        <v/>
      </c>
      <c r="AN554" s="12" t="str">
        <f ca="1">IFERROR(MATCH($G$115,OFFSET(#REF!,AN553,0,1000000),0)+AN553,"")</f>
        <v/>
      </c>
      <c r="AO554" s="17" t="str">
        <f ca="1">IFERROR(_xlfn.SINGLE(INDEX(#REF!,'Monthly Report'!AN554)),"")</f>
        <v/>
      </c>
      <c r="AP554" s="12" t="str">
        <f ca="1">IFERROR(_xlfn.SINGLE(INDEX(#REF!,'Monthly Report'!AN554)),"")</f>
        <v/>
      </c>
    </row>
    <row r="555" spans="36:42">
      <c r="AJ555" s="12" t="str">
        <f ca="1">IFERROR(MATCH($B$114,OFFSET(#REF!,AJ554,0,1000000),0)+AJ554,"")</f>
        <v/>
      </c>
      <c r="AK555" s="17" t="str">
        <f ca="1">IFERROR(_xlfn.SINGLE(INDEX(#REF!,'Monthly Report'!AJ555)),"")</f>
        <v/>
      </c>
      <c r="AL555" s="12" t="str">
        <f ca="1">IFERROR(_xlfn.SINGLE(INDEX(#REF!,'Monthly Report'!AJ555)),"")</f>
        <v/>
      </c>
      <c r="AN555" s="12" t="str">
        <f ca="1">IFERROR(MATCH($G$115,OFFSET(#REF!,AN554,0,1000000),0)+AN554,"")</f>
        <v/>
      </c>
      <c r="AO555" s="17" t="str">
        <f ca="1">IFERROR(_xlfn.SINGLE(INDEX(#REF!,'Monthly Report'!AN555)),"")</f>
        <v/>
      </c>
      <c r="AP555" s="12" t="str">
        <f ca="1">IFERROR(_xlfn.SINGLE(INDEX(#REF!,'Monthly Report'!AN555)),"")</f>
        <v/>
      </c>
    </row>
    <row r="556" spans="36:42">
      <c r="AJ556" s="12" t="str">
        <f ca="1">IFERROR(MATCH($B$114,OFFSET(#REF!,AJ555,0,1000000),0)+AJ555,"")</f>
        <v/>
      </c>
      <c r="AK556" s="17" t="str">
        <f ca="1">IFERROR(_xlfn.SINGLE(INDEX(#REF!,'Monthly Report'!AJ556)),"")</f>
        <v/>
      </c>
      <c r="AL556" s="12" t="str">
        <f ca="1">IFERROR(_xlfn.SINGLE(INDEX(#REF!,'Monthly Report'!AJ556)),"")</f>
        <v/>
      </c>
      <c r="AN556" s="12" t="str">
        <f ca="1">IFERROR(MATCH($G$115,OFFSET(#REF!,AN555,0,1000000),0)+AN555,"")</f>
        <v/>
      </c>
      <c r="AO556" s="17" t="str">
        <f ca="1">IFERROR(_xlfn.SINGLE(INDEX(#REF!,'Monthly Report'!AN556)),"")</f>
        <v/>
      </c>
      <c r="AP556" s="12" t="str">
        <f ca="1">IFERROR(_xlfn.SINGLE(INDEX(#REF!,'Monthly Report'!AN556)),"")</f>
        <v/>
      </c>
    </row>
    <row r="557" spans="36:42">
      <c r="AJ557" s="12" t="str">
        <f ca="1">IFERROR(MATCH($B$114,OFFSET(#REF!,AJ556,0,1000000),0)+AJ556,"")</f>
        <v/>
      </c>
      <c r="AK557" s="17" t="str">
        <f ca="1">IFERROR(_xlfn.SINGLE(INDEX(#REF!,'Monthly Report'!AJ557)),"")</f>
        <v/>
      </c>
      <c r="AL557" s="12" t="str">
        <f ca="1">IFERROR(_xlfn.SINGLE(INDEX(#REF!,'Monthly Report'!AJ557)),"")</f>
        <v/>
      </c>
      <c r="AN557" s="12" t="str">
        <f ca="1">IFERROR(MATCH($G$115,OFFSET(#REF!,AN556,0,1000000),0)+AN556,"")</f>
        <v/>
      </c>
      <c r="AO557" s="17" t="str">
        <f ca="1">IFERROR(_xlfn.SINGLE(INDEX(#REF!,'Monthly Report'!AN557)),"")</f>
        <v/>
      </c>
      <c r="AP557" s="12" t="str">
        <f ca="1">IFERROR(_xlfn.SINGLE(INDEX(#REF!,'Monthly Report'!AN557)),"")</f>
        <v/>
      </c>
    </row>
    <row r="558" spans="36:42">
      <c r="AJ558" s="12" t="str">
        <f ca="1">IFERROR(MATCH($B$114,OFFSET(#REF!,AJ557,0,1000000),0)+AJ557,"")</f>
        <v/>
      </c>
      <c r="AK558" s="17" t="str">
        <f ca="1">IFERROR(_xlfn.SINGLE(INDEX(#REF!,'Monthly Report'!AJ558)),"")</f>
        <v/>
      </c>
      <c r="AL558" s="12" t="str">
        <f ca="1">IFERROR(_xlfn.SINGLE(INDEX(#REF!,'Monthly Report'!AJ558)),"")</f>
        <v/>
      </c>
      <c r="AN558" s="12" t="str">
        <f ca="1">IFERROR(MATCH($G$115,OFFSET(#REF!,AN557,0,1000000),0)+AN557,"")</f>
        <v/>
      </c>
      <c r="AO558" s="17" t="str">
        <f ca="1">IFERROR(_xlfn.SINGLE(INDEX(#REF!,'Monthly Report'!AN558)),"")</f>
        <v/>
      </c>
      <c r="AP558" s="12" t="str">
        <f ca="1">IFERROR(_xlfn.SINGLE(INDEX(#REF!,'Monthly Report'!AN558)),"")</f>
        <v/>
      </c>
    </row>
    <row r="559" spans="36:42">
      <c r="AJ559" s="12" t="str">
        <f ca="1">IFERROR(MATCH($B$114,OFFSET(#REF!,AJ558,0,1000000),0)+AJ558,"")</f>
        <v/>
      </c>
      <c r="AK559" s="17" t="str">
        <f ca="1">IFERROR(_xlfn.SINGLE(INDEX(#REF!,'Monthly Report'!AJ559)),"")</f>
        <v/>
      </c>
      <c r="AL559" s="12" t="str">
        <f ca="1">IFERROR(_xlfn.SINGLE(INDEX(#REF!,'Monthly Report'!AJ559)),"")</f>
        <v/>
      </c>
      <c r="AN559" s="12" t="str">
        <f ca="1">IFERROR(MATCH($G$115,OFFSET(#REF!,AN558,0,1000000),0)+AN558,"")</f>
        <v/>
      </c>
      <c r="AO559" s="17" t="str">
        <f ca="1">IFERROR(_xlfn.SINGLE(INDEX(#REF!,'Monthly Report'!AN559)),"")</f>
        <v/>
      </c>
      <c r="AP559" s="12" t="str">
        <f ca="1">IFERROR(_xlfn.SINGLE(INDEX(#REF!,'Monthly Report'!AN559)),"")</f>
        <v/>
      </c>
    </row>
    <row r="560" spans="36:42">
      <c r="AJ560" s="12" t="str">
        <f ca="1">IFERROR(MATCH($B$114,OFFSET(#REF!,AJ559,0,1000000),0)+AJ559,"")</f>
        <v/>
      </c>
      <c r="AK560" s="17" t="str">
        <f ca="1">IFERROR(_xlfn.SINGLE(INDEX(#REF!,'Monthly Report'!AJ560)),"")</f>
        <v/>
      </c>
      <c r="AL560" s="12" t="str">
        <f ca="1">IFERROR(_xlfn.SINGLE(INDEX(#REF!,'Monthly Report'!AJ560)),"")</f>
        <v/>
      </c>
      <c r="AN560" s="12" t="str">
        <f ca="1">IFERROR(MATCH($G$115,OFFSET(#REF!,AN559,0,1000000),0)+AN559,"")</f>
        <v/>
      </c>
      <c r="AO560" s="17" t="str">
        <f ca="1">IFERROR(_xlfn.SINGLE(INDEX(#REF!,'Monthly Report'!AN560)),"")</f>
        <v/>
      </c>
      <c r="AP560" s="12" t="str">
        <f ca="1">IFERROR(_xlfn.SINGLE(INDEX(#REF!,'Monthly Report'!AN560)),"")</f>
        <v/>
      </c>
    </row>
    <row r="561" spans="36:42">
      <c r="AJ561" s="12" t="str">
        <f ca="1">IFERROR(MATCH($B$114,OFFSET(#REF!,AJ560,0,1000000),0)+AJ560,"")</f>
        <v/>
      </c>
      <c r="AK561" s="17" t="str">
        <f ca="1">IFERROR(_xlfn.SINGLE(INDEX(#REF!,'Monthly Report'!AJ561)),"")</f>
        <v/>
      </c>
      <c r="AL561" s="12" t="str">
        <f ca="1">IFERROR(_xlfn.SINGLE(INDEX(#REF!,'Monthly Report'!AJ561)),"")</f>
        <v/>
      </c>
      <c r="AN561" s="12" t="str">
        <f ca="1">IFERROR(MATCH($G$115,OFFSET(#REF!,AN560,0,1000000),0)+AN560,"")</f>
        <v/>
      </c>
      <c r="AO561" s="17" t="str">
        <f ca="1">IFERROR(_xlfn.SINGLE(INDEX(#REF!,'Monthly Report'!AN561)),"")</f>
        <v/>
      </c>
      <c r="AP561" s="12" t="str">
        <f ca="1">IFERROR(_xlfn.SINGLE(INDEX(#REF!,'Monthly Report'!AN561)),"")</f>
        <v/>
      </c>
    </row>
    <row r="562" spans="36:42">
      <c r="AJ562" s="12" t="str">
        <f ca="1">IFERROR(MATCH($B$114,OFFSET(#REF!,AJ561,0,1000000),0)+AJ561,"")</f>
        <v/>
      </c>
      <c r="AK562" s="17" t="str">
        <f ca="1">IFERROR(_xlfn.SINGLE(INDEX(#REF!,'Monthly Report'!AJ562)),"")</f>
        <v/>
      </c>
      <c r="AL562" s="12" t="str">
        <f ca="1">IFERROR(_xlfn.SINGLE(INDEX(#REF!,'Monthly Report'!AJ562)),"")</f>
        <v/>
      </c>
      <c r="AN562" s="12" t="str">
        <f ca="1">IFERROR(MATCH($G$115,OFFSET(#REF!,AN561,0,1000000),0)+AN561,"")</f>
        <v/>
      </c>
      <c r="AO562" s="17" t="str">
        <f ca="1">IFERROR(_xlfn.SINGLE(INDEX(#REF!,'Monthly Report'!AN562)),"")</f>
        <v/>
      </c>
      <c r="AP562" s="12" t="str">
        <f ca="1">IFERROR(_xlfn.SINGLE(INDEX(#REF!,'Monthly Report'!AN562)),"")</f>
        <v/>
      </c>
    </row>
    <row r="563" spans="36:42">
      <c r="AJ563" s="12" t="str">
        <f ca="1">IFERROR(MATCH($B$114,OFFSET(#REF!,AJ562,0,1000000),0)+AJ562,"")</f>
        <v/>
      </c>
      <c r="AK563" s="17" t="str">
        <f ca="1">IFERROR(_xlfn.SINGLE(INDEX(#REF!,'Monthly Report'!AJ563)),"")</f>
        <v/>
      </c>
      <c r="AL563" s="12" t="str">
        <f ca="1">IFERROR(_xlfn.SINGLE(INDEX(#REF!,'Monthly Report'!AJ563)),"")</f>
        <v/>
      </c>
      <c r="AN563" s="12" t="str">
        <f ca="1">IFERROR(MATCH($G$115,OFFSET(#REF!,AN562,0,1000000),0)+AN562,"")</f>
        <v/>
      </c>
      <c r="AO563" s="17" t="str">
        <f ca="1">IFERROR(_xlfn.SINGLE(INDEX(#REF!,'Monthly Report'!AN563)),"")</f>
        <v/>
      </c>
      <c r="AP563" s="12" t="str">
        <f ca="1">IFERROR(_xlfn.SINGLE(INDEX(#REF!,'Monthly Report'!AN563)),"")</f>
        <v/>
      </c>
    </row>
    <row r="564" spans="36:42">
      <c r="AJ564" s="12" t="str">
        <f ca="1">IFERROR(MATCH($B$114,OFFSET(#REF!,AJ563,0,1000000),0)+AJ563,"")</f>
        <v/>
      </c>
      <c r="AK564" s="17" t="str">
        <f ca="1">IFERROR(_xlfn.SINGLE(INDEX(#REF!,'Monthly Report'!AJ564)),"")</f>
        <v/>
      </c>
      <c r="AL564" s="12" t="str">
        <f ca="1">IFERROR(_xlfn.SINGLE(INDEX(#REF!,'Monthly Report'!AJ564)),"")</f>
        <v/>
      </c>
      <c r="AN564" s="12" t="str">
        <f ca="1">IFERROR(MATCH($G$115,OFFSET(#REF!,AN563,0,1000000),0)+AN563,"")</f>
        <v/>
      </c>
      <c r="AO564" s="17" t="str">
        <f ca="1">IFERROR(_xlfn.SINGLE(INDEX(#REF!,'Monthly Report'!AN564)),"")</f>
        <v/>
      </c>
      <c r="AP564" s="12" t="str">
        <f ca="1">IFERROR(_xlfn.SINGLE(INDEX(#REF!,'Monthly Report'!AN564)),"")</f>
        <v/>
      </c>
    </row>
    <row r="565" spans="36:42">
      <c r="AJ565" s="12" t="str">
        <f ca="1">IFERROR(MATCH($B$114,OFFSET(#REF!,AJ564,0,1000000),0)+AJ564,"")</f>
        <v/>
      </c>
      <c r="AK565" s="17" t="str">
        <f ca="1">IFERROR(_xlfn.SINGLE(INDEX(#REF!,'Monthly Report'!AJ565)),"")</f>
        <v/>
      </c>
      <c r="AL565" s="12" t="str">
        <f ca="1">IFERROR(_xlfn.SINGLE(INDEX(#REF!,'Monthly Report'!AJ565)),"")</f>
        <v/>
      </c>
      <c r="AN565" s="12" t="str">
        <f ca="1">IFERROR(MATCH($G$115,OFFSET(#REF!,AN564,0,1000000),0)+AN564,"")</f>
        <v/>
      </c>
      <c r="AO565" s="17" t="str">
        <f ca="1">IFERROR(_xlfn.SINGLE(INDEX(#REF!,'Monthly Report'!AN565)),"")</f>
        <v/>
      </c>
      <c r="AP565" s="12" t="str">
        <f ca="1">IFERROR(_xlfn.SINGLE(INDEX(#REF!,'Monthly Report'!AN565)),"")</f>
        <v/>
      </c>
    </row>
    <row r="566" spans="36:42">
      <c r="AJ566" s="12" t="str">
        <f ca="1">IFERROR(MATCH($B$114,OFFSET(#REF!,AJ565,0,1000000),0)+AJ565,"")</f>
        <v/>
      </c>
      <c r="AK566" s="17" t="str">
        <f ca="1">IFERROR(_xlfn.SINGLE(INDEX(#REF!,'Monthly Report'!AJ566)),"")</f>
        <v/>
      </c>
      <c r="AL566" s="12" t="str">
        <f ca="1">IFERROR(_xlfn.SINGLE(INDEX(#REF!,'Monthly Report'!AJ566)),"")</f>
        <v/>
      </c>
      <c r="AN566" s="12" t="str">
        <f ca="1">IFERROR(MATCH($G$115,OFFSET(#REF!,AN565,0,1000000),0)+AN565,"")</f>
        <v/>
      </c>
      <c r="AO566" s="17" t="str">
        <f ca="1">IFERROR(_xlfn.SINGLE(INDEX(#REF!,'Monthly Report'!AN566)),"")</f>
        <v/>
      </c>
      <c r="AP566" s="12" t="str">
        <f ca="1">IFERROR(_xlfn.SINGLE(INDEX(#REF!,'Monthly Report'!AN566)),"")</f>
        <v/>
      </c>
    </row>
    <row r="567" spans="36:42">
      <c r="AJ567" s="12" t="str">
        <f ca="1">IFERROR(MATCH($B$114,OFFSET(#REF!,AJ566,0,1000000),0)+AJ566,"")</f>
        <v/>
      </c>
      <c r="AK567" s="17" t="str">
        <f ca="1">IFERROR(_xlfn.SINGLE(INDEX(#REF!,'Monthly Report'!AJ567)),"")</f>
        <v/>
      </c>
      <c r="AL567" s="12" t="str">
        <f ca="1">IFERROR(_xlfn.SINGLE(INDEX(#REF!,'Monthly Report'!AJ567)),"")</f>
        <v/>
      </c>
      <c r="AN567" s="12" t="str">
        <f ca="1">IFERROR(MATCH($G$115,OFFSET(#REF!,AN566,0,1000000),0)+AN566,"")</f>
        <v/>
      </c>
      <c r="AO567" s="17" t="str">
        <f ca="1">IFERROR(_xlfn.SINGLE(INDEX(#REF!,'Monthly Report'!AN567)),"")</f>
        <v/>
      </c>
      <c r="AP567" s="12" t="str">
        <f ca="1">IFERROR(_xlfn.SINGLE(INDEX(#REF!,'Monthly Report'!AN567)),"")</f>
        <v/>
      </c>
    </row>
    <row r="568" spans="36:42">
      <c r="AJ568" s="12" t="str">
        <f ca="1">IFERROR(MATCH($B$114,OFFSET(#REF!,AJ567,0,1000000),0)+AJ567,"")</f>
        <v/>
      </c>
      <c r="AK568" s="17" t="str">
        <f ca="1">IFERROR(_xlfn.SINGLE(INDEX(#REF!,'Monthly Report'!AJ568)),"")</f>
        <v/>
      </c>
      <c r="AL568" s="12" t="str">
        <f ca="1">IFERROR(_xlfn.SINGLE(INDEX(#REF!,'Monthly Report'!AJ568)),"")</f>
        <v/>
      </c>
      <c r="AN568" s="12" t="str">
        <f ca="1">IFERROR(MATCH($G$115,OFFSET(#REF!,AN567,0,1000000),0)+AN567,"")</f>
        <v/>
      </c>
      <c r="AO568" s="17" t="str">
        <f ca="1">IFERROR(_xlfn.SINGLE(INDEX(#REF!,'Monthly Report'!AN568)),"")</f>
        <v/>
      </c>
      <c r="AP568" s="12" t="str">
        <f ca="1">IFERROR(_xlfn.SINGLE(INDEX(#REF!,'Monthly Report'!AN568)),"")</f>
        <v/>
      </c>
    </row>
    <row r="569" spans="36:42">
      <c r="AJ569" s="12" t="str">
        <f ca="1">IFERROR(MATCH($B$114,OFFSET(#REF!,AJ568,0,1000000),0)+AJ568,"")</f>
        <v/>
      </c>
      <c r="AK569" s="17" t="str">
        <f ca="1">IFERROR(_xlfn.SINGLE(INDEX(#REF!,'Monthly Report'!AJ569)),"")</f>
        <v/>
      </c>
      <c r="AL569" s="12" t="str">
        <f ca="1">IFERROR(_xlfn.SINGLE(INDEX(#REF!,'Monthly Report'!AJ569)),"")</f>
        <v/>
      </c>
      <c r="AN569" s="12" t="str">
        <f ca="1">IFERROR(MATCH($G$115,OFFSET(#REF!,AN568,0,1000000),0)+AN568,"")</f>
        <v/>
      </c>
      <c r="AO569" s="17" t="str">
        <f ca="1">IFERROR(_xlfn.SINGLE(INDEX(#REF!,'Monthly Report'!AN569)),"")</f>
        <v/>
      </c>
      <c r="AP569" s="12" t="str">
        <f ca="1">IFERROR(_xlfn.SINGLE(INDEX(#REF!,'Monthly Report'!AN569)),"")</f>
        <v/>
      </c>
    </row>
    <row r="570" spans="36:42">
      <c r="AJ570" s="12" t="str">
        <f ca="1">IFERROR(MATCH($B$114,OFFSET(#REF!,AJ569,0,1000000),0)+AJ569,"")</f>
        <v/>
      </c>
      <c r="AK570" s="17" t="str">
        <f ca="1">IFERROR(_xlfn.SINGLE(INDEX(#REF!,'Monthly Report'!AJ570)),"")</f>
        <v/>
      </c>
      <c r="AL570" s="12" t="str">
        <f ca="1">IFERROR(_xlfn.SINGLE(INDEX(#REF!,'Monthly Report'!AJ570)),"")</f>
        <v/>
      </c>
      <c r="AN570" s="12" t="str">
        <f ca="1">IFERROR(MATCH($G$115,OFFSET(#REF!,AN569,0,1000000),0)+AN569,"")</f>
        <v/>
      </c>
      <c r="AO570" s="17" t="str">
        <f ca="1">IFERROR(_xlfn.SINGLE(INDEX(#REF!,'Monthly Report'!AN570)),"")</f>
        <v/>
      </c>
      <c r="AP570" s="12" t="str">
        <f ca="1">IFERROR(_xlfn.SINGLE(INDEX(#REF!,'Monthly Report'!AN570)),"")</f>
        <v/>
      </c>
    </row>
    <row r="571" spans="36:42">
      <c r="AJ571" s="12" t="str">
        <f ca="1">IFERROR(MATCH($B$114,OFFSET(#REF!,AJ570,0,1000000),0)+AJ570,"")</f>
        <v/>
      </c>
      <c r="AK571" s="17" t="str">
        <f ca="1">IFERROR(_xlfn.SINGLE(INDEX(#REF!,'Monthly Report'!AJ571)),"")</f>
        <v/>
      </c>
      <c r="AL571" s="12" t="str">
        <f ca="1">IFERROR(_xlfn.SINGLE(INDEX(#REF!,'Monthly Report'!AJ571)),"")</f>
        <v/>
      </c>
      <c r="AN571" s="12" t="str">
        <f ca="1">IFERROR(MATCH($G$115,OFFSET(#REF!,AN570,0,1000000),0)+AN570,"")</f>
        <v/>
      </c>
      <c r="AO571" s="17" t="str">
        <f ca="1">IFERROR(_xlfn.SINGLE(INDEX(#REF!,'Monthly Report'!AN571)),"")</f>
        <v/>
      </c>
      <c r="AP571" s="12" t="str">
        <f ca="1">IFERROR(_xlfn.SINGLE(INDEX(#REF!,'Monthly Report'!AN571)),"")</f>
        <v/>
      </c>
    </row>
    <row r="572" spans="36:42">
      <c r="AJ572" s="12" t="str">
        <f ca="1">IFERROR(MATCH($B$114,OFFSET(#REF!,AJ571,0,1000000),0)+AJ571,"")</f>
        <v/>
      </c>
      <c r="AK572" s="17" t="str">
        <f ca="1">IFERROR(_xlfn.SINGLE(INDEX(#REF!,'Monthly Report'!AJ572)),"")</f>
        <v/>
      </c>
      <c r="AL572" s="12" t="str">
        <f ca="1">IFERROR(_xlfn.SINGLE(INDEX(#REF!,'Monthly Report'!AJ572)),"")</f>
        <v/>
      </c>
      <c r="AN572" s="12" t="str">
        <f ca="1">IFERROR(MATCH($G$115,OFFSET(#REF!,AN571,0,1000000),0)+AN571,"")</f>
        <v/>
      </c>
      <c r="AO572" s="17" t="str">
        <f ca="1">IFERROR(_xlfn.SINGLE(INDEX(#REF!,'Monthly Report'!AN572)),"")</f>
        <v/>
      </c>
      <c r="AP572" s="12" t="str">
        <f ca="1">IFERROR(_xlfn.SINGLE(INDEX(#REF!,'Monthly Report'!AN572)),"")</f>
        <v/>
      </c>
    </row>
    <row r="573" spans="36:42">
      <c r="AJ573" s="12" t="str">
        <f ca="1">IFERROR(MATCH($B$114,OFFSET(#REF!,AJ572,0,1000000),0)+AJ572,"")</f>
        <v/>
      </c>
      <c r="AK573" s="17" t="str">
        <f ca="1">IFERROR(_xlfn.SINGLE(INDEX(#REF!,'Monthly Report'!AJ573)),"")</f>
        <v/>
      </c>
      <c r="AL573" s="12" t="str">
        <f ca="1">IFERROR(_xlfn.SINGLE(INDEX(#REF!,'Monthly Report'!AJ573)),"")</f>
        <v/>
      </c>
      <c r="AN573" s="12" t="str">
        <f ca="1">IFERROR(MATCH($G$115,OFFSET(#REF!,AN572,0,1000000),0)+AN572,"")</f>
        <v/>
      </c>
      <c r="AO573" s="17" t="str">
        <f ca="1">IFERROR(_xlfn.SINGLE(INDEX(#REF!,'Monthly Report'!AN573)),"")</f>
        <v/>
      </c>
      <c r="AP573" s="12" t="str">
        <f ca="1">IFERROR(_xlfn.SINGLE(INDEX(#REF!,'Monthly Report'!AN573)),"")</f>
        <v/>
      </c>
    </row>
    <row r="574" spans="36:42">
      <c r="AJ574" s="12" t="str">
        <f ca="1">IFERROR(MATCH($B$114,OFFSET(#REF!,AJ573,0,1000000),0)+AJ573,"")</f>
        <v/>
      </c>
      <c r="AK574" s="17" t="str">
        <f ca="1">IFERROR(_xlfn.SINGLE(INDEX(#REF!,'Monthly Report'!AJ574)),"")</f>
        <v/>
      </c>
      <c r="AL574" s="12" t="str">
        <f ca="1">IFERROR(_xlfn.SINGLE(INDEX(#REF!,'Monthly Report'!AJ574)),"")</f>
        <v/>
      </c>
      <c r="AN574" s="12" t="str">
        <f ca="1">IFERROR(MATCH($G$115,OFFSET(#REF!,AN573,0,1000000),0)+AN573,"")</f>
        <v/>
      </c>
      <c r="AO574" s="17" t="str">
        <f ca="1">IFERROR(_xlfn.SINGLE(INDEX(#REF!,'Monthly Report'!AN574)),"")</f>
        <v/>
      </c>
      <c r="AP574" s="12" t="str">
        <f ca="1">IFERROR(_xlfn.SINGLE(INDEX(#REF!,'Monthly Report'!AN574)),"")</f>
        <v/>
      </c>
    </row>
    <row r="575" spans="36:42">
      <c r="AJ575" s="12" t="str">
        <f ca="1">IFERROR(MATCH($B$114,OFFSET(#REF!,AJ574,0,1000000),0)+AJ574,"")</f>
        <v/>
      </c>
      <c r="AK575" s="17" t="str">
        <f ca="1">IFERROR(_xlfn.SINGLE(INDEX(#REF!,'Monthly Report'!AJ575)),"")</f>
        <v/>
      </c>
      <c r="AL575" s="12" t="str">
        <f ca="1">IFERROR(_xlfn.SINGLE(INDEX(#REF!,'Monthly Report'!AJ575)),"")</f>
        <v/>
      </c>
      <c r="AN575" s="12" t="str">
        <f ca="1">IFERROR(MATCH($G$115,OFFSET(#REF!,AN574,0,1000000),0)+AN574,"")</f>
        <v/>
      </c>
      <c r="AO575" s="17" t="str">
        <f ca="1">IFERROR(_xlfn.SINGLE(INDEX(#REF!,'Monthly Report'!AN575)),"")</f>
        <v/>
      </c>
      <c r="AP575" s="12" t="str">
        <f ca="1">IFERROR(_xlfn.SINGLE(INDEX(#REF!,'Monthly Report'!AN575)),"")</f>
        <v/>
      </c>
    </row>
    <row r="576" spans="36:42">
      <c r="AJ576" s="12" t="str">
        <f ca="1">IFERROR(MATCH($B$114,OFFSET(#REF!,AJ575,0,1000000),0)+AJ575,"")</f>
        <v/>
      </c>
      <c r="AK576" s="17" t="str">
        <f ca="1">IFERROR(_xlfn.SINGLE(INDEX(#REF!,'Monthly Report'!AJ576)),"")</f>
        <v/>
      </c>
      <c r="AL576" s="12" t="str">
        <f ca="1">IFERROR(_xlfn.SINGLE(INDEX(#REF!,'Monthly Report'!AJ576)),"")</f>
        <v/>
      </c>
      <c r="AN576" s="12" t="str">
        <f ca="1">IFERROR(MATCH($G$115,OFFSET(#REF!,AN575,0,1000000),0)+AN575,"")</f>
        <v/>
      </c>
      <c r="AO576" s="17" t="str">
        <f ca="1">IFERROR(_xlfn.SINGLE(INDEX(#REF!,'Monthly Report'!AN576)),"")</f>
        <v/>
      </c>
      <c r="AP576" s="12" t="str">
        <f ca="1">IFERROR(_xlfn.SINGLE(INDEX(#REF!,'Monthly Report'!AN576)),"")</f>
        <v/>
      </c>
    </row>
    <row r="577" spans="36:42">
      <c r="AJ577" s="12" t="str">
        <f ca="1">IFERROR(MATCH($B$114,OFFSET(#REF!,AJ576,0,1000000),0)+AJ576,"")</f>
        <v/>
      </c>
      <c r="AK577" s="17" t="str">
        <f ca="1">IFERROR(_xlfn.SINGLE(INDEX(#REF!,'Monthly Report'!AJ577)),"")</f>
        <v/>
      </c>
      <c r="AL577" s="12" t="str">
        <f ca="1">IFERROR(_xlfn.SINGLE(INDEX(#REF!,'Monthly Report'!AJ577)),"")</f>
        <v/>
      </c>
      <c r="AN577" s="12" t="str">
        <f ca="1">IFERROR(MATCH($G$115,OFFSET(#REF!,AN576,0,1000000),0)+AN576,"")</f>
        <v/>
      </c>
      <c r="AO577" s="17" t="str">
        <f ca="1">IFERROR(_xlfn.SINGLE(INDEX(#REF!,'Monthly Report'!AN577)),"")</f>
        <v/>
      </c>
      <c r="AP577" s="12" t="str">
        <f ca="1">IFERROR(_xlfn.SINGLE(INDEX(#REF!,'Monthly Report'!AN577)),"")</f>
        <v/>
      </c>
    </row>
    <row r="578" spans="36:42">
      <c r="AJ578" s="12" t="str">
        <f ca="1">IFERROR(MATCH($B$114,OFFSET(#REF!,AJ577,0,1000000),0)+AJ577,"")</f>
        <v/>
      </c>
      <c r="AK578" s="17" t="str">
        <f ca="1">IFERROR(_xlfn.SINGLE(INDEX(#REF!,'Monthly Report'!AJ578)),"")</f>
        <v/>
      </c>
      <c r="AL578" s="12" t="str">
        <f ca="1">IFERROR(_xlfn.SINGLE(INDEX(#REF!,'Monthly Report'!AJ578)),"")</f>
        <v/>
      </c>
      <c r="AN578" s="12" t="str">
        <f ca="1">IFERROR(MATCH($G$115,OFFSET(#REF!,AN577,0,1000000),0)+AN577,"")</f>
        <v/>
      </c>
      <c r="AO578" s="17" t="str">
        <f ca="1">IFERROR(_xlfn.SINGLE(INDEX(#REF!,'Monthly Report'!AN578)),"")</f>
        <v/>
      </c>
      <c r="AP578" s="12" t="str">
        <f ca="1">IFERROR(_xlfn.SINGLE(INDEX(#REF!,'Monthly Report'!AN578)),"")</f>
        <v/>
      </c>
    </row>
    <row r="579" spans="36:42">
      <c r="AJ579" s="12" t="str">
        <f ca="1">IFERROR(MATCH($B$114,OFFSET(#REF!,AJ578,0,1000000),0)+AJ578,"")</f>
        <v/>
      </c>
      <c r="AK579" s="17" t="str">
        <f ca="1">IFERROR(_xlfn.SINGLE(INDEX(#REF!,'Monthly Report'!AJ579)),"")</f>
        <v/>
      </c>
      <c r="AL579" s="12" t="str">
        <f ca="1">IFERROR(_xlfn.SINGLE(INDEX(#REF!,'Monthly Report'!AJ579)),"")</f>
        <v/>
      </c>
      <c r="AN579" s="12" t="str">
        <f ca="1">IFERROR(MATCH($G$115,OFFSET(#REF!,AN578,0,1000000),0)+AN578,"")</f>
        <v/>
      </c>
      <c r="AO579" s="17" t="str">
        <f ca="1">IFERROR(_xlfn.SINGLE(INDEX(#REF!,'Monthly Report'!AN579)),"")</f>
        <v/>
      </c>
      <c r="AP579" s="12" t="str">
        <f ca="1">IFERROR(_xlfn.SINGLE(INDEX(#REF!,'Monthly Report'!AN579)),"")</f>
        <v/>
      </c>
    </row>
    <row r="580" spans="36:42">
      <c r="AJ580" s="12" t="str">
        <f ca="1">IFERROR(MATCH($B$114,OFFSET(#REF!,AJ579,0,1000000),0)+AJ579,"")</f>
        <v/>
      </c>
      <c r="AK580" s="17" t="str">
        <f ca="1">IFERROR(_xlfn.SINGLE(INDEX(#REF!,'Monthly Report'!AJ580)),"")</f>
        <v/>
      </c>
      <c r="AL580" s="12" t="str">
        <f ca="1">IFERROR(_xlfn.SINGLE(INDEX(#REF!,'Monthly Report'!AJ580)),"")</f>
        <v/>
      </c>
      <c r="AN580" s="12" t="str">
        <f ca="1">IFERROR(MATCH($G$115,OFFSET(#REF!,AN579,0,1000000),0)+AN579,"")</f>
        <v/>
      </c>
      <c r="AO580" s="17" t="str">
        <f ca="1">IFERROR(_xlfn.SINGLE(INDEX(#REF!,'Monthly Report'!AN580)),"")</f>
        <v/>
      </c>
      <c r="AP580" s="12" t="str">
        <f ca="1">IFERROR(_xlfn.SINGLE(INDEX(#REF!,'Monthly Report'!AN580)),"")</f>
        <v/>
      </c>
    </row>
    <row r="581" spans="36:42">
      <c r="AJ581" s="12" t="str">
        <f ca="1">IFERROR(MATCH($B$114,OFFSET(#REF!,AJ580,0,1000000),0)+AJ580,"")</f>
        <v/>
      </c>
      <c r="AK581" s="17" t="str">
        <f ca="1">IFERROR(_xlfn.SINGLE(INDEX(#REF!,'Monthly Report'!AJ581)),"")</f>
        <v/>
      </c>
      <c r="AL581" s="12" t="str">
        <f ca="1">IFERROR(_xlfn.SINGLE(INDEX(#REF!,'Monthly Report'!AJ581)),"")</f>
        <v/>
      </c>
      <c r="AN581" s="12" t="str">
        <f ca="1">IFERROR(MATCH($G$115,OFFSET(#REF!,AN580,0,1000000),0)+AN580,"")</f>
        <v/>
      </c>
      <c r="AO581" s="17" t="str">
        <f ca="1">IFERROR(_xlfn.SINGLE(INDEX(#REF!,'Monthly Report'!AN581)),"")</f>
        <v/>
      </c>
      <c r="AP581" s="12" t="str">
        <f ca="1">IFERROR(_xlfn.SINGLE(INDEX(#REF!,'Monthly Report'!AN581)),"")</f>
        <v/>
      </c>
    </row>
    <row r="582" spans="36:42">
      <c r="AJ582" s="12" t="str">
        <f ca="1">IFERROR(MATCH($B$114,OFFSET(#REF!,AJ581,0,1000000),0)+AJ581,"")</f>
        <v/>
      </c>
      <c r="AK582" s="17" t="str">
        <f ca="1">IFERROR(_xlfn.SINGLE(INDEX(#REF!,'Monthly Report'!AJ582)),"")</f>
        <v/>
      </c>
      <c r="AL582" s="12" t="str">
        <f ca="1">IFERROR(_xlfn.SINGLE(INDEX(#REF!,'Monthly Report'!AJ582)),"")</f>
        <v/>
      </c>
      <c r="AN582" s="12" t="str">
        <f ca="1">IFERROR(MATCH($G$115,OFFSET(#REF!,AN581,0,1000000),0)+AN581,"")</f>
        <v/>
      </c>
      <c r="AO582" s="17" t="str">
        <f ca="1">IFERROR(_xlfn.SINGLE(INDEX(#REF!,'Monthly Report'!AN582)),"")</f>
        <v/>
      </c>
      <c r="AP582" s="12" t="str">
        <f ca="1">IFERROR(_xlfn.SINGLE(INDEX(#REF!,'Monthly Report'!AN582)),"")</f>
        <v/>
      </c>
    </row>
    <row r="583" spans="36:42">
      <c r="AJ583" s="12" t="str">
        <f ca="1">IFERROR(MATCH($B$114,OFFSET(#REF!,AJ582,0,1000000),0)+AJ582,"")</f>
        <v/>
      </c>
      <c r="AK583" s="17" t="str">
        <f ca="1">IFERROR(_xlfn.SINGLE(INDEX(#REF!,'Monthly Report'!AJ583)),"")</f>
        <v/>
      </c>
      <c r="AL583" s="12" t="str">
        <f ca="1">IFERROR(_xlfn.SINGLE(INDEX(#REF!,'Monthly Report'!AJ583)),"")</f>
        <v/>
      </c>
      <c r="AN583" s="12" t="str">
        <f ca="1">IFERROR(MATCH($G$115,OFFSET(#REF!,AN582,0,1000000),0)+AN582,"")</f>
        <v/>
      </c>
      <c r="AO583" s="17" t="str">
        <f ca="1">IFERROR(_xlfn.SINGLE(INDEX(#REF!,'Monthly Report'!AN583)),"")</f>
        <v/>
      </c>
      <c r="AP583" s="12" t="str">
        <f ca="1">IFERROR(_xlfn.SINGLE(INDEX(#REF!,'Monthly Report'!AN583)),"")</f>
        <v/>
      </c>
    </row>
    <row r="584" spans="36:42">
      <c r="AJ584" s="12" t="str">
        <f ca="1">IFERROR(MATCH($B$114,OFFSET(#REF!,AJ583,0,1000000),0)+AJ583,"")</f>
        <v/>
      </c>
      <c r="AK584" s="17" t="str">
        <f ca="1">IFERROR(_xlfn.SINGLE(INDEX(#REF!,'Monthly Report'!AJ584)),"")</f>
        <v/>
      </c>
      <c r="AL584" s="12" t="str">
        <f ca="1">IFERROR(_xlfn.SINGLE(INDEX(#REF!,'Monthly Report'!AJ584)),"")</f>
        <v/>
      </c>
      <c r="AN584" s="12" t="str">
        <f ca="1">IFERROR(MATCH($G$115,OFFSET(#REF!,AN583,0,1000000),0)+AN583,"")</f>
        <v/>
      </c>
      <c r="AO584" s="17" t="str">
        <f ca="1">IFERROR(_xlfn.SINGLE(INDEX(#REF!,'Monthly Report'!AN584)),"")</f>
        <v/>
      </c>
      <c r="AP584" s="12" t="str">
        <f ca="1">IFERROR(_xlfn.SINGLE(INDEX(#REF!,'Monthly Report'!AN584)),"")</f>
        <v/>
      </c>
    </row>
    <row r="585" spans="36:42">
      <c r="AJ585" s="12" t="str">
        <f ca="1">IFERROR(MATCH($B$114,OFFSET(#REF!,AJ584,0,1000000),0)+AJ584,"")</f>
        <v/>
      </c>
      <c r="AK585" s="17" t="str">
        <f ca="1">IFERROR(_xlfn.SINGLE(INDEX(#REF!,'Monthly Report'!AJ585)),"")</f>
        <v/>
      </c>
      <c r="AL585" s="12" t="str">
        <f ca="1">IFERROR(_xlfn.SINGLE(INDEX(#REF!,'Monthly Report'!AJ585)),"")</f>
        <v/>
      </c>
      <c r="AN585" s="12" t="str">
        <f ca="1">IFERROR(MATCH($G$115,OFFSET(#REF!,AN584,0,1000000),0)+AN584,"")</f>
        <v/>
      </c>
      <c r="AO585" s="17" t="str">
        <f ca="1">IFERROR(_xlfn.SINGLE(INDEX(#REF!,'Monthly Report'!AN585)),"")</f>
        <v/>
      </c>
      <c r="AP585" s="12" t="str">
        <f ca="1">IFERROR(_xlfn.SINGLE(INDEX(#REF!,'Monthly Report'!AN585)),"")</f>
        <v/>
      </c>
    </row>
    <row r="586" spans="36:42">
      <c r="AJ586" s="12" t="str">
        <f ca="1">IFERROR(MATCH($B$114,OFFSET(#REF!,AJ585,0,1000000),0)+AJ585,"")</f>
        <v/>
      </c>
      <c r="AK586" s="17" t="str">
        <f ca="1">IFERROR(_xlfn.SINGLE(INDEX(#REF!,'Monthly Report'!AJ586)),"")</f>
        <v/>
      </c>
      <c r="AL586" s="12" t="str">
        <f ca="1">IFERROR(_xlfn.SINGLE(INDEX(#REF!,'Monthly Report'!AJ586)),"")</f>
        <v/>
      </c>
      <c r="AN586" s="12" t="str">
        <f ca="1">IFERROR(MATCH($G$115,OFFSET(#REF!,AN585,0,1000000),0)+AN585,"")</f>
        <v/>
      </c>
      <c r="AO586" s="17" t="str">
        <f ca="1">IFERROR(_xlfn.SINGLE(INDEX(#REF!,'Monthly Report'!AN586)),"")</f>
        <v/>
      </c>
      <c r="AP586" s="12" t="str">
        <f ca="1">IFERROR(_xlfn.SINGLE(INDEX(#REF!,'Monthly Report'!AN586)),"")</f>
        <v/>
      </c>
    </row>
    <row r="587" spans="36:42">
      <c r="AJ587" s="12" t="str">
        <f ca="1">IFERROR(MATCH($B$114,OFFSET(#REF!,AJ586,0,1000000),0)+AJ586,"")</f>
        <v/>
      </c>
      <c r="AK587" s="17" t="str">
        <f ca="1">IFERROR(_xlfn.SINGLE(INDEX(#REF!,'Monthly Report'!AJ587)),"")</f>
        <v/>
      </c>
      <c r="AL587" s="12" t="str">
        <f ca="1">IFERROR(_xlfn.SINGLE(INDEX(#REF!,'Monthly Report'!AJ587)),"")</f>
        <v/>
      </c>
      <c r="AN587" s="12" t="str">
        <f ca="1">IFERROR(MATCH($G$115,OFFSET(#REF!,AN586,0,1000000),0)+AN586,"")</f>
        <v/>
      </c>
      <c r="AO587" s="17" t="str">
        <f ca="1">IFERROR(_xlfn.SINGLE(INDEX(#REF!,'Monthly Report'!AN587)),"")</f>
        <v/>
      </c>
      <c r="AP587" s="12" t="str">
        <f ca="1">IFERROR(_xlfn.SINGLE(INDEX(#REF!,'Monthly Report'!AN587)),"")</f>
        <v/>
      </c>
    </row>
    <row r="588" spans="36:42">
      <c r="AJ588" s="12" t="str">
        <f ca="1">IFERROR(MATCH($B$114,OFFSET(#REF!,AJ587,0,1000000),0)+AJ587,"")</f>
        <v/>
      </c>
      <c r="AK588" s="17" t="str">
        <f ca="1">IFERROR(_xlfn.SINGLE(INDEX(#REF!,'Monthly Report'!AJ588)),"")</f>
        <v/>
      </c>
      <c r="AL588" s="12" t="str">
        <f ca="1">IFERROR(_xlfn.SINGLE(INDEX(#REF!,'Monthly Report'!AJ588)),"")</f>
        <v/>
      </c>
      <c r="AN588" s="12" t="str">
        <f ca="1">IFERROR(MATCH($G$115,OFFSET(#REF!,AN587,0,1000000),0)+AN587,"")</f>
        <v/>
      </c>
      <c r="AO588" s="17" t="str">
        <f ca="1">IFERROR(_xlfn.SINGLE(INDEX(#REF!,'Monthly Report'!AN588)),"")</f>
        <v/>
      </c>
      <c r="AP588" s="12" t="str">
        <f ca="1">IFERROR(_xlfn.SINGLE(INDEX(#REF!,'Monthly Report'!AN588)),"")</f>
        <v/>
      </c>
    </row>
    <row r="589" spans="36:42">
      <c r="AJ589" s="12" t="str">
        <f ca="1">IFERROR(MATCH($B$114,OFFSET(#REF!,AJ588,0,1000000),0)+AJ588,"")</f>
        <v/>
      </c>
      <c r="AK589" s="17" t="str">
        <f ca="1">IFERROR(_xlfn.SINGLE(INDEX(#REF!,'Monthly Report'!AJ589)),"")</f>
        <v/>
      </c>
      <c r="AL589" s="12" t="str">
        <f ca="1">IFERROR(_xlfn.SINGLE(INDEX(#REF!,'Monthly Report'!AJ589)),"")</f>
        <v/>
      </c>
      <c r="AN589" s="12" t="str">
        <f ca="1">IFERROR(MATCH($G$115,OFFSET(#REF!,AN588,0,1000000),0)+AN588,"")</f>
        <v/>
      </c>
      <c r="AO589" s="17" t="str">
        <f ca="1">IFERROR(_xlfn.SINGLE(INDEX(#REF!,'Monthly Report'!AN589)),"")</f>
        <v/>
      </c>
      <c r="AP589" s="12" t="str">
        <f ca="1">IFERROR(_xlfn.SINGLE(INDEX(#REF!,'Monthly Report'!AN589)),"")</f>
        <v/>
      </c>
    </row>
    <row r="590" spans="36:42">
      <c r="AJ590" s="12" t="str">
        <f ca="1">IFERROR(MATCH($B$114,OFFSET(#REF!,AJ589,0,1000000),0)+AJ589,"")</f>
        <v/>
      </c>
      <c r="AK590" s="17" t="str">
        <f ca="1">IFERROR(_xlfn.SINGLE(INDEX(#REF!,'Monthly Report'!AJ590)),"")</f>
        <v/>
      </c>
      <c r="AL590" s="12" t="str">
        <f ca="1">IFERROR(_xlfn.SINGLE(INDEX(#REF!,'Monthly Report'!AJ590)),"")</f>
        <v/>
      </c>
      <c r="AN590" s="12" t="str">
        <f ca="1">IFERROR(MATCH($G$115,OFFSET(#REF!,AN589,0,1000000),0)+AN589,"")</f>
        <v/>
      </c>
      <c r="AO590" s="17" t="str">
        <f ca="1">IFERROR(_xlfn.SINGLE(INDEX(#REF!,'Monthly Report'!AN590)),"")</f>
        <v/>
      </c>
      <c r="AP590" s="12" t="str">
        <f ca="1">IFERROR(_xlfn.SINGLE(INDEX(#REF!,'Monthly Report'!AN590)),"")</f>
        <v/>
      </c>
    </row>
    <row r="591" spans="36:42">
      <c r="AJ591" s="12" t="str">
        <f ca="1">IFERROR(MATCH($B$114,OFFSET(#REF!,AJ590,0,1000000),0)+AJ590,"")</f>
        <v/>
      </c>
      <c r="AK591" s="17" t="str">
        <f ca="1">IFERROR(_xlfn.SINGLE(INDEX(#REF!,'Monthly Report'!AJ591)),"")</f>
        <v/>
      </c>
      <c r="AL591" s="12" t="str">
        <f ca="1">IFERROR(_xlfn.SINGLE(INDEX(#REF!,'Monthly Report'!AJ591)),"")</f>
        <v/>
      </c>
      <c r="AN591" s="12" t="str">
        <f ca="1">IFERROR(MATCH($G$115,OFFSET(#REF!,AN590,0,1000000),0)+AN590,"")</f>
        <v/>
      </c>
      <c r="AO591" s="17" t="str">
        <f ca="1">IFERROR(_xlfn.SINGLE(INDEX(#REF!,'Monthly Report'!AN591)),"")</f>
        <v/>
      </c>
      <c r="AP591" s="12" t="str">
        <f ca="1">IFERROR(_xlfn.SINGLE(INDEX(#REF!,'Monthly Report'!AN591)),"")</f>
        <v/>
      </c>
    </row>
    <row r="592" spans="36:42">
      <c r="AJ592" s="12" t="str">
        <f ca="1">IFERROR(MATCH($B$114,OFFSET(#REF!,AJ591,0,1000000),0)+AJ591,"")</f>
        <v/>
      </c>
      <c r="AK592" s="17" t="str">
        <f ca="1">IFERROR(_xlfn.SINGLE(INDEX(#REF!,'Monthly Report'!AJ592)),"")</f>
        <v/>
      </c>
      <c r="AL592" s="12" t="str">
        <f ca="1">IFERROR(_xlfn.SINGLE(INDEX(#REF!,'Monthly Report'!AJ592)),"")</f>
        <v/>
      </c>
      <c r="AN592" s="12" t="str">
        <f ca="1">IFERROR(MATCH($G$115,OFFSET(#REF!,AN591,0,1000000),0)+AN591,"")</f>
        <v/>
      </c>
      <c r="AO592" s="17" t="str">
        <f ca="1">IFERROR(_xlfn.SINGLE(INDEX(#REF!,'Monthly Report'!AN592)),"")</f>
        <v/>
      </c>
      <c r="AP592" s="12" t="str">
        <f ca="1">IFERROR(_xlfn.SINGLE(INDEX(#REF!,'Monthly Report'!AN592)),"")</f>
        <v/>
      </c>
    </row>
    <row r="593" spans="36:42">
      <c r="AJ593" s="12" t="str">
        <f ca="1">IFERROR(MATCH($B$114,OFFSET(#REF!,AJ592,0,1000000),0)+AJ592,"")</f>
        <v/>
      </c>
      <c r="AK593" s="17" t="str">
        <f ca="1">IFERROR(_xlfn.SINGLE(INDEX(#REF!,'Monthly Report'!AJ593)),"")</f>
        <v/>
      </c>
      <c r="AL593" s="12" t="str">
        <f ca="1">IFERROR(_xlfn.SINGLE(INDEX(#REF!,'Monthly Report'!AJ593)),"")</f>
        <v/>
      </c>
      <c r="AN593" s="12" t="str">
        <f ca="1">IFERROR(MATCH($G$115,OFFSET(#REF!,AN592,0,1000000),0)+AN592,"")</f>
        <v/>
      </c>
      <c r="AO593" s="17" t="str">
        <f ca="1">IFERROR(_xlfn.SINGLE(INDEX(#REF!,'Monthly Report'!AN593)),"")</f>
        <v/>
      </c>
      <c r="AP593" s="12" t="str">
        <f ca="1">IFERROR(_xlfn.SINGLE(INDEX(#REF!,'Monthly Report'!AN593)),"")</f>
        <v/>
      </c>
    </row>
    <row r="594" spans="36:42">
      <c r="AJ594" s="12" t="str">
        <f ca="1">IFERROR(MATCH($B$114,OFFSET(#REF!,AJ593,0,1000000),0)+AJ593,"")</f>
        <v/>
      </c>
      <c r="AK594" s="17" t="str">
        <f ca="1">IFERROR(_xlfn.SINGLE(INDEX(#REF!,'Monthly Report'!AJ594)),"")</f>
        <v/>
      </c>
      <c r="AL594" s="12" t="str">
        <f ca="1">IFERROR(_xlfn.SINGLE(INDEX(#REF!,'Monthly Report'!AJ594)),"")</f>
        <v/>
      </c>
      <c r="AN594" s="12" t="str">
        <f ca="1">IFERROR(MATCH($G$115,OFFSET(#REF!,AN593,0,1000000),0)+AN593,"")</f>
        <v/>
      </c>
      <c r="AO594" s="17" t="str">
        <f ca="1">IFERROR(_xlfn.SINGLE(INDEX(#REF!,'Monthly Report'!AN594)),"")</f>
        <v/>
      </c>
      <c r="AP594" s="12" t="str">
        <f ca="1">IFERROR(_xlfn.SINGLE(INDEX(#REF!,'Monthly Report'!AN594)),"")</f>
        <v/>
      </c>
    </row>
    <row r="595" spans="36:42">
      <c r="AJ595" s="12" t="str">
        <f ca="1">IFERROR(MATCH($B$114,OFFSET(#REF!,AJ594,0,1000000),0)+AJ594,"")</f>
        <v/>
      </c>
      <c r="AK595" s="17" t="str">
        <f ca="1">IFERROR(_xlfn.SINGLE(INDEX(#REF!,'Monthly Report'!AJ595)),"")</f>
        <v/>
      </c>
      <c r="AL595" s="12" t="str">
        <f ca="1">IFERROR(_xlfn.SINGLE(INDEX(#REF!,'Monthly Report'!AJ595)),"")</f>
        <v/>
      </c>
      <c r="AN595" s="12" t="str">
        <f ca="1">IFERROR(MATCH($G$115,OFFSET(#REF!,AN594,0,1000000),0)+AN594,"")</f>
        <v/>
      </c>
      <c r="AO595" s="17" t="str">
        <f ca="1">IFERROR(_xlfn.SINGLE(INDEX(#REF!,'Monthly Report'!AN595)),"")</f>
        <v/>
      </c>
      <c r="AP595" s="12" t="str">
        <f ca="1">IFERROR(_xlfn.SINGLE(INDEX(#REF!,'Monthly Report'!AN595)),"")</f>
        <v/>
      </c>
    </row>
    <row r="596" spans="36:42">
      <c r="AJ596" s="12" t="str">
        <f ca="1">IFERROR(MATCH($B$114,OFFSET(#REF!,AJ595,0,1000000),0)+AJ595,"")</f>
        <v/>
      </c>
      <c r="AK596" s="17" t="str">
        <f ca="1">IFERROR(_xlfn.SINGLE(INDEX(#REF!,'Monthly Report'!AJ596)),"")</f>
        <v/>
      </c>
      <c r="AL596" s="12" t="str">
        <f ca="1">IFERROR(_xlfn.SINGLE(INDEX(#REF!,'Monthly Report'!AJ596)),"")</f>
        <v/>
      </c>
      <c r="AN596" s="12" t="str">
        <f ca="1">IFERROR(MATCH($G$115,OFFSET(#REF!,AN595,0,1000000),0)+AN595,"")</f>
        <v/>
      </c>
      <c r="AO596" s="17" t="str">
        <f ca="1">IFERROR(_xlfn.SINGLE(INDEX(#REF!,'Monthly Report'!AN596)),"")</f>
        <v/>
      </c>
      <c r="AP596" s="12" t="str">
        <f ca="1">IFERROR(_xlfn.SINGLE(INDEX(#REF!,'Monthly Report'!AN596)),"")</f>
        <v/>
      </c>
    </row>
    <row r="597" spans="36:42">
      <c r="AJ597" s="12" t="str">
        <f ca="1">IFERROR(MATCH($B$114,OFFSET(#REF!,AJ596,0,1000000),0)+AJ596,"")</f>
        <v/>
      </c>
      <c r="AK597" s="17" t="str">
        <f ca="1">IFERROR(_xlfn.SINGLE(INDEX(#REF!,'Monthly Report'!AJ597)),"")</f>
        <v/>
      </c>
      <c r="AL597" s="12" t="str">
        <f ca="1">IFERROR(_xlfn.SINGLE(INDEX(#REF!,'Monthly Report'!AJ597)),"")</f>
        <v/>
      </c>
      <c r="AN597" s="12" t="str">
        <f ca="1">IFERROR(MATCH($G$115,OFFSET(#REF!,AN596,0,1000000),0)+AN596,"")</f>
        <v/>
      </c>
      <c r="AO597" s="17" t="str">
        <f ca="1">IFERROR(_xlfn.SINGLE(INDEX(#REF!,'Monthly Report'!AN597)),"")</f>
        <v/>
      </c>
      <c r="AP597" s="12" t="str">
        <f ca="1">IFERROR(_xlfn.SINGLE(INDEX(#REF!,'Monthly Report'!AN597)),"")</f>
        <v/>
      </c>
    </row>
    <row r="598" spans="36:42">
      <c r="AJ598" s="12" t="str">
        <f ca="1">IFERROR(MATCH($B$114,OFFSET(#REF!,AJ597,0,1000000),0)+AJ597,"")</f>
        <v/>
      </c>
      <c r="AK598" s="17" t="str">
        <f ca="1">IFERROR(_xlfn.SINGLE(INDEX(#REF!,'Monthly Report'!AJ598)),"")</f>
        <v/>
      </c>
      <c r="AL598" s="12" t="str">
        <f ca="1">IFERROR(_xlfn.SINGLE(INDEX(#REF!,'Monthly Report'!AJ598)),"")</f>
        <v/>
      </c>
      <c r="AN598" s="12" t="str">
        <f ca="1">IFERROR(MATCH($G$115,OFFSET(#REF!,AN597,0,1000000),0)+AN597,"")</f>
        <v/>
      </c>
      <c r="AO598" s="17" t="str">
        <f ca="1">IFERROR(_xlfn.SINGLE(INDEX(#REF!,'Monthly Report'!AN598)),"")</f>
        <v/>
      </c>
      <c r="AP598" s="12" t="str">
        <f ca="1">IFERROR(_xlfn.SINGLE(INDEX(#REF!,'Monthly Report'!AN598)),"")</f>
        <v/>
      </c>
    </row>
    <row r="599" spans="36:42">
      <c r="AJ599" s="12" t="str">
        <f ca="1">IFERROR(MATCH($B$114,OFFSET(#REF!,AJ598,0,1000000),0)+AJ598,"")</f>
        <v/>
      </c>
      <c r="AK599" s="17" t="str">
        <f ca="1">IFERROR(_xlfn.SINGLE(INDEX(#REF!,'Monthly Report'!AJ599)),"")</f>
        <v/>
      </c>
      <c r="AL599" s="12" t="str">
        <f ca="1">IFERROR(_xlfn.SINGLE(INDEX(#REF!,'Monthly Report'!AJ599)),"")</f>
        <v/>
      </c>
      <c r="AN599" s="12" t="str">
        <f ca="1">IFERROR(MATCH($G$115,OFFSET(#REF!,AN598,0,1000000),0)+AN598,"")</f>
        <v/>
      </c>
      <c r="AO599" s="17" t="str">
        <f ca="1">IFERROR(_xlfn.SINGLE(INDEX(#REF!,'Monthly Report'!AN599)),"")</f>
        <v/>
      </c>
      <c r="AP599" s="12" t="str">
        <f ca="1">IFERROR(_xlfn.SINGLE(INDEX(#REF!,'Monthly Report'!AN599)),"")</f>
        <v/>
      </c>
    </row>
    <row r="600" spans="36:42">
      <c r="AJ600" s="12" t="str">
        <f ca="1">IFERROR(MATCH($B$114,OFFSET(#REF!,AJ599,0,1000000),0)+AJ599,"")</f>
        <v/>
      </c>
      <c r="AK600" s="17" t="str">
        <f ca="1">IFERROR(_xlfn.SINGLE(INDEX(#REF!,'Monthly Report'!AJ600)),"")</f>
        <v/>
      </c>
      <c r="AL600" s="12" t="str">
        <f ca="1">IFERROR(_xlfn.SINGLE(INDEX(#REF!,'Monthly Report'!AJ600)),"")</f>
        <v/>
      </c>
      <c r="AN600" s="12" t="str">
        <f ca="1">IFERROR(MATCH($G$115,OFFSET(#REF!,AN599,0,1000000),0)+AN599,"")</f>
        <v/>
      </c>
      <c r="AO600" s="17" t="str">
        <f ca="1">IFERROR(_xlfn.SINGLE(INDEX(#REF!,'Monthly Report'!AN600)),"")</f>
        <v/>
      </c>
      <c r="AP600" s="12" t="str">
        <f ca="1">IFERROR(_xlfn.SINGLE(INDEX(#REF!,'Monthly Report'!AN600)),"")</f>
        <v/>
      </c>
    </row>
    <row r="601" spans="36:42">
      <c r="AJ601" s="12" t="str">
        <f ca="1">IFERROR(MATCH($B$114,OFFSET(#REF!,AJ600,0,1000000),0)+AJ600,"")</f>
        <v/>
      </c>
      <c r="AK601" s="17" t="str">
        <f ca="1">IFERROR(_xlfn.SINGLE(INDEX(#REF!,'Monthly Report'!AJ601)),"")</f>
        <v/>
      </c>
      <c r="AL601" s="12" t="str">
        <f ca="1">IFERROR(_xlfn.SINGLE(INDEX(#REF!,'Monthly Report'!AJ601)),"")</f>
        <v/>
      </c>
      <c r="AN601" s="12" t="str">
        <f ca="1">IFERROR(MATCH($G$115,OFFSET(#REF!,AN600,0,1000000),0)+AN600,"")</f>
        <v/>
      </c>
      <c r="AO601" s="17" t="str">
        <f ca="1">IFERROR(_xlfn.SINGLE(INDEX(#REF!,'Monthly Report'!AN601)),"")</f>
        <v/>
      </c>
      <c r="AP601" s="12" t="str">
        <f ca="1">IFERROR(_xlfn.SINGLE(INDEX(#REF!,'Monthly Report'!AN601)),"")</f>
        <v/>
      </c>
    </row>
    <row r="602" spans="36:42">
      <c r="AJ602" s="12" t="str">
        <f ca="1">IFERROR(MATCH($B$114,OFFSET(#REF!,AJ601,0,1000000),0)+AJ601,"")</f>
        <v/>
      </c>
      <c r="AK602" s="17" t="str">
        <f ca="1">IFERROR(_xlfn.SINGLE(INDEX(#REF!,'Monthly Report'!AJ602)),"")</f>
        <v/>
      </c>
      <c r="AL602" s="12" t="str">
        <f ca="1">IFERROR(_xlfn.SINGLE(INDEX(#REF!,'Monthly Report'!AJ602)),"")</f>
        <v/>
      </c>
      <c r="AN602" s="12" t="str">
        <f ca="1">IFERROR(MATCH($G$115,OFFSET(#REF!,AN601,0,1000000),0)+AN601,"")</f>
        <v/>
      </c>
      <c r="AO602" s="17" t="str">
        <f ca="1">IFERROR(_xlfn.SINGLE(INDEX(#REF!,'Monthly Report'!AN602)),"")</f>
        <v/>
      </c>
      <c r="AP602" s="12" t="str">
        <f ca="1">IFERROR(_xlfn.SINGLE(INDEX(#REF!,'Monthly Report'!AN602)),"")</f>
        <v/>
      </c>
    </row>
    <row r="603" spans="36:42">
      <c r="AJ603" s="12" t="str">
        <f ca="1">IFERROR(MATCH($B$114,OFFSET(#REF!,AJ602,0,1000000),0)+AJ602,"")</f>
        <v/>
      </c>
      <c r="AK603" s="17" t="str">
        <f ca="1">IFERROR(_xlfn.SINGLE(INDEX(#REF!,'Monthly Report'!AJ603)),"")</f>
        <v/>
      </c>
      <c r="AL603" s="12" t="str">
        <f ca="1">IFERROR(_xlfn.SINGLE(INDEX(#REF!,'Monthly Report'!AJ603)),"")</f>
        <v/>
      </c>
      <c r="AN603" s="12" t="str">
        <f ca="1">IFERROR(MATCH($G$115,OFFSET(#REF!,AN602,0,1000000),0)+AN602,"")</f>
        <v/>
      </c>
      <c r="AO603" s="17" t="str">
        <f ca="1">IFERROR(_xlfn.SINGLE(INDEX(#REF!,'Monthly Report'!AN603)),"")</f>
        <v/>
      </c>
      <c r="AP603" s="12" t="str">
        <f ca="1">IFERROR(_xlfn.SINGLE(INDEX(#REF!,'Monthly Report'!AN603)),"")</f>
        <v/>
      </c>
    </row>
    <row r="604" spans="36:42">
      <c r="AJ604" s="12" t="str">
        <f ca="1">IFERROR(MATCH($B$114,OFFSET(#REF!,AJ603,0,1000000),0)+AJ603,"")</f>
        <v/>
      </c>
      <c r="AK604" s="17" t="str">
        <f ca="1">IFERROR(_xlfn.SINGLE(INDEX(#REF!,'Monthly Report'!AJ604)),"")</f>
        <v/>
      </c>
      <c r="AL604" s="12" t="str">
        <f ca="1">IFERROR(_xlfn.SINGLE(INDEX(#REF!,'Monthly Report'!AJ604)),"")</f>
        <v/>
      </c>
      <c r="AN604" s="12" t="str">
        <f ca="1">IFERROR(MATCH($G$115,OFFSET(#REF!,AN603,0,1000000),0)+AN603,"")</f>
        <v/>
      </c>
      <c r="AO604" s="17" t="str">
        <f ca="1">IFERROR(_xlfn.SINGLE(INDEX(#REF!,'Monthly Report'!AN604)),"")</f>
        <v/>
      </c>
      <c r="AP604" s="12" t="str">
        <f ca="1">IFERROR(_xlfn.SINGLE(INDEX(#REF!,'Monthly Report'!AN604)),"")</f>
        <v/>
      </c>
    </row>
    <row r="605" spans="36:42">
      <c r="AJ605" s="12" t="str">
        <f ca="1">IFERROR(MATCH($B$114,OFFSET(#REF!,AJ604,0,1000000),0)+AJ604,"")</f>
        <v/>
      </c>
      <c r="AK605" s="17" t="str">
        <f ca="1">IFERROR(_xlfn.SINGLE(INDEX(#REF!,'Monthly Report'!AJ605)),"")</f>
        <v/>
      </c>
      <c r="AL605" s="12" t="str">
        <f ca="1">IFERROR(_xlfn.SINGLE(INDEX(#REF!,'Monthly Report'!AJ605)),"")</f>
        <v/>
      </c>
      <c r="AN605" s="12" t="str">
        <f ca="1">IFERROR(MATCH($G$115,OFFSET(#REF!,AN604,0,1000000),0)+AN604,"")</f>
        <v/>
      </c>
      <c r="AO605" s="17" t="str">
        <f ca="1">IFERROR(_xlfn.SINGLE(INDEX(#REF!,'Monthly Report'!AN605)),"")</f>
        <v/>
      </c>
      <c r="AP605" s="12" t="str">
        <f ca="1">IFERROR(_xlfn.SINGLE(INDEX(#REF!,'Monthly Report'!AN605)),"")</f>
        <v/>
      </c>
    </row>
    <row r="606" spans="36:42">
      <c r="AJ606" s="12" t="str">
        <f ca="1">IFERROR(MATCH($B$114,OFFSET(#REF!,AJ605,0,1000000),0)+AJ605,"")</f>
        <v/>
      </c>
      <c r="AK606" s="17" t="str">
        <f ca="1">IFERROR(_xlfn.SINGLE(INDEX(#REF!,'Monthly Report'!AJ606)),"")</f>
        <v/>
      </c>
      <c r="AL606" s="12" t="str">
        <f ca="1">IFERROR(_xlfn.SINGLE(INDEX(#REF!,'Monthly Report'!AJ606)),"")</f>
        <v/>
      </c>
      <c r="AN606" s="12" t="str">
        <f ca="1">IFERROR(MATCH($G$115,OFFSET(#REF!,AN605,0,1000000),0)+AN605,"")</f>
        <v/>
      </c>
      <c r="AO606" s="17" t="str">
        <f ca="1">IFERROR(_xlfn.SINGLE(INDEX(#REF!,'Monthly Report'!AN606)),"")</f>
        <v/>
      </c>
      <c r="AP606" s="12" t="str">
        <f ca="1">IFERROR(_xlfn.SINGLE(INDEX(#REF!,'Monthly Report'!AN606)),"")</f>
        <v/>
      </c>
    </row>
    <row r="607" spans="36:42">
      <c r="AJ607" s="12" t="str">
        <f ca="1">IFERROR(MATCH($B$114,OFFSET(#REF!,AJ606,0,1000000),0)+AJ606,"")</f>
        <v/>
      </c>
      <c r="AK607" s="17" t="str">
        <f ca="1">IFERROR(_xlfn.SINGLE(INDEX(#REF!,'Monthly Report'!AJ607)),"")</f>
        <v/>
      </c>
      <c r="AL607" s="12" t="str">
        <f ca="1">IFERROR(_xlfn.SINGLE(INDEX(#REF!,'Monthly Report'!AJ607)),"")</f>
        <v/>
      </c>
      <c r="AN607" s="12" t="str">
        <f ca="1">IFERROR(MATCH($G$115,OFFSET(#REF!,AN606,0,1000000),0)+AN606,"")</f>
        <v/>
      </c>
      <c r="AO607" s="17" t="str">
        <f ca="1">IFERROR(_xlfn.SINGLE(INDEX(#REF!,'Monthly Report'!AN607)),"")</f>
        <v/>
      </c>
      <c r="AP607" s="12" t="str">
        <f ca="1">IFERROR(_xlfn.SINGLE(INDEX(#REF!,'Monthly Report'!AN607)),"")</f>
        <v/>
      </c>
    </row>
    <row r="608" spans="36:42">
      <c r="AJ608" s="12" t="str">
        <f ca="1">IFERROR(MATCH($B$114,OFFSET(#REF!,AJ607,0,1000000),0)+AJ607,"")</f>
        <v/>
      </c>
      <c r="AK608" s="17" t="str">
        <f ca="1">IFERROR(_xlfn.SINGLE(INDEX(#REF!,'Monthly Report'!AJ608)),"")</f>
        <v/>
      </c>
      <c r="AL608" s="12" t="str">
        <f ca="1">IFERROR(_xlfn.SINGLE(INDEX(#REF!,'Monthly Report'!AJ608)),"")</f>
        <v/>
      </c>
      <c r="AN608" s="12" t="str">
        <f ca="1">IFERROR(MATCH($G$115,OFFSET(#REF!,AN607,0,1000000),0)+AN607,"")</f>
        <v/>
      </c>
      <c r="AO608" s="17" t="str">
        <f ca="1">IFERROR(_xlfn.SINGLE(INDEX(#REF!,'Monthly Report'!AN608)),"")</f>
        <v/>
      </c>
      <c r="AP608" s="12" t="str">
        <f ca="1">IFERROR(_xlfn.SINGLE(INDEX(#REF!,'Monthly Report'!AN608)),"")</f>
        <v/>
      </c>
    </row>
    <row r="609" spans="36:42">
      <c r="AJ609" s="12" t="str">
        <f ca="1">IFERROR(MATCH($B$114,OFFSET(#REF!,AJ608,0,1000000),0)+AJ608,"")</f>
        <v/>
      </c>
      <c r="AK609" s="17" t="str">
        <f ca="1">IFERROR(_xlfn.SINGLE(INDEX(#REF!,'Monthly Report'!AJ609)),"")</f>
        <v/>
      </c>
      <c r="AL609" s="12" t="str">
        <f ca="1">IFERROR(_xlfn.SINGLE(INDEX(#REF!,'Monthly Report'!AJ609)),"")</f>
        <v/>
      </c>
      <c r="AN609" s="12" t="str">
        <f ca="1">IFERROR(MATCH($G$115,OFFSET(#REF!,AN608,0,1000000),0)+AN608,"")</f>
        <v/>
      </c>
      <c r="AO609" s="17" t="str">
        <f ca="1">IFERROR(_xlfn.SINGLE(INDEX(#REF!,'Monthly Report'!AN609)),"")</f>
        <v/>
      </c>
      <c r="AP609" s="12" t="str">
        <f ca="1">IFERROR(_xlfn.SINGLE(INDEX(#REF!,'Monthly Report'!AN609)),"")</f>
        <v/>
      </c>
    </row>
    <row r="610" spans="36:42">
      <c r="AJ610" s="12" t="str">
        <f ca="1">IFERROR(MATCH($B$114,OFFSET(#REF!,AJ609,0,1000000),0)+AJ609,"")</f>
        <v/>
      </c>
      <c r="AK610" s="17" t="str">
        <f ca="1">IFERROR(_xlfn.SINGLE(INDEX(#REF!,'Monthly Report'!AJ610)),"")</f>
        <v/>
      </c>
      <c r="AL610" s="12" t="str">
        <f ca="1">IFERROR(_xlfn.SINGLE(INDEX(#REF!,'Monthly Report'!AJ610)),"")</f>
        <v/>
      </c>
      <c r="AN610" s="12" t="str">
        <f ca="1">IFERROR(MATCH($G$115,OFFSET(#REF!,AN609,0,1000000),0)+AN609,"")</f>
        <v/>
      </c>
      <c r="AO610" s="17" t="str">
        <f ca="1">IFERROR(_xlfn.SINGLE(INDEX(#REF!,'Monthly Report'!AN610)),"")</f>
        <v/>
      </c>
      <c r="AP610" s="12" t="str">
        <f ca="1">IFERROR(_xlfn.SINGLE(INDEX(#REF!,'Monthly Report'!AN610)),"")</f>
        <v/>
      </c>
    </row>
    <row r="611" spans="36:42">
      <c r="AJ611" s="12" t="str">
        <f ca="1">IFERROR(MATCH($B$114,OFFSET(#REF!,AJ610,0,1000000),0)+AJ610,"")</f>
        <v/>
      </c>
      <c r="AK611" s="17" t="str">
        <f ca="1">IFERROR(_xlfn.SINGLE(INDEX(#REF!,'Monthly Report'!AJ611)),"")</f>
        <v/>
      </c>
      <c r="AL611" s="12" t="str">
        <f ca="1">IFERROR(_xlfn.SINGLE(INDEX(#REF!,'Monthly Report'!AJ611)),"")</f>
        <v/>
      </c>
      <c r="AN611" s="12" t="str">
        <f ca="1">IFERROR(MATCH($G$115,OFFSET(#REF!,AN610,0,1000000),0)+AN610,"")</f>
        <v/>
      </c>
      <c r="AO611" s="17" t="str">
        <f ca="1">IFERROR(_xlfn.SINGLE(INDEX(#REF!,'Monthly Report'!AN611)),"")</f>
        <v/>
      </c>
      <c r="AP611" s="12" t="str">
        <f ca="1">IFERROR(_xlfn.SINGLE(INDEX(#REF!,'Monthly Report'!AN611)),"")</f>
        <v/>
      </c>
    </row>
    <row r="612" spans="36:42">
      <c r="AJ612" s="12" t="str">
        <f ca="1">IFERROR(MATCH($B$114,OFFSET(#REF!,AJ611,0,1000000),0)+AJ611,"")</f>
        <v/>
      </c>
      <c r="AK612" s="17" t="str">
        <f ca="1">IFERROR(_xlfn.SINGLE(INDEX(#REF!,'Monthly Report'!AJ612)),"")</f>
        <v/>
      </c>
      <c r="AL612" s="12" t="str">
        <f ca="1">IFERROR(_xlfn.SINGLE(INDEX(#REF!,'Monthly Report'!AJ612)),"")</f>
        <v/>
      </c>
      <c r="AN612" s="12" t="str">
        <f ca="1">IFERROR(MATCH($G$115,OFFSET(#REF!,AN611,0,1000000),0)+AN611,"")</f>
        <v/>
      </c>
      <c r="AO612" s="17" t="str">
        <f ca="1">IFERROR(_xlfn.SINGLE(INDEX(#REF!,'Monthly Report'!AN612)),"")</f>
        <v/>
      </c>
      <c r="AP612" s="12" t="str">
        <f ca="1">IFERROR(_xlfn.SINGLE(INDEX(#REF!,'Monthly Report'!AN612)),"")</f>
        <v/>
      </c>
    </row>
    <row r="613" spans="36:42">
      <c r="AJ613" s="12" t="str">
        <f ca="1">IFERROR(MATCH($B$114,OFFSET(#REF!,AJ612,0,1000000),0)+AJ612,"")</f>
        <v/>
      </c>
      <c r="AK613" s="17" t="str">
        <f ca="1">IFERROR(_xlfn.SINGLE(INDEX(#REF!,'Monthly Report'!AJ613)),"")</f>
        <v/>
      </c>
      <c r="AL613" s="12" t="str">
        <f ca="1">IFERROR(_xlfn.SINGLE(INDEX(#REF!,'Monthly Report'!AJ613)),"")</f>
        <v/>
      </c>
      <c r="AN613" s="12" t="str">
        <f ca="1">IFERROR(MATCH($G$115,OFFSET(#REF!,AN612,0,1000000),0)+AN612,"")</f>
        <v/>
      </c>
      <c r="AO613" s="17" t="str">
        <f ca="1">IFERROR(_xlfn.SINGLE(INDEX(#REF!,'Monthly Report'!AN613)),"")</f>
        <v/>
      </c>
      <c r="AP613" s="12" t="str">
        <f ca="1">IFERROR(_xlfn.SINGLE(INDEX(#REF!,'Monthly Report'!AN613)),"")</f>
        <v/>
      </c>
    </row>
    <row r="614" spans="36:42">
      <c r="AJ614" s="12" t="str">
        <f ca="1">IFERROR(MATCH($B$114,OFFSET(#REF!,AJ613,0,1000000),0)+AJ613,"")</f>
        <v/>
      </c>
      <c r="AK614" s="17" t="str">
        <f ca="1">IFERROR(_xlfn.SINGLE(INDEX(#REF!,'Monthly Report'!AJ614)),"")</f>
        <v/>
      </c>
      <c r="AL614" s="12" t="str">
        <f ca="1">IFERROR(_xlfn.SINGLE(INDEX(#REF!,'Monthly Report'!AJ614)),"")</f>
        <v/>
      </c>
      <c r="AN614" s="12" t="str">
        <f ca="1">IFERROR(MATCH($G$115,OFFSET(#REF!,AN613,0,1000000),0)+AN613,"")</f>
        <v/>
      </c>
      <c r="AO614" s="17" t="str">
        <f ca="1">IFERROR(_xlfn.SINGLE(INDEX(#REF!,'Monthly Report'!AN614)),"")</f>
        <v/>
      </c>
      <c r="AP614" s="12" t="str">
        <f ca="1">IFERROR(_xlfn.SINGLE(INDEX(#REF!,'Monthly Report'!AN614)),"")</f>
        <v/>
      </c>
    </row>
    <row r="615" spans="36:42">
      <c r="AJ615" s="12" t="str">
        <f ca="1">IFERROR(MATCH($B$114,OFFSET(#REF!,AJ614,0,1000000),0)+AJ614,"")</f>
        <v/>
      </c>
      <c r="AK615" s="17" t="str">
        <f ca="1">IFERROR(_xlfn.SINGLE(INDEX(#REF!,'Monthly Report'!AJ615)),"")</f>
        <v/>
      </c>
      <c r="AL615" s="12" t="str">
        <f ca="1">IFERROR(_xlfn.SINGLE(INDEX(#REF!,'Monthly Report'!AJ615)),"")</f>
        <v/>
      </c>
      <c r="AN615" s="12" t="str">
        <f ca="1">IFERROR(MATCH($G$115,OFFSET(#REF!,AN614,0,1000000),0)+AN614,"")</f>
        <v/>
      </c>
      <c r="AO615" s="17" t="str">
        <f ca="1">IFERROR(_xlfn.SINGLE(INDEX(#REF!,'Monthly Report'!AN615)),"")</f>
        <v/>
      </c>
      <c r="AP615" s="12" t="str">
        <f ca="1">IFERROR(_xlfn.SINGLE(INDEX(#REF!,'Monthly Report'!AN615)),"")</f>
        <v/>
      </c>
    </row>
    <row r="616" spans="36:42">
      <c r="AJ616" s="12" t="str">
        <f ca="1">IFERROR(MATCH($B$114,OFFSET(#REF!,AJ615,0,1000000),0)+AJ615,"")</f>
        <v/>
      </c>
      <c r="AK616" s="17" t="str">
        <f ca="1">IFERROR(_xlfn.SINGLE(INDEX(#REF!,'Monthly Report'!AJ616)),"")</f>
        <v/>
      </c>
      <c r="AL616" s="12" t="str">
        <f ca="1">IFERROR(_xlfn.SINGLE(INDEX(#REF!,'Monthly Report'!AJ616)),"")</f>
        <v/>
      </c>
      <c r="AN616" s="12" t="str">
        <f ca="1">IFERROR(MATCH($G$115,OFFSET(#REF!,AN615,0,1000000),0)+AN615,"")</f>
        <v/>
      </c>
      <c r="AO616" s="17" t="str">
        <f ca="1">IFERROR(_xlfn.SINGLE(INDEX(#REF!,'Monthly Report'!AN616)),"")</f>
        <v/>
      </c>
      <c r="AP616" s="12" t="str">
        <f ca="1">IFERROR(_xlfn.SINGLE(INDEX(#REF!,'Monthly Report'!AN616)),"")</f>
        <v/>
      </c>
    </row>
    <row r="617" spans="36:42">
      <c r="AJ617" s="12" t="str">
        <f ca="1">IFERROR(MATCH($B$114,OFFSET(#REF!,AJ616,0,1000000),0)+AJ616,"")</f>
        <v/>
      </c>
      <c r="AK617" s="17" t="str">
        <f ca="1">IFERROR(_xlfn.SINGLE(INDEX(#REF!,'Monthly Report'!AJ617)),"")</f>
        <v/>
      </c>
      <c r="AL617" s="12" t="str">
        <f ca="1">IFERROR(_xlfn.SINGLE(INDEX(#REF!,'Monthly Report'!AJ617)),"")</f>
        <v/>
      </c>
      <c r="AN617" s="12" t="str">
        <f ca="1">IFERROR(MATCH($G$115,OFFSET(#REF!,AN616,0,1000000),0)+AN616,"")</f>
        <v/>
      </c>
      <c r="AO617" s="17" t="str">
        <f ca="1">IFERROR(_xlfn.SINGLE(INDEX(#REF!,'Monthly Report'!AN617)),"")</f>
        <v/>
      </c>
      <c r="AP617" s="12" t="str">
        <f ca="1">IFERROR(_xlfn.SINGLE(INDEX(#REF!,'Monthly Report'!AN617)),"")</f>
        <v/>
      </c>
    </row>
    <row r="618" spans="36:42">
      <c r="AJ618" s="12" t="str">
        <f ca="1">IFERROR(MATCH($B$114,OFFSET(#REF!,AJ617,0,1000000),0)+AJ617,"")</f>
        <v/>
      </c>
      <c r="AK618" s="17" t="str">
        <f ca="1">IFERROR(_xlfn.SINGLE(INDEX(#REF!,'Monthly Report'!AJ618)),"")</f>
        <v/>
      </c>
      <c r="AL618" s="12" t="str">
        <f ca="1">IFERROR(_xlfn.SINGLE(INDEX(#REF!,'Monthly Report'!AJ618)),"")</f>
        <v/>
      </c>
      <c r="AN618" s="12" t="str">
        <f ca="1">IFERROR(MATCH($G$115,OFFSET(#REF!,AN617,0,1000000),0)+AN617,"")</f>
        <v/>
      </c>
      <c r="AO618" s="17" t="str">
        <f ca="1">IFERROR(_xlfn.SINGLE(INDEX(#REF!,'Monthly Report'!AN618)),"")</f>
        <v/>
      </c>
      <c r="AP618" s="12" t="str">
        <f ca="1">IFERROR(_xlfn.SINGLE(INDEX(#REF!,'Monthly Report'!AN618)),"")</f>
        <v/>
      </c>
    </row>
    <row r="619" spans="36:42">
      <c r="AJ619" s="12" t="str">
        <f ca="1">IFERROR(MATCH($B$114,OFFSET(#REF!,AJ618,0,1000000),0)+AJ618,"")</f>
        <v/>
      </c>
      <c r="AK619" s="17" t="str">
        <f ca="1">IFERROR(_xlfn.SINGLE(INDEX(#REF!,'Monthly Report'!AJ619)),"")</f>
        <v/>
      </c>
      <c r="AL619" s="12" t="str">
        <f ca="1">IFERROR(_xlfn.SINGLE(INDEX(#REF!,'Monthly Report'!AJ619)),"")</f>
        <v/>
      </c>
      <c r="AN619" s="12" t="str">
        <f ca="1">IFERROR(MATCH($G$115,OFFSET(#REF!,AN618,0,1000000),0)+AN618,"")</f>
        <v/>
      </c>
      <c r="AO619" s="17" t="str">
        <f ca="1">IFERROR(_xlfn.SINGLE(INDEX(#REF!,'Monthly Report'!AN619)),"")</f>
        <v/>
      </c>
      <c r="AP619" s="12" t="str">
        <f ca="1">IFERROR(_xlfn.SINGLE(INDEX(#REF!,'Monthly Report'!AN619)),"")</f>
        <v/>
      </c>
    </row>
    <row r="620" spans="36:42">
      <c r="AJ620" s="12" t="str">
        <f ca="1">IFERROR(MATCH($B$114,OFFSET(#REF!,AJ619,0,1000000),0)+AJ619,"")</f>
        <v/>
      </c>
      <c r="AK620" s="17" t="str">
        <f ca="1">IFERROR(_xlfn.SINGLE(INDEX(#REF!,'Monthly Report'!AJ620)),"")</f>
        <v/>
      </c>
      <c r="AL620" s="12" t="str">
        <f ca="1">IFERROR(_xlfn.SINGLE(INDEX(#REF!,'Monthly Report'!AJ620)),"")</f>
        <v/>
      </c>
      <c r="AN620" s="12" t="str">
        <f ca="1">IFERROR(MATCH($G$115,OFFSET(#REF!,AN619,0,1000000),0)+AN619,"")</f>
        <v/>
      </c>
      <c r="AO620" s="17" t="str">
        <f ca="1">IFERROR(_xlfn.SINGLE(INDEX(#REF!,'Monthly Report'!AN620)),"")</f>
        <v/>
      </c>
      <c r="AP620" s="12" t="str">
        <f ca="1">IFERROR(_xlfn.SINGLE(INDEX(#REF!,'Monthly Report'!AN620)),"")</f>
        <v/>
      </c>
    </row>
    <row r="621" spans="36:42">
      <c r="AJ621" s="12" t="str">
        <f ca="1">IFERROR(MATCH($B$114,OFFSET(#REF!,AJ620,0,1000000),0)+AJ620,"")</f>
        <v/>
      </c>
      <c r="AK621" s="17" t="str">
        <f ca="1">IFERROR(_xlfn.SINGLE(INDEX(#REF!,'Monthly Report'!AJ621)),"")</f>
        <v/>
      </c>
      <c r="AL621" s="12" t="str">
        <f ca="1">IFERROR(_xlfn.SINGLE(INDEX(#REF!,'Monthly Report'!AJ621)),"")</f>
        <v/>
      </c>
      <c r="AN621" s="12" t="str">
        <f ca="1">IFERROR(MATCH($G$115,OFFSET(#REF!,AN620,0,1000000),0)+AN620,"")</f>
        <v/>
      </c>
      <c r="AO621" s="17" t="str">
        <f ca="1">IFERROR(_xlfn.SINGLE(INDEX(#REF!,'Monthly Report'!AN621)),"")</f>
        <v/>
      </c>
      <c r="AP621" s="12" t="str">
        <f ca="1">IFERROR(_xlfn.SINGLE(INDEX(#REF!,'Monthly Report'!AN621)),"")</f>
        <v/>
      </c>
    </row>
    <row r="622" spans="36:42">
      <c r="AJ622" s="12" t="str">
        <f ca="1">IFERROR(MATCH($B$114,OFFSET(#REF!,AJ621,0,1000000),0)+AJ621,"")</f>
        <v/>
      </c>
      <c r="AK622" s="17" t="str">
        <f ca="1">IFERROR(_xlfn.SINGLE(INDEX(#REF!,'Monthly Report'!AJ622)),"")</f>
        <v/>
      </c>
      <c r="AL622" s="12" t="str">
        <f ca="1">IFERROR(_xlfn.SINGLE(INDEX(#REF!,'Monthly Report'!AJ622)),"")</f>
        <v/>
      </c>
      <c r="AN622" s="12" t="str">
        <f ca="1">IFERROR(MATCH($G$115,OFFSET(#REF!,AN621,0,1000000),0)+AN621,"")</f>
        <v/>
      </c>
      <c r="AO622" s="17" t="str">
        <f ca="1">IFERROR(_xlfn.SINGLE(INDEX(#REF!,'Monthly Report'!AN622)),"")</f>
        <v/>
      </c>
      <c r="AP622" s="12" t="str">
        <f ca="1">IFERROR(_xlfn.SINGLE(INDEX(#REF!,'Monthly Report'!AN622)),"")</f>
        <v/>
      </c>
    </row>
    <row r="623" spans="36:42">
      <c r="AJ623" s="12" t="str">
        <f ca="1">IFERROR(MATCH($B$114,OFFSET(#REF!,AJ622,0,1000000),0)+AJ622,"")</f>
        <v/>
      </c>
      <c r="AK623" s="17" t="str">
        <f ca="1">IFERROR(_xlfn.SINGLE(INDEX(#REF!,'Monthly Report'!AJ623)),"")</f>
        <v/>
      </c>
      <c r="AL623" s="12" t="str">
        <f ca="1">IFERROR(_xlfn.SINGLE(INDEX(#REF!,'Monthly Report'!AJ623)),"")</f>
        <v/>
      </c>
      <c r="AN623" s="12" t="str">
        <f ca="1">IFERROR(MATCH($G$115,OFFSET(#REF!,AN622,0,1000000),0)+AN622,"")</f>
        <v/>
      </c>
      <c r="AO623" s="17" t="str">
        <f ca="1">IFERROR(_xlfn.SINGLE(INDEX(#REF!,'Monthly Report'!AN623)),"")</f>
        <v/>
      </c>
      <c r="AP623" s="12" t="str">
        <f ca="1">IFERROR(_xlfn.SINGLE(INDEX(#REF!,'Monthly Report'!AN623)),"")</f>
        <v/>
      </c>
    </row>
    <row r="624" spans="36:42">
      <c r="AJ624" s="12" t="str">
        <f ca="1">IFERROR(MATCH($B$114,OFFSET(#REF!,AJ623,0,1000000),0)+AJ623,"")</f>
        <v/>
      </c>
      <c r="AK624" s="17" t="str">
        <f ca="1">IFERROR(_xlfn.SINGLE(INDEX(#REF!,'Monthly Report'!AJ624)),"")</f>
        <v/>
      </c>
      <c r="AL624" s="12" t="str">
        <f ca="1">IFERROR(_xlfn.SINGLE(INDEX(#REF!,'Monthly Report'!AJ624)),"")</f>
        <v/>
      </c>
      <c r="AN624" s="12" t="str">
        <f ca="1">IFERROR(MATCH($G$115,OFFSET(#REF!,AN623,0,1000000),0)+AN623,"")</f>
        <v/>
      </c>
      <c r="AO624" s="17" t="str">
        <f ca="1">IFERROR(_xlfn.SINGLE(INDEX(#REF!,'Monthly Report'!AN624)),"")</f>
        <v/>
      </c>
      <c r="AP624" s="12" t="str">
        <f ca="1">IFERROR(_xlfn.SINGLE(INDEX(#REF!,'Monthly Report'!AN624)),"")</f>
        <v/>
      </c>
    </row>
    <row r="625" spans="36:42">
      <c r="AJ625" s="12" t="str">
        <f ca="1">IFERROR(MATCH($B$114,OFFSET(#REF!,AJ624,0,1000000),0)+AJ624,"")</f>
        <v/>
      </c>
      <c r="AK625" s="17" t="str">
        <f ca="1">IFERROR(_xlfn.SINGLE(INDEX(#REF!,'Monthly Report'!AJ625)),"")</f>
        <v/>
      </c>
      <c r="AL625" s="12" t="str">
        <f ca="1">IFERROR(_xlfn.SINGLE(INDEX(#REF!,'Monthly Report'!AJ625)),"")</f>
        <v/>
      </c>
      <c r="AN625" s="12" t="str">
        <f ca="1">IFERROR(MATCH($G$115,OFFSET(#REF!,AN624,0,1000000),0)+AN624,"")</f>
        <v/>
      </c>
      <c r="AO625" s="17" t="str">
        <f ca="1">IFERROR(_xlfn.SINGLE(INDEX(#REF!,'Monthly Report'!AN625)),"")</f>
        <v/>
      </c>
      <c r="AP625" s="12" t="str">
        <f ca="1">IFERROR(_xlfn.SINGLE(INDEX(#REF!,'Monthly Report'!AN625)),"")</f>
        <v/>
      </c>
    </row>
    <row r="626" spans="36:42">
      <c r="AJ626" s="12" t="str">
        <f ca="1">IFERROR(MATCH($B$114,OFFSET(#REF!,AJ625,0,1000000),0)+AJ625,"")</f>
        <v/>
      </c>
      <c r="AK626" s="17" t="str">
        <f ca="1">IFERROR(_xlfn.SINGLE(INDEX(#REF!,'Monthly Report'!AJ626)),"")</f>
        <v/>
      </c>
      <c r="AL626" s="12" t="str">
        <f ca="1">IFERROR(_xlfn.SINGLE(INDEX(#REF!,'Monthly Report'!AJ626)),"")</f>
        <v/>
      </c>
      <c r="AN626" s="12" t="str">
        <f ca="1">IFERROR(MATCH($G$115,OFFSET(#REF!,AN625,0,1000000),0)+AN625,"")</f>
        <v/>
      </c>
      <c r="AO626" s="17" t="str">
        <f ca="1">IFERROR(_xlfn.SINGLE(INDEX(#REF!,'Monthly Report'!AN626)),"")</f>
        <v/>
      </c>
      <c r="AP626" s="12" t="str">
        <f ca="1">IFERROR(_xlfn.SINGLE(INDEX(#REF!,'Monthly Report'!AN626)),"")</f>
        <v/>
      </c>
    </row>
    <row r="627" spans="36:42">
      <c r="AJ627" s="12" t="str">
        <f ca="1">IFERROR(MATCH($B$114,OFFSET(#REF!,AJ626,0,1000000),0)+AJ626,"")</f>
        <v/>
      </c>
      <c r="AK627" s="17" t="str">
        <f ca="1">IFERROR(_xlfn.SINGLE(INDEX(#REF!,'Monthly Report'!AJ627)),"")</f>
        <v/>
      </c>
      <c r="AL627" s="12" t="str">
        <f ca="1">IFERROR(_xlfn.SINGLE(INDEX(#REF!,'Monthly Report'!AJ627)),"")</f>
        <v/>
      </c>
      <c r="AN627" s="12" t="str">
        <f ca="1">IFERROR(MATCH($G$115,OFFSET(#REF!,AN626,0,1000000),0)+AN626,"")</f>
        <v/>
      </c>
      <c r="AO627" s="17" t="str">
        <f ca="1">IFERROR(_xlfn.SINGLE(INDEX(#REF!,'Monthly Report'!AN627)),"")</f>
        <v/>
      </c>
      <c r="AP627" s="12" t="str">
        <f ca="1">IFERROR(_xlfn.SINGLE(INDEX(#REF!,'Monthly Report'!AN627)),"")</f>
        <v/>
      </c>
    </row>
    <row r="628" spans="36:42">
      <c r="AJ628" s="12" t="str">
        <f ca="1">IFERROR(MATCH($B$114,OFFSET(#REF!,AJ627,0,1000000),0)+AJ627,"")</f>
        <v/>
      </c>
      <c r="AK628" s="17" t="str">
        <f ca="1">IFERROR(_xlfn.SINGLE(INDEX(#REF!,'Monthly Report'!AJ628)),"")</f>
        <v/>
      </c>
      <c r="AL628" s="12" t="str">
        <f ca="1">IFERROR(_xlfn.SINGLE(INDEX(#REF!,'Monthly Report'!AJ628)),"")</f>
        <v/>
      </c>
      <c r="AN628" s="12" t="str">
        <f ca="1">IFERROR(MATCH($G$115,OFFSET(#REF!,AN627,0,1000000),0)+AN627,"")</f>
        <v/>
      </c>
      <c r="AO628" s="17" t="str">
        <f ca="1">IFERROR(_xlfn.SINGLE(INDEX(#REF!,'Monthly Report'!AN628)),"")</f>
        <v/>
      </c>
      <c r="AP628" s="12" t="str">
        <f ca="1">IFERROR(_xlfn.SINGLE(INDEX(#REF!,'Monthly Report'!AN628)),"")</f>
        <v/>
      </c>
    </row>
    <row r="629" spans="36:42">
      <c r="AJ629" s="12" t="str">
        <f ca="1">IFERROR(MATCH($B$114,OFFSET(#REF!,AJ628,0,1000000),0)+AJ628,"")</f>
        <v/>
      </c>
      <c r="AK629" s="17" t="str">
        <f ca="1">IFERROR(_xlfn.SINGLE(INDEX(#REF!,'Monthly Report'!AJ629)),"")</f>
        <v/>
      </c>
      <c r="AL629" s="12" t="str">
        <f ca="1">IFERROR(_xlfn.SINGLE(INDEX(#REF!,'Monthly Report'!AJ629)),"")</f>
        <v/>
      </c>
      <c r="AN629" s="12" t="str">
        <f ca="1">IFERROR(MATCH($G$115,OFFSET(#REF!,AN628,0,1000000),0)+AN628,"")</f>
        <v/>
      </c>
      <c r="AO629" s="17" t="str">
        <f ca="1">IFERROR(_xlfn.SINGLE(INDEX(#REF!,'Monthly Report'!AN629)),"")</f>
        <v/>
      </c>
      <c r="AP629" s="12" t="str">
        <f ca="1">IFERROR(_xlfn.SINGLE(INDEX(#REF!,'Monthly Report'!AN629)),"")</f>
        <v/>
      </c>
    </row>
    <row r="630" spans="36:42">
      <c r="AJ630" s="12" t="str">
        <f ca="1">IFERROR(MATCH($B$114,OFFSET(#REF!,AJ629,0,1000000),0)+AJ629,"")</f>
        <v/>
      </c>
      <c r="AK630" s="17" t="str">
        <f ca="1">IFERROR(_xlfn.SINGLE(INDEX(#REF!,'Monthly Report'!AJ630)),"")</f>
        <v/>
      </c>
      <c r="AL630" s="12" t="str">
        <f ca="1">IFERROR(_xlfn.SINGLE(INDEX(#REF!,'Monthly Report'!AJ630)),"")</f>
        <v/>
      </c>
      <c r="AN630" s="12" t="str">
        <f ca="1">IFERROR(MATCH($G$115,OFFSET(#REF!,AN629,0,1000000),0)+AN629,"")</f>
        <v/>
      </c>
      <c r="AO630" s="17" t="str">
        <f ca="1">IFERROR(_xlfn.SINGLE(INDEX(#REF!,'Monthly Report'!AN630)),"")</f>
        <v/>
      </c>
      <c r="AP630" s="12" t="str">
        <f ca="1">IFERROR(_xlfn.SINGLE(INDEX(#REF!,'Monthly Report'!AN630)),"")</f>
        <v/>
      </c>
    </row>
    <row r="631" spans="36:42">
      <c r="AJ631" s="12" t="str">
        <f ca="1">IFERROR(MATCH($B$114,OFFSET(#REF!,AJ630,0,1000000),0)+AJ630,"")</f>
        <v/>
      </c>
      <c r="AK631" s="17" t="str">
        <f ca="1">IFERROR(_xlfn.SINGLE(INDEX(#REF!,'Monthly Report'!AJ631)),"")</f>
        <v/>
      </c>
      <c r="AL631" s="12" t="str">
        <f ca="1">IFERROR(_xlfn.SINGLE(INDEX(#REF!,'Monthly Report'!AJ631)),"")</f>
        <v/>
      </c>
      <c r="AN631" s="12" t="str">
        <f ca="1">IFERROR(MATCH($G$115,OFFSET(#REF!,AN630,0,1000000),0)+AN630,"")</f>
        <v/>
      </c>
      <c r="AO631" s="17" t="str">
        <f ca="1">IFERROR(_xlfn.SINGLE(INDEX(#REF!,'Monthly Report'!AN631)),"")</f>
        <v/>
      </c>
      <c r="AP631" s="12" t="str">
        <f ca="1">IFERROR(_xlfn.SINGLE(INDEX(#REF!,'Monthly Report'!AN631)),"")</f>
        <v/>
      </c>
    </row>
    <row r="632" spans="36:42">
      <c r="AJ632" s="12" t="str">
        <f ca="1">IFERROR(MATCH($B$114,OFFSET(#REF!,AJ631,0,1000000),0)+AJ631,"")</f>
        <v/>
      </c>
      <c r="AK632" s="17" t="str">
        <f ca="1">IFERROR(_xlfn.SINGLE(INDEX(#REF!,'Monthly Report'!AJ632)),"")</f>
        <v/>
      </c>
      <c r="AL632" s="12" t="str">
        <f ca="1">IFERROR(_xlfn.SINGLE(INDEX(#REF!,'Monthly Report'!AJ632)),"")</f>
        <v/>
      </c>
      <c r="AN632" s="12" t="str">
        <f ca="1">IFERROR(MATCH($G$115,OFFSET(#REF!,AN631,0,1000000),0)+AN631,"")</f>
        <v/>
      </c>
      <c r="AO632" s="17" t="str">
        <f ca="1">IFERROR(_xlfn.SINGLE(INDEX(#REF!,'Monthly Report'!AN632)),"")</f>
        <v/>
      </c>
      <c r="AP632" s="12" t="str">
        <f ca="1">IFERROR(_xlfn.SINGLE(INDEX(#REF!,'Monthly Report'!AN632)),"")</f>
        <v/>
      </c>
    </row>
    <row r="633" spans="36:42">
      <c r="AJ633" s="12" t="str">
        <f ca="1">IFERROR(MATCH($B$114,OFFSET(#REF!,AJ632,0,1000000),0)+AJ632,"")</f>
        <v/>
      </c>
      <c r="AK633" s="17" t="str">
        <f ca="1">IFERROR(_xlfn.SINGLE(INDEX(#REF!,'Monthly Report'!AJ633)),"")</f>
        <v/>
      </c>
      <c r="AL633" s="12" t="str">
        <f ca="1">IFERROR(_xlfn.SINGLE(INDEX(#REF!,'Monthly Report'!AJ633)),"")</f>
        <v/>
      </c>
      <c r="AN633" s="12" t="str">
        <f ca="1">IFERROR(MATCH($G$115,OFFSET(#REF!,AN632,0,1000000),0)+AN632,"")</f>
        <v/>
      </c>
      <c r="AO633" s="17" t="str">
        <f ca="1">IFERROR(_xlfn.SINGLE(INDEX(#REF!,'Monthly Report'!AN633)),"")</f>
        <v/>
      </c>
      <c r="AP633" s="12" t="str">
        <f ca="1">IFERROR(_xlfn.SINGLE(INDEX(#REF!,'Monthly Report'!AN633)),"")</f>
        <v/>
      </c>
    </row>
    <row r="634" spans="36:42">
      <c r="AJ634" s="12" t="str">
        <f ca="1">IFERROR(MATCH($B$114,OFFSET(#REF!,AJ633,0,1000000),0)+AJ633,"")</f>
        <v/>
      </c>
      <c r="AK634" s="17" t="str">
        <f ca="1">IFERROR(_xlfn.SINGLE(INDEX(#REF!,'Monthly Report'!AJ634)),"")</f>
        <v/>
      </c>
      <c r="AL634" s="12" t="str">
        <f ca="1">IFERROR(_xlfn.SINGLE(INDEX(#REF!,'Monthly Report'!AJ634)),"")</f>
        <v/>
      </c>
      <c r="AN634" s="12" t="str">
        <f ca="1">IFERROR(MATCH($G$115,OFFSET(#REF!,AN633,0,1000000),0)+AN633,"")</f>
        <v/>
      </c>
      <c r="AO634" s="17" t="str">
        <f ca="1">IFERROR(_xlfn.SINGLE(INDEX(#REF!,'Monthly Report'!AN634)),"")</f>
        <v/>
      </c>
      <c r="AP634" s="12" t="str">
        <f ca="1">IFERROR(_xlfn.SINGLE(INDEX(#REF!,'Monthly Report'!AN634)),"")</f>
        <v/>
      </c>
    </row>
    <row r="635" spans="36:42">
      <c r="AJ635" s="12" t="str">
        <f ca="1">IFERROR(MATCH($B$114,OFFSET(#REF!,AJ634,0,1000000),0)+AJ634,"")</f>
        <v/>
      </c>
      <c r="AK635" s="17" t="str">
        <f ca="1">IFERROR(_xlfn.SINGLE(INDEX(#REF!,'Monthly Report'!AJ635)),"")</f>
        <v/>
      </c>
      <c r="AL635" s="12" t="str">
        <f ca="1">IFERROR(_xlfn.SINGLE(INDEX(#REF!,'Monthly Report'!AJ635)),"")</f>
        <v/>
      </c>
      <c r="AN635" s="12" t="str">
        <f ca="1">IFERROR(MATCH($G$115,OFFSET(#REF!,AN634,0,1000000),0)+AN634,"")</f>
        <v/>
      </c>
      <c r="AO635" s="17" t="str">
        <f ca="1">IFERROR(_xlfn.SINGLE(INDEX(#REF!,'Monthly Report'!AN635)),"")</f>
        <v/>
      </c>
      <c r="AP635" s="12" t="str">
        <f ca="1">IFERROR(_xlfn.SINGLE(INDEX(#REF!,'Monthly Report'!AN635)),"")</f>
        <v/>
      </c>
    </row>
    <row r="636" spans="36:42">
      <c r="AJ636" s="12" t="str">
        <f ca="1">IFERROR(MATCH($B$114,OFFSET(#REF!,AJ635,0,1000000),0)+AJ635,"")</f>
        <v/>
      </c>
      <c r="AK636" s="17" t="str">
        <f ca="1">IFERROR(_xlfn.SINGLE(INDEX(#REF!,'Monthly Report'!AJ636)),"")</f>
        <v/>
      </c>
      <c r="AL636" s="12" t="str">
        <f ca="1">IFERROR(_xlfn.SINGLE(INDEX(#REF!,'Monthly Report'!AJ636)),"")</f>
        <v/>
      </c>
      <c r="AN636" s="12" t="str">
        <f ca="1">IFERROR(MATCH($G$115,OFFSET(#REF!,AN635,0,1000000),0)+AN635,"")</f>
        <v/>
      </c>
      <c r="AO636" s="17" t="str">
        <f ca="1">IFERROR(_xlfn.SINGLE(INDEX(#REF!,'Monthly Report'!AN636)),"")</f>
        <v/>
      </c>
      <c r="AP636" s="12" t="str">
        <f ca="1">IFERROR(_xlfn.SINGLE(INDEX(#REF!,'Monthly Report'!AN636)),"")</f>
        <v/>
      </c>
    </row>
    <row r="637" spans="36:42">
      <c r="AJ637" s="12" t="str">
        <f ca="1">IFERROR(MATCH($B$114,OFFSET(#REF!,AJ636,0,1000000),0)+AJ636,"")</f>
        <v/>
      </c>
      <c r="AK637" s="17" t="str">
        <f ca="1">IFERROR(_xlfn.SINGLE(INDEX(#REF!,'Monthly Report'!AJ637)),"")</f>
        <v/>
      </c>
      <c r="AL637" s="12" t="str">
        <f ca="1">IFERROR(_xlfn.SINGLE(INDEX(#REF!,'Monthly Report'!AJ637)),"")</f>
        <v/>
      </c>
      <c r="AN637" s="12" t="str">
        <f ca="1">IFERROR(MATCH($G$115,OFFSET(#REF!,AN636,0,1000000),0)+AN636,"")</f>
        <v/>
      </c>
      <c r="AO637" s="17" t="str">
        <f ca="1">IFERROR(_xlfn.SINGLE(INDEX(#REF!,'Monthly Report'!AN637)),"")</f>
        <v/>
      </c>
      <c r="AP637" s="12" t="str">
        <f ca="1">IFERROR(_xlfn.SINGLE(INDEX(#REF!,'Monthly Report'!AN637)),"")</f>
        <v/>
      </c>
    </row>
    <row r="638" spans="36:42">
      <c r="AJ638" s="12" t="str">
        <f ca="1">IFERROR(MATCH($B$114,OFFSET(#REF!,AJ637,0,1000000),0)+AJ637,"")</f>
        <v/>
      </c>
      <c r="AK638" s="17" t="str">
        <f ca="1">IFERROR(_xlfn.SINGLE(INDEX(#REF!,'Monthly Report'!AJ638)),"")</f>
        <v/>
      </c>
      <c r="AL638" s="12" t="str">
        <f ca="1">IFERROR(_xlfn.SINGLE(INDEX(#REF!,'Monthly Report'!AJ638)),"")</f>
        <v/>
      </c>
      <c r="AN638" s="12" t="str">
        <f ca="1">IFERROR(MATCH($G$115,OFFSET(#REF!,AN637,0,1000000),0)+AN637,"")</f>
        <v/>
      </c>
      <c r="AO638" s="17" t="str">
        <f ca="1">IFERROR(_xlfn.SINGLE(INDEX(#REF!,'Monthly Report'!AN638)),"")</f>
        <v/>
      </c>
      <c r="AP638" s="12" t="str">
        <f ca="1">IFERROR(_xlfn.SINGLE(INDEX(#REF!,'Monthly Report'!AN638)),"")</f>
        <v/>
      </c>
    </row>
    <row r="639" spans="36:42">
      <c r="AJ639" s="12" t="str">
        <f ca="1">IFERROR(MATCH($B$114,OFFSET(#REF!,AJ638,0,1000000),0)+AJ638,"")</f>
        <v/>
      </c>
      <c r="AK639" s="17" t="str">
        <f ca="1">IFERROR(_xlfn.SINGLE(INDEX(#REF!,'Monthly Report'!AJ639)),"")</f>
        <v/>
      </c>
      <c r="AL639" s="12" t="str">
        <f ca="1">IFERROR(_xlfn.SINGLE(INDEX(#REF!,'Monthly Report'!AJ639)),"")</f>
        <v/>
      </c>
      <c r="AN639" s="12" t="str">
        <f ca="1">IFERROR(MATCH($G$115,OFFSET(#REF!,AN638,0,1000000),0)+AN638,"")</f>
        <v/>
      </c>
      <c r="AO639" s="17" t="str">
        <f ca="1">IFERROR(_xlfn.SINGLE(INDEX(#REF!,'Monthly Report'!AN639)),"")</f>
        <v/>
      </c>
      <c r="AP639" s="12" t="str">
        <f ca="1">IFERROR(_xlfn.SINGLE(INDEX(#REF!,'Monthly Report'!AN639)),"")</f>
        <v/>
      </c>
    </row>
    <row r="640" spans="36:42">
      <c r="AJ640" s="12" t="str">
        <f ca="1">IFERROR(MATCH($B$114,OFFSET(#REF!,AJ639,0,1000000),0)+AJ639,"")</f>
        <v/>
      </c>
      <c r="AK640" s="17" t="str">
        <f ca="1">IFERROR(_xlfn.SINGLE(INDEX(#REF!,'Monthly Report'!AJ640)),"")</f>
        <v/>
      </c>
      <c r="AL640" s="12" t="str">
        <f ca="1">IFERROR(_xlfn.SINGLE(INDEX(#REF!,'Monthly Report'!AJ640)),"")</f>
        <v/>
      </c>
      <c r="AN640" s="12" t="str">
        <f ca="1">IFERROR(MATCH($G$115,OFFSET(#REF!,AN639,0,1000000),0)+AN639,"")</f>
        <v/>
      </c>
      <c r="AO640" s="17" t="str">
        <f ca="1">IFERROR(_xlfn.SINGLE(INDEX(#REF!,'Monthly Report'!AN640)),"")</f>
        <v/>
      </c>
      <c r="AP640" s="12" t="str">
        <f ca="1">IFERROR(_xlfn.SINGLE(INDEX(#REF!,'Monthly Report'!AN640)),"")</f>
        <v/>
      </c>
    </row>
    <row r="641" spans="36:42">
      <c r="AJ641" s="12" t="str">
        <f ca="1">IFERROR(MATCH($B$114,OFFSET(#REF!,AJ640,0,1000000),0)+AJ640,"")</f>
        <v/>
      </c>
      <c r="AK641" s="17" t="str">
        <f ca="1">IFERROR(_xlfn.SINGLE(INDEX(#REF!,'Monthly Report'!AJ641)),"")</f>
        <v/>
      </c>
      <c r="AL641" s="12" t="str">
        <f ca="1">IFERROR(_xlfn.SINGLE(INDEX(#REF!,'Monthly Report'!AJ641)),"")</f>
        <v/>
      </c>
      <c r="AN641" s="12" t="str">
        <f ca="1">IFERROR(MATCH($G$115,OFFSET(#REF!,AN640,0,1000000),0)+AN640,"")</f>
        <v/>
      </c>
      <c r="AO641" s="17" t="str">
        <f ca="1">IFERROR(_xlfn.SINGLE(INDEX(#REF!,'Monthly Report'!AN641)),"")</f>
        <v/>
      </c>
      <c r="AP641" s="12" t="str">
        <f ca="1">IFERROR(_xlfn.SINGLE(INDEX(#REF!,'Monthly Report'!AN641)),"")</f>
        <v/>
      </c>
    </row>
    <row r="642" spans="36:42">
      <c r="AJ642" s="12" t="str">
        <f ca="1">IFERROR(MATCH($B$114,OFFSET(#REF!,AJ641,0,1000000),0)+AJ641,"")</f>
        <v/>
      </c>
      <c r="AK642" s="17" t="str">
        <f ca="1">IFERROR(_xlfn.SINGLE(INDEX(#REF!,'Monthly Report'!AJ642)),"")</f>
        <v/>
      </c>
      <c r="AL642" s="12" t="str">
        <f ca="1">IFERROR(_xlfn.SINGLE(INDEX(#REF!,'Monthly Report'!AJ642)),"")</f>
        <v/>
      </c>
      <c r="AN642" s="12" t="str">
        <f ca="1">IFERROR(MATCH($G$115,OFFSET(#REF!,AN641,0,1000000),0)+AN641,"")</f>
        <v/>
      </c>
      <c r="AO642" s="17" t="str">
        <f ca="1">IFERROR(_xlfn.SINGLE(INDEX(#REF!,'Monthly Report'!AN642)),"")</f>
        <v/>
      </c>
      <c r="AP642" s="12" t="str">
        <f ca="1">IFERROR(_xlfn.SINGLE(INDEX(#REF!,'Monthly Report'!AN642)),"")</f>
        <v/>
      </c>
    </row>
    <row r="643" spans="36:42">
      <c r="AJ643" s="12" t="str">
        <f ca="1">IFERROR(MATCH($B$114,OFFSET(#REF!,AJ642,0,1000000),0)+AJ642,"")</f>
        <v/>
      </c>
      <c r="AK643" s="17" t="str">
        <f ca="1">IFERROR(_xlfn.SINGLE(INDEX(#REF!,'Monthly Report'!AJ643)),"")</f>
        <v/>
      </c>
      <c r="AL643" s="12" t="str">
        <f ca="1">IFERROR(_xlfn.SINGLE(INDEX(#REF!,'Monthly Report'!AJ643)),"")</f>
        <v/>
      </c>
      <c r="AN643" s="12" t="str">
        <f ca="1">IFERROR(MATCH($G$115,OFFSET(#REF!,AN642,0,1000000),0)+AN642,"")</f>
        <v/>
      </c>
      <c r="AO643" s="17" t="str">
        <f ca="1">IFERROR(_xlfn.SINGLE(INDEX(#REF!,'Monthly Report'!AN643)),"")</f>
        <v/>
      </c>
      <c r="AP643" s="12" t="str">
        <f ca="1">IFERROR(_xlfn.SINGLE(INDEX(#REF!,'Monthly Report'!AN643)),"")</f>
        <v/>
      </c>
    </row>
    <row r="644" spans="36:42">
      <c r="AJ644" s="12" t="str">
        <f ca="1">IFERROR(MATCH($B$114,OFFSET(#REF!,AJ643,0,1000000),0)+AJ643,"")</f>
        <v/>
      </c>
      <c r="AK644" s="17" t="str">
        <f ca="1">IFERROR(_xlfn.SINGLE(INDEX(#REF!,'Monthly Report'!AJ644)),"")</f>
        <v/>
      </c>
      <c r="AL644" s="12" t="str">
        <f ca="1">IFERROR(_xlfn.SINGLE(INDEX(#REF!,'Monthly Report'!AJ644)),"")</f>
        <v/>
      </c>
      <c r="AN644" s="12" t="str">
        <f ca="1">IFERROR(MATCH($G$115,OFFSET(#REF!,AN643,0,1000000),0)+AN643,"")</f>
        <v/>
      </c>
      <c r="AO644" s="17" t="str">
        <f ca="1">IFERROR(_xlfn.SINGLE(INDEX(#REF!,'Monthly Report'!AN644)),"")</f>
        <v/>
      </c>
      <c r="AP644" s="12" t="str">
        <f ca="1">IFERROR(_xlfn.SINGLE(INDEX(#REF!,'Monthly Report'!AN644)),"")</f>
        <v/>
      </c>
    </row>
    <row r="645" spans="36:42">
      <c r="AJ645" s="12" t="str">
        <f ca="1">IFERROR(MATCH($B$114,OFFSET(#REF!,AJ644,0,1000000),0)+AJ644,"")</f>
        <v/>
      </c>
      <c r="AK645" s="17" t="str">
        <f ca="1">IFERROR(_xlfn.SINGLE(INDEX(#REF!,'Monthly Report'!AJ645)),"")</f>
        <v/>
      </c>
      <c r="AL645" s="12" t="str">
        <f ca="1">IFERROR(_xlfn.SINGLE(INDEX(#REF!,'Monthly Report'!AJ645)),"")</f>
        <v/>
      </c>
      <c r="AN645" s="12" t="str">
        <f ca="1">IFERROR(MATCH($G$115,OFFSET(#REF!,AN644,0,1000000),0)+AN644,"")</f>
        <v/>
      </c>
      <c r="AO645" s="17" t="str">
        <f ca="1">IFERROR(_xlfn.SINGLE(INDEX(#REF!,'Monthly Report'!AN645)),"")</f>
        <v/>
      </c>
      <c r="AP645" s="12" t="str">
        <f ca="1">IFERROR(_xlfn.SINGLE(INDEX(#REF!,'Monthly Report'!AN645)),"")</f>
        <v/>
      </c>
    </row>
    <row r="646" spans="36:42">
      <c r="AJ646" s="12" t="str">
        <f ca="1">IFERROR(MATCH($B$114,OFFSET(#REF!,AJ645,0,1000000),0)+AJ645,"")</f>
        <v/>
      </c>
      <c r="AK646" s="17" t="str">
        <f ca="1">IFERROR(_xlfn.SINGLE(INDEX(#REF!,'Monthly Report'!AJ646)),"")</f>
        <v/>
      </c>
      <c r="AL646" s="12" t="str">
        <f ca="1">IFERROR(_xlfn.SINGLE(INDEX(#REF!,'Monthly Report'!AJ646)),"")</f>
        <v/>
      </c>
      <c r="AN646" s="12" t="str">
        <f ca="1">IFERROR(MATCH($G$115,OFFSET(#REF!,AN645,0,1000000),0)+AN645,"")</f>
        <v/>
      </c>
      <c r="AO646" s="17" t="str">
        <f ca="1">IFERROR(_xlfn.SINGLE(INDEX(#REF!,'Monthly Report'!AN646)),"")</f>
        <v/>
      </c>
      <c r="AP646" s="12" t="str">
        <f ca="1">IFERROR(_xlfn.SINGLE(INDEX(#REF!,'Monthly Report'!AN646)),"")</f>
        <v/>
      </c>
    </row>
    <row r="647" spans="36:42">
      <c r="AJ647" s="12" t="str">
        <f ca="1">IFERROR(MATCH($B$114,OFFSET(#REF!,AJ646,0,1000000),0)+AJ646,"")</f>
        <v/>
      </c>
      <c r="AK647" s="17" t="str">
        <f ca="1">IFERROR(_xlfn.SINGLE(INDEX(#REF!,'Monthly Report'!AJ647)),"")</f>
        <v/>
      </c>
      <c r="AL647" s="12" t="str">
        <f ca="1">IFERROR(_xlfn.SINGLE(INDEX(#REF!,'Monthly Report'!AJ647)),"")</f>
        <v/>
      </c>
      <c r="AN647" s="12" t="str">
        <f ca="1">IFERROR(MATCH($G$115,OFFSET(#REF!,AN646,0,1000000),0)+AN646,"")</f>
        <v/>
      </c>
      <c r="AO647" s="17" t="str">
        <f ca="1">IFERROR(_xlfn.SINGLE(INDEX(#REF!,'Monthly Report'!AN647)),"")</f>
        <v/>
      </c>
      <c r="AP647" s="12" t="str">
        <f ca="1">IFERROR(_xlfn.SINGLE(INDEX(#REF!,'Monthly Report'!AN647)),"")</f>
        <v/>
      </c>
    </row>
    <row r="648" spans="36:42">
      <c r="AJ648" s="12" t="str">
        <f ca="1">IFERROR(MATCH($B$114,OFFSET(#REF!,AJ647,0,1000000),0)+AJ647,"")</f>
        <v/>
      </c>
      <c r="AK648" s="17" t="str">
        <f ca="1">IFERROR(_xlfn.SINGLE(INDEX(#REF!,'Monthly Report'!AJ648)),"")</f>
        <v/>
      </c>
      <c r="AL648" s="12" t="str">
        <f ca="1">IFERROR(_xlfn.SINGLE(INDEX(#REF!,'Monthly Report'!AJ648)),"")</f>
        <v/>
      </c>
      <c r="AN648" s="12" t="str">
        <f ca="1">IFERROR(MATCH($G$115,OFFSET(#REF!,AN647,0,1000000),0)+AN647,"")</f>
        <v/>
      </c>
      <c r="AO648" s="17" t="str">
        <f ca="1">IFERROR(_xlfn.SINGLE(INDEX(#REF!,'Monthly Report'!AN648)),"")</f>
        <v/>
      </c>
      <c r="AP648" s="12" t="str">
        <f ca="1">IFERROR(_xlfn.SINGLE(INDEX(#REF!,'Monthly Report'!AN648)),"")</f>
        <v/>
      </c>
    </row>
    <row r="649" spans="36:42">
      <c r="AJ649" s="12" t="str">
        <f ca="1">IFERROR(MATCH($B$114,OFFSET(#REF!,AJ648,0,1000000),0)+AJ648,"")</f>
        <v/>
      </c>
      <c r="AK649" s="17" t="str">
        <f ca="1">IFERROR(_xlfn.SINGLE(INDEX(#REF!,'Monthly Report'!AJ649)),"")</f>
        <v/>
      </c>
      <c r="AL649" s="12" t="str">
        <f ca="1">IFERROR(_xlfn.SINGLE(INDEX(#REF!,'Monthly Report'!AJ649)),"")</f>
        <v/>
      </c>
      <c r="AN649" s="12" t="str">
        <f ca="1">IFERROR(MATCH($G$115,OFFSET(#REF!,AN648,0,1000000),0)+AN648,"")</f>
        <v/>
      </c>
      <c r="AO649" s="17" t="str">
        <f ca="1">IFERROR(_xlfn.SINGLE(INDEX(#REF!,'Monthly Report'!AN649)),"")</f>
        <v/>
      </c>
      <c r="AP649" s="12" t="str">
        <f ca="1">IFERROR(_xlfn.SINGLE(INDEX(#REF!,'Monthly Report'!AN649)),"")</f>
        <v/>
      </c>
    </row>
    <row r="650" spans="36:42">
      <c r="AJ650" s="12" t="str">
        <f ca="1">IFERROR(MATCH($B$114,OFFSET(#REF!,AJ649,0,1000000),0)+AJ649,"")</f>
        <v/>
      </c>
      <c r="AK650" s="17" t="str">
        <f ca="1">IFERROR(_xlfn.SINGLE(INDEX(#REF!,'Monthly Report'!AJ650)),"")</f>
        <v/>
      </c>
      <c r="AL650" s="12" t="str">
        <f ca="1">IFERROR(_xlfn.SINGLE(INDEX(#REF!,'Monthly Report'!AJ650)),"")</f>
        <v/>
      </c>
      <c r="AN650" s="12" t="str">
        <f ca="1">IFERROR(MATCH($G$115,OFFSET(#REF!,AN649,0,1000000),0)+AN649,"")</f>
        <v/>
      </c>
      <c r="AO650" s="17" t="str">
        <f ca="1">IFERROR(_xlfn.SINGLE(INDEX(#REF!,'Monthly Report'!AN650)),"")</f>
        <v/>
      </c>
      <c r="AP650" s="12" t="str">
        <f ca="1">IFERROR(_xlfn.SINGLE(INDEX(#REF!,'Monthly Report'!AN650)),"")</f>
        <v/>
      </c>
    </row>
    <row r="651" spans="36:42">
      <c r="AJ651" s="12" t="str">
        <f ca="1">IFERROR(MATCH($B$114,OFFSET(#REF!,AJ650,0,1000000),0)+AJ650,"")</f>
        <v/>
      </c>
      <c r="AK651" s="17" t="str">
        <f ca="1">IFERROR(_xlfn.SINGLE(INDEX(#REF!,'Monthly Report'!AJ651)),"")</f>
        <v/>
      </c>
      <c r="AL651" s="12" t="str">
        <f ca="1">IFERROR(_xlfn.SINGLE(INDEX(#REF!,'Monthly Report'!AJ651)),"")</f>
        <v/>
      </c>
      <c r="AN651" s="12" t="str">
        <f ca="1">IFERROR(MATCH($G$115,OFFSET(#REF!,AN650,0,1000000),0)+AN650,"")</f>
        <v/>
      </c>
      <c r="AO651" s="17" t="str">
        <f ca="1">IFERROR(_xlfn.SINGLE(INDEX(#REF!,'Monthly Report'!AN651)),"")</f>
        <v/>
      </c>
      <c r="AP651" s="12" t="str">
        <f ca="1">IFERROR(_xlfn.SINGLE(INDEX(#REF!,'Monthly Report'!AN651)),"")</f>
        <v/>
      </c>
    </row>
    <row r="652" spans="36:42">
      <c r="AJ652" s="12" t="str">
        <f ca="1">IFERROR(MATCH($B$114,OFFSET(#REF!,AJ651,0,1000000),0)+AJ651,"")</f>
        <v/>
      </c>
      <c r="AK652" s="17" t="str">
        <f ca="1">IFERROR(_xlfn.SINGLE(INDEX(#REF!,'Monthly Report'!AJ652)),"")</f>
        <v/>
      </c>
      <c r="AL652" s="12" t="str">
        <f ca="1">IFERROR(_xlfn.SINGLE(INDEX(#REF!,'Monthly Report'!AJ652)),"")</f>
        <v/>
      </c>
      <c r="AN652" s="12" t="str">
        <f ca="1">IFERROR(MATCH($G$115,OFFSET(#REF!,AN651,0,1000000),0)+AN651,"")</f>
        <v/>
      </c>
      <c r="AO652" s="17" t="str">
        <f ca="1">IFERROR(_xlfn.SINGLE(INDEX(#REF!,'Monthly Report'!AN652)),"")</f>
        <v/>
      </c>
      <c r="AP652" s="12" t="str">
        <f ca="1">IFERROR(_xlfn.SINGLE(INDEX(#REF!,'Monthly Report'!AN652)),"")</f>
        <v/>
      </c>
    </row>
    <row r="653" spans="36:42">
      <c r="AJ653" s="12" t="str">
        <f ca="1">IFERROR(MATCH($B$114,OFFSET(#REF!,AJ652,0,1000000),0)+AJ652,"")</f>
        <v/>
      </c>
      <c r="AK653" s="17" t="str">
        <f ca="1">IFERROR(_xlfn.SINGLE(INDEX(#REF!,'Monthly Report'!AJ653)),"")</f>
        <v/>
      </c>
      <c r="AL653" s="12" t="str">
        <f ca="1">IFERROR(_xlfn.SINGLE(INDEX(#REF!,'Monthly Report'!AJ653)),"")</f>
        <v/>
      </c>
      <c r="AN653" s="12" t="str">
        <f ca="1">IFERROR(MATCH($G$115,OFFSET(#REF!,AN652,0,1000000),0)+AN652,"")</f>
        <v/>
      </c>
      <c r="AO653" s="17" t="str">
        <f ca="1">IFERROR(_xlfn.SINGLE(INDEX(#REF!,'Monthly Report'!AN653)),"")</f>
        <v/>
      </c>
      <c r="AP653" s="12" t="str">
        <f ca="1">IFERROR(_xlfn.SINGLE(INDEX(#REF!,'Monthly Report'!AN653)),"")</f>
        <v/>
      </c>
    </row>
    <row r="654" spans="36:42">
      <c r="AJ654" s="12" t="str">
        <f ca="1">IFERROR(MATCH($B$114,OFFSET(#REF!,AJ653,0,1000000),0)+AJ653,"")</f>
        <v/>
      </c>
      <c r="AK654" s="17" t="str">
        <f ca="1">IFERROR(_xlfn.SINGLE(INDEX(#REF!,'Monthly Report'!AJ654)),"")</f>
        <v/>
      </c>
      <c r="AL654" s="12" t="str">
        <f ca="1">IFERROR(_xlfn.SINGLE(INDEX(#REF!,'Monthly Report'!AJ654)),"")</f>
        <v/>
      </c>
      <c r="AN654" s="12" t="str">
        <f ca="1">IFERROR(MATCH($G$115,OFFSET(#REF!,AN653,0,1000000),0)+AN653,"")</f>
        <v/>
      </c>
      <c r="AO654" s="17" t="str">
        <f ca="1">IFERROR(_xlfn.SINGLE(INDEX(#REF!,'Monthly Report'!AN654)),"")</f>
        <v/>
      </c>
      <c r="AP654" s="12" t="str">
        <f ca="1">IFERROR(_xlfn.SINGLE(INDEX(#REF!,'Monthly Report'!AN654)),"")</f>
        <v/>
      </c>
    </row>
    <row r="655" spans="36:42">
      <c r="AJ655" s="12" t="str">
        <f ca="1">IFERROR(MATCH($B$114,OFFSET(#REF!,AJ654,0,1000000),0)+AJ654,"")</f>
        <v/>
      </c>
      <c r="AK655" s="17" t="str">
        <f ca="1">IFERROR(_xlfn.SINGLE(INDEX(#REF!,'Monthly Report'!AJ655)),"")</f>
        <v/>
      </c>
      <c r="AL655" s="12" t="str">
        <f ca="1">IFERROR(_xlfn.SINGLE(INDEX(#REF!,'Monthly Report'!AJ655)),"")</f>
        <v/>
      </c>
      <c r="AN655" s="12" t="str">
        <f ca="1">IFERROR(MATCH($G$115,OFFSET(#REF!,AN654,0,1000000),0)+AN654,"")</f>
        <v/>
      </c>
      <c r="AO655" s="17" t="str">
        <f ca="1">IFERROR(_xlfn.SINGLE(INDEX(#REF!,'Monthly Report'!AN655)),"")</f>
        <v/>
      </c>
      <c r="AP655" s="12" t="str">
        <f ca="1">IFERROR(_xlfn.SINGLE(INDEX(#REF!,'Monthly Report'!AN655)),"")</f>
        <v/>
      </c>
    </row>
    <row r="656" spans="36:42">
      <c r="AJ656" s="12" t="str">
        <f ca="1">IFERROR(MATCH($B$114,OFFSET(#REF!,AJ655,0,1000000),0)+AJ655,"")</f>
        <v/>
      </c>
      <c r="AK656" s="17" t="str">
        <f ca="1">IFERROR(_xlfn.SINGLE(INDEX(#REF!,'Monthly Report'!AJ656)),"")</f>
        <v/>
      </c>
      <c r="AL656" s="12" t="str">
        <f ca="1">IFERROR(_xlfn.SINGLE(INDEX(#REF!,'Monthly Report'!AJ656)),"")</f>
        <v/>
      </c>
      <c r="AN656" s="12" t="str">
        <f ca="1">IFERROR(MATCH($G$115,OFFSET(#REF!,AN655,0,1000000),0)+AN655,"")</f>
        <v/>
      </c>
      <c r="AO656" s="17" t="str">
        <f ca="1">IFERROR(_xlfn.SINGLE(INDEX(#REF!,'Monthly Report'!AN656)),"")</f>
        <v/>
      </c>
      <c r="AP656" s="12" t="str">
        <f ca="1">IFERROR(_xlfn.SINGLE(INDEX(#REF!,'Monthly Report'!AN656)),"")</f>
        <v/>
      </c>
    </row>
    <row r="657" spans="36:42">
      <c r="AJ657" s="12" t="str">
        <f ca="1">IFERROR(MATCH($B$114,OFFSET(#REF!,AJ656,0,1000000),0)+AJ656,"")</f>
        <v/>
      </c>
      <c r="AK657" s="17" t="str">
        <f ca="1">IFERROR(_xlfn.SINGLE(INDEX(#REF!,'Monthly Report'!AJ657)),"")</f>
        <v/>
      </c>
      <c r="AL657" s="12" t="str">
        <f ca="1">IFERROR(_xlfn.SINGLE(INDEX(#REF!,'Monthly Report'!AJ657)),"")</f>
        <v/>
      </c>
      <c r="AN657" s="12" t="str">
        <f ca="1">IFERROR(MATCH($G$115,OFFSET(#REF!,AN656,0,1000000),0)+AN656,"")</f>
        <v/>
      </c>
      <c r="AO657" s="17" t="str">
        <f ca="1">IFERROR(_xlfn.SINGLE(INDEX(#REF!,'Monthly Report'!AN657)),"")</f>
        <v/>
      </c>
      <c r="AP657" s="12" t="str">
        <f ca="1">IFERROR(_xlfn.SINGLE(INDEX(#REF!,'Monthly Report'!AN657)),"")</f>
        <v/>
      </c>
    </row>
    <row r="658" spans="36:42">
      <c r="AJ658" s="12" t="str">
        <f ca="1">IFERROR(MATCH($B$114,OFFSET(#REF!,AJ657,0,1000000),0)+AJ657,"")</f>
        <v/>
      </c>
      <c r="AK658" s="17" t="str">
        <f ca="1">IFERROR(_xlfn.SINGLE(INDEX(#REF!,'Monthly Report'!AJ658)),"")</f>
        <v/>
      </c>
      <c r="AL658" s="12" t="str">
        <f ca="1">IFERROR(_xlfn.SINGLE(INDEX(#REF!,'Monthly Report'!AJ658)),"")</f>
        <v/>
      </c>
      <c r="AN658" s="12" t="str">
        <f ca="1">IFERROR(MATCH($G$115,OFFSET(#REF!,AN657,0,1000000),0)+AN657,"")</f>
        <v/>
      </c>
      <c r="AO658" s="17" t="str">
        <f ca="1">IFERROR(_xlfn.SINGLE(INDEX(#REF!,'Monthly Report'!AN658)),"")</f>
        <v/>
      </c>
      <c r="AP658" s="12" t="str">
        <f ca="1">IFERROR(_xlfn.SINGLE(INDEX(#REF!,'Monthly Report'!AN658)),"")</f>
        <v/>
      </c>
    </row>
    <row r="659" spans="36:42">
      <c r="AJ659" s="12" t="str">
        <f ca="1">IFERROR(MATCH($B$114,OFFSET(#REF!,AJ658,0,1000000),0)+AJ658,"")</f>
        <v/>
      </c>
      <c r="AK659" s="17" t="str">
        <f ca="1">IFERROR(_xlfn.SINGLE(INDEX(#REF!,'Monthly Report'!AJ659)),"")</f>
        <v/>
      </c>
      <c r="AL659" s="12" t="str">
        <f ca="1">IFERROR(_xlfn.SINGLE(INDEX(#REF!,'Monthly Report'!AJ659)),"")</f>
        <v/>
      </c>
      <c r="AN659" s="12" t="str">
        <f ca="1">IFERROR(MATCH($G$115,OFFSET(#REF!,AN658,0,1000000),0)+AN658,"")</f>
        <v/>
      </c>
      <c r="AO659" s="17" t="str">
        <f ca="1">IFERROR(_xlfn.SINGLE(INDEX(#REF!,'Monthly Report'!AN659)),"")</f>
        <v/>
      </c>
      <c r="AP659" s="12" t="str">
        <f ca="1">IFERROR(_xlfn.SINGLE(INDEX(#REF!,'Monthly Report'!AN659)),"")</f>
        <v/>
      </c>
    </row>
    <row r="660" spans="36:42">
      <c r="AJ660" s="12" t="str">
        <f ca="1">IFERROR(MATCH($B$114,OFFSET(#REF!,AJ659,0,1000000),0)+AJ659,"")</f>
        <v/>
      </c>
      <c r="AK660" s="17" t="str">
        <f ca="1">IFERROR(_xlfn.SINGLE(INDEX(#REF!,'Monthly Report'!AJ660)),"")</f>
        <v/>
      </c>
      <c r="AL660" s="12" t="str">
        <f ca="1">IFERROR(_xlfn.SINGLE(INDEX(#REF!,'Monthly Report'!AJ660)),"")</f>
        <v/>
      </c>
      <c r="AN660" s="12" t="str">
        <f ca="1">IFERROR(MATCH($G$115,OFFSET(#REF!,AN659,0,1000000),0)+AN659,"")</f>
        <v/>
      </c>
      <c r="AO660" s="17" t="str">
        <f ca="1">IFERROR(_xlfn.SINGLE(INDEX(#REF!,'Monthly Report'!AN660)),"")</f>
        <v/>
      </c>
      <c r="AP660" s="12" t="str">
        <f ca="1">IFERROR(_xlfn.SINGLE(INDEX(#REF!,'Monthly Report'!AN660)),"")</f>
        <v/>
      </c>
    </row>
    <row r="661" spans="36:42">
      <c r="AJ661" s="12" t="str">
        <f ca="1">IFERROR(MATCH($B$114,OFFSET(#REF!,AJ660,0,1000000),0)+AJ660,"")</f>
        <v/>
      </c>
      <c r="AK661" s="17" t="str">
        <f ca="1">IFERROR(_xlfn.SINGLE(INDEX(#REF!,'Monthly Report'!AJ661)),"")</f>
        <v/>
      </c>
      <c r="AL661" s="12" t="str">
        <f ca="1">IFERROR(_xlfn.SINGLE(INDEX(#REF!,'Monthly Report'!AJ661)),"")</f>
        <v/>
      </c>
      <c r="AN661" s="12" t="str">
        <f ca="1">IFERROR(MATCH($G$115,OFFSET(#REF!,AN660,0,1000000),0)+AN660,"")</f>
        <v/>
      </c>
      <c r="AO661" s="17" t="str">
        <f ca="1">IFERROR(_xlfn.SINGLE(INDEX(#REF!,'Monthly Report'!AN661)),"")</f>
        <v/>
      </c>
      <c r="AP661" s="12" t="str">
        <f ca="1">IFERROR(_xlfn.SINGLE(INDEX(#REF!,'Monthly Report'!AN661)),"")</f>
        <v/>
      </c>
    </row>
    <row r="662" spans="36:42">
      <c r="AJ662" s="12" t="str">
        <f ca="1">IFERROR(MATCH($B$114,OFFSET(#REF!,AJ661,0,1000000),0)+AJ661,"")</f>
        <v/>
      </c>
      <c r="AK662" s="17" t="str">
        <f ca="1">IFERROR(_xlfn.SINGLE(INDEX(#REF!,'Monthly Report'!AJ662)),"")</f>
        <v/>
      </c>
      <c r="AL662" s="12" t="str">
        <f ca="1">IFERROR(_xlfn.SINGLE(INDEX(#REF!,'Monthly Report'!AJ662)),"")</f>
        <v/>
      </c>
      <c r="AN662" s="12" t="str">
        <f ca="1">IFERROR(MATCH($G$115,OFFSET(#REF!,AN661,0,1000000),0)+AN661,"")</f>
        <v/>
      </c>
      <c r="AO662" s="17" t="str">
        <f ca="1">IFERROR(_xlfn.SINGLE(INDEX(#REF!,'Monthly Report'!AN662)),"")</f>
        <v/>
      </c>
      <c r="AP662" s="12" t="str">
        <f ca="1">IFERROR(_xlfn.SINGLE(INDEX(#REF!,'Monthly Report'!AN662)),"")</f>
        <v/>
      </c>
    </row>
    <row r="663" spans="36:42">
      <c r="AJ663" s="12" t="str">
        <f ca="1">IFERROR(MATCH($B$114,OFFSET(#REF!,AJ662,0,1000000),0)+AJ662,"")</f>
        <v/>
      </c>
      <c r="AK663" s="17" t="str">
        <f ca="1">IFERROR(_xlfn.SINGLE(INDEX(#REF!,'Monthly Report'!AJ663)),"")</f>
        <v/>
      </c>
      <c r="AL663" s="12" t="str">
        <f ca="1">IFERROR(_xlfn.SINGLE(INDEX(#REF!,'Monthly Report'!AJ663)),"")</f>
        <v/>
      </c>
      <c r="AN663" s="12" t="str">
        <f ca="1">IFERROR(MATCH($G$115,OFFSET(#REF!,AN662,0,1000000),0)+AN662,"")</f>
        <v/>
      </c>
      <c r="AO663" s="17" t="str">
        <f ca="1">IFERROR(_xlfn.SINGLE(INDEX(#REF!,'Monthly Report'!AN663)),"")</f>
        <v/>
      </c>
      <c r="AP663" s="12" t="str">
        <f ca="1">IFERROR(_xlfn.SINGLE(INDEX(#REF!,'Monthly Report'!AN663)),"")</f>
        <v/>
      </c>
    </row>
    <row r="664" spans="36:42">
      <c r="AJ664" s="12" t="str">
        <f ca="1">IFERROR(MATCH($B$114,OFFSET(#REF!,AJ663,0,1000000),0)+AJ663,"")</f>
        <v/>
      </c>
      <c r="AK664" s="17" t="str">
        <f ca="1">IFERROR(_xlfn.SINGLE(INDEX(#REF!,'Monthly Report'!AJ664)),"")</f>
        <v/>
      </c>
      <c r="AL664" s="12" t="str">
        <f ca="1">IFERROR(_xlfn.SINGLE(INDEX(#REF!,'Monthly Report'!AJ664)),"")</f>
        <v/>
      </c>
      <c r="AN664" s="12" t="str">
        <f ca="1">IFERROR(MATCH($G$115,OFFSET(#REF!,AN663,0,1000000),0)+AN663,"")</f>
        <v/>
      </c>
      <c r="AO664" s="17" t="str">
        <f ca="1">IFERROR(_xlfn.SINGLE(INDEX(#REF!,'Monthly Report'!AN664)),"")</f>
        <v/>
      </c>
      <c r="AP664" s="12" t="str">
        <f ca="1">IFERROR(_xlfn.SINGLE(INDEX(#REF!,'Monthly Report'!AN664)),"")</f>
        <v/>
      </c>
    </row>
    <row r="665" spans="36:42">
      <c r="AJ665" s="12" t="str">
        <f ca="1">IFERROR(MATCH($B$114,OFFSET(#REF!,AJ664,0,1000000),0)+AJ664,"")</f>
        <v/>
      </c>
      <c r="AK665" s="17" t="str">
        <f ca="1">IFERROR(_xlfn.SINGLE(INDEX(#REF!,'Monthly Report'!AJ665)),"")</f>
        <v/>
      </c>
      <c r="AL665" s="12" t="str">
        <f ca="1">IFERROR(_xlfn.SINGLE(INDEX(#REF!,'Monthly Report'!AJ665)),"")</f>
        <v/>
      </c>
      <c r="AN665" s="12" t="str">
        <f ca="1">IFERROR(MATCH($G$115,OFFSET(#REF!,AN664,0,1000000),0)+AN664,"")</f>
        <v/>
      </c>
      <c r="AO665" s="17" t="str">
        <f ca="1">IFERROR(_xlfn.SINGLE(INDEX(#REF!,'Monthly Report'!AN665)),"")</f>
        <v/>
      </c>
      <c r="AP665" s="12" t="str">
        <f ca="1">IFERROR(_xlfn.SINGLE(INDEX(#REF!,'Monthly Report'!AN665)),"")</f>
        <v/>
      </c>
    </row>
    <row r="666" spans="36:42">
      <c r="AJ666" s="12" t="str">
        <f ca="1">IFERROR(MATCH($B$114,OFFSET(#REF!,AJ665,0,1000000),0)+AJ665,"")</f>
        <v/>
      </c>
      <c r="AK666" s="17" t="str">
        <f ca="1">IFERROR(_xlfn.SINGLE(INDEX(#REF!,'Monthly Report'!AJ666)),"")</f>
        <v/>
      </c>
      <c r="AL666" s="12" t="str">
        <f ca="1">IFERROR(_xlfn.SINGLE(INDEX(#REF!,'Monthly Report'!AJ666)),"")</f>
        <v/>
      </c>
      <c r="AN666" s="12" t="str">
        <f ca="1">IFERROR(MATCH($G$115,OFFSET(#REF!,AN665,0,1000000),0)+AN665,"")</f>
        <v/>
      </c>
      <c r="AO666" s="17" t="str">
        <f ca="1">IFERROR(_xlfn.SINGLE(INDEX(#REF!,'Monthly Report'!AN666)),"")</f>
        <v/>
      </c>
      <c r="AP666" s="12" t="str">
        <f ca="1">IFERROR(_xlfn.SINGLE(INDEX(#REF!,'Monthly Report'!AN666)),"")</f>
        <v/>
      </c>
    </row>
    <row r="667" spans="36:42">
      <c r="AJ667" s="12" t="str">
        <f ca="1">IFERROR(MATCH($B$114,OFFSET(#REF!,AJ666,0,1000000),0)+AJ666,"")</f>
        <v/>
      </c>
      <c r="AK667" s="17" t="str">
        <f ca="1">IFERROR(_xlfn.SINGLE(INDEX(#REF!,'Monthly Report'!AJ667)),"")</f>
        <v/>
      </c>
      <c r="AL667" s="12" t="str">
        <f ca="1">IFERROR(_xlfn.SINGLE(INDEX(#REF!,'Monthly Report'!AJ667)),"")</f>
        <v/>
      </c>
      <c r="AN667" s="12" t="str">
        <f ca="1">IFERROR(MATCH($G$115,OFFSET(#REF!,AN666,0,1000000),0)+AN666,"")</f>
        <v/>
      </c>
      <c r="AO667" s="17" t="str">
        <f ca="1">IFERROR(_xlfn.SINGLE(INDEX(#REF!,'Monthly Report'!AN667)),"")</f>
        <v/>
      </c>
      <c r="AP667" s="12" t="str">
        <f ca="1">IFERROR(_xlfn.SINGLE(INDEX(#REF!,'Monthly Report'!AN667)),"")</f>
        <v/>
      </c>
    </row>
    <row r="668" spans="36:42">
      <c r="AJ668" s="12" t="str">
        <f ca="1">IFERROR(MATCH($B$114,OFFSET(#REF!,AJ667,0,1000000),0)+AJ667,"")</f>
        <v/>
      </c>
      <c r="AK668" s="17" t="str">
        <f ca="1">IFERROR(_xlfn.SINGLE(INDEX(#REF!,'Monthly Report'!AJ668)),"")</f>
        <v/>
      </c>
      <c r="AL668" s="12" t="str">
        <f ca="1">IFERROR(_xlfn.SINGLE(INDEX(#REF!,'Monthly Report'!AJ668)),"")</f>
        <v/>
      </c>
      <c r="AN668" s="12" t="str">
        <f ca="1">IFERROR(MATCH($G$115,OFFSET(#REF!,AN667,0,1000000),0)+AN667,"")</f>
        <v/>
      </c>
      <c r="AO668" s="17" t="str">
        <f ca="1">IFERROR(_xlfn.SINGLE(INDEX(#REF!,'Monthly Report'!AN668)),"")</f>
        <v/>
      </c>
      <c r="AP668" s="12" t="str">
        <f ca="1">IFERROR(_xlfn.SINGLE(INDEX(#REF!,'Monthly Report'!AN668)),"")</f>
        <v/>
      </c>
    </row>
    <row r="669" spans="36:42">
      <c r="AJ669" s="12" t="str">
        <f ca="1">IFERROR(MATCH($B$114,OFFSET(#REF!,AJ668,0,1000000),0)+AJ668,"")</f>
        <v/>
      </c>
      <c r="AK669" s="17" t="str">
        <f ca="1">IFERROR(_xlfn.SINGLE(INDEX(#REF!,'Monthly Report'!AJ669)),"")</f>
        <v/>
      </c>
      <c r="AL669" s="12" t="str">
        <f ca="1">IFERROR(_xlfn.SINGLE(INDEX(#REF!,'Monthly Report'!AJ669)),"")</f>
        <v/>
      </c>
      <c r="AN669" s="12" t="str">
        <f ca="1">IFERROR(MATCH($G$115,OFFSET(#REF!,AN668,0,1000000),0)+AN668,"")</f>
        <v/>
      </c>
      <c r="AO669" s="17" t="str">
        <f ca="1">IFERROR(_xlfn.SINGLE(INDEX(#REF!,'Monthly Report'!AN669)),"")</f>
        <v/>
      </c>
      <c r="AP669" s="12" t="str">
        <f ca="1">IFERROR(_xlfn.SINGLE(INDEX(#REF!,'Monthly Report'!AN669)),"")</f>
        <v/>
      </c>
    </row>
    <row r="670" spans="36:42">
      <c r="AJ670" s="12" t="str">
        <f ca="1">IFERROR(MATCH($B$114,OFFSET(#REF!,AJ669,0,1000000),0)+AJ669,"")</f>
        <v/>
      </c>
      <c r="AK670" s="17" t="str">
        <f ca="1">IFERROR(_xlfn.SINGLE(INDEX(#REF!,'Monthly Report'!AJ670)),"")</f>
        <v/>
      </c>
      <c r="AL670" s="12" t="str">
        <f ca="1">IFERROR(_xlfn.SINGLE(INDEX(#REF!,'Monthly Report'!AJ670)),"")</f>
        <v/>
      </c>
      <c r="AN670" s="12" t="str">
        <f ca="1">IFERROR(MATCH($G$115,OFFSET(#REF!,AN669,0,1000000),0)+AN669,"")</f>
        <v/>
      </c>
      <c r="AO670" s="17" t="str">
        <f ca="1">IFERROR(_xlfn.SINGLE(INDEX(#REF!,'Monthly Report'!AN670)),"")</f>
        <v/>
      </c>
      <c r="AP670" s="12" t="str">
        <f ca="1">IFERROR(_xlfn.SINGLE(INDEX(#REF!,'Monthly Report'!AN670)),"")</f>
        <v/>
      </c>
    </row>
    <row r="671" spans="36:42">
      <c r="AJ671" s="12" t="str">
        <f ca="1">IFERROR(MATCH($B$114,OFFSET(#REF!,AJ670,0,1000000),0)+AJ670,"")</f>
        <v/>
      </c>
      <c r="AK671" s="17" t="str">
        <f ca="1">IFERROR(_xlfn.SINGLE(INDEX(#REF!,'Monthly Report'!AJ671)),"")</f>
        <v/>
      </c>
      <c r="AL671" s="12" t="str">
        <f ca="1">IFERROR(_xlfn.SINGLE(INDEX(#REF!,'Monthly Report'!AJ671)),"")</f>
        <v/>
      </c>
      <c r="AN671" s="12" t="str">
        <f ca="1">IFERROR(MATCH($G$115,OFFSET(#REF!,AN670,0,1000000),0)+AN670,"")</f>
        <v/>
      </c>
      <c r="AO671" s="17" t="str">
        <f ca="1">IFERROR(_xlfn.SINGLE(INDEX(#REF!,'Monthly Report'!AN671)),"")</f>
        <v/>
      </c>
      <c r="AP671" s="12" t="str">
        <f ca="1">IFERROR(_xlfn.SINGLE(INDEX(#REF!,'Monthly Report'!AN671)),"")</f>
        <v/>
      </c>
    </row>
    <row r="672" spans="36:42">
      <c r="AJ672" s="12" t="str">
        <f ca="1">IFERROR(MATCH($B$114,OFFSET(#REF!,AJ671,0,1000000),0)+AJ671,"")</f>
        <v/>
      </c>
      <c r="AK672" s="17" t="str">
        <f ca="1">IFERROR(_xlfn.SINGLE(INDEX(#REF!,'Monthly Report'!AJ672)),"")</f>
        <v/>
      </c>
      <c r="AL672" s="12" t="str">
        <f ca="1">IFERROR(_xlfn.SINGLE(INDEX(#REF!,'Monthly Report'!AJ672)),"")</f>
        <v/>
      </c>
      <c r="AN672" s="12" t="str">
        <f ca="1">IFERROR(MATCH($G$115,OFFSET(#REF!,AN671,0,1000000),0)+AN671,"")</f>
        <v/>
      </c>
      <c r="AO672" s="17" t="str">
        <f ca="1">IFERROR(_xlfn.SINGLE(INDEX(#REF!,'Monthly Report'!AN672)),"")</f>
        <v/>
      </c>
      <c r="AP672" s="12" t="str">
        <f ca="1">IFERROR(_xlfn.SINGLE(INDEX(#REF!,'Monthly Report'!AN672)),"")</f>
        <v/>
      </c>
    </row>
    <row r="673" spans="36:42">
      <c r="AJ673" s="12" t="str">
        <f ca="1">IFERROR(MATCH($B$114,OFFSET(#REF!,AJ672,0,1000000),0)+AJ672,"")</f>
        <v/>
      </c>
      <c r="AK673" s="17" t="str">
        <f ca="1">IFERROR(_xlfn.SINGLE(INDEX(#REF!,'Monthly Report'!AJ673)),"")</f>
        <v/>
      </c>
      <c r="AL673" s="12" t="str">
        <f ca="1">IFERROR(_xlfn.SINGLE(INDEX(#REF!,'Monthly Report'!AJ673)),"")</f>
        <v/>
      </c>
      <c r="AN673" s="12" t="str">
        <f ca="1">IFERROR(MATCH($G$115,OFFSET(#REF!,AN672,0,1000000),0)+AN672,"")</f>
        <v/>
      </c>
      <c r="AO673" s="17" t="str">
        <f ca="1">IFERROR(_xlfn.SINGLE(INDEX(#REF!,'Monthly Report'!AN673)),"")</f>
        <v/>
      </c>
      <c r="AP673" s="12" t="str">
        <f ca="1">IFERROR(_xlfn.SINGLE(INDEX(#REF!,'Monthly Report'!AN673)),"")</f>
        <v/>
      </c>
    </row>
    <row r="674" spans="36:42">
      <c r="AJ674" s="12" t="str">
        <f ca="1">IFERROR(MATCH($B$114,OFFSET(#REF!,AJ673,0,1000000),0)+AJ673,"")</f>
        <v/>
      </c>
      <c r="AK674" s="17" t="str">
        <f ca="1">IFERROR(_xlfn.SINGLE(INDEX(#REF!,'Monthly Report'!AJ674)),"")</f>
        <v/>
      </c>
      <c r="AL674" s="12" t="str">
        <f ca="1">IFERROR(_xlfn.SINGLE(INDEX(#REF!,'Monthly Report'!AJ674)),"")</f>
        <v/>
      </c>
      <c r="AN674" s="12" t="str">
        <f ca="1">IFERROR(MATCH($G$115,OFFSET(#REF!,AN673,0,1000000),0)+AN673,"")</f>
        <v/>
      </c>
      <c r="AO674" s="17" t="str">
        <f ca="1">IFERROR(_xlfn.SINGLE(INDEX(#REF!,'Monthly Report'!AN674)),"")</f>
        <v/>
      </c>
      <c r="AP674" s="12" t="str">
        <f ca="1">IFERROR(_xlfn.SINGLE(INDEX(#REF!,'Monthly Report'!AN674)),"")</f>
        <v/>
      </c>
    </row>
    <row r="675" spans="36:42">
      <c r="AJ675" s="12" t="str">
        <f ca="1">IFERROR(MATCH($B$114,OFFSET(#REF!,AJ674,0,1000000),0)+AJ674,"")</f>
        <v/>
      </c>
      <c r="AK675" s="17" t="str">
        <f ca="1">IFERROR(_xlfn.SINGLE(INDEX(#REF!,'Monthly Report'!AJ675)),"")</f>
        <v/>
      </c>
      <c r="AL675" s="12" t="str">
        <f ca="1">IFERROR(_xlfn.SINGLE(INDEX(#REF!,'Monthly Report'!AJ675)),"")</f>
        <v/>
      </c>
      <c r="AN675" s="12" t="str">
        <f ca="1">IFERROR(MATCH($G$115,OFFSET(#REF!,AN674,0,1000000),0)+AN674,"")</f>
        <v/>
      </c>
      <c r="AO675" s="17" t="str">
        <f ca="1">IFERROR(_xlfn.SINGLE(INDEX(#REF!,'Monthly Report'!AN675)),"")</f>
        <v/>
      </c>
      <c r="AP675" s="12" t="str">
        <f ca="1">IFERROR(_xlfn.SINGLE(INDEX(#REF!,'Monthly Report'!AN675)),"")</f>
        <v/>
      </c>
    </row>
    <row r="676" spans="36:42">
      <c r="AJ676" s="12" t="str">
        <f ca="1">IFERROR(MATCH($B$114,OFFSET(#REF!,AJ675,0,1000000),0)+AJ675,"")</f>
        <v/>
      </c>
      <c r="AK676" s="17" t="str">
        <f ca="1">IFERROR(_xlfn.SINGLE(INDEX(#REF!,'Monthly Report'!AJ676)),"")</f>
        <v/>
      </c>
      <c r="AL676" s="12" t="str">
        <f ca="1">IFERROR(_xlfn.SINGLE(INDEX(#REF!,'Monthly Report'!AJ676)),"")</f>
        <v/>
      </c>
      <c r="AN676" s="12" t="str">
        <f ca="1">IFERROR(MATCH($G$115,OFFSET(#REF!,AN675,0,1000000),0)+AN675,"")</f>
        <v/>
      </c>
      <c r="AO676" s="17" t="str">
        <f ca="1">IFERROR(_xlfn.SINGLE(INDEX(#REF!,'Monthly Report'!AN676)),"")</f>
        <v/>
      </c>
      <c r="AP676" s="12" t="str">
        <f ca="1">IFERROR(_xlfn.SINGLE(INDEX(#REF!,'Monthly Report'!AN676)),"")</f>
        <v/>
      </c>
    </row>
    <row r="677" spans="36:42">
      <c r="AJ677" s="12" t="str">
        <f ca="1">IFERROR(MATCH($B$114,OFFSET(#REF!,AJ676,0,1000000),0)+AJ676,"")</f>
        <v/>
      </c>
      <c r="AK677" s="17" t="str">
        <f ca="1">IFERROR(_xlfn.SINGLE(INDEX(#REF!,'Monthly Report'!AJ677)),"")</f>
        <v/>
      </c>
      <c r="AL677" s="12" t="str">
        <f ca="1">IFERROR(_xlfn.SINGLE(INDEX(#REF!,'Monthly Report'!AJ677)),"")</f>
        <v/>
      </c>
      <c r="AN677" s="12" t="str">
        <f ca="1">IFERROR(MATCH($G$115,OFFSET(#REF!,AN676,0,1000000),0)+AN676,"")</f>
        <v/>
      </c>
      <c r="AO677" s="17" t="str">
        <f ca="1">IFERROR(_xlfn.SINGLE(INDEX(#REF!,'Monthly Report'!AN677)),"")</f>
        <v/>
      </c>
      <c r="AP677" s="12" t="str">
        <f ca="1">IFERROR(_xlfn.SINGLE(INDEX(#REF!,'Monthly Report'!AN677)),"")</f>
        <v/>
      </c>
    </row>
    <row r="678" spans="36:42">
      <c r="AJ678" s="12" t="str">
        <f ca="1">IFERROR(MATCH($B$114,OFFSET(#REF!,AJ677,0,1000000),0)+AJ677,"")</f>
        <v/>
      </c>
      <c r="AK678" s="17" t="str">
        <f ca="1">IFERROR(_xlfn.SINGLE(INDEX(#REF!,'Monthly Report'!AJ678)),"")</f>
        <v/>
      </c>
      <c r="AL678" s="12" t="str">
        <f ca="1">IFERROR(_xlfn.SINGLE(INDEX(#REF!,'Monthly Report'!AJ678)),"")</f>
        <v/>
      </c>
      <c r="AN678" s="12" t="str">
        <f ca="1">IFERROR(MATCH($G$115,OFFSET(#REF!,AN677,0,1000000),0)+AN677,"")</f>
        <v/>
      </c>
      <c r="AO678" s="17" t="str">
        <f ca="1">IFERROR(_xlfn.SINGLE(INDEX(#REF!,'Monthly Report'!AN678)),"")</f>
        <v/>
      </c>
      <c r="AP678" s="12" t="str">
        <f ca="1">IFERROR(_xlfn.SINGLE(INDEX(#REF!,'Monthly Report'!AN678)),"")</f>
        <v/>
      </c>
    </row>
    <row r="679" spans="36:42">
      <c r="AJ679" s="12" t="str">
        <f ca="1">IFERROR(MATCH($B$114,OFFSET(#REF!,AJ678,0,1000000),0)+AJ678,"")</f>
        <v/>
      </c>
      <c r="AK679" s="17" t="str">
        <f ca="1">IFERROR(_xlfn.SINGLE(INDEX(#REF!,'Monthly Report'!AJ679)),"")</f>
        <v/>
      </c>
      <c r="AL679" s="12" t="str">
        <f ca="1">IFERROR(_xlfn.SINGLE(INDEX(#REF!,'Monthly Report'!AJ679)),"")</f>
        <v/>
      </c>
      <c r="AN679" s="12" t="str">
        <f ca="1">IFERROR(MATCH($G$115,OFFSET(#REF!,AN678,0,1000000),0)+AN678,"")</f>
        <v/>
      </c>
      <c r="AO679" s="17" t="str">
        <f ca="1">IFERROR(_xlfn.SINGLE(INDEX(#REF!,'Monthly Report'!AN679)),"")</f>
        <v/>
      </c>
      <c r="AP679" s="12" t="str">
        <f ca="1">IFERROR(_xlfn.SINGLE(INDEX(#REF!,'Monthly Report'!AN679)),"")</f>
        <v/>
      </c>
    </row>
    <row r="680" spans="36:42">
      <c r="AJ680" s="12" t="str">
        <f ca="1">IFERROR(MATCH($B$114,OFFSET(#REF!,AJ679,0,1000000),0)+AJ679,"")</f>
        <v/>
      </c>
      <c r="AK680" s="17" t="str">
        <f ca="1">IFERROR(_xlfn.SINGLE(INDEX(#REF!,'Monthly Report'!AJ680)),"")</f>
        <v/>
      </c>
      <c r="AL680" s="12" t="str">
        <f ca="1">IFERROR(_xlfn.SINGLE(INDEX(#REF!,'Monthly Report'!AJ680)),"")</f>
        <v/>
      </c>
      <c r="AN680" s="12" t="str">
        <f ca="1">IFERROR(MATCH($G$115,OFFSET(#REF!,AN679,0,1000000),0)+AN679,"")</f>
        <v/>
      </c>
      <c r="AO680" s="17" t="str">
        <f ca="1">IFERROR(_xlfn.SINGLE(INDEX(#REF!,'Monthly Report'!AN680)),"")</f>
        <v/>
      </c>
      <c r="AP680" s="12" t="str">
        <f ca="1">IFERROR(_xlfn.SINGLE(INDEX(#REF!,'Monthly Report'!AN680)),"")</f>
        <v/>
      </c>
    </row>
    <row r="681" spans="36:42">
      <c r="AJ681" s="12" t="str">
        <f ca="1">IFERROR(MATCH($B$114,OFFSET(#REF!,AJ680,0,1000000),0)+AJ680,"")</f>
        <v/>
      </c>
      <c r="AK681" s="17" t="str">
        <f ca="1">IFERROR(_xlfn.SINGLE(INDEX(#REF!,'Monthly Report'!AJ681)),"")</f>
        <v/>
      </c>
      <c r="AL681" s="12" t="str">
        <f ca="1">IFERROR(_xlfn.SINGLE(INDEX(#REF!,'Monthly Report'!AJ681)),"")</f>
        <v/>
      </c>
      <c r="AN681" s="12" t="str">
        <f ca="1">IFERROR(MATCH($G$115,OFFSET(#REF!,AN680,0,1000000),0)+AN680,"")</f>
        <v/>
      </c>
      <c r="AO681" s="17" t="str">
        <f ca="1">IFERROR(_xlfn.SINGLE(INDEX(#REF!,'Monthly Report'!AN681)),"")</f>
        <v/>
      </c>
      <c r="AP681" s="12" t="str">
        <f ca="1">IFERROR(_xlfn.SINGLE(INDEX(#REF!,'Monthly Report'!AN681)),"")</f>
        <v/>
      </c>
    </row>
    <row r="682" spans="36:42">
      <c r="AJ682" s="12" t="str">
        <f ca="1">IFERROR(MATCH($B$114,OFFSET(#REF!,AJ681,0,1000000),0)+AJ681,"")</f>
        <v/>
      </c>
      <c r="AK682" s="17" t="str">
        <f ca="1">IFERROR(_xlfn.SINGLE(INDEX(#REF!,'Monthly Report'!AJ682)),"")</f>
        <v/>
      </c>
      <c r="AL682" s="12" t="str">
        <f ca="1">IFERROR(_xlfn.SINGLE(INDEX(#REF!,'Monthly Report'!AJ682)),"")</f>
        <v/>
      </c>
      <c r="AN682" s="12" t="str">
        <f ca="1">IFERROR(MATCH($G$115,OFFSET(#REF!,AN681,0,1000000),0)+AN681,"")</f>
        <v/>
      </c>
      <c r="AO682" s="17" t="str">
        <f ca="1">IFERROR(_xlfn.SINGLE(INDEX(#REF!,'Monthly Report'!AN682)),"")</f>
        <v/>
      </c>
      <c r="AP682" s="12" t="str">
        <f ca="1">IFERROR(_xlfn.SINGLE(INDEX(#REF!,'Monthly Report'!AN682)),"")</f>
        <v/>
      </c>
    </row>
    <row r="683" spans="36:42">
      <c r="AJ683" s="12" t="str">
        <f ca="1">IFERROR(MATCH($B$114,OFFSET(#REF!,AJ682,0,1000000),0)+AJ682,"")</f>
        <v/>
      </c>
      <c r="AK683" s="17" t="str">
        <f ca="1">IFERROR(_xlfn.SINGLE(INDEX(#REF!,'Monthly Report'!AJ683)),"")</f>
        <v/>
      </c>
      <c r="AL683" s="12" t="str">
        <f ca="1">IFERROR(_xlfn.SINGLE(INDEX(#REF!,'Monthly Report'!AJ683)),"")</f>
        <v/>
      </c>
      <c r="AN683" s="12" t="str">
        <f ca="1">IFERROR(MATCH($G$115,OFFSET(#REF!,AN682,0,1000000),0)+AN682,"")</f>
        <v/>
      </c>
      <c r="AO683" s="17" t="str">
        <f ca="1">IFERROR(_xlfn.SINGLE(INDEX(#REF!,'Monthly Report'!AN683)),"")</f>
        <v/>
      </c>
      <c r="AP683" s="12" t="str">
        <f ca="1">IFERROR(_xlfn.SINGLE(INDEX(#REF!,'Monthly Report'!AN683)),"")</f>
        <v/>
      </c>
    </row>
    <row r="684" spans="36:42">
      <c r="AJ684" s="12" t="str">
        <f ca="1">IFERROR(MATCH($B$114,OFFSET(#REF!,AJ683,0,1000000),0)+AJ683,"")</f>
        <v/>
      </c>
      <c r="AK684" s="17" t="str">
        <f ca="1">IFERROR(_xlfn.SINGLE(INDEX(#REF!,'Monthly Report'!AJ684)),"")</f>
        <v/>
      </c>
      <c r="AL684" s="12" t="str">
        <f ca="1">IFERROR(_xlfn.SINGLE(INDEX(#REF!,'Monthly Report'!AJ684)),"")</f>
        <v/>
      </c>
      <c r="AN684" s="12" t="str">
        <f ca="1">IFERROR(MATCH($G$115,OFFSET(#REF!,AN683,0,1000000),0)+AN683,"")</f>
        <v/>
      </c>
      <c r="AO684" s="17" t="str">
        <f ca="1">IFERROR(_xlfn.SINGLE(INDEX(#REF!,'Monthly Report'!AN684)),"")</f>
        <v/>
      </c>
      <c r="AP684" s="12" t="str">
        <f ca="1">IFERROR(_xlfn.SINGLE(INDEX(#REF!,'Monthly Report'!AN684)),"")</f>
        <v/>
      </c>
    </row>
    <row r="685" spans="36:42">
      <c r="AJ685" s="12" t="str">
        <f ca="1">IFERROR(MATCH($B$114,OFFSET(#REF!,AJ684,0,1000000),0)+AJ684,"")</f>
        <v/>
      </c>
      <c r="AK685" s="17" t="str">
        <f ca="1">IFERROR(_xlfn.SINGLE(INDEX(#REF!,'Monthly Report'!AJ685)),"")</f>
        <v/>
      </c>
      <c r="AL685" s="12" t="str">
        <f ca="1">IFERROR(_xlfn.SINGLE(INDEX(#REF!,'Monthly Report'!AJ685)),"")</f>
        <v/>
      </c>
      <c r="AN685" s="12" t="str">
        <f ca="1">IFERROR(MATCH($G$115,OFFSET(#REF!,AN684,0,1000000),0)+AN684,"")</f>
        <v/>
      </c>
      <c r="AO685" s="17" t="str">
        <f ca="1">IFERROR(_xlfn.SINGLE(INDEX(#REF!,'Monthly Report'!AN685)),"")</f>
        <v/>
      </c>
      <c r="AP685" s="12" t="str">
        <f ca="1">IFERROR(_xlfn.SINGLE(INDEX(#REF!,'Monthly Report'!AN685)),"")</f>
        <v/>
      </c>
    </row>
    <row r="686" spans="36:42">
      <c r="AJ686" s="12" t="str">
        <f ca="1">IFERROR(MATCH($B$114,OFFSET(#REF!,AJ685,0,1000000),0)+AJ685,"")</f>
        <v/>
      </c>
      <c r="AK686" s="17" t="str">
        <f ca="1">IFERROR(_xlfn.SINGLE(INDEX(#REF!,'Monthly Report'!AJ686)),"")</f>
        <v/>
      </c>
      <c r="AL686" s="12" t="str">
        <f ca="1">IFERROR(_xlfn.SINGLE(INDEX(#REF!,'Monthly Report'!AJ686)),"")</f>
        <v/>
      </c>
      <c r="AN686" s="12" t="str">
        <f ca="1">IFERROR(MATCH($G$115,OFFSET(#REF!,AN685,0,1000000),0)+AN685,"")</f>
        <v/>
      </c>
      <c r="AO686" s="17" t="str">
        <f ca="1">IFERROR(_xlfn.SINGLE(INDEX(#REF!,'Monthly Report'!AN686)),"")</f>
        <v/>
      </c>
      <c r="AP686" s="12" t="str">
        <f ca="1">IFERROR(_xlfn.SINGLE(INDEX(#REF!,'Monthly Report'!AN686)),"")</f>
        <v/>
      </c>
    </row>
    <row r="687" spans="36:42">
      <c r="AJ687" s="12" t="str">
        <f ca="1">IFERROR(MATCH($B$114,OFFSET(#REF!,AJ686,0,1000000),0)+AJ686,"")</f>
        <v/>
      </c>
      <c r="AK687" s="17" t="str">
        <f ca="1">IFERROR(_xlfn.SINGLE(INDEX(#REF!,'Monthly Report'!AJ687)),"")</f>
        <v/>
      </c>
      <c r="AL687" s="12" t="str">
        <f ca="1">IFERROR(_xlfn.SINGLE(INDEX(#REF!,'Monthly Report'!AJ687)),"")</f>
        <v/>
      </c>
      <c r="AN687" s="12" t="str">
        <f ca="1">IFERROR(MATCH($G$115,OFFSET(#REF!,AN686,0,1000000),0)+AN686,"")</f>
        <v/>
      </c>
      <c r="AO687" s="17" t="str">
        <f ca="1">IFERROR(_xlfn.SINGLE(INDEX(#REF!,'Monthly Report'!AN687)),"")</f>
        <v/>
      </c>
      <c r="AP687" s="12" t="str">
        <f ca="1">IFERROR(_xlfn.SINGLE(INDEX(#REF!,'Monthly Report'!AN687)),"")</f>
        <v/>
      </c>
    </row>
    <row r="688" spans="36:42">
      <c r="AJ688" s="12" t="str">
        <f ca="1">IFERROR(MATCH($B$114,OFFSET(#REF!,AJ687,0,1000000),0)+AJ687,"")</f>
        <v/>
      </c>
      <c r="AK688" s="17" t="str">
        <f ca="1">IFERROR(_xlfn.SINGLE(INDEX(#REF!,'Monthly Report'!AJ688)),"")</f>
        <v/>
      </c>
      <c r="AL688" s="12" t="str">
        <f ca="1">IFERROR(_xlfn.SINGLE(INDEX(#REF!,'Monthly Report'!AJ688)),"")</f>
        <v/>
      </c>
      <c r="AN688" s="12" t="str">
        <f ca="1">IFERROR(MATCH($G$115,OFFSET(#REF!,AN687,0,1000000),0)+AN687,"")</f>
        <v/>
      </c>
      <c r="AO688" s="17" t="str">
        <f ca="1">IFERROR(_xlfn.SINGLE(INDEX(#REF!,'Monthly Report'!AN688)),"")</f>
        <v/>
      </c>
      <c r="AP688" s="12" t="str">
        <f ca="1">IFERROR(_xlfn.SINGLE(INDEX(#REF!,'Monthly Report'!AN688)),"")</f>
        <v/>
      </c>
    </row>
    <row r="689" spans="36:42">
      <c r="AJ689" s="12" t="str">
        <f ca="1">IFERROR(MATCH($B$114,OFFSET(#REF!,AJ688,0,1000000),0)+AJ688,"")</f>
        <v/>
      </c>
      <c r="AK689" s="17" t="str">
        <f ca="1">IFERROR(_xlfn.SINGLE(INDEX(#REF!,'Monthly Report'!AJ689)),"")</f>
        <v/>
      </c>
      <c r="AL689" s="12" t="str">
        <f ca="1">IFERROR(_xlfn.SINGLE(INDEX(#REF!,'Monthly Report'!AJ689)),"")</f>
        <v/>
      </c>
      <c r="AN689" s="12" t="str">
        <f ca="1">IFERROR(MATCH($G$115,OFFSET(#REF!,AN688,0,1000000),0)+AN688,"")</f>
        <v/>
      </c>
      <c r="AO689" s="17" t="str">
        <f ca="1">IFERROR(_xlfn.SINGLE(INDEX(#REF!,'Monthly Report'!AN689)),"")</f>
        <v/>
      </c>
      <c r="AP689" s="12" t="str">
        <f ca="1">IFERROR(_xlfn.SINGLE(INDEX(#REF!,'Monthly Report'!AN689)),"")</f>
        <v/>
      </c>
    </row>
    <row r="690" spans="36:42">
      <c r="AJ690" s="12" t="str">
        <f ca="1">IFERROR(MATCH($B$114,OFFSET(#REF!,AJ689,0,1000000),0)+AJ689,"")</f>
        <v/>
      </c>
      <c r="AK690" s="17" t="str">
        <f ca="1">IFERROR(_xlfn.SINGLE(INDEX(#REF!,'Monthly Report'!AJ690)),"")</f>
        <v/>
      </c>
      <c r="AL690" s="12" t="str">
        <f ca="1">IFERROR(_xlfn.SINGLE(INDEX(#REF!,'Monthly Report'!AJ690)),"")</f>
        <v/>
      </c>
      <c r="AN690" s="12" t="str">
        <f ca="1">IFERROR(MATCH($G$115,OFFSET(#REF!,AN689,0,1000000),0)+AN689,"")</f>
        <v/>
      </c>
      <c r="AO690" s="17" t="str">
        <f ca="1">IFERROR(_xlfn.SINGLE(INDEX(#REF!,'Monthly Report'!AN690)),"")</f>
        <v/>
      </c>
      <c r="AP690" s="12" t="str">
        <f ca="1">IFERROR(_xlfn.SINGLE(INDEX(#REF!,'Monthly Report'!AN690)),"")</f>
        <v/>
      </c>
    </row>
    <row r="691" spans="36:42">
      <c r="AJ691" s="12" t="str">
        <f ca="1">IFERROR(MATCH($B$114,OFFSET(#REF!,AJ690,0,1000000),0)+AJ690,"")</f>
        <v/>
      </c>
      <c r="AK691" s="17" t="str">
        <f ca="1">IFERROR(_xlfn.SINGLE(INDEX(#REF!,'Monthly Report'!AJ691)),"")</f>
        <v/>
      </c>
      <c r="AL691" s="12" t="str">
        <f ca="1">IFERROR(_xlfn.SINGLE(INDEX(#REF!,'Monthly Report'!AJ691)),"")</f>
        <v/>
      </c>
      <c r="AN691" s="12" t="str">
        <f ca="1">IFERROR(MATCH($G$115,OFFSET(#REF!,AN690,0,1000000),0)+AN690,"")</f>
        <v/>
      </c>
      <c r="AO691" s="17" t="str">
        <f ca="1">IFERROR(_xlfn.SINGLE(INDEX(#REF!,'Monthly Report'!AN691)),"")</f>
        <v/>
      </c>
      <c r="AP691" s="12" t="str">
        <f ca="1">IFERROR(_xlfn.SINGLE(INDEX(#REF!,'Monthly Report'!AN691)),"")</f>
        <v/>
      </c>
    </row>
    <row r="692" spans="36:42">
      <c r="AJ692" s="12" t="str">
        <f ca="1">IFERROR(MATCH($B$114,OFFSET(#REF!,AJ691,0,1000000),0)+AJ691,"")</f>
        <v/>
      </c>
      <c r="AK692" s="17" t="str">
        <f ca="1">IFERROR(_xlfn.SINGLE(INDEX(#REF!,'Monthly Report'!AJ692)),"")</f>
        <v/>
      </c>
      <c r="AL692" s="12" t="str">
        <f ca="1">IFERROR(_xlfn.SINGLE(INDEX(#REF!,'Monthly Report'!AJ692)),"")</f>
        <v/>
      </c>
      <c r="AN692" s="12" t="str">
        <f ca="1">IFERROR(MATCH($G$115,OFFSET(#REF!,AN691,0,1000000),0)+AN691,"")</f>
        <v/>
      </c>
      <c r="AO692" s="17" t="str">
        <f ca="1">IFERROR(_xlfn.SINGLE(INDEX(#REF!,'Monthly Report'!AN692)),"")</f>
        <v/>
      </c>
      <c r="AP692" s="12" t="str">
        <f ca="1">IFERROR(_xlfn.SINGLE(INDEX(#REF!,'Monthly Report'!AN692)),"")</f>
        <v/>
      </c>
    </row>
    <row r="693" spans="36:42">
      <c r="AJ693" s="12" t="str">
        <f ca="1">IFERROR(MATCH($B$114,OFFSET(#REF!,AJ692,0,1000000),0)+AJ692,"")</f>
        <v/>
      </c>
      <c r="AK693" s="17" t="str">
        <f ca="1">IFERROR(_xlfn.SINGLE(INDEX(#REF!,'Monthly Report'!AJ693)),"")</f>
        <v/>
      </c>
      <c r="AL693" s="12" t="str">
        <f ca="1">IFERROR(_xlfn.SINGLE(INDEX(#REF!,'Monthly Report'!AJ693)),"")</f>
        <v/>
      </c>
      <c r="AN693" s="12" t="str">
        <f ca="1">IFERROR(MATCH($G$115,OFFSET(#REF!,AN692,0,1000000),0)+AN692,"")</f>
        <v/>
      </c>
      <c r="AO693" s="17" t="str">
        <f ca="1">IFERROR(_xlfn.SINGLE(INDEX(#REF!,'Monthly Report'!AN693)),"")</f>
        <v/>
      </c>
      <c r="AP693" s="12" t="str">
        <f ca="1">IFERROR(_xlfn.SINGLE(INDEX(#REF!,'Monthly Report'!AN693)),"")</f>
        <v/>
      </c>
    </row>
    <row r="694" spans="36:42">
      <c r="AJ694" s="12" t="str">
        <f ca="1">IFERROR(MATCH($B$114,OFFSET(#REF!,AJ693,0,1000000),0)+AJ693,"")</f>
        <v/>
      </c>
      <c r="AK694" s="17" t="str">
        <f ca="1">IFERROR(_xlfn.SINGLE(INDEX(#REF!,'Monthly Report'!AJ694)),"")</f>
        <v/>
      </c>
      <c r="AL694" s="12" t="str">
        <f ca="1">IFERROR(_xlfn.SINGLE(INDEX(#REF!,'Monthly Report'!AJ694)),"")</f>
        <v/>
      </c>
      <c r="AN694" s="12" t="str">
        <f ca="1">IFERROR(MATCH($G$115,OFFSET(#REF!,AN693,0,1000000),0)+AN693,"")</f>
        <v/>
      </c>
      <c r="AO694" s="17" t="str">
        <f ca="1">IFERROR(_xlfn.SINGLE(INDEX(#REF!,'Monthly Report'!AN694)),"")</f>
        <v/>
      </c>
      <c r="AP694" s="12" t="str">
        <f ca="1">IFERROR(_xlfn.SINGLE(INDEX(#REF!,'Monthly Report'!AN694)),"")</f>
        <v/>
      </c>
    </row>
    <row r="695" spans="36:42">
      <c r="AJ695" s="12" t="str">
        <f ca="1">IFERROR(MATCH($B$114,OFFSET(#REF!,AJ694,0,1000000),0)+AJ694,"")</f>
        <v/>
      </c>
      <c r="AK695" s="17" t="str">
        <f ca="1">IFERROR(_xlfn.SINGLE(INDEX(#REF!,'Monthly Report'!AJ695)),"")</f>
        <v/>
      </c>
      <c r="AL695" s="12" t="str">
        <f ca="1">IFERROR(_xlfn.SINGLE(INDEX(#REF!,'Monthly Report'!AJ695)),"")</f>
        <v/>
      </c>
      <c r="AN695" s="12" t="str">
        <f ca="1">IFERROR(MATCH($G$115,OFFSET(#REF!,AN694,0,1000000),0)+AN694,"")</f>
        <v/>
      </c>
      <c r="AO695" s="17" t="str">
        <f ca="1">IFERROR(_xlfn.SINGLE(INDEX(#REF!,'Monthly Report'!AN695)),"")</f>
        <v/>
      </c>
      <c r="AP695" s="12" t="str">
        <f ca="1">IFERROR(_xlfn.SINGLE(INDEX(#REF!,'Monthly Report'!AN695)),"")</f>
        <v/>
      </c>
    </row>
    <row r="696" spans="36:42">
      <c r="AJ696" s="12" t="str">
        <f ca="1">IFERROR(MATCH($B$114,OFFSET(#REF!,AJ695,0,1000000),0)+AJ695,"")</f>
        <v/>
      </c>
      <c r="AK696" s="17" t="str">
        <f ca="1">IFERROR(_xlfn.SINGLE(INDEX(#REF!,'Monthly Report'!AJ696)),"")</f>
        <v/>
      </c>
      <c r="AL696" s="12" t="str">
        <f ca="1">IFERROR(_xlfn.SINGLE(INDEX(#REF!,'Monthly Report'!AJ696)),"")</f>
        <v/>
      </c>
      <c r="AN696" s="12" t="str">
        <f ca="1">IFERROR(MATCH($G$115,OFFSET(#REF!,AN695,0,1000000),0)+AN695,"")</f>
        <v/>
      </c>
      <c r="AO696" s="17" t="str">
        <f ca="1">IFERROR(_xlfn.SINGLE(INDEX(#REF!,'Monthly Report'!AN696)),"")</f>
        <v/>
      </c>
      <c r="AP696" s="12" t="str">
        <f ca="1">IFERROR(_xlfn.SINGLE(INDEX(#REF!,'Monthly Report'!AN696)),"")</f>
        <v/>
      </c>
    </row>
    <row r="697" spans="36:42">
      <c r="AJ697" s="12" t="str">
        <f ca="1">IFERROR(MATCH($B$114,OFFSET(#REF!,AJ696,0,1000000),0)+AJ696,"")</f>
        <v/>
      </c>
      <c r="AK697" s="17" t="str">
        <f ca="1">IFERROR(_xlfn.SINGLE(INDEX(#REF!,'Monthly Report'!AJ697)),"")</f>
        <v/>
      </c>
      <c r="AL697" s="12" t="str">
        <f ca="1">IFERROR(_xlfn.SINGLE(INDEX(#REF!,'Monthly Report'!AJ697)),"")</f>
        <v/>
      </c>
      <c r="AN697" s="12" t="str">
        <f ca="1">IFERROR(MATCH($G$115,OFFSET(#REF!,AN696,0,1000000),0)+AN696,"")</f>
        <v/>
      </c>
      <c r="AO697" s="17" t="str">
        <f ca="1">IFERROR(_xlfn.SINGLE(INDEX(#REF!,'Monthly Report'!AN697)),"")</f>
        <v/>
      </c>
      <c r="AP697" s="12" t="str">
        <f ca="1">IFERROR(_xlfn.SINGLE(INDEX(#REF!,'Monthly Report'!AN697)),"")</f>
        <v/>
      </c>
    </row>
    <row r="698" spans="36:42">
      <c r="AJ698" s="12" t="str">
        <f ca="1">IFERROR(MATCH($B$114,OFFSET(#REF!,AJ697,0,1000000),0)+AJ697,"")</f>
        <v/>
      </c>
      <c r="AK698" s="17" t="str">
        <f ca="1">IFERROR(_xlfn.SINGLE(INDEX(#REF!,'Monthly Report'!AJ698)),"")</f>
        <v/>
      </c>
      <c r="AL698" s="12" t="str">
        <f ca="1">IFERROR(_xlfn.SINGLE(INDEX(#REF!,'Monthly Report'!AJ698)),"")</f>
        <v/>
      </c>
      <c r="AN698" s="12" t="str">
        <f ca="1">IFERROR(MATCH($G$115,OFFSET(#REF!,AN697,0,1000000),0)+AN697,"")</f>
        <v/>
      </c>
      <c r="AO698" s="17" t="str">
        <f ca="1">IFERROR(_xlfn.SINGLE(INDEX(#REF!,'Monthly Report'!AN698)),"")</f>
        <v/>
      </c>
      <c r="AP698" s="12" t="str">
        <f ca="1">IFERROR(_xlfn.SINGLE(INDEX(#REF!,'Monthly Report'!AN698)),"")</f>
        <v/>
      </c>
    </row>
    <row r="699" spans="36:42">
      <c r="AJ699" s="12" t="str">
        <f ca="1">IFERROR(MATCH($B$114,OFFSET(#REF!,AJ698,0,1000000),0)+AJ698,"")</f>
        <v/>
      </c>
      <c r="AK699" s="17" t="str">
        <f ca="1">IFERROR(_xlfn.SINGLE(INDEX(#REF!,'Monthly Report'!AJ699)),"")</f>
        <v/>
      </c>
      <c r="AL699" s="12" t="str">
        <f ca="1">IFERROR(_xlfn.SINGLE(INDEX(#REF!,'Monthly Report'!AJ699)),"")</f>
        <v/>
      </c>
      <c r="AN699" s="12" t="str">
        <f ca="1">IFERROR(MATCH($G$115,OFFSET(#REF!,AN698,0,1000000),0)+AN698,"")</f>
        <v/>
      </c>
      <c r="AO699" s="17" t="str">
        <f ca="1">IFERROR(_xlfn.SINGLE(INDEX(#REF!,'Monthly Report'!AN699)),"")</f>
        <v/>
      </c>
      <c r="AP699" s="12" t="str">
        <f ca="1">IFERROR(_xlfn.SINGLE(INDEX(#REF!,'Monthly Report'!AN699)),"")</f>
        <v/>
      </c>
    </row>
    <row r="700" spans="36:42">
      <c r="AJ700" s="12" t="str">
        <f ca="1">IFERROR(MATCH($B$114,OFFSET(#REF!,AJ699,0,1000000),0)+AJ699,"")</f>
        <v/>
      </c>
      <c r="AK700" s="17" t="str">
        <f ca="1">IFERROR(_xlfn.SINGLE(INDEX(#REF!,'Monthly Report'!AJ700)),"")</f>
        <v/>
      </c>
      <c r="AL700" s="12" t="str">
        <f ca="1">IFERROR(_xlfn.SINGLE(INDEX(#REF!,'Monthly Report'!AJ700)),"")</f>
        <v/>
      </c>
      <c r="AN700" s="12" t="str">
        <f ca="1">IFERROR(MATCH($G$115,OFFSET(#REF!,AN699,0,1000000),0)+AN699,"")</f>
        <v/>
      </c>
      <c r="AO700" s="17" t="str">
        <f ca="1">IFERROR(_xlfn.SINGLE(INDEX(#REF!,'Monthly Report'!AN700)),"")</f>
        <v/>
      </c>
      <c r="AP700" s="12" t="str">
        <f ca="1">IFERROR(_xlfn.SINGLE(INDEX(#REF!,'Monthly Report'!AN700)),"")</f>
        <v/>
      </c>
    </row>
    <row r="701" spans="36:42">
      <c r="AJ701" s="12" t="str">
        <f ca="1">IFERROR(MATCH($B$114,OFFSET(#REF!,AJ700,0,1000000),0)+AJ700,"")</f>
        <v/>
      </c>
      <c r="AK701" s="17" t="str">
        <f ca="1">IFERROR(_xlfn.SINGLE(INDEX(#REF!,'Monthly Report'!AJ701)),"")</f>
        <v/>
      </c>
      <c r="AL701" s="12" t="str">
        <f ca="1">IFERROR(_xlfn.SINGLE(INDEX(#REF!,'Monthly Report'!AJ701)),"")</f>
        <v/>
      </c>
      <c r="AN701" s="12" t="str">
        <f ca="1">IFERROR(MATCH($G$115,OFFSET(#REF!,AN700,0,1000000),0)+AN700,"")</f>
        <v/>
      </c>
      <c r="AO701" s="17" t="str">
        <f ca="1">IFERROR(_xlfn.SINGLE(INDEX(#REF!,'Monthly Report'!AN701)),"")</f>
        <v/>
      </c>
      <c r="AP701" s="12" t="str">
        <f ca="1">IFERROR(_xlfn.SINGLE(INDEX(#REF!,'Monthly Report'!AN701)),"")</f>
        <v/>
      </c>
    </row>
    <row r="702" spans="36:42">
      <c r="AJ702" s="12" t="str">
        <f ca="1">IFERROR(MATCH($B$114,OFFSET(#REF!,AJ701,0,1000000),0)+AJ701,"")</f>
        <v/>
      </c>
      <c r="AK702" s="17" t="str">
        <f ca="1">IFERROR(_xlfn.SINGLE(INDEX(#REF!,'Monthly Report'!AJ702)),"")</f>
        <v/>
      </c>
      <c r="AL702" s="12" t="str">
        <f ca="1">IFERROR(_xlfn.SINGLE(INDEX(#REF!,'Monthly Report'!AJ702)),"")</f>
        <v/>
      </c>
      <c r="AN702" s="12" t="str">
        <f ca="1">IFERROR(MATCH($G$115,OFFSET(#REF!,AN701,0,1000000),0)+AN701,"")</f>
        <v/>
      </c>
      <c r="AO702" s="17" t="str">
        <f ca="1">IFERROR(_xlfn.SINGLE(INDEX(#REF!,'Monthly Report'!AN702)),"")</f>
        <v/>
      </c>
      <c r="AP702" s="12" t="str">
        <f ca="1">IFERROR(_xlfn.SINGLE(INDEX(#REF!,'Monthly Report'!AN702)),"")</f>
        <v/>
      </c>
    </row>
    <row r="703" spans="36:42">
      <c r="AJ703" s="12" t="str">
        <f ca="1">IFERROR(MATCH($B$114,OFFSET(#REF!,AJ702,0,1000000),0)+AJ702,"")</f>
        <v/>
      </c>
      <c r="AK703" s="17" t="str">
        <f ca="1">IFERROR(_xlfn.SINGLE(INDEX(#REF!,'Monthly Report'!AJ703)),"")</f>
        <v/>
      </c>
      <c r="AL703" s="12" t="str">
        <f ca="1">IFERROR(_xlfn.SINGLE(INDEX(#REF!,'Monthly Report'!AJ703)),"")</f>
        <v/>
      </c>
      <c r="AN703" s="12" t="str">
        <f ca="1">IFERROR(MATCH($G$115,OFFSET(#REF!,AN702,0,1000000),0)+AN702,"")</f>
        <v/>
      </c>
      <c r="AO703" s="17" t="str">
        <f ca="1">IFERROR(_xlfn.SINGLE(INDEX(#REF!,'Monthly Report'!AN703)),"")</f>
        <v/>
      </c>
      <c r="AP703" s="12" t="str">
        <f ca="1">IFERROR(_xlfn.SINGLE(INDEX(#REF!,'Monthly Report'!AN703)),"")</f>
        <v/>
      </c>
    </row>
    <row r="704" spans="36:42">
      <c r="AJ704" s="12" t="str">
        <f ca="1">IFERROR(MATCH($B$114,OFFSET(#REF!,AJ703,0,1000000),0)+AJ703,"")</f>
        <v/>
      </c>
      <c r="AK704" s="17" t="str">
        <f ca="1">IFERROR(_xlfn.SINGLE(INDEX(#REF!,'Monthly Report'!AJ704)),"")</f>
        <v/>
      </c>
      <c r="AL704" s="12" t="str">
        <f ca="1">IFERROR(_xlfn.SINGLE(INDEX(#REF!,'Monthly Report'!AJ704)),"")</f>
        <v/>
      </c>
      <c r="AN704" s="12" t="str">
        <f ca="1">IFERROR(MATCH($G$115,OFFSET(#REF!,AN703,0,1000000),0)+AN703,"")</f>
        <v/>
      </c>
      <c r="AO704" s="17" t="str">
        <f ca="1">IFERROR(_xlfn.SINGLE(INDEX(#REF!,'Monthly Report'!AN704)),"")</f>
        <v/>
      </c>
      <c r="AP704" s="12" t="str">
        <f ca="1">IFERROR(_xlfn.SINGLE(INDEX(#REF!,'Monthly Report'!AN704)),"")</f>
        <v/>
      </c>
    </row>
    <row r="705" spans="36:42">
      <c r="AJ705" s="12" t="str">
        <f ca="1">IFERROR(MATCH($B$114,OFFSET(#REF!,AJ704,0,1000000),0)+AJ704,"")</f>
        <v/>
      </c>
      <c r="AK705" s="17" t="str">
        <f ca="1">IFERROR(_xlfn.SINGLE(INDEX(#REF!,'Monthly Report'!AJ705)),"")</f>
        <v/>
      </c>
      <c r="AL705" s="12" t="str">
        <f ca="1">IFERROR(_xlfn.SINGLE(INDEX(#REF!,'Monthly Report'!AJ705)),"")</f>
        <v/>
      </c>
      <c r="AN705" s="12" t="str">
        <f ca="1">IFERROR(MATCH($G$115,OFFSET(#REF!,AN704,0,1000000),0)+AN704,"")</f>
        <v/>
      </c>
      <c r="AO705" s="17" t="str">
        <f ca="1">IFERROR(_xlfn.SINGLE(INDEX(#REF!,'Monthly Report'!AN705)),"")</f>
        <v/>
      </c>
      <c r="AP705" s="12" t="str">
        <f ca="1">IFERROR(_xlfn.SINGLE(INDEX(#REF!,'Monthly Report'!AN705)),"")</f>
        <v/>
      </c>
    </row>
    <row r="706" spans="36:42">
      <c r="AJ706" s="12" t="str">
        <f ca="1">IFERROR(MATCH($B$114,OFFSET(#REF!,AJ705,0,1000000),0)+AJ705,"")</f>
        <v/>
      </c>
      <c r="AK706" s="17" t="str">
        <f ca="1">IFERROR(_xlfn.SINGLE(INDEX(#REF!,'Monthly Report'!AJ706)),"")</f>
        <v/>
      </c>
      <c r="AL706" s="12" t="str">
        <f ca="1">IFERROR(_xlfn.SINGLE(INDEX(#REF!,'Monthly Report'!AJ706)),"")</f>
        <v/>
      </c>
      <c r="AN706" s="12" t="str">
        <f ca="1">IFERROR(MATCH($G$115,OFFSET(#REF!,AN705,0,1000000),0)+AN705,"")</f>
        <v/>
      </c>
      <c r="AO706" s="17" t="str">
        <f ca="1">IFERROR(_xlfn.SINGLE(INDEX(#REF!,'Monthly Report'!AN706)),"")</f>
        <v/>
      </c>
      <c r="AP706" s="12" t="str">
        <f ca="1">IFERROR(_xlfn.SINGLE(INDEX(#REF!,'Monthly Report'!AN706)),"")</f>
        <v/>
      </c>
    </row>
    <row r="707" spans="36:42">
      <c r="AJ707" s="12" t="str">
        <f ca="1">IFERROR(MATCH($B$114,OFFSET(#REF!,AJ706,0,1000000),0)+AJ706,"")</f>
        <v/>
      </c>
      <c r="AK707" s="17" t="str">
        <f ca="1">IFERROR(_xlfn.SINGLE(INDEX(#REF!,'Monthly Report'!AJ707)),"")</f>
        <v/>
      </c>
      <c r="AL707" s="12" t="str">
        <f ca="1">IFERROR(_xlfn.SINGLE(INDEX(#REF!,'Monthly Report'!AJ707)),"")</f>
        <v/>
      </c>
      <c r="AN707" s="12" t="str">
        <f ca="1">IFERROR(MATCH($G$115,OFFSET(#REF!,AN706,0,1000000),0)+AN706,"")</f>
        <v/>
      </c>
      <c r="AO707" s="17" t="str">
        <f ca="1">IFERROR(_xlfn.SINGLE(INDEX(#REF!,'Monthly Report'!AN707)),"")</f>
        <v/>
      </c>
      <c r="AP707" s="12" t="str">
        <f ca="1">IFERROR(_xlfn.SINGLE(INDEX(#REF!,'Monthly Report'!AN707)),"")</f>
        <v/>
      </c>
    </row>
    <row r="708" spans="36:42">
      <c r="AJ708" s="12" t="str">
        <f ca="1">IFERROR(MATCH($B$114,OFFSET(#REF!,AJ707,0,1000000),0)+AJ707,"")</f>
        <v/>
      </c>
      <c r="AK708" s="17" t="str">
        <f ca="1">IFERROR(_xlfn.SINGLE(INDEX(#REF!,'Monthly Report'!AJ708)),"")</f>
        <v/>
      </c>
      <c r="AL708" s="12" t="str">
        <f ca="1">IFERROR(_xlfn.SINGLE(INDEX(#REF!,'Monthly Report'!AJ708)),"")</f>
        <v/>
      </c>
      <c r="AN708" s="12" t="str">
        <f ca="1">IFERROR(MATCH($G$115,OFFSET(#REF!,AN707,0,1000000),0)+AN707,"")</f>
        <v/>
      </c>
      <c r="AO708" s="17" t="str">
        <f ca="1">IFERROR(_xlfn.SINGLE(INDEX(#REF!,'Monthly Report'!AN708)),"")</f>
        <v/>
      </c>
      <c r="AP708" s="12" t="str">
        <f ca="1">IFERROR(_xlfn.SINGLE(INDEX(#REF!,'Monthly Report'!AN708)),"")</f>
        <v/>
      </c>
    </row>
    <row r="709" spans="36:42">
      <c r="AJ709" s="12" t="str">
        <f ca="1">IFERROR(MATCH($B$114,OFFSET(#REF!,AJ708,0,1000000),0)+AJ708,"")</f>
        <v/>
      </c>
      <c r="AK709" s="17" t="str">
        <f ca="1">IFERROR(_xlfn.SINGLE(INDEX(#REF!,'Monthly Report'!AJ709)),"")</f>
        <v/>
      </c>
      <c r="AL709" s="12" t="str">
        <f ca="1">IFERROR(_xlfn.SINGLE(INDEX(#REF!,'Monthly Report'!AJ709)),"")</f>
        <v/>
      </c>
      <c r="AN709" s="12" t="str">
        <f ca="1">IFERROR(MATCH($G$115,OFFSET(#REF!,AN708,0,1000000),0)+AN708,"")</f>
        <v/>
      </c>
      <c r="AO709" s="17" t="str">
        <f ca="1">IFERROR(_xlfn.SINGLE(INDEX(#REF!,'Monthly Report'!AN709)),"")</f>
        <v/>
      </c>
      <c r="AP709" s="12" t="str">
        <f ca="1">IFERROR(_xlfn.SINGLE(INDEX(#REF!,'Monthly Report'!AN709)),"")</f>
        <v/>
      </c>
    </row>
    <row r="710" spans="36:42">
      <c r="AJ710" s="12" t="str">
        <f ca="1">IFERROR(MATCH($B$114,OFFSET(#REF!,AJ709,0,1000000),0)+AJ709,"")</f>
        <v/>
      </c>
      <c r="AK710" s="17" t="str">
        <f ca="1">IFERROR(_xlfn.SINGLE(INDEX(#REF!,'Monthly Report'!AJ710)),"")</f>
        <v/>
      </c>
      <c r="AL710" s="12" t="str">
        <f ca="1">IFERROR(_xlfn.SINGLE(INDEX(#REF!,'Monthly Report'!AJ710)),"")</f>
        <v/>
      </c>
      <c r="AN710" s="12" t="str">
        <f ca="1">IFERROR(MATCH($G$115,OFFSET(#REF!,AN709,0,1000000),0)+AN709,"")</f>
        <v/>
      </c>
      <c r="AO710" s="17" t="str">
        <f ca="1">IFERROR(_xlfn.SINGLE(INDEX(#REF!,'Monthly Report'!AN710)),"")</f>
        <v/>
      </c>
      <c r="AP710" s="12" t="str">
        <f ca="1">IFERROR(_xlfn.SINGLE(INDEX(#REF!,'Monthly Report'!AN710)),"")</f>
        <v/>
      </c>
    </row>
    <row r="711" spans="36:42">
      <c r="AJ711" s="12" t="str">
        <f ca="1">IFERROR(MATCH($B$114,OFFSET(#REF!,AJ710,0,1000000),0)+AJ710,"")</f>
        <v/>
      </c>
      <c r="AK711" s="17" t="str">
        <f ca="1">IFERROR(_xlfn.SINGLE(INDEX(#REF!,'Monthly Report'!AJ711)),"")</f>
        <v/>
      </c>
      <c r="AL711" s="12" t="str">
        <f ca="1">IFERROR(_xlfn.SINGLE(INDEX(#REF!,'Monthly Report'!AJ711)),"")</f>
        <v/>
      </c>
      <c r="AN711" s="12" t="str">
        <f ca="1">IFERROR(MATCH($G$115,OFFSET(#REF!,AN710,0,1000000),0)+AN710,"")</f>
        <v/>
      </c>
      <c r="AO711" s="17" t="str">
        <f ca="1">IFERROR(_xlfn.SINGLE(INDEX(#REF!,'Monthly Report'!AN711)),"")</f>
        <v/>
      </c>
      <c r="AP711" s="12" t="str">
        <f ca="1">IFERROR(_xlfn.SINGLE(INDEX(#REF!,'Monthly Report'!AN711)),"")</f>
        <v/>
      </c>
    </row>
    <row r="712" spans="36:42">
      <c r="AJ712" s="12" t="str">
        <f ca="1">IFERROR(MATCH($B$114,OFFSET(#REF!,AJ711,0,1000000),0)+AJ711,"")</f>
        <v/>
      </c>
      <c r="AK712" s="17" t="str">
        <f ca="1">IFERROR(_xlfn.SINGLE(INDEX(#REF!,'Monthly Report'!AJ712)),"")</f>
        <v/>
      </c>
      <c r="AL712" s="12" t="str">
        <f ca="1">IFERROR(_xlfn.SINGLE(INDEX(#REF!,'Monthly Report'!AJ712)),"")</f>
        <v/>
      </c>
      <c r="AN712" s="12" t="str">
        <f ca="1">IFERROR(MATCH($G$115,OFFSET(#REF!,AN711,0,1000000),0)+AN711,"")</f>
        <v/>
      </c>
      <c r="AO712" s="17" t="str">
        <f ca="1">IFERROR(_xlfn.SINGLE(INDEX(#REF!,'Monthly Report'!AN712)),"")</f>
        <v/>
      </c>
      <c r="AP712" s="12" t="str">
        <f ca="1">IFERROR(_xlfn.SINGLE(INDEX(#REF!,'Monthly Report'!AN712)),"")</f>
        <v/>
      </c>
    </row>
    <row r="713" spans="36:42">
      <c r="AJ713" s="12" t="str">
        <f ca="1">IFERROR(MATCH($B$114,OFFSET(#REF!,AJ712,0,1000000),0)+AJ712,"")</f>
        <v/>
      </c>
      <c r="AK713" s="17" t="str">
        <f ca="1">IFERROR(_xlfn.SINGLE(INDEX(#REF!,'Monthly Report'!AJ713)),"")</f>
        <v/>
      </c>
      <c r="AL713" s="12" t="str">
        <f ca="1">IFERROR(_xlfn.SINGLE(INDEX(#REF!,'Monthly Report'!AJ713)),"")</f>
        <v/>
      </c>
      <c r="AN713" s="12" t="str">
        <f ca="1">IFERROR(MATCH($G$115,OFFSET(#REF!,AN712,0,1000000),0)+AN712,"")</f>
        <v/>
      </c>
      <c r="AO713" s="17" t="str">
        <f ca="1">IFERROR(_xlfn.SINGLE(INDEX(#REF!,'Monthly Report'!AN713)),"")</f>
        <v/>
      </c>
      <c r="AP713" s="12" t="str">
        <f ca="1">IFERROR(_xlfn.SINGLE(INDEX(#REF!,'Monthly Report'!AN713)),"")</f>
        <v/>
      </c>
    </row>
    <row r="714" spans="36:42">
      <c r="AJ714" s="12" t="str">
        <f ca="1">IFERROR(MATCH($B$114,OFFSET(#REF!,AJ713,0,1000000),0)+AJ713,"")</f>
        <v/>
      </c>
      <c r="AK714" s="17" t="str">
        <f ca="1">IFERROR(_xlfn.SINGLE(INDEX(#REF!,'Monthly Report'!AJ714)),"")</f>
        <v/>
      </c>
      <c r="AL714" s="12" t="str">
        <f ca="1">IFERROR(_xlfn.SINGLE(INDEX(#REF!,'Monthly Report'!AJ714)),"")</f>
        <v/>
      </c>
      <c r="AN714" s="12" t="str">
        <f ca="1">IFERROR(MATCH($G$115,OFFSET(#REF!,AN713,0,1000000),0)+AN713,"")</f>
        <v/>
      </c>
      <c r="AO714" s="17" t="str">
        <f ca="1">IFERROR(_xlfn.SINGLE(INDEX(#REF!,'Monthly Report'!AN714)),"")</f>
        <v/>
      </c>
      <c r="AP714" s="12" t="str">
        <f ca="1">IFERROR(_xlfn.SINGLE(INDEX(#REF!,'Monthly Report'!AN714)),"")</f>
        <v/>
      </c>
    </row>
    <row r="715" spans="36:42">
      <c r="AJ715" s="12" t="str">
        <f ca="1">IFERROR(MATCH($B$114,OFFSET(#REF!,AJ714,0,1000000),0)+AJ714,"")</f>
        <v/>
      </c>
      <c r="AK715" s="17" t="str">
        <f ca="1">IFERROR(_xlfn.SINGLE(INDEX(#REF!,'Monthly Report'!AJ715)),"")</f>
        <v/>
      </c>
      <c r="AL715" s="12" t="str">
        <f ca="1">IFERROR(_xlfn.SINGLE(INDEX(#REF!,'Monthly Report'!AJ715)),"")</f>
        <v/>
      </c>
      <c r="AN715" s="12" t="str">
        <f ca="1">IFERROR(MATCH($G$115,OFFSET(#REF!,AN714,0,1000000),0)+AN714,"")</f>
        <v/>
      </c>
      <c r="AO715" s="17" t="str">
        <f ca="1">IFERROR(_xlfn.SINGLE(INDEX(#REF!,'Monthly Report'!AN715)),"")</f>
        <v/>
      </c>
      <c r="AP715" s="12" t="str">
        <f ca="1">IFERROR(_xlfn.SINGLE(INDEX(#REF!,'Monthly Report'!AN715)),"")</f>
        <v/>
      </c>
    </row>
    <row r="716" spans="36:42">
      <c r="AJ716" s="12" t="str">
        <f ca="1">IFERROR(MATCH($B$114,OFFSET(#REF!,AJ715,0,1000000),0)+AJ715,"")</f>
        <v/>
      </c>
      <c r="AK716" s="17" t="str">
        <f ca="1">IFERROR(_xlfn.SINGLE(INDEX(#REF!,'Monthly Report'!AJ716)),"")</f>
        <v/>
      </c>
      <c r="AL716" s="12" t="str">
        <f ca="1">IFERROR(_xlfn.SINGLE(INDEX(#REF!,'Monthly Report'!AJ716)),"")</f>
        <v/>
      </c>
      <c r="AN716" s="12" t="str">
        <f ca="1">IFERROR(MATCH($G$115,OFFSET(#REF!,AN715,0,1000000),0)+AN715,"")</f>
        <v/>
      </c>
      <c r="AO716" s="17" t="str">
        <f ca="1">IFERROR(_xlfn.SINGLE(INDEX(#REF!,'Monthly Report'!AN716)),"")</f>
        <v/>
      </c>
      <c r="AP716" s="12" t="str">
        <f ca="1">IFERROR(_xlfn.SINGLE(INDEX(#REF!,'Monthly Report'!AN716)),"")</f>
        <v/>
      </c>
    </row>
    <row r="717" spans="36:42">
      <c r="AJ717" s="12" t="str">
        <f ca="1">IFERROR(MATCH($B$114,OFFSET(#REF!,AJ716,0,1000000),0)+AJ716,"")</f>
        <v/>
      </c>
      <c r="AK717" s="17" t="str">
        <f ca="1">IFERROR(_xlfn.SINGLE(INDEX(#REF!,'Monthly Report'!AJ717)),"")</f>
        <v/>
      </c>
      <c r="AL717" s="12" t="str">
        <f ca="1">IFERROR(_xlfn.SINGLE(INDEX(#REF!,'Monthly Report'!AJ717)),"")</f>
        <v/>
      </c>
      <c r="AN717" s="12" t="str">
        <f ca="1">IFERROR(MATCH($G$115,OFFSET(#REF!,AN716,0,1000000),0)+AN716,"")</f>
        <v/>
      </c>
      <c r="AO717" s="17" t="str">
        <f ca="1">IFERROR(_xlfn.SINGLE(INDEX(#REF!,'Monthly Report'!AN717)),"")</f>
        <v/>
      </c>
      <c r="AP717" s="12" t="str">
        <f ca="1">IFERROR(_xlfn.SINGLE(INDEX(#REF!,'Monthly Report'!AN717)),"")</f>
        <v/>
      </c>
    </row>
    <row r="718" spans="36:42">
      <c r="AJ718" s="12" t="str">
        <f ca="1">IFERROR(MATCH($B$114,OFFSET(#REF!,AJ717,0,1000000),0)+AJ717,"")</f>
        <v/>
      </c>
      <c r="AK718" s="17" t="str">
        <f ca="1">IFERROR(_xlfn.SINGLE(INDEX(#REF!,'Monthly Report'!AJ718)),"")</f>
        <v/>
      </c>
      <c r="AL718" s="12" t="str">
        <f ca="1">IFERROR(_xlfn.SINGLE(INDEX(#REF!,'Monthly Report'!AJ718)),"")</f>
        <v/>
      </c>
      <c r="AN718" s="12" t="str">
        <f ca="1">IFERROR(MATCH($G$115,OFFSET(#REF!,AN717,0,1000000),0)+AN717,"")</f>
        <v/>
      </c>
      <c r="AO718" s="17" t="str">
        <f ca="1">IFERROR(_xlfn.SINGLE(INDEX(#REF!,'Monthly Report'!AN718)),"")</f>
        <v/>
      </c>
      <c r="AP718" s="12" t="str">
        <f ca="1">IFERROR(_xlfn.SINGLE(INDEX(#REF!,'Monthly Report'!AN718)),"")</f>
        <v/>
      </c>
    </row>
    <row r="719" spans="36:42">
      <c r="AJ719" s="12" t="str">
        <f ca="1">IFERROR(MATCH($B$114,OFFSET(#REF!,AJ718,0,1000000),0)+AJ718,"")</f>
        <v/>
      </c>
      <c r="AK719" s="17" t="str">
        <f ca="1">IFERROR(_xlfn.SINGLE(INDEX(#REF!,'Monthly Report'!AJ719)),"")</f>
        <v/>
      </c>
      <c r="AL719" s="12" t="str">
        <f ca="1">IFERROR(_xlfn.SINGLE(INDEX(#REF!,'Monthly Report'!AJ719)),"")</f>
        <v/>
      </c>
      <c r="AN719" s="12" t="str">
        <f ca="1">IFERROR(MATCH($G$115,OFFSET(#REF!,AN718,0,1000000),0)+AN718,"")</f>
        <v/>
      </c>
      <c r="AO719" s="17" t="str">
        <f ca="1">IFERROR(_xlfn.SINGLE(INDEX(#REF!,'Monthly Report'!AN719)),"")</f>
        <v/>
      </c>
      <c r="AP719" s="12" t="str">
        <f ca="1">IFERROR(_xlfn.SINGLE(INDEX(#REF!,'Monthly Report'!AN719)),"")</f>
        <v/>
      </c>
    </row>
    <row r="720" spans="36:42">
      <c r="AJ720" s="12" t="str">
        <f ca="1">IFERROR(MATCH($B$114,OFFSET(#REF!,AJ719,0,1000000),0)+AJ719,"")</f>
        <v/>
      </c>
      <c r="AK720" s="17" t="str">
        <f ca="1">IFERROR(_xlfn.SINGLE(INDEX(#REF!,'Monthly Report'!AJ720)),"")</f>
        <v/>
      </c>
      <c r="AL720" s="12" t="str">
        <f ca="1">IFERROR(_xlfn.SINGLE(INDEX(#REF!,'Monthly Report'!AJ720)),"")</f>
        <v/>
      </c>
      <c r="AN720" s="12" t="str">
        <f ca="1">IFERROR(MATCH($G$115,OFFSET(#REF!,AN719,0,1000000),0)+AN719,"")</f>
        <v/>
      </c>
      <c r="AO720" s="17" t="str">
        <f ca="1">IFERROR(_xlfn.SINGLE(INDEX(#REF!,'Monthly Report'!AN720)),"")</f>
        <v/>
      </c>
      <c r="AP720" s="12" t="str">
        <f ca="1">IFERROR(_xlfn.SINGLE(INDEX(#REF!,'Monthly Report'!AN720)),"")</f>
        <v/>
      </c>
    </row>
    <row r="721" spans="36:42">
      <c r="AJ721" s="12" t="str">
        <f ca="1">IFERROR(MATCH($B$114,OFFSET(#REF!,AJ720,0,1000000),0)+AJ720,"")</f>
        <v/>
      </c>
      <c r="AK721" s="17" t="str">
        <f ca="1">IFERROR(_xlfn.SINGLE(INDEX(#REF!,'Monthly Report'!AJ721)),"")</f>
        <v/>
      </c>
      <c r="AL721" s="12" t="str">
        <f ca="1">IFERROR(_xlfn.SINGLE(INDEX(#REF!,'Monthly Report'!AJ721)),"")</f>
        <v/>
      </c>
      <c r="AN721" s="12" t="str">
        <f ca="1">IFERROR(MATCH($G$115,OFFSET(#REF!,AN720,0,1000000),0)+AN720,"")</f>
        <v/>
      </c>
      <c r="AO721" s="17" t="str">
        <f ca="1">IFERROR(_xlfn.SINGLE(INDEX(#REF!,'Monthly Report'!AN721)),"")</f>
        <v/>
      </c>
      <c r="AP721" s="12" t="str">
        <f ca="1">IFERROR(_xlfn.SINGLE(INDEX(#REF!,'Monthly Report'!AN721)),"")</f>
        <v/>
      </c>
    </row>
    <row r="722" spans="36:42">
      <c r="AJ722" s="12" t="str">
        <f ca="1">IFERROR(MATCH($B$114,OFFSET(#REF!,AJ721,0,1000000),0)+AJ721,"")</f>
        <v/>
      </c>
      <c r="AK722" s="17" t="str">
        <f ca="1">IFERROR(_xlfn.SINGLE(INDEX(#REF!,'Monthly Report'!AJ722)),"")</f>
        <v/>
      </c>
      <c r="AL722" s="12" t="str">
        <f ca="1">IFERROR(_xlfn.SINGLE(INDEX(#REF!,'Monthly Report'!AJ722)),"")</f>
        <v/>
      </c>
      <c r="AN722" s="12" t="str">
        <f ca="1">IFERROR(MATCH($G$115,OFFSET(#REF!,AN721,0,1000000),0)+AN721,"")</f>
        <v/>
      </c>
      <c r="AO722" s="17" t="str">
        <f ca="1">IFERROR(_xlfn.SINGLE(INDEX(#REF!,'Monthly Report'!AN722)),"")</f>
        <v/>
      </c>
      <c r="AP722" s="12" t="str">
        <f ca="1">IFERROR(_xlfn.SINGLE(INDEX(#REF!,'Monthly Report'!AN722)),"")</f>
        <v/>
      </c>
    </row>
    <row r="723" spans="36:42">
      <c r="AJ723" s="12" t="str">
        <f ca="1">IFERROR(MATCH($B$114,OFFSET(#REF!,AJ722,0,1000000),0)+AJ722,"")</f>
        <v/>
      </c>
      <c r="AK723" s="17" t="str">
        <f ca="1">IFERROR(_xlfn.SINGLE(INDEX(#REF!,'Monthly Report'!AJ723)),"")</f>
        <v/>
      </c>
      <c r="AL723" s="12" t="str">
        <f ca="1">IFERROR(_xlfn.SINGLE(INDEX(#REF!,'Monthly Report'!AJ723)),"")</f>
        <v/>
      </c>
      <c r="AN723" s="12" t="str">
        <f ca="1">IFERROR(MATCH($G$115,OFFSET(#REF!,AN722,0,1000000),0)+AN722,"")</f>
        <v/>
      </c>
      <c r="AO723" s="17" t="str">
        <f ca="1">IFERROR(_xlfn.SINGLE(INDEX(#REF!,'Monthly Report'!AN723)),"")</f>
        <v/>
      </c>
      <c r="AP723" s="12" t="str">
        <f ca="1">IFERROR(_xlfn.SINGLE(INDEX(#REF!,'Monthly Report'!AN723)),"")</f>
        <v/>
      </c>
    </row>
    <row r="724" spans="36:42">
      <c r="AJ724" s="12" t="str">
        <f ca="1">IFERROR(MATCH($B$114,OFFSET(#REF!,AJ723,0,1000000),0)+AJ723,"")</f>
        <v/>
      </c>
      <c r="AK724" s="17" t="str">
        <f ca="1">IFERROR(_xlfn.SINGLE(INDEX(#REF!,'Monthly Report'!AJ724)),"")</f>
        <v/>
      </c>
      <c r="AL724" s="12" t="str">
        <f ca="1">IFERROR(_xlfn.SINGLE(INDEX(#REF!,'Monthly Report'!AJ724)),"")</f>
        <v/>
      </c>
      <c r="AN724" s="12" t="str">
        <f ca="1">IFERROR(MATCH($G$115,OFFSET(#REF!,AN723,0,1000000),0)+AN723,"")</f>
        <v/>
      </c>
      <c r="AO724" s="17" t="str">
        <f ca="1">IFERROR(_xlfn.SINGLE(INDEX(#REF!,'Monthly Report'!AN724)),"")</f>
        <v/>
      </c>
      <c r="AP724" s="12" t="str">
        <f ca="1">IFERROR(_xlfn.SINGLE(INDEX(#REF!,'Monthly Report'!AN724)),"")</f>
        <v/>
      </c>
    </row>
    <row r="725" spans="36:42">
      <c r="AJ725" s="12" t="str">
        <f ca="1">IFERROR(MATCH($B$114,OFFSET(#REF!,AJ724,0,1000000),0)+AJ724,"")</f>
        <v/>
      </c>
      <c r="AK725" s="17" t="str">
        <f ca="1">IFERROR(_xlfn.SINGLE(INDEX(#REF!,'Monthly Report'!AJ725)),"")</f>
        <v/>
      </c>
      <c r="AL725" s="12" t="str">
        <f ca="1">IFERROR(_xlfn.SINGLE(INDEX(#REF!,'Monthly Report'!AJ725)),"")</f>
        <v/>
      </c>
      <c r="AN725" s="12" t="str">
        <f ca="1">IFERROR(MATCH($G$115,OFFSET(#REF!,AN724,0,1000000),0)+AN724,"")</f>
        <v/>
      </c>
      <c r="AO725" s="17" t="str">
        <f ca="1">IFERROR(_xlfn.SINGLE(INDEX(#REF!,'Monthly Report'!AN725)),"")</f>
        <v/>
      </c>
      <c r="AP725" s="12" t="str">
        <f ca="1">IFERROR(_xlfn.SINGLE(INDEX(#REF!,'Monthly Report'!AN725)),"")</f>
        <v/>
      </c>
    </row>
    <row r="726" spans="36:42">
      <c r="AJ726" s="12" t="str">
        <f ca="1">IFERROR(MATCH($B$114,OFFSET(#REF!,AJ725,0,1000000),0)+AJ725,"")</f>
        <v/>
      </c>
      <c r="AK726" s="17" t="str">
        <f ca="1">IFERROR(_xlfn.SINGLE(INDEX(#REF!,'Monthly Report'!AJ726)),"")</f>
        <v/>
      </c>
      <c r="AL726" s="12" t="str">
        <f ca="1">IFERROR(_xlfn.SINGLE(INDEX(#REF!,'Monthly Report'!AJ726)),"")</f>
        <v/>
      </c>
      <c r="AN726" s="12" t="str">
        <f ca="1">IFERROR(MATCH($G$115,OFFSET(#REF!,AN725,0,1000000),0)+AN725,"")</f>
        <v/>
      </c>
      <c r="AO726" s="17" t="str">
        <f ca="1">IFERROR(_xlfn.SINGLE(INDEX(#REF!,'Monthly Report'!AN726)),"")</f>
        <v/>
      </c>
      <c r="AP726" s="12" t="str">
        <f ca="1">IFERROR(_xlfn.SINGLE(INDEX(#REF!,'Monthly Report'!AN726)),"")</f>
        <v/>
      </c>
    </row>
    <row r="727" spans="36:42">
      <c r="AJ727" s="12" t="str">
        <f ca="1">IFERROR(MATCH($B$114,OFFSET(#REF!,AJ726,0,1000000),0)+AJ726,"")</f>
        <v/>
      </c>
      <c r="AK727" s="17" t="str">
        <f ca="1">IFERROR(_xlfn.SINGLE(INDEX(#REF!,'Monthly Report'!AJ727)),"")</f>
        <v/>
      </c>
      <c r="AL727" s="12" t="str">
        <f ca="1">IFERROR(_xlfn.SINGLE(INDEX(#REF!,'Monthly Report'!AJ727)),"")</f>
        <v/>
      </c>
      <c r="AN727" s="12" t="str">
        <f ca="1">IFERROR(MATCH($G$115,OFFSET(#REF!,AN726,0,1000000),0)+AN726,"")</f>
        <v/>
      </c>
      <c r="AO727" s="17" t="str">
        <f ca="1">IFERROR(_xlfn.SINGLE(INDEX(#REF!,'Monthly Report'!AN727)),"")</f>
        <v/>
      </c>
      <c r="AP727" s="12" t="str">
        <f ca="1">IFERROR(_xlfn.SINGLE(INDEX(#REF!,'Monthly Report'!AN727)),"")</f>
        <v/>
      </c>
    </row>
    <row r="728" spans="36:42">
      <c r="AJ728" s="12" t="str">
        <f ca="1">IFERROR(MATCH($B$114,OFFSET(#REF!,AJ727,0,1000000),0)+AJ727,"")</f>
        <v/>
      </c>
      <c r="AK728" s="17" t="str">
        <f ca="1">IFERROR(_xlfn.SINGLE(INDEX(#REF!,'Monthly Report'!AJ728)),"")</f>
        <v/>
      </c>
      <c r="AL728" s="12" t="str">
        <f ca="1">IFERROR(_xlfn.SINGLE(INDEX(#REF!,'Monthly Report'!AJ728)),"")</f>
        <v/>
      </c>
      <c r="AN728" s="12" t="str">
        <f ca="1">IFERROR(MATCH($G$115,OFFSET(#REF!,AN727,0,1000000),0)+AN727,"")</f>
        <v/>
      </c>
      <c r="AO728" s="17" t="str">
        <f ca="1">IFERROR(_xlfn.SINGLE(INDEX(#REF!,'Monthly Report'!AN728)),"")</f>
        <v/>
      </c>
      <c r="AP728" s="12" t="str">
        <f ca="1">IFERROR(_xlfn.SINGLE(INDEX(#REF!,'Monthly Report'!AN728)),"")</f>
        <v/>
      </c>
    </row>
    <row r="729" spans="36:42">
      <c r="AJ729" s="12" t="str">
        <f ca="1">IFERROR(MATCH($B$114,OFFSET(#REF!,AJ728,0,1000000),0)+AJ728,"")</f>
        <v/>
      </c>
      <c r="AK729" s="17" t="str">
        <f ca="1">IFERROR(_xlfn.SINGLE(INDEX(#REF!,'Monthly Report'!AJ729)),"")</f>
        <v/>
      </c>
      <c r="AL729" s="12" t="str">
        <f ca="1">IFERROR(_xlfn.SINGLE(INDEX(#REF!,'Monthly Report'!AJ729)),"")</f>
        <v/>
      </c>
      <c r="AN729" s="12" t="str">
        <f ca="1">IFERROR(MATCH($G$115,OFFSET(#REF!,AN728,0,1000000),0)+AN728,"")</f>
        <v/>
      </c>
      <c r="AO729" s="17" t="str">
        <f ca="1">IFERROR(_xlfn.SINGLE(INDEX(#REF!,'Monthly Report'!AN729)),"")</f>
        <v/>
      </c>
      <c r="AP729" s="12" t="str">
        <f ca="1">IFERROR(_xlfn.SINGLE(INDEX(#REF!,'Monthly Report'!AN729)),"")</f>
        <v/>
      </c>
    </row>
    <row r="730" spans="36:42">
      <c r="AJ730" s="12" t="str">
        <f ca="1">IFERROR(MATCH($B$114,OFFSET(#REF!,AJ729,0,1000000),0)+AJ729,"")</f>
        <v/>
      </c>
      <c r="AK730" s="17" t="str">
        <f ca="1">IFERROR(_xlfn.SINGLE(INDEX(#REF!,'Monthly Report'!AJ730)),"")</f>
        <v/>
      </c>
      <c r="AL730" s="12" t="str">
        <f ca="1">IFERROR(_xlfn.SINGLE(INDEX(#REF!,'Monthly Report'!AJ730)),"")</f>
        <v/>
      </c>
      <c r="AN730" s="12" t="str">
        <f ca="1">IFERROR(MATCH($G$115,OFFSET(#REF!,AN729,0,1000000),0)+AN729,"")</f>
        <v/>
      </c>
      <c r="AO730" s="17" t="str">
        <f ca="1">IFERROR(_xlfn.SINGLE(INDEX(#REF!,'Monthly Report'!AN730)),"")</f>
        <v/>
      </c>
      <c r="AP730" s="12" t="str">
        <f ca="1">IFERROR(_xlfn.SINGLE(INDEX(#REF!,'Monthly Report'!AN730)),"")</f>
        <v/>
      </c>
    </row>
    <row r="731" spans="36:42">
      <c r="AJ731" s="12" t="str">
        <f ca="1">IFERROR(MATCH($B$114,OFFSET(#REF!,AJ730,0,1000000),0)+AJ730,"")</f>
        <v/>
      </c>
      <c r="AK731" s="17" t="str">
        <f ca="1">IFERROR(_xlfn.SINGLE(INDEX(#REF!,'Monthly Report'!AJ731)),"")</f>
        <v/>
      </c>
      <c r="AL731" s="12" t="str">
        <f ca="1">IFERROR(_xlfn.SINGLE(INDEX(#REF!,'Monthly Report'!AJ731)),"")</f>
        <v/>
      </c>
      <c r="AN731" s="12" t="str">
        <f ca="1">IFERROR(MATCH($G$115,OFFSET(#REF!,AN730,0,1000000),0)+AN730,"")</f>
        <v/>
      </c>
      <c r="AO731" s="17" t="str">
        <f ca="1">IFERROR(_xlfn.SINGLE(INDEX(#REF!,'Monthly Report'!AN731)),"")</f>
        <v/>
      </c>
      <c r="AP731" s="12" t="str">
        <f ca="1">IFERROR(_xlfn.SINGLE(INDEX(#REF!,'Monthly Report'!AN731)),"")</f>
        <v/>
      </c>
    </row>
    <row r="732" spans="36:42">
      <c r="AJ732" s="12" t="str">
        <f ca="1">IFERROR(MATCH($B$114,OFFSET(#REF!,AJ731,0,1000000),0)+AJ731,"")</f>
        <v/>
      </c>
      <c r="AK732" s="17" t="str">
        <f ca="1">IFERROR(_xlfn.SINGLE(INDEX(#REF!,'Monthly Report'!AJ732)),"")</f>
        <v/>
      </c>
      <c r="AL732" s="12" t="str">
        <f ca="1">IFERROR(_xlfn.SINGLE(INDEX(#REF!,'Monthly Report'!AJ732)),"")</f>
        <v/>
      </c>
      <c r="AN732" s="12" t="str">
        <f ca="1">IFERROR(MATCH($G$115,OFFSET(#REF!,AN731,0,1000000),0)+AN731,"")</f>
        <v/>
      </c>
      <c r="AO732" s="17" t="str">
        <f ca="1">IFERROR(_xlfn.SINGLE(INDEX(#REF!,'Monthly Report'!AN732)),"")</f>
        <v/>
      </c>
      <c r="AP732" s="12" t="str">
        <f ca="1">IFERROR(_xlfn.SINGLE(INDEX(#REF!,'Monthly Report'!AN732)),"")</f>
        <v/>
      </c>
    </row>
    <row r="733" spans="36:42">
      <c r="AJ733" s="12" t="str">
        <f ca="1">IFERROR(MATCH($B$114,OFFSET(#REF!,AJ732,0,1000000),0)+AJ732,"")</f>
        <v/>
      </c>
      <c r="AK733" s="17" t="str">
        <f ca="1">IFERROR(_xlfn.SINGLE(INDEX(#REF!,'Monthly Report'!AJ733)),"")</f>
        <v/>
      </c>
      <c r="AL733" s="12" t="str">
        <f ca="1">IFERROR(_xlfn.SINGLE(INDEX(#REF!,'Monthly Report'!AJ733)),"")</f>
        <v/>
      </c>
      <c r="AN733" s="12" t="str">
        <f ca="1">IFERROR(MATCH($G$115,OFFSET(#REF!,AN732,0,1000000),0)+AN732,"")</f>
        <v/>
      </c>
      <c r="AO733" s="17" t="str">
        <f ca="1">IFERROR(_xlfn.SINGLE(INDEX(#REF!,'Monthly Report'!AN733)),"")</f>
        <v/>
      </c>
      <c r="AP733" s="12" t="str">
        <f ca="1">IFERROR(_xlfn.SINGLE(INDEX(#REF!,'Monthly Report'!AN733)),"")</f>
        <v/>
      </c>
    </row>
    <row r="734" spans="36:42">
      <c r="AJ734" s="12" t="str">
        <f ca="1">IFERROR(MATCH($B$114,OFFSET(#REF!,AJ733,0,1000000),0)+AJ733,"")</f>
        <v/>
      </c>
      <c r="AK734" s="17" t="str">
        <f ca="1">IFERROR(_xlfn.SINGLE(INDEX(#REF!,'Monthly Report'!AJ734)),"")</f>
        <v/>
      </c>
      <c r="AL734" s="12" t="str">
        <f ca="1">IFERROR(_xlfn.SINGLE(INDEX(#REF!,'Monthly Report'!AJ734)),"")</f>
        <v/>
      </c>
      <c r="AN734" s="12" t="str">
        <f ca="1">IFERROR(MATCH($G$115,OFFSET(#REF!,AN733,0,1000000),0)+AN733,"")</f>
        <v/>
      </c>
      <c r="AO734" s="17" t="str">
        <f ca="1">IFERROR(_xlfn.SINGLE(INDEX(#REF!,'Monthly Report'!AN734)),"")</f>
        <v/>
      </c>
      <c r="AP734" s="12" t="str">
        <f ca="1">IFERROR(_xlfn.SINGLE(INDEX(#REF!,'Monthly Report'!AN734)),"")</f>
        <v/>
      </c>
    </row>
    <row r="735" spans="36:42">
      <c r="AJ735" s="12" t="str">
        <f ca="1">IFERROR(MATCH($B$114,OFFSET(#REF!,AJ734,0,1000000),0)+AJ734,"")</f>
        <v/>
      </c>
      <c r="AK735" s="17" t="str">
        <f ca="1">IFERROR(_xlfn.SINGLE(INDEX(#REF!,'Monthly Report'!AJ735)),"")</f>
        <v/>
      </c>
      <c r="AL735" s="12" t="str">
        <f ca="1">IFERROR(_xlfn.SINGLE(INDEX(#REF!,'Monthly Report'!AJ735)),"")</f>
        <v/>
      </c>
      <c r="AN735" s="12" t="str">
        <f ca="1">IFERROR(MATCH($G$115,OFFSET(#REF!,AN734,0,1000000),0)+AN734,"")</f>
        <v/>
      </c>
      <c r="AO735" s="17" t="str">
        <f ca="1">IFERROR(_xlfn.SINGLE(INDEX(#REF!,'Monthly Report'!AN735)),"")</f>
        <v/>
      </c>
      <c r="AP735" s="12" t="str">
        <f ca="1">IFERROR(_xlfn.SINGLE(INDEX(#REF!,'Monthly Report'!AN735)),"")</f>
        <v/>
      </c>
    </row>
    <row r="736" spans="36:42">
      <c r="AJ736" s="12" t="str">
        <f ca="1">IFERROR(MATCH($B$114,OFFSET(#REF!,AJ735,0,1000000),0)+AJ735,"")</f>
        <v/>
      </c>
      <c r="AK736" s="17" t="str">
        <f ca="1">IFERROR(_xlfn.SINGLE(INDEX(#REF!,'Monthly Report'!AJ736)),"")</f>
        <v/>
      </c>
      <c r="AL736" s="12" t="str">
        <f ca="1">IFERROR(_xlfn.SINGLE(INDEX(#REF!,'Monthly Report'!AJ736)),"")</f>
        <v/>
      </c>
      <c r="AN736" s="12" t="str">
        <f ca="1">IFERROR(MATCH($G$115,OFFSET(#REF!,AN735,0,1000000),0)+AN735,"")</f>
        <v/>
      </c>
      <c r="AO736" s="17" t="str">
        <f ca="1">IFERROR(_xlfn.SINGLE(INDEX(#REF!,'Monthly Report'!AN736)),"")</f>
        <v/>
      </c>
      <c r="AP736" s="12" t="str">
        <f ca="1">IFERROR(_xlfn.SINGLE(INDEX(#REF!,'Monthly Report'!AN736)),"")</f>
        <v/>
      </c>
    </row>
    <row r="737" spans="36:42">
      <c r="AJ737" s="12" t="str">
        <f ca="1">IFERROR(MATCH($B$114,OFFSET(#REF!,AJ736,0,1000000),0)+AJ736,"")</f>
        <v/>
      </c>
      <c r="AK737" s="17" t="str">
        <f ca="1">IFERROR(_xlfn.SINGLE(INDEX(#REF!,'Monthly Report'!AJ737)),"")</f>
        <v/>
      </c>
      <c r="AL737" s="12" t="str">
        <f ca="1">IFERROR(_xlfn.SINGLE(INDEX(#REF!,'Monthly Report'!AJ737)),"")</f>
        <v/>
      </c>
      <c r="AN737" s="12" t="str">
        <f ca="1">IFERROR(MATCH($G$115,OFFSET(#REF!,AN736,0,1000000),0)+AN736,"")</f>
        <v/>
      </c>
      <c r="AO737" s="17" t="str">
        <f ca="1">IFERROR(_xlfn.SINGLE(INDEX(#REF!,'Monthly Report'!AN737)),"")</f>
        <v/>
      </c>
      <c r="AP737" s="12" t="str">
        <f ca="1">IFERROR(_xlfn.SINGLE(INDEX(#REF!,'Monthly Report'!AN737)),"")</f>
        <v/>
      </c>
    </row>
    <row r="738" spans="36:42">
      <c r="AJ738" s="12" t="str">
        <f ca="1">IFERROR(MATCH($B$114,OFFSET(#REF!,AJ737,0,1000000),0)+AJ737,"")</f>
        <v/>
      </c>
      <c r="AK738" s="17" t="str">
        <f ca="1">IFERROR(_xlfn.SINGLE(INDEX(#REF!,'Monthly Report'!AJ738)),"")</f>
        <v/>
      </c>
      <c r="AL738" s="12" t="str">
        <f ca="1">IFERROR(_xlfn.SINGLE(INDEX(#REF!,'Monthly Report'!AJ738)),"")</f>
        <v/>
      </c>
      <c r="AN738" s="12" t="str">
        <f ca="1">IFERROR(MATCH($G$115,OFFSET(#REF!,AN737,0,1000000),0)+AN737,"")</f>
        <v/>
      </c>
      <c r="AO738" s="17" t="str">
        <f ca="1">IFERROR(_xlfn.SINGLE(INDEX(#REF!,'Monthly Report'!AN738)),"")</f>
        <v/>
      </c>
      <c r="AP738" s="12" t="str">
        <f ca="1">IFERROR(_xlfn.SINGLE(INDEX(#REF!,'Monthly Report'!AN738)),"")</f>
        <v/>
      </c>
    </row>
    <row r="739" spans="36:42">
      <c r="AJ739" s="12" t="str">
        <f ca="1">IFERROR(MATCH($B$114,OFFSET(#REF!,AJ738,0,1000000),0)+AJ738,"")</f>
        <v/>
      </c>
      <c r="AK739" s="17" t="str">
        <f ca="1">IFERROR(_xlfn.SINGLE(INDEX(#REF!,'Monthly Report'!AJ739)),"")</f>
        <v/>
      </c>
      <c r="AL739" s="12" t="str">
        <f ca="1">IFERROR(_xlfn.SINGLE(INDEX(#REF!,'Monthly Report'!AJ739)),"")</f>
        <v/>
      </c>
      <c r="AN739" s="12" t="str">
        <f ca="1">IFERROR(MATCH($G$115,OFFSET(#REF!,AN738,0,1000000),0)+AN738,"")</f>
        <v/>
      </c>
      <c r="AO739" s="17" t="str">
        <f ca="1">IFERROR(_xlfn.SINGLE(INDEX(#REF!,'Monthly Report'!AN739)),"")</f>
        <v/>
      </c>
      <c r="AP739" s="12" t="str">
        <f ca="1">IFERROR(_xlfn.SINGLE(INDEX(#REF!,'Monthly Report'!AN739)),"")</f>
        <v/>
      </c>
    </row>
    <row r="740" spans="36:42">
      <c r="AJ740" s="12" t="str">
        <f ca="1">IFERROR(MATCH($B$114,OFFSET(#REF!,AJ739,0,1000000),0)+AJ739,"")</f>
        <v/>
      </c>
      <c r="AK740" s="17" t="str">
        <f ca="1">IFERROR(_xlfn.SINGLE(INDEX(#REF!,'Monthly Report'!AJ740)),"")</f>
        <v/>
      </c>
      <c r="AL740" s="12" t="str">
        <f ca="1">IFERROR(_xlfn.SINGLE(INDEX(#REF!,'Monthly Report'!AJ740)),"")</f>
        <v/>
      </c>
      <c r="AN740" s="12" t="str">
        <f ca="1">IFERROR(MATCH($G$115,OFFSET(#REF!,AN739,0,1000000),0)+AN739,"")</f>
        <v/>
      </c>
      <c r="AO740" s="17" t="str">
        <f ca="1">IFERROR(_xlfn.SINGLE(INDEX(#REF!,'Monthly Report'!AN740)),"")</f>
        <v/>
      </c>
      <c r="AP740" s="12" t="str">
        <f ca="1">IFERROR(_xlfn.SINGLE(INDEX(#REF!,'Monthly Report'!AN740)),"")</f>
        <v/>
      </c>
    </row>
    <row r="741" spans="36:42">
      <c r="AJ741" s="12" t="str">
        <f ca="1">IFERROR(MATCH($B$114,OFFSET(#REF!,AJ740,0,1000000),0)+AJ740,"")</f>
        <v/>
      </c>
      <c r="AK741" s="17" t="str">
        <f ca="1">IFERROR(_xlfn.SINGLE(INDEX(#REF!,'Monthly Report'!AJ741)),"")</f>
        <v/>
      </c>
      <c r="AL741" s="12" t="str">
        <f ca="1">IFERROR(_xlfn.SINGLE(INDEX(#REF!,'Monthly Report'!AJ741)),"")</f>
        <v/>
      </c>
      <c r="AN741" s="12" t="str">
        <f ca="1">IFERROR(MATCH($G$115,OFFSET(#REF!,AN740,0,1000000),0)+AN740,"")</f>
        <v/>
      </c>
      <c r="AO741" s="17" t="str">
        <f ca="1">IFERROR(_xlfn.SINGLE(INDEX(#REF!,'Monthly Report'!AN741)),"")</f>
        <v/>
      </c>
      <c r="AP741" s="12" t="str">
        <f ca="1">IFERROR(_xlfn.SINGLE(INDEX(#REF!,'Monthly Report'!AN741)),"")</f>
        <v/>
      </c>
    </row>
    <row r="742" spans="36:42">
      <c r="AJ742" s="12" t="str">
        <f ca="1">IFERROR(MATCH($B$114,OFFSET(#REF!,AJ741,0,1000000),0)+AJ741,"")</f>
        <v/>
      </c>
      <c r="AK742" s="17" t="str">
        <f ca="1">IFERROR(_xlfn.SINGLE(INDEX(#REF!,'Monthly Report'!AJ742)),"")</f>
        <v/>
      </c>
      <c r="AL742" s="12" t="str">
        <f ca="1">IFERROR(_xlfn.SINGLE(INDEX(#REF!,'Monthly Report'!AJ742)),"")</f>
        <v/>
      </c>
      <c r="AN742" s="12" t="str">
        <f ca="1">IFERROR(MATCH($G$115,OFFSET(#REF!,AN741,0,1000000),0)+AN741,"")</f>
        <v/>
      </c>
      <c r="AO742" s="17" t="str">
        <f ca="1">IFERROR(_xlfn.SINGLE(INDEX(#REF!,'Monthly Report'!AN742)),"")</f>
        <v/>
      </c>
      <c r="AP742" s="12" t="str">
        <f ca="1">IFERROR(_xlfn.SINGLE(INDEX(#REF!,'Monthly Report'!AN742)),"")</f>
        <v/>
      </c>
    </row>
    <row r="743" spans="36:42">
      <c r="AJ743" s="12" t="str">
        <f ca="1">IFERROR(MATCH($B$114,OFFSET(#REF!,AJ742,0,1000000),0)+AJ742,"")</f>
        <v/>
      </c>
      <c r="AK743" s="17" t="str">
        <f ca="1">IFERROR(_xlfn.SINGLE(INDEX(#REF!,'Monthly Report'!AJ743)),"")</f>
        <v/>
      </c>
      <c r="AL743" s="12" t="str">
        <f ca="1">IFERROR(_xlfn.SINGLE(INDEX(#REF!,'Monthly Report'!AJ743)),"")</f>
        <v/>
      </c>
      <c r="AN743" s="12" t="str">
        <f ca="1">IFERROR(MATCH($G$115,OFFSET(#REF!,AN742,0,1000000),0)+AN742,"")</f>
        <v/>
      </c>
      <c r="AO743" s="17" t="str">
        <f ca="1">IFERROR(_xlfn.SINGLE(INDEX(#REF!,'Monthly Report'!AN743)),"")</f>
        <v/>
      </c>
      <c r="AP743" s="12" t="str">
        <f ca="1">IFERROR(_xlfn.SINGLE(INDEX(#REF!,'Monthly Report'!AN743)),"")</f>
        <v/>
      </c>
    </row>
    <row r="744" spans="36:42">
      <c r="AJ744" s="12" t="str">
        <f ca="1">IFERROR(MATCH($B$114,OFFSET(#REF!,AJ743,0,1000000),0)+AJ743,"")</f>
        <v/>
      </c>
      <c r="AK744" s="17" t="str">
        <f ca="1">IFERROR(_xlfn.SINGLE(INDEX(#REF!,'Monthly Report'!AJ744)),"")</f>
        <v/>
      </c>
      <c r="AL744" s="12" t="str">
        <f ca="1">IFERROR(_xlfn.SINGLE(INDEX(#REF!,'Monthly Report'!AJ744)),"")</f>
        <v/>
      </c>
      <c r="AN744" s="12" t="str">
        <f ca="1">IFERROR(MATCH($G$115,OFFSET(#REF!,AN743,0,1000000),0)+AN743,"")</f>
        <v/>
      </c>
      <c r="AO744" s="17" t="str">
        <f ca="1">IFERROR(_xlfn.SINGLE(INDEX(#REF!,'Monthly Report'!AN744)),"")</f>
        <v/>
      </c>
      <c r="AP744" s="12" t="str">
        <f ca="1">IFERROR(_xlfn.SINGLE(INDEX(#REF!,'Monthly Report'!AN744)),"")</f>
        <v/>
      </c>
    </row>
    <row r="745" spans="36:42">
      <c r="AJ745" s="12" t="str">
        <f ca="1">IFERROR(MATCH($B$114,OFFSET(#REF!,AJ744,0,1000000),0)+AJ744,"")</f>
        <v/>
      </c>
      <c r="AK745" s="17" t="str">
        <f ca="1">IFERROR(_xlfn.SINGLE(INDEX(#REF!,'Monthly Report'!AJ745)),"")</f>
        <v/>
      </c>
      <c r="AL745" s="12" t="str">
        <f ca="1">IFERROR(_xlfn.SINGLE(INDEX(#REF!,'Monthly Report'!AJ745)),"")</f>
        <v/>
      </c>
      <c r="AN745" s="12" t="str">
        <f ca="1">IFERROR(MATCH($G$115,OFFSET(#REF!,AN744,0,1000000),0)+AN744,"")</f>
        <v/>
      </c>
      <c r="AO745" s="17" t="str">
        <f ca="1">IFERROR(_xlfn.SINGLE(INDEX(#REF!,'Monthly Report'!AN745)),"")</f>
        <v/>
      </c>
      <c r="AP745" s="12" t="str">
        <f ca="1">IFERROR(_xlfn.SINGLE(INDEX(#REF!,'Monthly Report'!AN745)),"")</f>
        <v/>
      </c>
    </row>
    <row r="746" spans="36:42">
      <c r="AJ746" s="12" t="str">
        <f ca="1">IFERROR(MATCH($B$114,OFFSET(#REF!,AJ745,0,1000000),0)+AJ745,"")</f>
        <v/>
      </c>
      <c r="AK746" s="17" t="str">
        <f ca="1">IFERROR(_xlfn.SINGLE(INDEX(#REF!,'Monthly Report'!AJ746)),"")</f>
        <v/>
      </c>
      <c r="AL746" s="12" t="str">
        <f ca="1">IFERROR(_xlfn.SINGLE(INDEX(#REF!,'Monthly Report'!AJ746)),"")</f>
        <v/>
      </c>
      <c r="AN746" s="12" t="str">
        <f ca="1">IFERROR(MATCH($G$115,OFFSET(#REF!,AN745,0,1000000),0)+AN745,"")</f>
        <v/>
      </c>
      <c r="AO746" s="17" t="str">
        <f ca="1">IFERROR(_xlfn.SINGLE(INDEX(#REF!,'Monthly Report'!AN746)),"")</f>
        <v/>
      </c>
      <c r="AP746" s="12" t="str">
        <f ca="1">IFERROR(_xlfn.SINGLE(INDEX(#REF!,'Monthly Report'!AN746)),"")</f>
        <v/>
      </c>
    </row>
  </sheetData>
  <sheetProtection algorithmName="SHA-512" hashValue="/2P4Cz2XKcQyEchUQAj08lCcRr+xOgCpI4hz78odSPecIutQemL7GpuI1IBg+TffZ1pBfqGO6pPiHqDGpeZ1Vw==" saltValue="YP2Pirc2TvFMe4YyLKXeQw==" spinCount="100000" sheet="1" objects="1" scenarios="1"/>
  <mergeCells count="25">
    <mergeCell ref="BM1:CA1"/>
    <mergeCell ref="BP3:BP4"/>
    <mergeCell ref="BQ3:BQ4"/>
    <mergeCell ref="BR3:BY3"/>
    <mergeCell ref="BP5:BP7"/>
    <mergeCell ref="BR41:BY41"/>
    <mergeCell ref="BP8:BP10"/>
    <mergeCell ref="BP11:BP13"/>
    <mergeCell ref="BP14:BQ14"/>
    <mergeCell ref="BP41:BP42"/>
    <mergeCell ref="BQ41:BQ42"/>
    <mergeCell ref="BP50:BP56"/>
    <mergeCell ref="BP43:BP49"/>
    <mergeCell ref="D46:D48"/>
    <mergeCell ref="D11:D13"/>
    <mergeCell ref="D3:D4"/>
    <mergeCell ref="E3:E4"/>
    <mergeCell ref="F3:M3"/>
    <mergeCell ref="D5:D7"/>
    <mergeCell ref="D8:D10"/>
    <mergeCell ref="D14:E14"/>
    <mergeCell ref="D41:D42"/>
    <mergeCell ref="E41:E42"/>
    <mergeCell ref="F41:M41"/>
    <mergeCell ref="D43:D45"/>
  </mergeCells>
  <dataValidations count="4">
    <dataValidation type="list" allowBlank="1" showInputMessage="1" showErrorMessage="1" sqref="B5" xr:uid="{37FE7C8D-A6E7-43DF-A5A6-903252E7E968}">
      <formula1>OFFSET($BG$5,0,0,COUNTA($BG$5:$BG$52))</formula1>
    </dataValidation>
    <dataValidation type="list" allowBlank="1" showInputMessage="1" showErrorMessage="1" sqref="B3" xr:uid="{0641857A-5A15-4A58-A5D8-D92D5163573A}">
      <formula1>OFFSET($BJ$5,0,0,COUNTA($BJ$5:$BJ$20))</formula1>
    </dataValidation>
    <dataValidation type="list" allowBlank="1" showInputMessage="1" showErrorMessage="1" sqref="B11" xr:uid="{DA9627AB-44B2-4E66-BF77-5A3F10E43A17}">
      <formula1>OFFSET($X$28,0,0,COUNTA(X28:X35))</formula1>
    </dataValidation>
    <dataValidation type="list" allowBlank="1" showInputMessage="1" showErrorMessage="1" sqref="B9" xr:uid="{063C2F90-AF32-4DA7-BAEE-997B05946BC0}">
      <formula1>$V$7:$V$18</formula1>
    </dataValidation>
  </dataValidations>
  <pageMargins left="0.7" right="0.7" top="0.75" bottom="0.75" header="0.3" footer="0.3"/>
  <pageSetup paperSize="9" scale="5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ACC1-D9DE-49AC-B0ED-27FF404C34AE}">
  <sheetPr codeName="Sheet4"/>
  <dimension ref="A1:DC746"/>
  <sheetViews>
    <sheetView showGridLines="0" zoomScale="70" zoomScaleNormal="70" workbookViewId="0">
      <selection activeCell="M78" sqref="M78"/>
    </sheetView>
  </sheetViews>
  <sheetFormatPr defaultColWidth="8.86328125" defaultRowHeight="14.75"/>
  <cols>
    <col min="1" max="1" width="10.7265625" style="6" customWidth="1"/>
    <col min="2" max="2" width="11.26953125" style="6" bestFit="1" customWidth="1"/>
    <col min="3" max="3" width="3.7265625" style="6" customWidth="1"/>
    <col min="4" max="4" width="8.86328125" style="6"/>
    <col min="5" max="5" width="20.1328125" style="6" customWidth="1"/>
    <col min="6" max="17" width="12.7265625" style="6" customWidth="1"/>
    <col min="18" max="20" width="8.86328125" style="6"/>
    <col min="21" max="22" width="9.1328125" style="6" hidden="1" customWidth="1"/>
    <col min="23" max="23" width="11" style="6" hidden="1" customWidth="1"/>
    <col min="24" max="25" width="9.1328125" style="6" hidden="1" customWidth="1"/>
    <col min="26" max="26" width="12.26953125" style="6" hidden="1" customWidth="1"/>
    <col min="27" max="29" width="9.1328125" style="6" hidden="1" customWidth="1"/>
    <col min="30" max="30" width="11.26953125" style="6" hidden="1" customWidth="1"/>
    <col min="31" max="61" width="12.1328125" style="6" hidden="1" customWidth="1"/>
    <col min="62" max="68" width="9.1328125" style="6" hidden="1" customWidth="1"/>
    <col min="69" max="69" width="9.1328125" style="6" customWidth="1"/>
    <col min="70" max="70" width="10.7265625" style="6" customWidth="1"/>
    <col min="71" max="71" width="11.26953125" style="6" bestFit="1" customWidth="1"/>
    <col min="72" max="72" width="3.7265625" style="6" customWidth="1"/>
    <col min="73" max="73" width="9.1328125" style="6"/>
    <col min="74" max="74" width="20.1328125" style="6" customWidth="1"/>
    <col min="75" max="86" width="12.7265625" style="6" customWidth="1"/>
    <col min="87" max="89" width="8.86328125" style="6"/>
    <col min="90" max="93" width="8.86328125" style="6" hidden="1" customWidth="1"/>
    <col min="94" max="94" width="16.7265625" style="6" hidden="1" customWidth="1"/>
    <col min="95" max="100" width="9.1328125" style="6" hidden="1" customWidth="1"/>
    <col min="101" max="107" width="8.86328125" style="6" hidden="1" customWidth="1"/>
    <col min="108" max="16384" width="8.86328125" style="6"/>
  </cols>
  <sheetData>
    <row r="1" spans="1:106" ht="25" thickTop="1" thickBot="1">
      <c r="A1" s="35" t="s">
        <v>116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111" t="s">
        <v>137</v>
      </c>
      <c r="BR1" s="191" t="s">
        <v>120</v>
      </c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3"/>
    </row>
    <row r="2" spans="1:106" ht="20" thickTop="1" thickBot="1">
      <c r="A2" s="12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141"/>
      <c r="AA2" s="6" t="e">
        <f ca="1">IF($F$4="","",
IF(AND($BM$4=TRUE,#REF!=$D$5,OR(#REF!=Z36,#REF!=Z37,#REF!=Z38,#REF!=Z39,#REF!=Z40,#REF!=Z41,#REF!=Z42)),SUM(#REF!),
IF(AND($BK$5=TRUE,$BN$5=FALSE,#REF!,'Annual Report'!$B$3,#REF!,#REF!=$D$5,OR(#REF!=Z36,#REF!=Z37,#REF!=Z38,#REF!=Z39,#REF!=Z40,#REF!=Z41,#REF!=Z42)),SUM(#REF!),
IF(AND($BK$5=FALSE,$BN$5=TRUE,#REF!,'Annual Report'!$B$5,#REF!=$D$5,OR(#REF!=Z36,#REF!=Z37,#REF!=Z38,#REF!=Z39,#REF!=Z40,#REF!=Z41,#REF!=Z42)),SUM(#REF!),IF(AND($BN$5=FALSE,$BM$5=FALSE,#REF!,'Annual Report'!$B$3,#REF!,'Annual Report'!$B$5,#REF!=$D$5,OR(#REF!=Z36,#REF!=Z37,#REF!=Z38,#REF!=Z39,#REF!=Z40,#REF!=Z41,#REF!=Z42)),SUM(#REF!))))))</f>
        <v>#REF!</v>
      </c>
      <c r="BR2" s="104"/>
      <c r="BS2" s="23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42"/>
    </row>
    <row r="3" spans="1:106" ht="15.5">
      <c r="A3" s="169" t="s">
        <v>83</v>
      </c>
      <c r="B3" s="129" t="s">
        <v>71</v>
      </c>
      <c r="C3" s="22"/>
      <c r="D3" s="217"/>
      <c r="E3" s="219"/>
      <c r="F3" s="221" t="s">
        <v>29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3"/>
      <c r="S3" s="21"/>
      <c r="T3" s="116"/>
      <c r="AA3" s="111" t="e">
        <f ca="1">IF($F$4="","",
IF(AND($BM$4=TRUE,#REF!=$D$5,OR(#REF!=Z36,#REF!=Z37,#REF!=Z38,#REF!=Z39,#REF!=Z40,#REF!=Z41,#REF!=Z42)),SUM(#REF!),
IF(AND($BK$5=TRUE,$BN$5=FALSE,#REF!,'Annual Report'!$B$3,#REF!,#REF!=$D$5,OR(#REF!=Z36,#REF!=Z37,#REF!=Z38,#REF!=Z39,#REF!=Z40,#REF!=Z41,#REF!=Z42)),SUM(#REF!),
IF(AND($BK$5=FALSE,$BN$5=TRUE,#REF!,'Annual Report'!$B$5,#REF!=$D$5,OR(#REF!=Z36,#REF!=Z37,#REF!=Z38,#REF!=Z39,#REF!=Z40,#REF!=Z41,#REF!=Z42)),SUM(#REF!),IF(AND($BN$5=FALSE,$BM$5=FALSE,#REF!,'Annual Report'!$B$3,#REF!,'Annual Report'!$B$5,#REF!=$D$5,OR(#REF!=Z36,#REF!=Z37,#REF!=Z38,#REF!=Z39,#REF!=Z40,#REF!=Z41,#REF!=Z42)),SUM(#REF!))))))</f>
        <v>#REF!</v>
      </c>
      <c r="BR3" s="105"/>
      <c r="BS3" s="23"/>
      <c r="BT3" s="22"/>
      <c r="BU3" s="228"/>
      <c r="BV3" s="230"/>
      <c r="BW3" s="221" t="s">
        <v>121</v>
      </c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3"/>
      <c r="CJ3" s="22"/>
      <c r="CK3" s="143"/>
    </row>
    <row r="4" spans="1:106" ht="15.5" thickBot="1">
      <c r="A4" s="177"/>
      <c r="B4" s="28"/>
      <c r="C4" s="23"/>
      <c r="D4" s="218"/>
      <c r="E4" s="220"/>
      <c r="F4" s="144" t="s">
        <v>6</v>
      </c>
      <c r="G4" s="145" t="s">
        <v>7</v>
      </c>
      <c r="H4" s="145" t="s">
        <v>8</v>
      </c>
      <c r="I4" s="145" t="s">
        <v>9</v>
      </c>
      <c r="J4" s="145" t="s">
        <v>10</v>
      </c>
      <c r="K4" s="145" t="s">
        <v>11</v>
      </c>
      <c r="L4" s="145" t="s">
        <v>12</v>
      </c>
      <c r="M4" s="145" t="s">
        <v>13</v>
      </c>
      <c r="N4" s="145" t="s">
        <v>14</v>
      </c>
      <c r="O4" s="145" t="s">
        <v>15</v>
      </c>
      <c r="P4" s="145" t="s">
        <v>16</v>
      </c>
      <c r="Q4" s="146" t="s">
        <v>17</v>
      </c>
      <c r="R4" s="147" t="s">
        <v>62</v>
      </c>
      <c r="S4" s="23"/>
      <c r="T4" s="119"/>
      <c r="U4" s="6" t="e">
        <f>SUMIFS(#REF!,#REF!,'Annual Report'!D5:D7,#REF!,'Annual Report'!P4)</f>
        <v>#REF!</v>
      </c>
      <c r="Z4" s="148" t="e">
        <f ca="1">SUMIFS(#REF!,#REF!,'Annual Report'!$D$5:$D$7,#REF!,OR(Z28:Z34))</f>
        <v>#REF!</v>
      </c>
      <c r="AA4" s="6" t="e">
        <f ca="1">IF($F$4="","",
IF($BM$4=TRUE,SUMIFS(#REF!,#REF!,$D$5,#REF!,"&gt;="&amp;$Z$36,#REF!,"&lt;="&amp;$Z$42),
IF(AND($BK$5=TRUE,$BN$5=FALSE),SUMIFS(#REF!,#REF!,$D$5,#REF!,'Annual Report'!$B$3,#REF!,"&gt;="&amp;$Z$36,#REF!,"&lt;="&amp;$Z$42),
IF(AND($BK$5=FALSE,$BN$5=TRUE),SUMIFS(#REF!,#REF!,$D$5,#REF!,$B$5,#REF!,"&gt;="&amp;$Z$36,#REF!,"&lt;="&amp;$Z$42),
IF(AND($BN$5=FALSE,$BM$5=FALSE),SUMIFS(#REF!,#REF!,$D$5,#REF!,$B$3,#REF!,$B$5,#REF!,"&gt;="&amp;$Z$36,#REF!,"&lt;="&amp;$Z$42),"")))))</f>
        <v>#REF!</v>
      </c>
      <c r="BM4" s="6" t="b">
        <f>AND(BK5,BN5)</f>
        <v>1</v>
      </c>
      <c r="BR4" s="105"/>
      <c r="BS4" s="23"/>
      <c r="BT4" s="23"/>
      <c r="BU4" s="229"/>
      <c r="BV4" s="231"/>
      <c r="BW4" s="144" t="str">
        <f>F4</f>
        <v>January</v>
      </c>
      <c r="BX4" s="145" t="str">
        <f t="shared" ref="BX4:CH4" si="0">G4</f>
        <v>February</v>
      </c>
      <c r="BY4" s="145" t="str">
        <f t="shared" si="0"/>
        <v>March</v>
      </c>
      <c r="BZ4" s="145" t="str">
        <f t="shared" si="0"/>
        <v>April</v>
      </c>
      <c r="CA4" s="145" t="str">
        <f t="shared" si="0"/>
        <v>May</v>
      </c>
      <c r="CB4" s="145" t="str">
        <f t="shared" si="0"/>
        <v>June</v>
      </c>
      <c r="CC4" s="145" t="str">
        <f t="shared" si="0"/>
        <v>July</v>
      </c>
      <c r="CD4" s="145" t="str">
        <f t="shared" si="0"/>
        <v>August</v>
      </c>
      <c r="CE4" s="145" t="str">
        <f t="shared" si="0"/>
        <v>September</v>
      </c>
      <c r="CF4" s="145" t="str">
        <f t="shared" si="0"/>
        <v>October</v>
      </c>
      <c r="CG4" s="145" t="str">
        <f t="shared" si="0"/>
        <v>November</v>
      </c>
      <c r="CH4" s="146" t="str">
        <f t="shared" si="0"/>
        <v>December</v>
      </c>
      <c r="CI4" s="147" t="s">
        <v>62</v>
      </c>
      <c r="CJ4" s="23"/>
      <c r="CK4" s="130"/>
    </row>
    <row r="5" spans="1:106" ht="16.25" thickTop="1" thickBot="1">
      <c r="A5" s="124" t="s">
        <v>25</v>
      </c>
      <c r="B5" s="29" t="s">
        <v>71</v>
      </c>
      <c r="C5" s="23"/>
      <c r="D5" s="209" t="s">
        <v>63</v>
      </c>
      <c r="E5" s="18" t="s">
        <v>64</v>
      </c>
      <c r="F5" s="50">
        <f>IF($F$4="","",
IF($BM$4=TRUE,SUMIFS(Table_Assembly[Total Produce],Table_Assembly[Product type],$D$5,Table_Assembly[Month],"1"),
IF(AND($BK$5=TRUE,$BN$5=FALSE),SUMIFS(Table_Assembly[Total Produce],Table_Assembly[Product type],$D$5,Table_Assembly[Month],"1"),
IF(AND($BK$5=FALSE,$BN$5=TRUE),SUMIFS(Table_Assembly[Total Produce],Table_Assembly[Product type],$D$5,Table_Assembly[Customer],$B$5,Table_Assembly[Month],"1"),
IF(AND($BN$5=FALSE,$BM$5=FALSE),SUMIFS(Table_Assembly[Total Produce],Table_Assembly[Product type],$D$5,Table_Assembly[Customer],$B$5,Table_Assembly[Month],"1"),"")))))</f>
        <v>0</v>
      </c>
      <c r="G5" s="50">
        <f>IF($G$4="","",
IF($BM$4=TRUE,SUMIFS(Table_Assembly[Total Produce],Table_Assembly[Product type],$D$5,Table_Assembly[Month],"2"),
IF(AND($BK$5=TRUE,$BN$5=FALSE),SUMIFS(Table_Assembly[Total Produce],Table_Assembly[Product type],$D$5,Table_Assembly[Month],"2"),
IF(AND($BK$5=FALSE,$BN$5=TRUE),SUMIFS(Table_Assembly[Total Produce],Table_Assembly[Product type],$D$5,Table_Assembly[Customer],$B$5,Table_Assembly[Month],"2"),
IF(AND($BN$5=FALSE,$BM$5=FALSE),SUMIFS(Table_Assembly[Total Produce],Table_Assembly[Product type],$D$5,Table_Assembly[Customer],$B$5,Table_Assembly[Month],"2"),"")))))</f>
        <v>0</v>
      </c>
      <c r="H5" s="50">
        <f>IF($H$4="","",
IF($BM$4=TRUE,SUMIFS(Table_Assembly[Total Produce],Table_Assembly[Product type],$D$5,Table_Assembly[Month],"3"),
IF(AND($BK$5=TRUE,$BN$5=FALSE),SUMIFS(Table_Assembly[Total Produce],Table_Assembly[Product type],$D$5,Table_Assembly[Month],"3"),
IF(AND($BK$5=FALSE,$BN$5=TRUE),SUMIFS(Table_Assembly[Total Produce],Table_Assembly[Product type],$D$5,Table_Assembly[Customer],$B$5,Table_Assembly[Month],"3"),
IF(AND($BN$5=FALSE,$BM$5=FALSE),SUMIFS(Table_Assembly[Total Produce],Table_Assembly[Product type],$D$5,Table_Assembly[Customer],$B$5,Table_Assembly[Month],"3"),"")))))</f>
        <v>0</v>
      </c>
      <c r="I5" s="50">
        <f>IF($I$4="","",
IF($BM$4=TRUE,SUMIFS(Table_Assembly[Total Produce],Table_Assembly[Product type],$D$5,Table_Assembly[Month],"4"),
IF(AND($BK$5=TRUE,$BN$5=FALSE),SUMIFS(Table_Assembly[Total Produce],Table_Assembly[Product type],$D$5,Table_Assembly[Month],"4"),
IF(AND($BK$5=FALSE,$BN$5=TRUE),SUMIFS(Table_Assembly[Total Produce],Table_Assembly[Product type],$D$5,Table_Assembly[Customer],$B$5,Table_Assembly[Month],"4"),
IF(AND($BN$5=FALSE,$BM$5=FALSE),SUMIFS(Table_Assembly[Total Produce],Table_Assembly[Product type],$D$5,Table_Assembly[Customer],$B$5,Table_Assembly[Month],"4"),"")))))</f>
        <v>28950</v>
      </c>
      <c r="J5" s="50">
        <f>IF($J$4="","",
IF($BM$4=TRUE,SUMIFS(Table_Assembly[Total Produce],Table_Assembly[Product type],$D$5,Table_Assembly[Month],"5"),
IF(AND($BK$5=TRUE,$BN$5=FALSE),SUMIFS(Table_Assembly[Total Produce],Table_Assembly[Product type],$D$5,Table_Assembly[Month],"5"),
IF(AND($BK$5=FALSE,$BN$5=TRUE),SUMIFS(Table_Assembly[Total Produce],Table_Assembly[Product type],$D$5,Table_Assembly[Customer],$B$5,Table_Assembly[Month],"5"),
IF(AND($BN$5=FALSE,$BM$5=FALSE),SUMIFS(Table_Assembly[Total Produce],Table_Assembly[Product type],$D$5,Table_Assembly[Customer],$B$5,Table_Assembly[Month],"5"),"")))))</f>
        <v>791242</v>
      </c>
      <c r="K5" s="50">
        <f>IF($K$4="","",
IF($BM$4=TRUE,SUMIFS(Table_Assembly[Total Produce],Table_Assembly[Product type],$D$5,Table_Assembly[Month],"6"),
IF(AND($BK$5=TRUE,$BN$5=FALSE),SUMIFS(Table_Assembly[Total Produce],Table_Assembly[Product type],$D$5,Table_Assembly[Month],"6"),
IF(AND($BK$5=FALSE,$BN$5=TRUE),SUMIFS(Table_Assembly[Total Produce],Table_Assembly[Product type],$D$5,Table_Assembly[Customer],$B$5,Table_Assembly[Month],"6"),
IF(AND($BN$5=FALSE,$BM$5=FALSE),SUMIFS(Table_Assembly[Total Produce],Table_Assembly[Product type],$D$5,Table_Assembly[Customer],$B$5,Table_Assembly[Month],"6"),"")))))</f>
        <v>411255</v>
      </c>
      <c r="L5" s="50">
        <f>IF($L$4="","",
IF($BM$4=TRUE,SUMIFS(Table_Assembly[Total Produce],Table_Assembly[Product type],$D$5,Table_Assembly[Month],"7"),
IF(AND($BK$5=TRUE,$BN$5=FALSE),SUMIFS(Table_Assembly[Total Produce],Table_Assembly[Product type],$D$5,Table_Assembly[Month],"7"),
IF(AND($BK$5=FALSE,$BN$5=TRUE),SUMIFS(Table_Assembly[Total Produce],Table_Assembly[Product type],$D$5,Table_Assembly[Customer],$B$5,Table_Assembly[Month],"7"),
IF(AND($BN$5=FALSE,$BM$5=FALSE),SUMIFS(Table_Assembly[Total Produce],Table_Assembly[Product type],$D$5,Table_Assembly[Customer],$B$5,Table_Assembly[Month],"7"),"")))))</f>
        <v>0</v>
      </c>
      <c r="M5" s="50">
        <f>IF($M$4="","",
IF($BM$4=TRUE,SUMIFS(Table_Assembly[Total Produce],Table_Assembly[Product type],$D$5,Table_Assembly[Month],"8"),
IF(AND($BK$5=TRUE,$BN$5=FALSE),SUMIFS(Table_Assembly[Total Produce],Table_Assembly[Product type],$D$5,Table_Assembly[Month],"8"),
IF(AND($BK$5=FALSE,$BN$5=TRUE),SUMIFS(Table_Assembly[Total Produce],Table_Assembly[Product type],$D$5,Table_Assembly[Customer],$B$5,Table_Assembly[Month],"8"),
IF(AND($BN$5=FALSE,$BM$5=FALSE),SUMIFS(Table_Assembly[Total Produce],Table_Assembly[Product type],$D$5,Table_Assembly[Customer],$B$5,Table_Assembly[Month],"8"),"")))))</f>
        <v>0</v>
      </c>
      <c r="N5" s="50">
        <f>IF($N$4="","",
IF($BM$4=TRUE,SUMIFS(Table_Assembly[Total Produce],Table_Assembly[Product type],$D$5,Table_Assembly[Month],"9"),
IF(AND($BK$5=TRUE,$BN$5=FALSE),SUMIFS(Table_Assembly[Total Produce],Table_Assembly[Product type],$D$5,Table_Assembly[Month],"9"),
IF(AND($BK$5=FALSE,$BN$5=TRUE),SUMIFS(Table_Assembly[Total Produce],Table_Assembly[Product type],$D$5,Table_Assembly[Customer],$B$5,Table_Assembly[Month],"9"),
IF(AND($BN$5=FALSE,$BM$5=FALSE),SUMIFS(Table_Assembly[Total Produce],Table_Assembly[Product type],$D$5,Table_Assembly[Customer],$B$5,Table_Assembly[Month],"9"),"")))))</f>
        <v>0</v>
      </c>
      <c r="O5" s="50">
        <f>IF($O$4="","",
IF($BM$4=TRUE,SUMIFS(Table_Assembly[Total Produce],Table_Assembly[Product type],$D$5,Table_Assembly[Month],"10"),
IF(AND($BK$5=TRUE,$BN$5=FALSE),SUMIFS(Table_Assembly[Total Produce],Table_Assembly[Product type],$D$5,Table_Assembly[Month],"10"),
IF(AND($BK$5=FALSE,$BN$5=TRUE),SUMIFS(Table_Assembly[Total Produce],Table_Assembly[Product type],$D$5,Table_Assembly[Customer],$B$5,Table_Assembly[Month],"10"),
IF(AND($BN$5=FALSE,$BM$5=FALSE),SUMIFS(Table_Assembly[Total Produce],Table_Assembly[Product type],$D$5,Table_Assembly[Customer],$B$5,Table_Assembly[Month],"10"),"")))))</f>
        <v>0</v>
      </c>
      <c r="P5" s="50">
        <f>IF($P$4="","",
IF($BM$4=TRUE,SUMIFS(Table_Assembly[Total Produce],Table_Assembly[Product type],$D$5,Table_Assembly[Month],"11"),
IF(AND($BK$5=TRUE,$BN$5=FALSE),SUMIFS(Table_Assembly[Total Produce],Table_Assembly[Product type],$D$5,Table_Assembly[Month],"11"),
IF(AND($BK$5=FALSE,$BN$5=TRUE),SUMIFS(Table_Assembly[Total Produce],Table_Assembly[Product type],$D$5,Table_Assembly[Customer],$B$5,Table_Assembly[Month],"11"),
IF(AND($BN$5=FALSE,$BM$5=FALSE),SUMIFS(Table_Assembly[Total Produce],Table_Assembly[Product type],$D$5,Table_Assembly[Customer],$B$5,Table_Assembly[Month],"11"),"")))))</f>
        <v>0</v>
      </c>
      <c r="Q5" s="51">
        <f>IF($Q$4="","",
IF($BM$4=TRUE,SUMIFS(Table_Assembly[Total Produce],Table_Assembly[Product type],$D$5,Table_Assembly[Month],"12"),
IF(AND($BK$5=TRUE,$BN$5=FALSE),SUMIFS(Table_Assembly[Total Produce],Table_Assembly[Product type],$D$5,Table_Assembly[Month],"12"),
IF(AND($BK$5=FALSE,$BN$5=TRUE),SUMIFS(Table_Assembly[Total Produce],Table_Assembly[Product type],$D$5,Table_Assembly[Customer],$B$5,Table_Assembly[Month],"12"),
IF(AND($BN$5=FALSE,$BM$5=FALSE),SUMIFS(Table_Assembly[Total Produce],Table_Assembly[Product type],$D$5,Table_Assembly[Customer],$B$5,Table_Assembly[Month],"12"),"")))))</f>
        <v>0</v>
      </c>
      <c r="R5" s="52">
        <f>SUM(F5:Q5)</f>
        <v>1231447</v>
      </c>
      <c r="S5" s="23"/>
      <c r="T5" s="119"/>
      <c r="AA5" s="6" t="e">
        <f ca="1">SUMIFS(#REF!,#REF!,$D$5,#REF!,"&gt;="&amp;$Z$36,#REF!,"&lt;="&amp;$Z$42)</f>
        <v>#REF!</v>
      </c>
      <c r="BK5" s="6" t="b">
        <f>$B$5=BL5</f>
        <v>1</v>
      </c>
      <c r="BL5" s="6" t="s">
        <v>71</v>
      </c>
      <c r="BM5" s="6" t="str">
        <f ca="1">OFFSET($BL$5,0,0,COUNTA($BL$5:$BL$52))</f>
        <v>All</v>
      </c>
      <c r="BN5" s="6" t="b">
        <f>B3=BO5</f>
        <v>1</v>
      </c>
      <c r="BO5" s="6" t="s">
        <v>71</v>
      </c>
      <c r="BR5" s="105"/>
      <c r="BS5" s="23"/>
      <c r="BT5" s="23"/>
      <c r="BU5" s="187" t="s">
        <v>63</v>
      </c>
      <c r="BV5" s="18" t="s">
        <v>64</v>
      </c>
      <c r="BW5" s="50">
        <f>IF($F$4="","",
IF($BM$4=TRUE,SUMIFS(Table_Assembly[Total Produce],Table_Assembly[Product type],$D$5,Table_Assembly[Month],"1"),
IF(AND($BK$5=TRUE,$BN$5=FALSE),SUMIFS(Table_Assembly[Total Produce],Table_Assembly[Product type],$D$5,Table_Assembly[Month],"1"),
IF(AND($BK$5=FALSE,$BN$5=TRUE),SUMIFS(Table_Assembly[Total Produce],Table_Assembly[Product type],$D$5,Table_Assembly[Customer],$B$5,Table_Assembly[Month],"1"),
IF(AND($BN$5=FALSE,$BM$5=FALSE),SUMIFS(Table_Assembly[Total Produce],Table_Assembly[Product type],$D$5,Table_Assembly[Customer],$B$5,Table_Assembly[Month],"1"),"")))))</f>
        <v>0</v>
      </c>
      <c r="BX5" s="50">
        <f>IF($G$4="","",
IF($BM$4=TRUE,SUMIFS(Table_Assembly[Total Produce],Table_Assembly[Product type],$D$5,Table_Assembly[Month],"2"),
IF(AND($BK$5=TRUE,$BN$5=FALSE),SUMIFS(Table_Assembly[Total Produce],Table_Assembly[Product type],$D$5,Table_Assembly[Month],"2"),
IF(AND($BK$5=FALSE,$BN$5=TRUE),SUMIFS(Table_Assembly[Total Produce],Table_Assembly[Product type],$D$5,Table_Assembly[Customer],$B$5,Table_Assembly[Month],"2"),
IF(AND($BN$5=FALSE,$BM$5=FALSE),SUMIFS(Table_Assembly[Total Produce],Table_Assembly[Product type],$D$5,Table_Assembly[Customer],$B$5,Table_Assembly[Month],"2"),"")))))</f>
        <v>0</v>
      </c>
      <c r="BY5" s="50">
        <f>IF($H$4="","",
IF($BM$4=TRUE,SUMIFS(Table_Assembly[Total Produce],Table_Assembly[Product type],$D$5,Table_Assembly[Month],"3"),
IF(AND($BK$5=TRUE,$BN$5=FALSE),SUMIFS(Table_Assembly[Total Produce],Table_Assembly[Product type],$D$5,Table_Assembly[Month],"3"),
IF(AND($BK$5=FALSE,$BN$5=TRUE),SUMIFS(Table_Assembly[Total Produce],Table_Assembly[Product type],$D$5,Table_Assembly[Customer],$B$5,Table_Assembly[Month],"3"),
IF(AND($BN$5=FALSE,$BM$5=FALSE),SUMIFS(Table_Assembly[Total Produce],Table_Assembly[Product type],$D$5,Table_Assembly[Customer],$B$5,Table_Assembly[Month],"3"),"")))))</f>
        <v>0</v>
      </c>
      <c r="BZ5" s="50">
        <f>IF($I$4="","",
IF($BM$4=TRUE,SUMIFS(Table_Assembly[Total Produce],Table_Assembly[Product type],$D$5,Table_Assembly[Month],"4"),
IF(AND($BK$5=TRUE,$BN$5=FALSE),SUMIFS(Table_Assembly[Total Produce],Table_Assembly[Product type],$D$5,Table_Assembly[Month],"4"),
IF(AND($BK$5=FALSE,$BN$5=TRUE),SUMIFS(Table_Assembly[Total Produce],Table_Assembly[Product type],$D$5,Table_Assembly[Customer],$B$5,Table_Assembly[Month],"4"),
IF(AND($BN$5=FALSE,$BM$5=FALSE),SUMIFS(Table_Assembly[Total Produce],Table_Assembly[Product type],$D$5,Table_Assembly[Customer],$B$5,Table_Assembly[Month],"4"),"")))))</f>
        <v>28950</v>
      </c>
      <c r="CA5" s="50">
        <f>IF($J$4="","",
IF($BM$4=TRUE,SUMIFS(Table_Assembly[Total Produce],Table_Assembly[Product type],$D$5,Table_Assembly[Month],"5"),
IF(AND($BK$5=TRUE,$BN$5=FALSE),SUMIFS(Table_Assembly[Total Produce],Table_Assembly[Product type],$D$5,Table_Assembly[Month],"5"),
IF(AND($BK$5=FALSE,$BN$5=TRUE),SUMIFS(Table_Assembly[Total Produce],Table_Assembly[Product type],$D$5,Table_Assembly[Customer],$B$5,Table_Assembly[Month],"5"),
IF(AND($BN$5=FALSE,$BM$5=FALSE),SUMIFS(Table_Assembly[Total Produce],Table_Assembly[Product type],$D$5,Table_Assembly[Customer],$B$5,Table_Assembly[Month],"5"),"")))))</f>
        <v>791242</v>
      </c>
      <c r="CB5" s="50">
        <f>IF($K$4="","",
IF($BM$4=TRUE,SUMIFS(Table_Assembly[Total Produce],Table_Assembly[Product type],$D$5,Table_Assembly[Month],"6"),
IF(AND($BK$5=TRUE,$BN$5=FALSE),SUMIFS(Table_Assembly[Total Produce],Table_Assembly[Product type],$D$5,Table_Assembly[Month],"6"),
IF(AND($BK$5=FALSE,$BN$5=TRUE),SUMIFS(Table_Assembly[Total Produce],Table_Assembly[Product type],$D$5,Table_Assembly[Customer],$B$5,Table_Assembly[Month],"6"),
IF(AND($BN$5=FALSE,$BM$5=FALSE),SUMIFS(Table_Assembly[Total Produce],Table_Assembly[Product type],$D$5,Table_Assembly[Customer],$B$5,Table_Assembly[Month],"6"),"")))))</f>
        <v>411255</v>
      </c>
      <c r="CC5" s="50">
        <f>IF($L$4="","",
IF($BM$4=TRUE,SUMIFS(Table_Assembly[Total Produce],Table_Assembly[Product type],$D$5,Table_Assembly[Month],"7"),
IF(AND($BK$5=TRUE,$BN$5=FALSE),SUMIFS(Table_Assembly[Total Produce],Table_Assembly[Product type],$D$5,Table_Assembly[Month],"7"),
IF(AND($BK$5=FALSE,$BN$5=TRUE),SUMIFS(Table_Assembly[Total Produce],Table_Assembly[Product type],$D$5,Table_Assembly[Customer],$B$5,Table_Assembly[Month],"7"),
IF(AND($BN$5=FALSE,$BM$5=FALSE),SUMIFS(Table_Assembly[Total Produce],Table_Assembly[Product type],$D$5,Table_Assembly[Customer],$B$5,Table_Assembly[Month],"7"),"")))))</f>
        <v>0</v>
      </c>
      <c r="CD5" s="50">
        <f>IF($M$4="","",
IF($BM$4=TRUE,SUMIFS(Table_Assembly[Total Produce],Table_Assembly[Product type],$D$5,Table_Assembly[Month],"8"),
IF(AND($BK$5=TRUE,$BN$5=FALSE),SUMIFS(Table_Assembly[Total Produce],Table_Assembly[Product type],$D$5,Table_Assembly[Month],"8"),
IF(AND($BK$5=FALSE,$BN$5=TRUE),SUMIFS(Table_Assembly[Total Produce],Table_Assembly[Product type],$D$5,Table_Assembly[Customer],$B$5,Table_Assembly[Month],"8"),
IF(AND($BN$5=FALSE,$BM$5=FALSE),SUMIFS(Table_Assembly[Total Produce],Table_Assembly[Product type],$D$5,Table_Assembly[Customer],$B$5,Table_Assembly[Month],"8"),"")))))</f>
        <v>0</v>
      </c>
      <c r="CE5" s="50">
        <f>IF($N$4="","",
IF($BM$4=TRUE,SUMIFS(Table_Assembly[Total Produce],Table_Assembly[Product type],$D$5,Table_Assembly[Month],"9"),
IF(AND($BK$5=TRUE,$BN$5=FALSE),SUMIFS(Table_Assembly[Total Produce],Table_Assembly[Product type],$D$5,Table_Assembly[Month],"9"),
IF(AND($BK$5=FALSE,$BN$5=TRUE),SUMIFS(Table_Assembly[Total Produce],Table_Assembly[Product type],$D$5,Table_Assembly[Customer],$B$5,Table_Assembly[Month],"9"),
IF(AND($BN$5=FALSE,$BM$5=FALSE),SUMIFS(Table_Assembly[Total Produce],Table_Assembly[Product type],$D$5,Table_Assembly[Customer],$B$5,Table_Assembly[Month],"9"),"")))))</f>
        <v>0</v>
      </c>
      <c r="CF5" s="50">
        <f>IF($O$4="","",
IF($BM$4=TRUE,SUMIFS(Table_Assembly[Total Produce],Table_Assembly[Product type],$D$5,Table_Assembly[Month],"10"),
IF(AND($BK$5=TRUE,$BN$5=FALSE),SUMIFS(Table_Assembly[Total Produce],Table_Assembly[Product type],$D$5,Table_Assembly[Month],"10"),
IF(AND($BK$5=FALSE,$BN$5=TRUE),SUMIFS(Table_Assembly[Total Produce],Table_Assembly[Product type],$D$5,Table_Assembly[Customer],$B$5,Table_Assembly[Month],"10"),
IF(AND($BN$5=FALSE,$BM$5=FALSE),SUMIFS(Table_Assembly[Total Produce],Table_Assembly[Product type],$D$5,Table_Assembly[Customer],$B$5,Table_Assembly[Month],"10"),"")))))</f>
        <v>0</v>
      </c>
      <c r="CG5" s="50">
        <f>IF($P$4="","",
IF($BM$4=TRUE,SUMIFS(Table_Assembly[Total Produce],Table_Assembly[Product type],$D$5,Table_Assembly[Month],"11"),
IF(AND($BK$5=TRUE,$BN$5=FALSE),SUMIFS(Table_Assembly[Total Produce],Table_Assembly[Product type],$D$5,Table_Assembly[Month],"11"),
IF(AND($BK$5=FALSE,$BN$5=TRUE),SUMIFS(Table_Assembly[Total Produce],Table_Assembly[Product type],$D$5,Table_Assembly[Customer],$B$5,Table_Assembly[Month],"11"),
IF(AND($BN$5=FALSE,$BM$5=FALSE),SUMIFS(Table_Assembly[Total Produce],Table_Assembly[Product type],$D$5,Table_Assembly[Customer],$B$5,Table_Assembly[Month],"11"),"")))))</f>
        <v>0</v>
      </c>
      <c r="CH5" s="51">
        <f>IF($Q$4="","",
IF($BM$4=TRUE,SUMIFS(Table_Assembly[Total Produce],Table_Assembly[Product type],$D$5,Table_Assembly[Month],"12"),
IF(AND($BK$5=TRUE,$BN$5=FALSE),SUMIFS(Table_Assembly[Total Produce],Table_Assembly[Product type],$D$5,Table_Assembly[Month],"12"),
IF(AND($BK$5=FALSE,$BN$5=TRUE),SUMIFS(Table_Assembly[Total Produce],Table_Assembly[Product type],$D$5,Table_Assembly[Customer],$B$5,Table_Assembly[Month],"12"),
IF(AND($BN$5=FALSE,$BM$5=FALSE),SUMIFS(Table_Assembly[Total Produce],Table_Assembly[Product type],$D$5,Table_Assembly[Customer],$B$5,Table_Assembly[Month],"12"),"")))))</f>
        <v>0</v>
      </c>
      <c r="CI5" s="52">
        <f>SUM(BW5:CH5)</f>
        <v>1231447</v>
      </c>
      <c r="CJ5" s="23"/>
      <c r="CK5" s="130"/>
    </row>
    <row r="6" spans="1:106" ht="15.5" thickBot="1">
      <c r="A6" s="125"/>
      <c r="B6" s="28"/>
      <c r="C6" s="23"/>
      <c r="D6" s="204"/>
      <c r="E6" s="19" t="s">
        <v>65</v>
      </c>
      <c r="F6" s="40">
        <f>IF($F$4="","",
IF($BM$4=TRUE,SUMIFS(Table_Assembly[Total NG],Table_Assembly[Product type],$D$5,Table_Assembly[Month],"1"),
IF(AND($BK$5=TRUE,$BN$5=FALSE),SUMIFS(Table_Assembly[Total NG],Table_Assembly[Product type],$D$5,Table_Assembly[Month],"1"),
IF(AND($BK$5=FALSE,$BN$5=TRUE),SUMIFS(Table_Assembly[Total NG],Table_Assembly[Product type],$D$5,Table_Assembly[Customer],$B$5,Table_Assembly[Month],"1"),
IF(AND($BN$5=FALSE,$BM$5=FALSE),SUMIFS(Table_Assembly[Total NG],Table_Assembly[Product type],$D$5,Table_Assembly[Customer],$B$5,Table_Assembly[Month],"1"),"")))))</f>
        <v>0</v>
      </c>
      <c r="G6" s="40">
        <f>IF($G$4="","",
IF($BM$4=TRUE,SUMIFS(Table_Assembly[Total NG],Table_Assembly[Product type],$D$5,Table_Assembly[Month],"2"),
IF(AND($BK$5=TRUE,$BN$5=FALSE),SUMIFS(Table_Assembly[Total NG],Table_Assembly[Product type],$D$5,Table_Assembly[Month],"2"),
IF(AND($BK$5=FALSE,$BN$5=TRUE),SUMIFS(Table_Assembly[Total NG],Table_Assembly[Product type],$D$5,Table_Assembly[Customer],$B$5,Table_Assembly[Month],"2"),
IF(AND($BN$5=FALSE,$BM$5=FALSE),SUMIFS(Table_Assembly[Total NG],Table_Assembly[Product type],$D$5,Table_Assembly[Customer],$B$5,Table_Assembly[Month],"2"),"")))))</f>
        <v>0</v>
      </c>
      <c r="H6" s="40">
        <f>IF($H$4="","",
IF($BM$4=TRUE,SUMIFS(Table_Assembly[Total NG],Table_Assembly[Product type],$D$5,Table_Assembly[Month],"3"),
IF(AND($BK$5=TRUE,$BN$5=FALSE),SUMIFS(Table_Assembly[Total NG],Table_Assembly[Product type],$D$5,Table_Assembly[Month],"3"),
IF(AND($BK$5=FALSE,$BN$5=TRUE),SUMIFS(Table_Assembly[Total NG],Table_Assembly[Product type],$D$5,Table_Assembly[Customer],$B$5,Table_Assembly[Month],"3"),
IF(AND($BN$5=FALSE,$BM$5=FALSE),SUMIFS(Table_Assembly[Total NG],Table_Assembly[Product type],$D$5,Table_Assembly[Customer],$B$5,Table_Assembly[Month],"3"),"")))))</f>
        <v>0</v>
      </c>
      <c r="I6" s="40">
        <f>IF($I$4="","",
IF($BM$4=TRUE,SUMIFS(Table_Assembly[Total NG],Table_Assembly[Product type],$D$5,Table_Assembly[Month],"4"),
IF(AND($BK$5=TRUE,$BN$5=FALSE),SUMIFS(Table_Assembly[Total NG],Table_Assembly[Product type],$D$5,Table_Assembly[Month],"4"),
IF(AND($BK$5=FALSE,$BN$5=TRUE),SUMIFS(Table_Assembly[Total NG],Table_Assembly[Product type],$D$5,Table_Assembly[Customer],$B$5,Table_Assembly[Month],"4"),
IF(AND($BN$5=FALSE,$BM$5=FALSE),SUMIFS(Table_Assembly[Total NG],Table_Assembly[Product type],$D$5,Table_Assembly[Customer],$B$5,Table_Assembly[Month],"4"),"")))))</f>
        <v>0</v>
      </c>
      <c r="J6" s="40">
        <f>IF($J$4="","",
IF($BM$4=TRUE,SUMIFS(Table_Assembly[Total NG],Table_Assembly[Product type],$D$5,Table_Assembly[Month],"5"),
IF(AND($BK$5=TRUE,$BN$5=FALSE),SUMIFS(Table_Assembly[Total NG],Table_Assembly[Product type],$D$5,Table_Assembly[Month],"5"),
IF(AND($BK$5=FALSE,$BN$5=TRUE),SUMIFS(Table_Assembly[Total NG],Table_Assembly[Product type],$D$5,Table_Assembly[Customer],$B$5,Table_Assembly[Month],"5"),
IF(AND($BN$5=FALSE,$BM$5=FALSE),SUMIFS(Table_Assembly[Total NG],Table_Assembly[Product type],$D$5,Table_Assembly[Customer],$B$5,Table_Assembly[Month],"5"),"")))))</f>
        <v>1302</v>
      </c>
      <c r="K6" s="40">
        <f>IF($K$4="","",
IF($BM$4=TRUE,SUMIFS(Table_Assembly[Total NG],Table_Assembly[Product type],$D$5,Table_Assembly[Month],"6"),
IF(AND($BK$5=TRUE,$BN$5=FALSE),SUMIFS(Table_Assembly[Total NG],Table_Assembly[Product type],$D$5,Table_Assembly[Month],"6"),
IF(AND($BK$5=FALSE,$BN$5=TRUE),SUMIFS(Table_Assembly[Total NG],Table_Assembly[Product type],$D$5,Table_Assembly[Customer],$B$5,Table_Assembly[Month],"6"),
IF(AND($BN$5=FALSE,$BM$5=FALSE),SUMIFS(Table_Assembly[Total NG],Table_Assembly[Product type],$D$5,Table_Assembly[Customer],$B$5,Table_Assembly[Month],"6"),"")))))</f>
        <v>134</v>
      </c>
      <c r="L6" s="40">
        <f>IF($L$4="","",
IF($BM$4=TRUE,SUMIFS(Table_Assembly[Total NG],Table_Assembly[Product type],$D$5,Table_Assembly[Month],"7"),
IF(AND($BK$5=TRUE,$BN$5=FALSE),SUMIFS(Table_Assembly[Total NG],Table_Assembly[Product type],$D$5,Table_Assembly[Month],"7"),
IF(AND($BK$5=FALSE,$BN$5=TRUE),SUMIFS(Table_Assembly[Total NG],Table_Assembly[Product type],$D$5,Table_Assembly[Customer],$B$5,Table_Assembly[Month],"7"),
IF(AND($BN$5=FALSE,$BM$5=FALSE),SUMIFS(Table_Assembly[Total NG],Table_Assembly[Product type],$D$5,Table_Assembly[Customer],$B$5,Table_Assembly[Month],"7"),"")))))</f>
        <v>0</v>
      </c>
      <c r="M6" s="40">
        <f>IF($M$4="","",
IF($BM$4=TRUE,SUMIFS(Table_Assembly[Total NG],Table_Assembly[Product type],$D$5,Table_Assembly[Month],"8"),
IF(AND($BK$5=TRUE,$BN$5=FALSE),SUMIFS(Table_Assembly[Total NG],Table_Assembly[Product type],$D$5,Table_Assembly[Month],"8"),
IF(AND($BK$5=FALSE,$BN$5=TRUE),SUMIFS(Table_Assembly[Total NG],Table_Assembly[Product type],$D$5,Table_Assembly[Customer],$B$5,Table_Assembly[Month],"8"),
IF(AND($BN$5=FALSE,$BM$5=FALSE),SUMIFS(Table_Assembly[Total NG],Table_Assembly[Product type],$D$5,Table_Assembly[Customer],$B$5,Table_Assembly[Month],"8"),"")))))</f>
        <v>0</v>
      </c>
      <c r="N6" s="40">
        <f>IF($N$4="","",
IF($BM$4=TRUE,SUMIFS(Table_Assembly[Total NG],Table_Assembly[Product type],$D$5,Table_Assembly[Month],"9"),
IF(AND($BK$5=TRUE,$BN$5=FALSE),SUMIFS(Table_Assembly[Total NG],Table_Assembly[Product type],$D$5,Table_Assembly[Month],"9"),
IF(AND($BK$5=FALSE,$BN$5=TRUE),SUMIFS(Table_Assembly[Total NG],Table_Assembly[Product type],$D$5,Table_Assembly[Customer],$B$5,Table_Assembly[Month],"9"),
IF(AND($BN$5=FALSE,$BM$5=FALSE),SUMIFS(Table_Assembly[Total NG],Table_Assembly[Product type],$D$5,Table_Assembly[Customer],$B$5,Table_Assembly[Month],"9"),"")))))</f>
        <v>0</v>
      </c>
      <c r="O6" s="40">
        <f>IF($O$4="","",
IF($BM$4=TRUE,SUMIFS(Table_Assembly[Total NG],Table_Assembly[Product type],$D$5,Table_Assembly[Month],"10"),
IF(AND($BK$5=TRUE,$BN$5=FALSE),SUMIFS(Table_Assembly[Total NG],Table_Assembly[Product type],$D$5,Table_Assembly[Month],"10"),
IF(AND($BK$5=FALSE,$BN$5=TRUE),SUMIFS(Table_Assembly[Total NG],Table_Assembly[Product type],$D$5,Table_Assembly[Customer],$B$5,Table_Assembly[Month],"10"),
IF(AND($BN$5=FALSE,$BM$5=FALSE),SUMIFS(Table_Assembly[Total NG],Table_Assembly[Product type],$D$5,Table_Assembly[Customer],$B$5,Table_Assembly[Month],"10"),"")))))</f>
        <v>0</v>
      </c>
      <c r="P6" s="40">
        <f>IF($P$4="","",
IF($BM$4=TRUE,SUMIFS(Table_Assembly[Total NG],Table_Assembly[Product type],$D$5,Table_Assembly[Month],"11"),
IF(AND($BK$5=TRUE,$BN$5=FALSE),SUMIFS(Table_Assembly[Total NG],Table_Assembly[Product type],$D$5,Table_Assembly[Month],"11"),
IF(AND($BK$5=FALSE,$BN$5=TRUE),SUMIFS(Table_Assembly[Total NG],Table_Assembly[Product type],$D$5,Table_Assembly[Customer],$B$5,Table_Assembly[Month],"11"),
IF(AND($BN$5=FALSE,$BM$5=FALSE),SUMIFS(Table_Assembly[Total NG],Table_Assembly[Product type],$D$5,Table_Assembly[Customer],$B$5,Table_Assembly[Month],"11"),"")))))</f>
        <v>0</v>
      </c>
      <c r="Q6" s="41">
        <f>IF($K$4="","",
IF($BM$4=TRUE,SUMIFS(Table_Assembly[Total NG],Table_Assembly[Product type],$D$5,Table_Assembly[Month],"12"),
IF(AND($BK$5=TRUE,$BN$5=FALSE),SUMIFS(Table_Assembly[Total NG],Table_Assembly[Product type],$D$5,Table_Assembly[Month],"12"),
IF(AND($BK$5=FALSE,$BN$5=TRUE),SUMIFS(Table_Assembly[Total NG],Table_Assembly[Product type],$D$5,Table_Assembly[Customer],$B$5,Table_Assembly[Month],"12"),
IF(AND($BN$5=FALSE,$BM$5=FALSE),SUMIFS(Table_Assembly[Total NG],Table_Assembly[Product type],$D$5,Table_Assembly[Customer],$B$5,Table_Assembly[Month],"12"),"")))))</f>
        <v>0</v>
      </c>
      <c r="R6" s="42">
        <f>SUM(F6:Q6)</f>
        <v>1436</v>
      </c>
      <c r="S6" s="23"/>
      <c r="T6" s="119"/>
      <c r="U6" s="111" t="e">
        <f>SUMIFS(#REF!,#REF!,'Annual Report'!D5:D7,#REF!,'Annual Report'!P4)</f>
        <v>#REF!</v>
      </c>
      <c r="BO6" s="6" t="s">
        <v>53</v>
      </c>
      <c r="BR6" s="105"/>
      <c r="BS6" s="23"/>
      <c r="BT6" s="23"/>
      <c r="BU6" s="188"/>
      <c r="BV6" s="19" t="s">
        <v>65</v>
      </c>
      <c r="BW6" s="40">
        <f>IF($F$4="","",
IF($BM$4=TRUE,SUMIFS(Table_Assembly[Total NG from machine],Table_Assembly[Product type],$D$5,Table_Assembly[Month],"1"),
IF(AND($BK$5=TRUE,$BN$5=FALSE),SUMIFS(Table_Assembly[Total NG from machine],Table_Assembly[Product type],$D$5,#REF!,$B$3,Table_Assembly[Month],"1"),
IF(AND($BK$5=FALSE,$BN$5=TRUE),SUMIFS(Table_Assembly[Total NG from machine],Table_Assembly[Product type],$D$5,Table_Assembly[Customer],$B$5,Table_Assembly[Month],"1"),
IF(AND($BN$5=FALSE,$BM$5=FALSE),SUMIFS(Table_Assembly[Total NG from machine],Table_Assembly[Product type],$D$5,#REF!,$B$3,Table_Assembly[Customer],$B$5,Table_Assembly[Month],"1"),"")))))</f>
        <v>0</v>
      </c>
      <c r="BX6" s="40">
        <f>IF($G$4="","",
IF($BM$4=TRUE,SUMIFS(Table_Assembly[Total NG from machine],Table_Assembly[Product type],$D$5,Table_Assembly[Month],"2"),
IF(AND($BK$5=TRUE,$BN$5=FALSE),SUMIFS(Table_Assembly[Total NG from machine],Table_Assembly[Product type],$D$5,#REF!,$B$3,Table_Assembly[Month],"2"),
IF(AND($BK$5=FALSE,$BN$5=TRUE),SUMIFS(Table_Assembly[Total NG from machine],Table_Assembly[Product type],$D$5,Table_Assembly[Customer],$B$5,Table_Assembly[Month],"2"),
IF(AND($BN$5=FALSE,$BM$5=FALSE),SUMIFS(Table_Assembly[Total NG from machine],Table_Assembly[Product type],$D$5,#REF!,$B$3,Table_Assembly[Customer],$B$5,Table_Assembly[Month],"2"),"")))))</f>
        <v>0</v>
      </c>
      <c r="BY6" s="40">
        <f>IF($H$4="","",
IF($BM$4=TRUE,SUMIFS(Table_Assembly[Total NG from machine],Table_Assembly[Product type],$D$5,Table_Assembly[Month],"3"),
IF(AND($BK$5=TRUE,$BN$5=FALSE),SUMIFS(Table_Assembly[Total NG from machine],Table_Assembly[Product type],$D$5,#REF!,$B$3,Table_Assembly[Month],"3"),
IF(AND($BK$5=FALSE,$BN$5=TRUE),SUMIFS(Table_Assembly[Total NG from machine],Table_Assembly[Product type],$D$5,Table_Assembly[Customer],$B$5,Table_Assembly[Month],"3"),
IF(AND($BN$5=FALSE,$BM$5=FALSE),SUMIFS(Table_Assembly[Total NG from machine],Table_Assembly[Product type],$D$5,#REF!,$B$3,Table_Assembly[Customer],$B$5,Table_Assembly[Month],"3"),"")))))</f>
        <v>0</v>
      </c>
      <c r="BZ6" s="40">
        <f>IF($I$4="","",
IF($BM$4=TRUE,SUMIFS(Table_Assembly[Total NG from machine],Table_Assembly[Product type],$D$5,Table_Assembly[Month],"4"),
IF(AND($BK$5=TRUE,$BN$5=FALSE),SUMIFS(Table_Assembly[Total NG from machine],Table_Assembly[Product type],$D$5,#REF!,$B$3,Table_Assembly[Month],"4"),
IF(AND($BK$5=FALSE,$BN$5=TRUE),SUMIFS(Table_Assembly[Total NG from machine],Table_Assembly[Product type],$D$5,Table_Assembly[Customer],$B$5,Table_Assembly[Month],"4"),
IF(AND($BN$5=FALSE,$BM$5=FALSE),SUMIFS(Table_Assembly[Total NG from machine],Table_Assembly[Product type],$D$5,#REF!,$B$3,Table_Assembly[Customer],$B$5,Table_Assembly[Month],"4"),"")))))</f>
        <v>0</v>
      </c>
      <c r="CA6" s="40">
        <f>IF($J$4="","",
IF($BM$4=TRUE,SUMIFS(Table_Assembly[Total NG from machine],Table_Assembly[Product type],$D$5,Table_Assembly[Month],"5"),
IF(AND($BK$5=TRUE,$BN$5=FALSE),SUMIFS(Table_Assembly[Total NG from machine],Table_Assembly[Product type],$D$5,#REF!,$B$3,Table_Assembly[Month],"5"),
IF(AND($BK$5=FALSE,$BN$5=TRUE),SUMIFS(Table_Assembly[Total NG from machine],Table_Assembly[Product type],$D$5,Table_Assembly[Customer],$B$5,Table_Assembly[Month],"5"),
IF(AND($BN$5=FALSE,$BM$5=FALSE),SUMIFS(Table_Assembly[Total NG from machine],Table_Assembly[Product type],$D$5,#REF!,$B$3,Table_Assembly[Customer],$B$5,Table_Assembly[Month],"5"),"")))))</f>
        <v>1180</v>
      </c>
      <c r="CB6" s="40">
        <f>IF($K$4="","",
IF($BM$4=TRUE,SUMIFS(Table_Assembly[Total NG from machine],Table_Assembly[Product type],$D$5,Table_Assembly[Month],"6"),
IF(AND($BK$5=TRUE,$BN$5=FALSE),SUMIFS(Table_Assembly[Total NG from machine],Table_Assembly[Product type],$D$5,#REF!,$B$3,Table_Assembly[Month],"6"),
IF(AND($BK$5=FALSE,$BN$5=TRUE),SUMIFS(Table_Assembly[Total NG from machine],Table_Assembly[Product type],$D$5,Table_Assembly[Customer],$B$5,Table_Assembly[Month],"6"),
IF(AND($BN$5=FALSE,$BM$5=FALSE),SUMIFS(Table_Assembly[Total NG from machine],Table_Assembly[Product type],$D$5,#REF!,$B$3,Table_Assembly[Customer],$B$5,Table_Assembly[Month],"6"),"")))))</f>
        <v>70</v>
      </c>
      <c r="CC6" s="40">
        <f>IF($L$4="","",
IF($BM$4=TRUE,SUMIFS(Table_Assembly[Total NG from machine],Table_Assembly[Product type],$D$5,Table_Assembly[Month],"7"),
IF(AND($BK$5=TRUE,$BN$5=FALSE),SUMIFS(Table_Assembly[Total NG from machine],Table_Assembly[Product type],$D$5,#REF!,$B$3,Table_Assembly[Month],"7"),
IF(AND($BK$5=FALSE,$BN$5=TRUE),SUMIFS(Table_Assembly[Total NG from machine],Table_Assembly[Product type],$D$5,Table_Assembly[Customer],$B$5,Table_Assembly[Month],"7"),
IF(AND($BN$5=FALSE,$BM$5=FALSE),SUMIFS(Table_Assembly[Total NG from machine],Table_Assembly[Product type],$D$5,#REF!,$B$3,Table_Assembly[Customer],$B$5,Table_Assembly[Month],"7"),"")))))</f>
        <v>0</v>
      </c>
      <c r="CD6" s="40">
        <f>IF($M$4="","",
IF($BM$4=TRUE,SUMIFS(Table_Assembly[Total NG from machine],Table_Assembly[Product type],$D$5,Table_Assembly[Month],"8"),
IF(AND($BK$5=TRUE,$BN$5=FALSE),SUMIFS(Table_Assembly[Total NG from machine],Table_Assembly[Product type],$D$5,#REF!,$B$3,Table_Assembly[Month],"8"),
IF(AND($BK$5=FALSE,$BN$5=TRUE),SUMIFS(Table_Assembly[Total NG from machine],Table_Assembly[Product type],$D$5,Table_Assembly[Customer],$B$5,Table_Assembly[Month],"8"),
IF(AND($BN$5=FALSE,$BM$5=FALSE),SUMIFS(Table_Assembly[Total NG from machine],Table_Assembly[Product type],$D$5,#REF!,$B$3,Table_Assembly[Customer],$B$5,Table_Assembly[Month],"8"),"")))))</f>
        <v>0</v>
      </c>
      <c r="CE6" s="40">
        <f>IF($N$4="","",
IF($BM$4=TRUE,SUMIFS(Table_Assembly[Total NG from machine],Table_Assembly[Product type],$D$5,Table_Assembly[Month],"9"),
IF(AND($BK$5=TRUE,$BN$5=FALSE),SUMIFS(Table_Assembly[Total NG from machine],Table_Assembly[Product type],$D$5,Table_Assembly[Month],"9"),
IF(AND($BK$5=FALSE,$BN$5=TRUE),SUMIFS(Table_Assembly[Total NG from machine],Table_Assembly[Product type],$D$5,Table_Assembly[Customer],$B$5,Table_Assembly[Month],"9"),
IF(AND($BN$5=FALSE,$BM$5=FALSE),SUMIFS(Table_Assembly[Total NG from machine],Table_Assembly[Product type],$D$5,Table_Assembly[Customer],$B$5,Table_Assembly[Month],"9"),"")))))</f>
        <v>0</v>
      </c>
      <c r="CF6" s="40">
        <f>IF($O$4="","",
IF($BM$4=TRUE,SUMIFS(Table_Assembly[Total NG from machine],Table_Assembly[Product type],$D$5,Table_Assembly[Month],"10"),
IF(AND($BK$5=TRUE,$BN$5=FALSE),SUMIFS(Table_Assembly[Total NG from machine],Table_Assembly[Product type],$D$5,#REF!,$B$3,Table_Assembly[Month],"10"),
IF(AND($BK$5=FALSE,$BN$5=TRUE),SUMIFS(Table_Assembly[Total NG from machine],Table_Assembly[Product type],$D$5,Table_Assembly[Customer],$B$5,Table_Assembly[Month],"10"),
IF(AND($BN$5=FALSE,$BM$5=FALSE),SUMIFS(Table_Assembly[Total NG from machine],Table_Assembly[Product type],$D$5,#REF!,$B$3,Table_Assembly[Customer],$B$5,Table_Assembly[Month],"10"),"")))))</f>
        <v>0</v>
      </c>
      <c r="CG6" s="40">
        <f>IF($P$4="","",
IF($BM$4=TRUE,SUMIFS(Table_Assembly[Total NG from machine],Table_Assembly[Product type],$D$5,Table_Assembly[Month],"11"),
IF(AND($BK$5=TRUE,$BN$5=FALSE),SUMIFS(Table_Assembly[Total NG from machine],Table_Assembly[Product type],$D$5,#REF!,$B$3,Table_Assembly[Month],"11"),
IF(AND($BK$5=FALSE,$BN$5=TRUE),SUMIFS(Table_Assembly[Total NG from machine],Table_Assembly[Product type],$D$5,Table_Assembly[Customer],$B$5,Table_Assembly[Month],"11"),
IF(AND($BN$5=FALSE,$BM$5=FALSE),SUMIFS(Table_Assembly[Total NG from machine],Table_Assembly[Product type],$D$5,#REF!,$B$3,Table_Assembly[Customer],$B$5,Table_Assembly[Month],"11"),"")))))</f>
        <v>0</v>
      </c>
      <c r="CH6" s="41">
        <f>IF($Q$4="","",
IF($BM$4=TRUE,SUMIFS(Table_Assembly[Total NG from machine],Table_Assembly[Product type],$D$5,Table_Assembly[Month],"12"),
IF(AND($BK$5=TRUE,$BN$5=FALSE),SUMIFS(Table_Assembly[Total NG from machine],Table_Assembly[Product type],$D$5,#REF!,$B$3,Table_Assembly[Month],"12"),
IF(AND($BK$5=FALSE,$BN$5=TRUE),SUMIFS(Table_Assembly[Total NG from machine],Table_Assembly[Product type],$D$5,Table_Assembly[Customer],$B$5,Table_Assembly[Month],"12"),
IF(AND($BN$5=FALSE,$BM$5=FALSE),SUMIFS(Table_Assembly[Total NG from machine],Table_Assembly[Product type],$D$5,#REF!,$B$3,Table_Assembly[Customer],$B$5,Table_Assembly[Month],"12"),"")))))</f>
        <v>0</v>
      </c>
      <c r="CI6" s="42">
        <f>SUM(BW6:CH6)</f>
        <v>1250</v>
      </c>
      <c r="CJ6" s="23"/>
      <c r="CK6" s="130"/>
    </row>
    <row r="7" spans="1:106" ht="15.5" thickBot="1">
      <c r="A7" s="124" t="s">
        <v>0</v>
      </c>
      <c r="B7" s="29">
        <v>2023</v>
      </c>
      <c r="C7" s="23"/>
      <c r="D7" s="210"/>
      <c r="E7" s="53" t="s">
        <v>66</v>
      </c>
      <c r="F7" s="54" t="str">
        <f t="shared" ref="F7:R7" si="1">IFERROR(F6/F5*1000000,"")</f>
        <v/>
      </c>
      <c r="G7" s="54" t="str">
        <f t="shared" si="1"/>
        <v/>
      </c>
      <c r="H7" s="54" t="str">
        <f t="shared" si="1"/>
        <v/>
      </c>
      <c r="I7" s="54">
        <f t="shared" si="1"/>
        <v>0</v>
      </c>
      <c r="J7" s="54">
        <f t="shared" si="1"/>
        <v>1645.5142674428303</v>
      </c>
      <c r="K7" s="54">
        <f t="shared" si="1"/>
        <v>325.8319047792732</v>
      </c>
      <c r="L7" s="54" t="str">
        <f>IFERROR(L6/L5*1000000,"")</f>
        <v/>
      </c>
      <c r="M7" s="54" t="str">
        <f t="shared" si="1"/>
        <v/>
      </c>
      <c r="N7" s="54" t="str">
        <f t="shared" si="1"/>
        <v/>
      </c>
      <c r="O7" s="54" t="str">
        <f t="shared" si="1"/>
        <v/>
      </c>
      <c r="P7" s="54" t="str">
        <f t="shared" si="1"/>
        <v/>
      </c>
      <c r="Q7" s="55" t="str">
        <f t="shared" si="1"/>
        <v/>
      </c>
      <c r="R7" s="56">
        <f t="shared" si="1"/>
        <v>1166.1078389894165</v>
      </c>
      <c r="S7" s="23"/>
      <c r="T7" s="119"/>
      <c r="U7" s="6" t="e">
        <f>SUMIFS(#REF!,#REF!,'Annual Report'!D5:D7,#REF!,'Annual Report'!P4)</f>
        <v>#REF!</v>
      </c>
      <c r="V7" s="6" t="e">
        <f>SUMIFS(#REF!,#REF!,'Annual Report'!D5:D7,#REF!,'Annual Report'!P4)</f>
        <v>#REF!</v>
      </c>
      <c r="W7" s="6" t="e">
        <f>SUMIFS(#REF!,#REF!,'Annual Report'!$B$5,#REF!,'Annual Report'!$D$5:$D$7,#REF!,'Annual Report'!$P$4)</f>
        <v>#REF!</v>
      </c>
      <c r="Z7" s="6" t="b">
        <f>$B$9=AA7</f>
        <v>0</v>
      </c>
      <c r="AA7" s="6" t="s">
        <v>6</v>
      </c>
      <c r="AB7" s="6">
        <v>1</v>
      </c>
      <c r="AC7" s="6" t="b">
        <f>$B$9=AA7</f>
        <v>0</v>
      </c>
      <c r="AD7" s="6" t="s">
        <v>4</v>
      </c>
      <c r="AE7" s="149">
        <f>IFERROR(DATE($B$7,IF(Z7=TRUE,AB7,IF(Z8=TRUE,AB8,IF(Z9=TRUE,AB9,IF(Z10=TRUE,AB10,IF(Z11=TRUE,AB11,IF(Z12=TRUE,AB12,IF(Z13=TRUE,AB13,IF(Z14=TRUE,AB14,IF(Z15=TRUE,AB15,IF(Z16=TRUE,AB16,IF(Z17=TRUE,AB17,IF(Z18=TRUE,AB18,"")))))))))))),1),"")</f>
        <v>45017</v>
      </c>
      <c r="AF7" s="6" t="s">
        <v>18</v>
      </c>
      <c r="AG7" s="149">
        <f>IFERROR(EOMONTH(AE7,0),"")</f>
        <v>45046</v>
      </c>
      <c r="AI7" s="150" t="e">
        <f>IF($F$4="","",
IF($BM$4=TRUE,SUMIFS(#REF!,#REF!,'Annual Report'!$D$5,#REF!,'Annual Report'!$F$4),
IF(AND($BK$5=TRUE,$BN$5=FALSE),SUMIFS(#REF!,#REF!,'Annual Report'!$B$3,#REF!,'Annual Report'!$D$5,#REF!,'Annual Report'!$F$4),
IF(AND($BK$5=FALSE,$BN$5=TRUE),SUMIFS(#REF!,#REF!,'Annual Report'!$B$5,#REF!,'Annual Report'!$D$5,#REF!,'Annual Report'!$F$4),
IF(AND($BN$5=FALSE,$BM$5=FALSE),SUMIFS(#REF!,#REF!,'Annual Report'!$B$3,#REF!,'Annual Report'!$B$5,#REF!,'Annual Report'!$D$5,#REF!,'Annual Report'!$F$4),"")))))</f>
        <v>#REF!</v>
      </c>
      <c r="AJ7" s="150" t="e">
        <f>IF($L$4="","",
IF($BM$4=TRUE,SUMIFS(#REF!,#REF!,'Annual Report'!$D$5,#REF!,'Annual Report'!$L$4),
IF(AND($BK$5=TRUE,$BN$5=FALSE),SUMIFS(#REF!,#REF!,'Annual Report'!$B$3,#REF!,'Annual Report'!$D$5,#REF!,'Annual Report'!$L$4),
IF(AND($BK$5=FALSE,$BN$5=TRUE),SUMIFS(#REF!,#REF!,'Annual Report'!$B$5,#REF!,'Annual Report'!$D$5,#REF!,'Annual Report'!$L$4),
IF(AND($BN$5=FALSE,$BM$5=FALSE),SUMIFS(#REF!,#REF!,'Annual Report'!$B$3,#REF!,'Annual Report'!$B$5,#REF!,'Annual Report'!$D$5,#REF!,'Annual Report'!$L$4),"")))))</f>
        <v>#REF!</v>
      </c>
      <c r="AK7" s="150" t="e">
        <f>IF($M$4="","",
IF($BM$4=TRUE,SUMIFS(#REF!,#REF!,'Annual Report'!$D$5,#REF!,'Annual Report'!$M$4),
IF(AND($BK$5=TRUE,$BN$5=FALSE),SUMIFS(#REF!,#REF!,'Annual Report'!$B$3,#REF!,'Annual Report'!$D$5,#REF!,'Annual Report'!$M$4),
IF(AND($BK$5=FALSE,$BN$5=TRUE),SUMIFS(#REF!,#REF!,'Annual Report'!$B$5,#REF!,'Annual Report'!$D$5,#REF!,'Annual Report'!$M$4),
IF(AND($BN$5=FALSE,$BM$5=FALSE),SUMIFS(#REF!,#REF!,'Annual Report'!$B$3,#REF!,'Annual Report'!$B$5,#REF!,'Annual Report'!$D$5,#REF!,'Annual Report'!$M$4),"")))))</f>
        <v>#REF!</v>
      </c>
      <c r="AL7" s="150" t="e">
        <f>IF($N$4="","",
IF($BM$4=TRUE,SUMIFS(#REF!,#REF!,'Annual Report'!$D$5,#REF!,'Annual Report'!$N$4),
IF(AND($BK$5=TRUE,$BN$5=FALSE),SUMIFS(#REF!,#REF!,'Annual Report'!$B$3,#REF!,'Annual Report'!$D$5,#REF!,'Annual Report'!$N$4),
IF(AND($BK$5=FALSE,$BN$5=TRUE),SUMIFS(#REF!,#REF!,'Annual Report'!$B$5,#REF!,'Annual Report'!$D$5,#REF!,'Annual Report'!$N$4),
IF(AND($BN$5=FALSE,$BM$5=FALSE),SUMIFS(#REF!,#REF!,'Annual Report'!$B$3,#REF!,'Annual Report'!$B$5,#REF!,'Annual Report'!$D$5,#REF!,'Annual Report'!$N$4),"")))))</f>
        <v>#REF!</v>
      </c>
      <c r="AM7" s="150" t="e">
        <f>IF($O$4="","",
IF($BM$4=TRUE,SUMIFS(#REF!,#REF!,'Annual Report'!$D$5,#REF!,'Annual Report'!$O$4),
IF(AND($BK$5=TRUE,$BN$5=FALSE),SUMIFS(#REF!,#REF!,'Annual Report'!$B$3,#REF!,'Annual Report'!$D$5,#REF!,'Annual Report'!$O$4),
IF(AND($BK$5=FALSE,$BN$5=TRUE),SUMIFS(#REF!,#REF!,'Annual Report'!$B$5,#REF!,'Annual Report'!$D$5,#REF!,'Annual Report'!$O$4),
IF(AND($BN$5=FALSE,$BM$5=FALSE),SUMIFS(#REF!,#REF!,'Annual Report'!$B$3,#REF!,'Annual Report'!$B$5,#REF!,'Annual Report'!$D$5,#REF!,'Annual Report'!$O$4),"")))))</f>
        <v>#REF!</v>
      </c>
      <c r="AN7" s="150" t="e">
        <f>IF($P$4="","",
IF($BM$4=TRUE,SUMIFS(#REF!,#REF!,'Annual Report'!$D$5,#REF!,'Annual Report'!$P$4),
IF(AND($BK$5=TRUE,$BN$5=FALSE),SUMIFS(#REF!,#REF!,'Annual Report'!$B$3,#REF!,'Annual Report'!$D$5,#REF!,'Annual Report'!$P$4),
IF(AND($BK$5=FALSE,$BN$5=TRUE),SUMIFS(#REF!,#REF!,'Annual Report'!$B$5,#REF!,'Annual Report'!$D$5,#REF!,'Annual Report'!$P$4),
IF(AND($BN$5=FALSE,$BM$5=FALSE),SUMIFS(#REF!,#REF!,'Annual Report'!$B$3,#REF!,'Annual Report'!$B$5,#REF!,'Annual Report'!$D$5,#REF!,'Annual Report'!$P$4),"")))))</f>
        <v>#REF!</v>
      </c>
      <c r="AO7" s="150" t="e">
        <f>IF($Q$4="","",
IF($BM$4=TRUE,SUMIFS(#REF!,#REF!,'Annual Report'!$D$5,#REF!,'Annual Report'!$Q$4),
IF(AND($BK$5=TRUE,$BN$5=FALSE),SUMIFS(#REF!,#REF!,'Annual Report'!$B$3,#REF!,'Annual Report'!$D$5,#REF!,'Annual Report'!$Q$4),
IF(AND($BK$5=FALSE,$BN$5=TRUE),SUMIFS(#REF!,#REF!,'Annual Report'!$B$5,#REF!,'Annual Report'!$D$5,#REF!,'Annual Report'!$Q$4),
IF(AND($BN$5=FALSE,$BM$5=FALSE),SUMIFS(#REF!,#REF!,'Annual Report'!$B$3,#REF!,'Annual Report'!$B$5,#REF!,'Annual Report'!$D$5,#REF!,'Annual Report'!$Q$4),"")))))</f>
        <v>#REF!</v>
      </c>
      <c r="BO7" s="6" t="s">
        <v>84</v>
      </c>
      <c r="BR7" s="105"/>
      <c r="BS7" s="23"/>
      <c r="BT7" s="23"/>
      <c r="BU7" s="190"/>
      <c r="BV7" s="53" t="s">
        <v>66</v>
      </c>
      <c r="BW7" s="54" t="str">
        <f>IFERROR(BW6/BW5*1000000,"")</f>
        <v/>
      </c>
      <c r="BX7" s="54" t="str">
        <f t="shared" ref="BX7:CB7" si="2">IFERROR(BX6/BX5*1000000,"")</f>
        <v/>
      </c>
      <c r="BY7" s="54" t="str">
        <f t="shared" si="2"/>
        <v/>
      </c>
      <c r="BZ7" s="54">
        <f t="shared" si="2"/>
        <v>0</v>
      </c>
      <c r="CA7" s="54">
        <f t="shared" si="2"/>
        <v>1491.3262946102457</v>
      </c>
      <c r="CB7" s="54">
        <f t="shared" si="2"/>
        <v>170.210696526486</v>
      </c>
      <c r="CC7" s="54" t="str">
        <f t="shared" ref="CC7:CI7" si="3">IFERROR(CC6/CC5*1000000,"")</f>
        <v/>
      </c>
      <c r="CD7" s="54" t="str">
        <f t="shared" si="3"/>
        <v/>
      </c>
      <c r="CE7" s="54" t="str">
        <f t="shared" si="3"/>
        <v/>
      </c>
      <c r="CF7" s="54" t="str">
        <f t="shared" si="3"/>
        <v/>
      </c>
      <c r="CG7" s="54" t="str">
        <f>IFERROR(CG6/CG5*1000000,"")</f>
        <v/>
      </c>
      <c r="CH7" s="55"/>
      <c r="CI7" s="56">
        <f t="shared" si="3"/>
        <v>1015.0660158334058</v>
      </c>
      <c r="CJ7" s="23"/>
      <c r="CK7" s="130"/>
    </row>
    <row r="8" spans="1:106" ht="16.25" thickTop="1" thickBot="1">
      <c r="A8" s="118"/>
      <c r="B8" s="162"/>
      <c r="C8" s="23"/>
      <c r="D8" s="209" t="s">
        <v>67</v>
      </c>
      <c r="E8" s="18" t="s">
        <v>64</v>
      </c>
      <c r="F8" s="50">
        <f>IF($F$4="","",
IF($BM$4=TRUE,SUMIFS(Table_Assembly[Total Produce],Table_Assembly[Product type],$D$8,Table_Assembly[Month],"1"),
IF(AND($BK$5=TRUE,$BN$5=FALSE),SUMIFS(Table_Assembly[Total Produce],Table_Assembly[Product type],$D$8,Table_Assembly[Month],"1"),
IF(AND($BK$5=FALSE,$BN$5=TRUE),SUMIFS(Table_Assembly[Total Produce],Table_Assembly[Product type],$D$8,Table_Assembly[Customer],$B$5,Table_Assembly[Month],"1"),
IF(AND($BN$5=FALSE,$BM$5=FALSE),SUMIFS(Table_Assembly[Total Produce],Table_Assembly[Product type],$D$8,Table_Assembly[Customer],$B$5,Table_Assembly[Month],"1"),"")))))</f>
        <v>0</v>
      </c>
      <c r="G8" s="50">
        <f>IF($G$4="","",
IF($BM$4=TRUE,SUMIFS(Table_Assembly[Total Produce],Table_Assembly[Product type],$D$8,Table_Assembly[Month],"2"),
IF(AND($BK$5=TRUE,$BN$5=FALSE),SUMIFS(Table_Assembly[Total Produce],Table_Assembly[Product type],$D$8,Table_Assembly[Month],"2"),
IF(AND($BK$5=FALSE,$BN$5=TRUE),SUMIFS(Table_Assembly[Total Produce],Table_Assembly[Product type],$D$8,Table_Assembly[Customer],$B$5,Table_Assembly[Month],"2"),
IF(AND($BN$5=FALSE,$BM$5=FALSE),SUMIFS(Table_Assembly[Total Produce],Table_Assembly[Product type],$D$8,Table_Assembly[Customer],$B$5,Table_Assembly[Month],"2"),"")))))</f>
        <v>0</v>
      </c>
      <c r="H8" s="50">
        <f>IF($H$4="","",
IF($BM$4=TRUE,SUMIFS(Table_Assembly[Total Produce],Table_Assembly[Product type],$D$8,Table_Assembly[Month],"3"),
IF(AND($BK$5=TRUE,$BN$5=FALSE),SUMIFS(Table_Assembly[Total Produce],Table_Assembly[Product type],$D$8,Table_Assembly[Month],"3"),
IF(AND($BK$5=FALSE,$BN$5=TRUE),SUMIFS(Table_Assembly[Total Produce],Table_Assembly[Product type],$D$8,Table_Assembly[Customer],$B$5,Table_Assembly[Month],"3"),
IF(AND($BN$5=FALSE,$BM$5=FALSE),SUMIFS(Table_Assembly[Total Produce],Table_Assembly[Product type],$D$8,Table_Assembly[Customer],$B$5,Table_Assembly[Month],"3"),"")))))</f>
        <v>0</v>
      </c>
      <c r="I8" s="50">
        <f>IF($I$4="","",
IF($BM$4=TRUE,SUMIFS(Table_Assembly[Total Produce],Table_Assembly[Product type],$D$8,Table_Assembly[Month],"4"),
IF(AND($BK$5=TRUE,$BN$5=FALSE),SUMIFS(Table_Assembly[Total Produce],Table_Assembly[Product type],$D$8,Table_Assembly[Month],"4"),
IF(AND($BK$5=FALSE,$BN$5=TRUE),SUMIFS(Table_Assembly[Total Produce],Table_Assembly[Product type],$D$8,Table_Assembly[Customer],$B$5,Table_Assembly[Month],"4"),
IF(AND($BN$5=FALSE,$BM$5=FALSE),SUMIFS(Table_Assembly[Total Produce],Table_Assembly[Product type],$D$8,Table_Assembly[Customer],$B$5,Table_Assembly[Month],"4"),"")))))</f>
        <v>27404</v>
      </c>
      <c r="J8" s="50">
        <f>IF($J$4="","",
IF($BM$4=TRUE,SUMIFS(Table_Assembly[Total Produce],Table_Assembly[Product type],$D$8,Table_Assembly[Month],"5"),
IF(AND($BK$5=TRUE,$BN$5=FALSE),SUMIFS(Table_Assembly[Total Produce],Table_Assembly[Product type],$D$8,Table_Assembly[Month],"5"),
IF(AND($BK$5=FALSE,$BN$5=TRUE),SUMIFS(Table_Assembly[Total Produce],Table_Assembly[Product type],$D$8,Table_Assembly[Customer],$B$5,Table_Assembly[Month],"5"),
IF(AND($BN$5=FALSE,$BM$5=FALSE),SUMIFS(Table_Assembly[Total Produce],Table_Assembly[Product type],$D$8,Table_Assembly[Customer],$B$5,Table_Assembly[Month],"5"),"")))))</f>
        <v>948244</v>
      </c>
      <c r="K8" s="50">
        <f>IF($K$4="","",
IF($BM$4=TRUE,SUMIFS(Table_Assembly[Total Produce],Table_Assembly[Product type],$D$8,Table_Assembly[Month],"6"),
IF(AND($BK$5=TRUE,$BN$5=FALSE),SUMIFS(Table_Assembly[Total Produce],Table_Assembly[Product type],$D$8,Table_Assembly[Month],"6"),
IF(AND($BK$5=FALSE,$BN$5=TRUE),SUMIFS(Table_Assembly[Total Produce],Table_Assembly[Product type],$D$8,Table_Assembly[Customer],$B$5,Table_Assembly[Month],"6"),
IF(AND($BN$5=FALSE,$BM$5=FALSE),SUMIFS(Table_Assembly[Total Produce],Table_Assembly[Product type],$D$8,Table_Assembly[Customer],$B$5,Table_Assembly[Month],"6"),"")))))</f>
        <v>396146</v>
      </c>
      <c r="L8" s="50">
        <f>IF($L$4="","",
IF($BM$4=TRUE,SUMIFS(Table_Assembly[Total Produce],Table_Assembly[Product type],$D$8,Table_Assembly[Month],"7"),
IF(AND($BK$5=TRUE,$BN$5=FALSE),SUMIFS(Table_Assembly[Total Produce],Table_Assembly[Product type],$D$8,Table_Assembly[Month],"7"),
IF(AND($BK$5=FALSE,$BN$5=TRUE),SUMIFS(Table_Assembly[Total Produce],Table_Assembly[Product type],$D$8,Table_Assembly[Customer],$B$5,Table_Assembly[Month],"7"),
IF(AND($BN$5=FALSE,$BM$5=FALSE),SUMIFS(Table_Assembly[Total Produce],Table_Assembly[Product type],$D$8,Table_Assembly[Customer],$B$5,Table_Assembly[Month],"7"),"")))))</f>
        <v>0</v>
      </c>
      <c r="M8" s="50">
        <f>IF($M$4="","",
IF($BM$4=TRUE,SUMIFS(Table_Assembly[Total Produce],Table_Assembly[Product type],$D$8,Table_Assembly[Month],"8"),
IF(AND($BK$5=TRUE,$BN$5=FALSE),SUMIFS(Table_Assembly[Total Produce],Table_Assembly[Product type],$D$8,Table_Assembly[Month],"8"),
IF(AND($BK$5=FALSE,$BN$5=TRUE),SUMIFS(Table_Assembly[Total Produce],Table_Assembly[Product type],$D$8,Table_Assembly[Customer],$B$5,Table_Assembly[Month],"8"),
IF(AND($BN$5=FALSE,$BM$5=FALSE),SUMIFS(Table_Assembly[Total Produce],Table_Assembly[Product type],$D$8,Table_Assembly[Customer],$B$5,Table_Assembly[Month],"8"),"")))))</f>
        <v>0</v>
      </c>
      <c r="N8" s="50">
        <f>IF($N$4="","",
IF($BM$4=TRUE,SUMIFS(Table_Assembly[Total Produce],Table_Assembly[Product type],$D$8,Table_Assembly[Month],"9"),
IF(AND($BK$5=TRUE,$BN$5=FALSE),SUMIFS(Table_Assembly[Total Produce],Table_Assembly[Product type],$D$8,Table_Assembly[Month],"9"),
IF(AND($BK$5=FALSE,$BN$5=TRUE),SUMIFS(Table_Assembly[Total Produce],Table_Assembly[Product type],$D$8,Table_Assembly[Customer],$B$5,Table_Assembly[Month],"9"),
IF(AND($BN$5=FALSE,$BM$5=FALSE),SUMIFS(Table_Assembly[Total Produce],Table_Assembly[Product type],$D$8,Table_Assembly[Customer],$B$5,Table_Assembly[Month],"9"),"")))))</f>
        <v>0</v>
      </c>
      <c r="O8" s="50">
        <f>IF($O$4="","",
IF($BM$4=TRUE,SUMIFS(Table_Assembly[Total Produce],Table_Assembly[Product type],$D$8,Table_Assembly[Month],"10"),
IF(AND($BK$5=TRUE,$BN$5=FALSE),SUMIFS(Table_Assembly[Total Produce],Table_Assembly[Product type],$D$8,Table_Assembly[Month],"10"),
IF(AND($BK$5=FALSE,$BN$5=TRUE),SUMIFS(Table_Assembly[Total Produce],Table_Assembly[Product type],$D$8,Table_Assembly[Customer],$B$5,Table_Assembly[Month],"10"),
IF(AND($BN$5=FALSE,$BM$5=FALSE),SUMIFS(Table_Assembly[Total Produce],Table_Assembly[Product type],$D$8,Table_Assembly[Customer],$B$5,Table_Assembly[Month],"10"),"")))))</f>
        <v>0</v>
      </c>
      <c r="P8" s="50">
        <f>IF($P$4="","",
IF($BM$4=TRUE,SUMIFS(Table_Assembly[Total Produce],Table_Assembly[Product type],$D$8,Table_Assembly[Month],"11"),
IF(AND($BK$5=TRUE,$BN$5=FALSE),SUMIFS(Table_Assembly[Total Produce],Table_Assembly[Product type],$D$8,Table_Assembly[Month],"11"),
IF(AND($BK$5=FALSE,$BN$5=TRUE),SUMIFS(Table_Assembly[Total Produce],Table_Assembly[Product type],$D$8,Table_Assembly[Customer],$B$5,Table_Assembly[Month],"11"),
IF(AND($BN$5=FALSE,$BM$5=FALSE),SUMIFS(Table_Assembly[Total Produce],Table_Assembly[Product type],$D$8,Table_Assembly[Customer],$B$5,Table_Assembly[Month],"11"),"")))))</f>
        <v>0</v>
      </c>
      <c r="Q8" s="51">
        <f>IF($Q$4="","",
IF($BM$4=TRUE,SUMIFS(Table_Assembly[Total Produce],Table_Assembly[Product type],$D$8,Table_Assembly[Month],"12"),
IF(AND($BK$5=TRUE,$BN$5=FALSE),SUMIFS(Table_Assembly[Total Produce],Table_Assembly[Product type],$D$8,Table_Assembly[Month],"12"),
IF(AND($BK$5=FALSE,$BN$5=TRUE),SUMIFS(Table_Assembly[Total Produce],Table_Assembly[Product type],$D$8,Table_Assembly[Customer],$B$5,Table_Assembly[Month],"12"),
IF(AND($BN$5=FALSE,$BM$5=FALSE),SUMIFS(Table_Assembly[Total Produce],Table_Assembly[Product type],$D$8,Table_Assembly[Customer],$B$5,Table_Assembly[Month],"12"),"")))))</f>
        <v>0</v>
      </c>
      <c r="R8" s="52">
        <f>SUM(F8:Q8)</f>
        <v>1371794</v>
      </c>
      <c r="S8" s="23"/>
      <c r="T8" s="119"/>
      <c r="U8" s="6" t="e">
        <f>SUMIFS(#REF!,#REF!,'Annual Report'!$B$5,#REF!,'Annual Report'!$D$5:$D$7,#REF!,'Annual Report'!$P$4)</f>
        <v>#REF!</v>
      </c>
      <c r="Z8" s="6" t="b">
        <f t="shared" ref="Z8:Z17" si="4">$B$9=AA8</f>
        <v>0</v>
      </c>
      <c r="AA8" s="6" t="s">
        <v>7</v>
      </c>
      <c r="AB8" s="6">
        <v>2</v>
      </c>
      <c r="AC8" s="6" t="b">
        <f t="shared" ref="AC8:AC18" si="5">$B$9=AA8</f>
        <v>0</v>
      </c>
      <c r="BR8" s="105"/>
      <c r="BS8" s="23"/>
      <c r="BT8" s="23"/>
      <c r="BU8" s="187" t="s">
        <v>67</v>
      </c>
      <c r="BV8" s="18" t="s">
        <v>64</v>
      </c>
      <c r="BW8" s="50">
        <f>IF($F$4="","",
IF($BM$4=TRUE,SUMIFS(Table_Assembly[Total Produce],Table_Assembly[Product type],$D$8,Table_Assembly[Month],"1"),
IF(AND($BK$5=TRUE,$BN$5=FALSE),SUMIFS(Table_Assembly[Total Produce],Table_Assembly[Product type],$D$8,Table_Assembly[Month],"1"),
IF(AND($BK$5=FALSE,$BN$5=TRUE),SUMIFS(Table_Assembly[Total Produce],Table_Assembly[Product type],$D$8,Table_Assembly[Customer],$B$5,Table_Assembly[Month],"1"),
IF(AND($BN$5=FALSE,$BM$5=FALSE),SUMIFS(Table_Assembly[Total Produce],Table_Assembly[Product type],$D$8,Table_Assembly[Customer],$B$5,Table_Assembly[Month],"1"),"")))))</f>
        <v>0</v>
      </c>
      <c r="BX8" s="50">
        <f>IF($G$4="","",
IF($BM$4=TRUE,SUMIFS(Table_Assembly[Total Produce],Table_Assembly[Product type],$D$8,Table_Assembly[Month],"2"),
IF(AND($BK$5=TRUE,$BN$5=FALSE),SUMIFS(Table_Assembly[Total Produce],Table_Assembly[Product type],$D$8,Table_Assembly[Month],"2"),
IF(AND($BK$5=FALSE,$BN$5=TRUE),SUMIFS(Table_Assembly[Total Produce],Table_Assembly[Product type],$D$8,Table_Assembly[Customer],$B$5,Table_Assembly[Month],"2"),
IF(AND($BN$5=FALSE,$BM$5=FALSE),SUMIFS(Table_Assembly[Total Produce],Table_Assembly[Product type],$D$8,Table_Assembly[Customer],$B$5,Table_Assembly[Month],"2"),"")))))</f>
        <v>0</v>
      </c>
      <c r="BY8" s="50">
        <f>IF($H$4="","",
IF($BM$4=TRUE,SUMIFS(Table_Assembly[Total Produce],Table_Assembly[Product type],$D$8,Table_Assembly[Month],"3"),
IF(AND($BK$5=TRUE,$BN$5=FALSE),SUMIFS(Table_Assembly[Total Produce],Table_Assembly[Product type],$D$8,Table_Assembly[Month],"3"),
IF(AND($BK$5=FALSE,$BN$5=TRUE),SUMIFS(Table_Assembly[Total Produce],Table_Assembly[Product type],$D$8,Table_Assembly[Customer],$B$5,Table_Assembly[Month],"3"),
IF(AND($BN$5=FALSE,$BM$5=FALSE),SUMIFS(Table_Assembly[Total Produce],Table_Assembly[Product type],$D$8,Table_Assembly[Customer],$B$5,Table_Assembly[Month],"3"),"")))))</f>
        <v>0</v>
      </c>
      <c r="BZ8" s="50">
        <f>IF($I$4="","",
IF($BM$4=TRUE,SUMIFS(Table_Assembly[Total Produce],Table_Assembly[Product type],$D$8,Table_Assembly[Month],"4"),
IF(AND($BK$5=TRUE,$BN$5=FALSE),SUMIFS(Table_Assembly[Total Produce],Table_Assembly[Product type],$D$8,Table_Assembly[Month],"4"),
IF(AND($BK$5=FALSE,$BN$5=TRUE),SUMIFS(Table_Assembly[Total Produce],Table_Assembly[Product type],$D$8,Table_Assembly[Customer],$B$5,Table_Assembly[Month],"4"),
IF(AND($BN$5=FALSE,$BM$5=FALSE),SUMIFS(Table_Assembly[Total Produce],Table_Assembly[Product type],$D$8,Table_Assembly[Customer],$B$5,Table_Assembly[Month],"4"),"")))))</f>
        <v>27404</v>
      </c>
      <c r="CA8" s="50">
        <f>IF($J$4="","",
IF($BM$4=TRUE,SUMIFS(Table_Assembly[Total Produce],Table_Assembly[Product type],$D$8,Table_Assembly[Month],"5"),
IF(AND($BK$5=TRUE,$BN$5=FALSE),SUMIFS(Table_Assembly[Total Produce],Table_Assembly[Product type],$D$8,Table_Assembly[Month],"5"),
IF(AND($BK$5=FALSE,$BN$5=TRUE),SUMIFS(Table_Assembly[Total Produce],Table_Assembly[Product type],$D$8,Table_Assembly[Customer],$B$5,Table_Assembly[Month],"5"),
IF(AND($BN$5=FALSE,$BM$5=FALSE),SUMIFS(Table_Assembly[Total Produce],Table_Assembly[Product type],$D$8,Table_Assembly[Customer],$B$5,Table_Assembly[Month],"5"),"")))))</f>
        <v>948244</v>
      </c>
      <c r="CB8" s="50">
        <f>IF($K$4="","",
IF($BM$4=TRUE,SUMIFS(Table_Assembly[Total Produce],Table_Assembly[Product type],$D$8,Table_Assembly[Month],"6"),
IF(AND($BK$5=TRUE,$BN$5=FALSE),SUMIFS(Table_Assembly[Total Produce],Table_Assembly[Product type],$D$8,Table_Assembly[Month],"6"),
IF(AND($BK$5=FALSE,$BN$5=TRUE),SUMIFS(Table_Assembly[Total Produce],Table_Assembly[Product type],$D$8,Table_Assembly[Customer],$B$5,Table_Assembly[Month],"6"),
IF(AND($BN$5=FALSE,$BM$5=FALSE),SUMIFS(Table_Assembly[Total Produce],Table_Assembly[Product type],$D$8,Table_Assembly[Customer],$B$5,Table_Assembly[Month],"6"),"")))))</f>
        <v>396146</v>
      </c>
      <c r="CC8" s="50">
        <f>IF($L$4="","",
IF($BM$4=TRUE,SUMIFS(Table_Assembly[Total Produce],Table_Assembly[Product type],$D$8,Table_Assembly[Month],"7"),
IF(AND($BK$5=TRUE,$BN$5=FALSE),SUMIFS(Table_Assembly[Total Produce],Table_Assembly[Product type],$D$8,Table_Assembly[Month],"7"),
IF(AND($BK$5=FALSE,$BN$5=TRUE),SUMIFS(Table_Assembly[Total Produce],Table_Assembly[Product type],$D$8,Table_Assembly[Customer],$B$5,Table_Assembly[Month],"7"),
IF(AND($BN$5=FALSE,$BM$5=FALSE),SUMIFS(Table_Assembly[Total Produce],Table_Assembly[Product type],$D$8,Table_Assembly[Customer],$B$5,Table_Assembly[Month],"7"),"")))))</f>
        <v>0</v>
      </c>
      <c r="CD8" s="50">
        <f>IF($M$4="","",
IF($BM$4=TRUE,SUMIFS(Table_Assembly[Total Produce],Table_Assembly[Product type],$D$8,Table_Assembly[Month],"8"),
IF(AND($BK$5=TRUE,$BN$5=FALSE),SUMIFS(Table_Assembly[Total Produce],Table_Assembly[Product type],$D$8,Table_Assembly[Month],"8"),
IF(AND($BK$5=FALSE,$BN$5=TRUE),SUMIFS(Table_Assembly[Total Produce],Table_Assembly[Product type],$D$8,Table_Assembly[Customer],$B$5,Table_Assembly[Month],"8"),
IF(AND($BN$5=FALSE,$BM$5=FALSE),SUMIFS(Table_Assembly[Total Produce],Table_Assembly[Product type],$D$8,Table_Assembly[Customer],$B$5,Table_Assembly[Month],"8"),"")))))</f>
        <v>0</v>
      </c>
      <c r="CE8" s="50">
        <f>IF($N$4="","",
IF($BM$4=TRUE,SUMIFS(Table_Assembly[Total Produce],Table_Assembly[Product type],$D$8,Table_Assembly[Month],"9"),
IF(AND($BK$5=TRUE,$BN$5=FALSE),SUMIFS(Table_Assembly[Total Produce],Table_Assembly[Product type],$D$8,Table_Assembly[Month],"9"),
IF(AND($BK$5=FALSE,$BN$5=TRUE),SUMIFS(Table_Assembly[Total Produce],Table_Assembly[Product type],$D$8,Table_Assembly[Customer],$B$5,Table_Assembly[Month],"9"),
IF(AND($BN$5=FALSE,$BM$5=FALSE),SUMIFS(Table_Assembly[Total Produce],Table_Assembly[Product type],$D$8,Table_Assembly[Customer],$B$5,Table_Assembly[Month],"9"),"")))))</f>
        <v>0</v>
      </c>
      <c r="CF8" s="50">
        <f>IF($O$4="","",
IF($BM$4=TRUE,SUMIFS(Table_Assembly[Total Produce],Table_Assembly[Product type],$D$8,Table_Assembly[Month],"10"),
IF(AND($BK$5=TRUE,$BN$5=FALSE),SUMIFS(Table_Assembly[Total Produce],Table_Assembly[Product type],$D$8,Table_Assembly[Month],"10"),
IF(AND($BK$5=FALSE,$BN$5=TRUE),SUMIFS(Table_Assembly[Total Produce],Table_Assembly[Product type],$D$8,Table_Assembly[Customer],$B$5,Table_Assembly[Month],"10"),
IF(AND($BN$5=FALSE,$BM$5=FALSE),SUMIFS(Table_Assembly[Total Produce],Table_Assembly[Product type],$D$8,Table_Assembly[Customer],$B$5,Table_Assembly[Month],"10"),"")))))</f>
        <v>0</v>
      </c>
      <c r="CG8" s="50">
        <f>IF($P$4="","",
IF($BM$4=TRUE,SUMIFS(Table_Assembly[Total Produce],Table_Assembly[Product type],$D$8,Table_Assembly[Month],"11"),
IF(AND($BK$5=TRUE,$BN$5=FALSE),SUMIFS(Table_Assembly[Total Produce],Table_Assembly[Product type],$D$8,Table_Assembly[Month],"11"),
IF(AND($BK$5=FALSE,$BN$5=TRUE),SUMIFS(Table_Assembly[Total Produce],Table_Assembly[Product type],$D$8,Table_Assembly[Customer],$B$5,Table_Assembly[Month],"11"),
IF(AND($BN$5=FALSE,$BM$5=FALSE),SUMIFS(Table_Assembly[Total Produce],Table_Assembly[Product type],$D$8,Table_Assembly[Customer],$B$5,Table_Assembly[Month],"11"),"")))))</f>
        <v>0</v>
      </c>
      <c r="CH8" s="51">
        <f>IF($Q$4="","",
IF($BM$4=TRUE,SUMIFS(Table_Assembly[Total Produce],Table_Assembly[Product type],$D$8,Table_Assembly[Month],"12"),
IF(AND($BK$5=TRUE,$BN$5=FALSE),SUMIFS(Table_Assembly[Total Produce],Table_Assembly[Product type],$D$8,Table_Assembly[Month],"12"),
IF(AND($BK$5=FALSE,$BN$5=TRUE),SUMIFS(Table_Assembly[Total Produce],Table_Assembly[Product type],$D$8,Table_Assembly[Customer],$B$5,Table_Assembly[Month],"12"),
IF(AND($BN$5=FALSE,$BM$5=FALSE),SUMIFS(Table_Assembly[Total Produce],Table_Assembly[Product type],$D$8,Table_Assembly[Customer],$B$5,Table_Assembly[Month],"12"),"")))))</f>
        <v>0</v>
      </c>
      <c r="CI8" s="52">
        <f>SUM(BW8:CH8)</f>
        <v>1371794</v>
      </c>
      <c r="CJ8" s="23"/>
      <c r="CK8" s="130"/>
    </row>
    <row r="9" spans="1:106" ht="15.5" thickBot="1">
      <c r="A9" s="120" t="s">
        <v>1</v>
      </c>
      <c r="B9" s="163" t="s">
        <v>9</v>
      </c>
      <c r="C9" s="23"/>
      <c r="D9" s="204"/>
      <c r="E9" s="19" t="s">
        <v>65</v>
      </c>
      <c r="F9" s="40">
        <f>IF($F$4="","",
IF($BM$4=TRUE,SUMIFS(Table_Assembly[Total NG],Table_Assembly[Product type],$D$8,Table_Assembly[Month],"1"),
IF(AND($BK$5=TRUE,$BN$5=FALSE),SUMIFS(Table_Assembly[Total NG],Table_Assembly[Product type],$D$8,Table_Assembly[Month],"1"),
IF(AND($BK$5=FALSE,$BN$5=TRUE),SUMIFS(Table_Assembly[Total NG],Table_Assembly[Product type],$D$8,Table_Assembly[Customer],$B$5,Table_Assembly[Month],"1"),
IF(AND($BN$5=FALSE,$BM$5=FALSE),SUMIFS(Table_Assembly[Total NG],Table_Assembly[Product type],$D$8,Table_Assembly[Customer],$B$5,Table_Assembly[Month],"1"),"")))))</f>
        <v>0</v>
      </c>
      <c r="G9" s="40">
        <f>IF($G$4="","",
IF($BM$4=TRUE,SUMIFS(Table_Assembly[Total NG],Table_Assembly[Product type],$D$8,Table_Assembly[Month],"2"),
IF(AND($BK$5=TRUE,$BN$5=FALSE),SUMIFS(Table_Assembly[Total NG],Table_Assembly[Product type],$D$8,Table_Assembly[Month],"2"),
IF(AND($BK$5=FALSE,$BN$5=TRUE),SUMIFS(Table_Assembly[Total NG],Table_Assembly[Product type],$D$8,Table_Assembly[Customer],$B$5,Table_Assembly[Month],"2"),
IF(AND($BN$5=FALSE,$BM$5=FALSE),SUMIFS(Table_Assembly[Total NG],Table_Assembly[Product type],$D$8,Table_Assembly[Customer],$B$5,Table_Assembly[Month],"2"),"")))))</f>
        <v>0</v>
      </c>
      <c r="H9" s="40">
        <f>IF($H$4="","",
IF($BM$4=TRUE,SUMIFS(Table_Assembly[Total NG],Table_Assembly[Product type],$D$8,Table_Assembly[Month],"3"),
IF(AND($BK$5=TRUE,$BN$5=FALSE),SUMIFS(Table_Assembly[Total NG],Table_Assembly[Product type],$D$8,Table_Assembly[Month],"3"),
IF(AND($BK$5=FALSE,$BN$5=TRUE),SUMIFS(Table_Assembly[Total NG],Table_Assembly[Product type],$D$8,Table_Assembly[Customer],$B$5,Table_Assembly[Month],"3"),
IF(AND($BN$5=FALSE,$BM$5=FALSE),SUMIFS(Table_Assembly[Total NG],Table_Assembly[Product type],$D$8,Table_Assembly[Customer],$B$5,Table_Assembly[Month],"3"),"")))))</f>
        <v>0</v>
      </c>
      <c r="I9" s="40">
        <f>IF($I$4="","",
IF($BM$4=TRUE,SUMIFS(Table_Assembly[Total NG],Table_Assembly[Product type],$D$8,Table_Assembly[Month],"4"),
IF(AND($BK$5=TRUE,$BN$5=FALSE),SUMIFS(Table_Assembly[Total NG],Table_Assembly[Product type],$D$8,Table_Assembly[Month],"4"),
IF(AND($BK$5=FALSE,$BN$5=TRUE),SUMIFS(Table_Assembly[Total NG],Table_Assembly[Product type],$D$8,Table_Assembly[Customer],$B$5,Table_Assembly[Month],"4"),
IF(AND($BN$5=FALSE,$BM$5=FALSE),SUMIFS(Table_Assembly[Total NG],Table_Assembly[Product type],$D$8,Table_Assembly[Customer],$B$5,Table_Assembly[Month],"4"),"")))))</f>
        <v>4</v>
      </c>
      <c r="J9" s="40">
        <f>IF($J$4="","",
IF($BM$4=TRUE,SUMIFS(Table_Assembly[Total NG],Table_Assembly[Product type],$D$8,Table_Assembly[Month],"5"),
IF(AND($BK$5=TRUE,$BN$5=FALSE),SUMIFS(Table_Assembly[Total NG],Table_Assembly[Product type],$D$8,Table_Assembly[Month],"5"),
IF(AND($BK$5=FALSE,$BN$5=TRUE),SUMIFS(Table_Assembly[Total NG],Table_Assembly[Product type],$D$8,Table_Assembly[Customer],$B$5,Table_Assembly[Month],"5"),
IF(AND($BN$5=FALSE,$BM$5=FALSE),SUMIFS(Table_Assembly[Total NG],Table_Assembly[Product type],$D$8,Table_Assembly[Customer],$B$5,Table_Assembly[Month],"5"),"")))))</f>
        <v>227</v>
      </c>
      <c r="K9" s="40">
        <f>IF($K$4="","",
IF($BM$4=TRUE,SUMIFS(Table_Assembly[Total NG],Table_Assembly[Product type],$D$8,Table_Assembly[Month],"6"),
IF(AND($BK$5=TRUE,$BN$5=FALSE),SUMIFS(Table_Assembly[Total NG],Table_Assembly[Product type],$D$8,Table_Assembly[Month],"6"),
IF(AND($BK$5=FALSE,$BN$5=TRUE),SUMIFS(Table_Assembly[Total NG],Table_Assembly[Product type],$D$8,Table_Assembly[Customer],$B$5,Table_Assembly[Month],"6"),
IF(AND($BN$5=FALSE,$BM$5=FALSE),SUMIFS(Table_Assembly[Total NG],Table_Assembly[Product type],$D$8,Table_Assembly[Customer],$B$5,Table_Assembly[Month],"6"),"")))))</f>
        <v>88</v>
      </c>
      <c r="L9" s="40">
        <f>IF($L$4="","",
IF($BM$4=TRUE,SUMIFS(Table_Assembly[Total NG],Table_Assembly[Product type],$D$8,Table_Assembly[Month],"7"),
IF(AND($BK$5=TRUE,$BN$5=FALSE),SUMIFS(Table_Assembly[Total NG],Table_Assembly[Product type],$D$8,Table_Assembly[Month],"7"),
IF(AND($BK$5=FALSE,$BN$5=TRUE),SUMIFS(Table_Assembly[Total NG],Table_Assembly[Product type],$D$8,Table_Assembly[Customer],$B$5,Table_Assembly[Month],"7"),
IF(AND($BN$5=FALSE,$BM$5=FALSE),SUMIFS(Table_Assembly[Total NG],Table_Assembly[Product type],$D$8,Table_Assembly[Customer],$B$5,Table_Assembly[Month],"7"),"")))))</f>
        <v>0</v>
      </c>
      <c r="M9" s="40">
        <f>IF($M$4="","",
IF($BM$4=TRUE,SUMIFS(Table_Assembly[Total NG],Table_Assembly[Product type],$D$8,Table_Assembly[Month],"8"),
IF(AND($BK$5=TRUE,$BN$5=FALSE),SUMIFS(Table_Assembly[Total NG],Table_Assembly[Product type],$D$8,Table_Assembly[Month],"8"),
IF(AND($BK$5=FALSE,$BN$5=TRUE),SUMIFS(Table_Assembly[Total NG],Table_Assembly[Product type],$D$8,Table_Assembly[Customer],$B$5,Table_Assembly[Month],"8"),
IF(AND($BN$5=FALSE,$BM$5=FALSE),SUMIFS(Table_Assembly[Total NG],Table_Assembly[Product type],$D$8,Table_Assembly[Customer],$B$5,Table_Assembly[Month],"8"),"")))))</f>
        <v>0</v>
      </c>
      <c r="N9" s="40">
        <f>IF($N$4="","",
IF($BM$4=TRUE,SUMIFS(Table_Assembly[Total NG],Table_Assembly[Product type],$D$8,Table_Assembly[Month],"9"),
IF(AND($BK$5=TRUE,$BN$5=FALSE),SUMIFS(Table_Assembly[Total NG],Table_Assembly[Product type],$D$8,Table_Assembly[Month],"9"),
IF(AND($BK$5=FALSE,$BN$5=TRUE),SUMIFS(Table_Assembly[Total NG],Table_Assembly[Product type],$D$8,Table_Assembly[Customer],$B$5,Table_Assembly[Month],"9"),
IF(AND($BN$5=FALSE,$BM$5=FALSE),SUMIFS(Table_Assembly[Total NG],Table_Assembly[Product type],$D$8,Table_Assembly[Customer],$B$5,Table_Assembly[Month],"9"),"")))))</f>
        <v>0</v>
      </c>
      <c r="O9" s="40">
        <f>IF($O$4="","",
IF($BM$4=TRUE,SUMIFS(Table_Assembly[Total NG],Table_Assembly[Product type],$D$8,Table_Assembly[Month],"10"),
IF(AND($BK$5=TRUE,$BN$5=FALSE),SUMIFS(Table_Assembly[Total NG],Table_Assembly[Product type],$D$8,Table_Assembly[Month],"10"),
IF(AND($BK$5=FALSE,$BN$5=TRUE),SUMIFS(Table_Assembly[Total NG],Table_Assembly[Product type],$D$8,Table_Assembly[Customer],$B$5,Table_Assembly[Month],"10"),
IF(AND($BN$5=FALSE,$BM$5=FALSE),SUMIFS(Table_Assembly[Total NG],Table_Assembly[Product type],$D$8,Table_Assembly[Customer],$B$5,Table_Assembly[Month],"10"),"")))))</f>
        <v>0</v>
      </c>
      <c r="P9" s="40">
        <f>IF($P$4="","",
IF($BM$4=TRUE,SUMIFS(Table_Assembly[Total NG],Table_Assembly[Product type],$D$8,Table_Assembly[Month],"11"),
IF(AND($BK$5=TRUE,$BN$5=FALSE),SUMIFS(Table_Assembly[Total NG],Table_Assembly[Product type],$D$8,Table_Assembly[Month],"11"),
IF(AND($BK$5=FALSE,$BN$5=TRUE),SUMIFS(Table_Assembly[Total NG],Table_Assembly[Product type],$D$8,Table_Assembly[Customer],$B$5,Table_Assembly[Month],"11"),
IF(AND($BN$5=FALSE,$BM$5=FALSE),SUMIFS(Table_Assembly[Total NG],Table_Assembly[Product type],$D$8,Table_Assembly[Customer],$B$5,Table_Assembly[Month],"11"),"")))))</f>
        <v>0</v>
      </c>
      <c r="Q9" s="41">
        <f>IF($K$4="","",
IF($BM$4=TRUE,SUMIFS(Table_Assembly[Total NG],Table_Assembly[Product type],$D$8,Table_Assembly[Month],"12"),
IF(AND($BK$5=TRUE,$BN$5=FALSE),SUMIFS(Table_Assembly[Total NG],Table_Assembly[Product type],$D$8,Table_Assembly[Month],"12"),
IF(AND($BK$5=FALSE,$BN$5=TRUE),SUMIFS(Table_Assembly[Total NG],Table_Assembly[Product type],$D$8,Table_Assembly[Customer],$B$5,Table_Assembly[Month],"12"),
IF(AND($BN$5=FALSE,$BM$5=FALSE),SUMIFS(Table_Assembly[Total NG],Table_Assembly[Product type],$D$8,Table_Assembly[Customer],$B$5,Table_Assembly[Month],"12"),"")))))</f>
        <v>0</v>
      </c>
      <c r="R9" s="42">
        <f>SUM(F9:Q9)</f>
        <v>319</v>
      </c>
      <c r="S9" s="23"/>
      <c r="T9" s="119"/>
      <c r="U9" s="6" t="e">
        <f>SUMIFS(#REF!,#REF!,'Annual Report'!D5:D7,#REF!,'Annual Report'!B5,#REF!,'Annual Report'!P4)</f>
        <v>#REF!</v>
      </c>
      <c r="Z9" s="6" t="b">
        <f t="shared" si="4"/>
        <v>0</v>
      </c>
      <c r="AA9" s="6" t="s">
        <v>8</v>
      </c>
      <c r="AB9" s="6">
        <v>3</v>
      </c>
      <c r="AC9" s="6" t="b">
        <f t="shared" si="5"/>
        <v>0</v>
      </c>
      <c r="BR9" s="105"/>
      <c r="BS9" s="23"/>
      <c r="BT9" s="23"/>
      <c r="BU9" s="188"/>
      <c r="BV9" s="19" t="s">
        <v>65</v>
      </c>
      <c r="BW9" s="40">
        <f>IF($F$4="","",
IF($BM$4=TRUE,SUMIFS(Table_Assembly[Total NG from machine],Table_Assembly[Product type],$D$8,Table_Assembly[Month],"1"),
IF(AND($BK$5=TRUE,$BN$5=FALSE),SUMIFS(Table_Assembly[Total NG from machine],Table_Assembly[Product type],$D$8,#REF!,$B$3,Table_Assembly[Month],"1"),
IF(AND($BK$5=FALSE,$BN$5=TRUE),SUMIFS(Table_Assembly[Total NG from machine],Table_Assembly[Product type],$D$8,Table_Assembly[Customer],$B$5,Table_Assembly[Month],"1"),
IF(AND($BN$5=FALSE,$BM$5=FALSE),SUMIFS(Table_Assembly[Total NG from machine],Table_Assembly[Product type],$D$8,#REF!,$B$3,Table_Assembly[Customer],$B$5,Table_Assembly[Month],"1"),"")))))</f>
        <v>0</v>
      </c>
      <c r="BX9" s="40">
        <f>IF($G$4="","",
IF($BM$4=TRUE,SUMIFS(Table_Assembly[Total NG from machine],Table_Assembly[Product type],$D$8,Table_Assembly[Month],"2"),
IF(AND($BK$5=TRUE,$BN$5=FALSE),SUMIFS(Table_Assembly[Total NG from machine],Table_Assembly[Product type],$D$8,#REF!,$B$3,Table_Assembly[Month],"2"),
IF(AND($BK$5=FALSE,$BN$5=TRUE),SUMIFS(Table_Assembly[Total NG from machine],Table_Assembly[Product type],$D$8,Table_Assembly[Customer],$B$5,Table_Assembly[Month],"2"),
IF(AND($BN$5=FALSE,$BM$5=FALSE),SUMIFS(Table_Assembly[Total NG from machine],Table_Assembly[Product type],$D$8,#REF!,$B$3,Table_Assembly[Customer],$B$5,Table_Assembly[Month],"2"),"")))))</f>
        <v>0</v>
      </c>
      <c r="BY9" s="40">
        <f>IF($H$4="","",
IF($BM$4=TRUE,SUMIFS(Table_Assembly[Total NG from machine],Table_Assembly[Product type],$D$8,Table_Assembly[Month],"3"),
IF(AND($BK$5=TRUE,$BN$5=FALSE),SUMIFS(Table_Assembly[Total NG from machine],Table_Assembly[Product type],$D$8,#REF!,$B$3,Table_Assembly[Month],"3"),
IF(AND($BK$5=FALSE,$BN$5=TRUE),SUMIFS(Table_Assembly[Total NG from machine],Table_Assembly[Product type],$D$8,Table_Assembly[Customer],$B$5,Table_Assembly[Month],"3"),
IF(AND($BN$5=FALSE,$BM$5=FALSE),SUMIFS(Table_Assembly[Total NG from machine],Table_Assembly[Product type],$D$8,#REF!,$B$3,Table_Assembly[Customer],$B$5,Table_Assembly[Month],"3"),"")))))</f>
        <v>0</v>
      </c>
      <c r="BZ9" s="40">
        <f>IF($I$4="","",
IF($BM$4=TRUE,SUMIFS(Table_Assembly[Total NG from machine],Table_Assembly[Product type],$D$8,Table_Assembly[Month],"4"),
IF(AND($BK$5=TRUE,$BN$5=FALSE),SUMIFS(Table_Assembly[Total NG from machine],Table_Assembly[Product type],$D$8,#REF!,$B$3,Table_Assembly[Month],"4"),
IF(AND($BK$5=FALSE,$BN$5=TRUE),SUMIFS(Table_Assembly[Total NG from machine],Table_Assembly[Product type],$D$8,Table_Assembly[Customer],$B$5,Table_Assembly[Month],"4"),
IF(AND($BN$5=FALSE,$BM$5=FALSE),SUMIFS(Table_Assembly[Total NG from machine],Table_Assembly[Product type],$D$8,#REF!,$B$3,Table_Assembly[Customer],$B$5,Table_Assembly[Month],"4"),"")))))</f>
        <v>3</v>
      </c>
      <c r="CA9" s="40">
        <f>IF($J$4="","",
IF($BM$4=TRUE,SUMIFS(Table_Assembly[Total NG from machine],Table_Assembly[Product type],$D$8,Table_Assembly[Month],"5"),
IF(AND($BK$5=TRUE,$BN$5=FALSE),SUMIFS(Table_Assembly[Total NG from machine],Table_Assembly[Product type],$D$8,#REF!,$B$3,Table_Assembly[Month],"5"),
IF(AND($BK$5=FALSE,$BN$5=TRUE),SUMIFS(Table_Assembly[Total NG from machine],Table_Assembly[Product type],$D$8,Table_Assembly[Customer],$B$5,Table_Assembly[Month],"5"),
IF(AND($BN$5=FALSE,$BM$5=FALSE),SUMIFS(Table_Assembly[Total NG from machine],Table_Assembly[Product type],$D$8,#REF!,$B$3,Table_Assembly[Customer],$B$5,Table_Assembly[Month],"5"),"")))))</f>
        <v>87</v>
      </c>
      <c r="CB9" s="40">
        <f>IF($K$4="","",
IF($BM$4=TRUE,SUMIFS(Table_Assembly[Total NG from machine],Table_Assembly[Product type],$D$8,Table_Assembly[Month],"6"),
IF(AND($BK$5=TRUE,$BN$5=FALSE),SUMIFS(Table_Assembly[Total NG from machine],Table_Assembly[Product type],$D$8,#REF!,$B$3,Table_Assembly[Month],"6"),
IF(AND($BK$5=FALSE,$BN$5=TRUE),SUMIFS(Table_Assembly[Total NG from machine],Table_Assembly[Product type],$D$8,Table_Assembly[Customer],$B$5,Table_Assembly[Month],"6"),
IF(AND($BN$5=FALSE,$BM$5=FALSE),SUMIFS(Table_Assembly[Total NG from machine],Table_Assembly[Product type],$D$8,#REF!,$B$3,Table_Assembly[Customer],$B$5,Table_Assembly[Month],"6"),"")))))</f>
        <v>77</v>
      </c>
      <c r="CC9" s="40">
        <f>IF($L$4="","",
IF($BM$4=TRUE,SUMIFS(Table_Assembly[Total NG from machine],Table_Assembly[Product type],$D$8,Table_Assembly[Month],"7"),
IF(AND($BK$5=TRUE,$BN$5=FALSE),SUMIFS(Table_Assembly[Total NG from machine],Table_Assembly[Product type],$D$8,#REF!,$B$3,Table_Assembly[Month],"7"),
IF(AND($BK$5=FALSE,$BN$5=TRUE),SUMIFS(Table_Assembly[Total NG from machine],Table_Assembly[Product type],$D$8,Table_Assembly[Customer],$B$5,Table_Assembly[Month],"7"),
IF(AND($BN$5=FALSE,$BM$5=FALSE),SUMIFS(Table_Assembly[Total NG from machine],Table_Assembly[Product type],$D$8,#REF!,$B$3,Table_Assembly[Customer],$B$5,Table_Assembly[Month],"7"),"")))))</f>
        <v>0</v>
      </c>
      <c r="CD9" s="40">
        <f>IF($M$4="","",
IF($BM$4=TRUE,SUMIFS(Table_Assembly[Total NG from machine],Table_Assembly[Product type],$D$8,Table_Assembly[Month],"8"),
IF(AND($BK$5=TRUE,$BN$5=FALSE),SUMIFS(Table_Assembly[Total NG from machine],Table_Assembly[Product type],$D$8,#REF!,$B$3,Table_Assembly[Month],"8"),
IF(AND($BK$5=FALSE,$BN$5=TRUE),SUMIFS(Table_Assembly[Total NG from machine],Table_Assembly[Product type],$D$8,Table_Assembly[Customer],$B$5,Table_Assembly[Month],"8"),
IF(AND($BN$5=FALSE,$BM$5=FALSE),SUMIFS(Table_Assembly[Total NG from machine],Table_Assembly[Product type],$D$8,#REF!,$B$3,Table_Assembly[Customer],$B$5,Table_Assembly[Month],"8"),"")))))</f>
        <v>0</v>
      </c>
      <c r="CE9" s="40">
        <f>IF($N$4="","",
IF($BM$4=TRUE,SUMIFS(Table_Assembly[Total NG from machine],Table_Assembly[Product type],$D$8,Table_Assembly[Month],"9"),
IF(AND($BK$5=TRUE,$BN$5=FALSE),SUMIFS(Table_Assembly[Total NG from machine],Table_Assembly[Product type],$D$8,#REF!,$B$3,Table_Assembly[Month],"9"),
IF(AND($BK$5=FALSE,$BN$5=TRUE),SUMIFS(Table_Assembly[Total NG from machine],Table_Assembly[Product type],$D$8,Table_Assembly[Customer],$B$5,Table_Assembly[Month],"9"),
IF(AND($BN$5=FALSE,$BM$5=FALSE),SUMIFS(Table_Assembly[Total NG from machine],Table_Assembly[Product type],$D$8,#REF!,$B$3,Table_Assembly[Customer],$B$5,Table_Assembly[Month],"9"),"")))))</f>
        <v>0</v>
      </c>
      <c r="CF9" s="40">
        <f>IF($O$4="","",
IF($BM$4=TRUE,SUMIFS(Table_Assembly[Total NG from machine],Table_Assembly[Product type],$D$8,Table_Assembly[Month],"10"),
IF(AND($BK$5=TRUE,$BN$5=FALSE),SUMIFS(Table_Assembly[Total NG from machine],Table_Assembly[Product type],$D$8,#REF!,$B$3,Table_Assembly[Month],"10"),
IF(AND($BK$5=FALSE,$BN$5=TRUE),SUMIFS(Table_Assembly[Total NG from machine],Table_Assembly[Product type],$D$8,Table_Assembly[Customer],$B$5,Table_Assembly[Month],"10"),
IF(AND($BN$5=FALSE,$BM$5=FALSE),SUMIFS(Table_Assembly[Total NG from machine],Table_Assembly[Product type],$D$8,#REF!,$B$3,Table_Assembly[Customer],$B$5,Table_Assembly[Month],"10"),"")))))</f>
        <v>0</v>
      </c>
      <c r="CG9" s="40">
        <f>IF($P$4="","",
IF($BM$4=TRUE,SUMIFS(Table_Assembly[Total NG from machine],Table_Assembly[Product type],$D$8,Table_Assembly[Month],"11"),
IF(AND($BK$5=TRUE,$BN$5=FALSE),SUMIFS(Table_Assembly[Total NG from machine],Table_Assembly[Product type],$D$8,#REF!,$B$3,Table_Assembly[Month],"11"),
IF(AND($BK$5=FALSE,$BN$5=TRUE),SUMIFS(Table_Assembly[Total NG from machine],Table_Assembly[Product type],$D$8,Table_Assembly[Customer],$B$5,Table_Assembly[Month],"11"),
IF(AND($BN$5=FALSE,$BM$5=FALSE),SUMIFS(Table_Assembly[Total NG from machine],Table_Assembly[Product type],$D$8,#REF!,$B$3,Table_Assembly[Customer],$B$5,Table_Assembly[Month],"11"),"")))))</f>
        <v>0</v>
      </c>
      <c r="CH9" s="41">
        <f>IF($Q$4="","",
IF($BM$4=TRUE,SUMIFS(Table_Assembly[Total NG from machine],Table_Assembly[Product type],$D$8,Table_Assembly[Month],"12"),
IF(AND($BK$5=TRUE,$BN$5=FALSE),SUMIFS(Table_Assembly[Total NG from machine],Table_Assembly[Product type],$D$8,#REF!,$B$3,Table_Assembly[Month],"12"),
IF(AND($BK$5=FALSE,$BN$5=TRUE),SUMIFS(Table_Assembly[Total NG from machine],Table_Assembly[Product type],$D$8,Table_Assembly[Customer],$B$5,Table_Assembly[Month],"12"),
IF(AND($BN$5=FALSE,$BM$5=FALSE),SUMIFS(Table_Assembly[Total NG from machine],Table_Assembly[Product type],$D$8,#REF!,$B$3,Table_Assembly[Customer],$B$5,Table_Assembly[Month],"12"),"")))))</f>
        <v>0</v>
      </c>
      <c r="CI9" s="42">
        <f>SUM(BW9:CH9)</f>
        <v>167</v>
      </c>
      <c r="CJ9" s="23"/>
      <c r="CK9" s="130"/>
    </row>
    <row r="10" spans="1:106" ht="15.5" thickBot="1">
      <c r="A10" s="118"/>
      <c r="B10" s="162"/>
      <c r="C10" s="23"/>
      <c r="D10" s="210"/>
      <c r="E10" s="53" t="s">
        <v>66</v>
      </c>
      <c r="F10" s="54" t="str">
        <f t="shared" ref="F10:R10" si="6">IFERROR(F9/F8*1000000,"")</f>
        <v/>
      </c>
      <c r="G10" s="54" t="str">
        <f t="shared" si="6"/>
        <v/>
      </c>
      <c r="H10" s="54" t="str">
        <f t="shared" si="6"/>
        <v/>
      </c>
      <c r="I10" s="54">
        <f t="shared" si="6"/>
        <v>145.96409283316302</v>
      </c>
      <c r="J10" s="54">
        <f>IFERROR(J9/J8*1000000,"")</f>
        <v>239.38986168117069</v>
      </c>
      <c r="K10" s="54">
        <f t="shared" si="6"/>
        <v>222.14032200249403</v>
      </c>
      <c r="L10" s="54" t="str">
        <f t="shared" si="6"/>
        <v/>
      </c>
      <c r="M10" s="54" t="str">
        <f t="shared" si="6"/>
        <v/>
      </c>
      <c r="N10" s="54" t="str">
        <f t="shared" si="6"/>
        <v/>
      </c>
      <c r="O10" s="54" t="str">
        <f t="shared" si="6"/>
        <v/>
      </c>
      <c r="P10" s="54" t="str">
        <f t="shared" si="6"/>
        <v/>
      </c>
      <c r="Q10" s="55" t="str">
        <f>IFERROR(Q9/Q8*1000000,"")</f>
        <v/>
      </c>
      <c r="R10" s="57">
        <f t="shared" si="6"/>
        <v>232.54220385859685</v>
      </c>
      <c r="S10" s="23"/>
      <c r="T10" s="119"/>
      <c r="Z10" s="6" t="b">
        <f t="shared" si="4"/>
        <v>1</v>
      </c>
      <c r="AA10" s="6" t="s">
        <v>9</v>
      </c>
      <c r="AB10" s="6">
        <v>4</v>
      </c>
      <c r="AC10" s="6" t="b">
        <f t="shared" si="5"/>
        <v>1</v>
      </c>
      <c r="AI10" s="6" t="e">
        <f>IF($F$4="","",
IF($BM$4=TRUE,SUMIFS(#REF!,#REF!,'Annual Report'!$D$8,#REF!,'Annual Report'!$F$4),
IF(AND($BK$5=TRUE,$BN$5=FALSE),SUMIFS(#REF!,#REF!,'Annual Report'!$B$3,#REF!,'Annual Report'!$D$8,#REF!,'Annual Report'!$F$4),
IF(AND($BK$5=FALSE,$BN$5=TRUE),SUMIFS(#REF!,#REF!,'Annual Report'!$B$5,#REF!,'Annual Report'!$D$8,#REF!,'Annual Report'!$F$4),
IF(AND($BN$5=FALSE,$BM$5=FALSE),SUMIFS(#REF!,#REF!,'Annual Report'!$B$3,#REF!,'Annual Report'!$B$5,#REF!,'Annual Report'!$D$8,#REF!,'Annual Report'!$F$4),"")))))</f>
        <v>#REF!</v>
      </c>
      <c r="AJ10" s="6" t="e">
        <f>IF($L$4="","",
IF($BM$4=TRUE,SUMIFS(#REF!,#REF!,'Annual Report'!$D$8,#REF!,'Annual Report'!$L$4),
IF(AND($BK$5=TRUE,$BN$5=FALSE),SUMIFS(#REF!,#REF!,'Annual Report'!$B$3,#REF!,'Annual Report'!$D$8,#REF!,'Annual Report'!$L$4),
IF(AND($BK$5=FALSE,$BN$5=TRUE),SUMIFS(#REF!,#REF!,'Annual Report'!$B$5,#REF!,'Annual Report'!$D$8,#REF!,'Annual Report'!$L$4),
IF(AND($BN$5=FALSE,$BM$5=FALSE),SUMIFS(#REF!,#REF!,'Annual Report'!$B$3,#REF!,'Annual Report'!$B$5,#REF!,'Annual Report'!$D$8,#REF!,'Annual Report'!$L$4),"")))))</f>
        <v>#REF!</v>
      </c>
      <c r="AK10" s="6" t="e">
        <f>IF($M$4="","",
IF($BM$4=TRUE,SUMIFS(#REF!,#REF!,'Annual Report'!$D$8,#REF!,'Annual Report'!$M$4),
IF(AND($BK$5=TRUE,$BN$5=FALSE),SUMIFS(#REF!,#REF!,'Annual Report'!$B$3,#REF!,'Annual Report'!$D$8,#REF!,'Annual Report'!$M$4),
IF(AND($BK$5=FALSE,$BN$5=TRUE),SUMIFS(#REF!,#REF!,'Annual Report'!$B$5,#REF!,'Annual Report'!$D$8,#REF!,'Annual Report'!$M$4),
IF(AND($BN$5=FALSE,$BM$5=FALSE),SUMIFS(#REF!,#REF!,'Annual Report'!$B$3,#REF!,'Annual Report'!$B$5,#REF!,'Annual Report'!$D$8,#REF!,'Annual Report'!$M$4),"")))))</f>
        <v>#REF!</v>
      </c>
      <c r="AL10" s="6" t="e">
        <f>IF($N$4="","",
IF($BM$4=TRUE,SUMIFS(#REF!,#REF!,'Annual Report'!$D$8,#REF!,'Annual Report'!$N$4),
IF(AND($BK$5=TRUE,$BN$5=FALSE),SUMIFS(#REF!,#REF!,'Annual Report'!$B$3,#REF!,'Annual Report'!$D$8,#REF!,'Annual Report'!$N$4),
IF(AND($BK$5=FALSE,$BN$5=TRUE),SUMIFS(#REF!,#REF!,'Annual Report'!$B$5,#REF!,'Annual Report'!$D$8,#REF!,'Annual Report'!$N$4),
IF(AND($BN$5=FALSE,$BM$5=FALSE),SUMIFS(#REF!,#REF!,'Annual Report'!$B$3,#REF!,'Annual Report'!$B$5,#REF!,'Annual Report'!$D$8,#REF!,'Annual Report'!$N$4),"")))))</f>
        <v>#REF!</v>
      </c>
      <c r="AM10" s="6" t="e">
        <f>IF($O$4="","",
IF($BM$4=TRUE,SUMIFS(#REF!,#REF!,'Annual Report'!$D$8,#REF!,'Annual Report'!$O$4),
IF(AND($BK$5=TRUE,$BN$5=FALSE),SUMIFS(#REF!,#REF!,'Annual Report'!$B$3,#REF!,'Annual Report'!$D$8,#REF!,'Annual Report'!$O$4),
IF(AND($BK$5=FALSE,$BN$5=TRUE),SUMIFS(#REF!,#REF!,'Annual Report'!$B$5,#REF!,'Annual Report'!$D$8,#REF!,'Annual Report'!$O$4),
IF(AND($BN$5=FALSE,$BM$5=FALSE),SUMIFS(#REF!,#REF!,'Annual Report'!$B$3,#REF!,'Annual Report'!$B$5,#REF!,'Annual Report'!$D$8,#REF!,'Annual Report'!$O$4),"")))))</f>
        <v>#REF!</v>
      </c>
      <c r="AN10" s="6" t="e">
        <f>IF($P$4="","",
IF($BM$4=TRUE,SUMIFS(#REF!,#REF!,'Annual Report'!$D$8,#REF!,'Annual Report'!$P$4),
IF(AND($BK$5=TRUE,$BN$5=FALSE),SUMIFS(#REF!,#REF!,'Annual Report'!$B$3,#REF!,'Annual Report'!$D$8,#REF!,'Annual Report'!$P$4),
IF(AND($BK$5=FALSE,$BN$5=TRUE),SUMIFS(#REF!,#REF!,'Annual Report'!$B$5,#REF!,'Annual Report'!$D$8,#REF!,'Annual Report'!$P$4),
IF(AND($BN$5=FALSE,$BM$5=FALSE),SUMIFS(#REF!,#REF!,'Annual Report'!$B$3,#REF!,'Annual Report'!$B$5,#REF!,'Annual Report'!$D$8,#REF!,'Annual Report'!$P$4),"")))))</f>
        <v>#REF!</v>
      </c>
      <c r="AO10" s="6" t="e">
        <f>IF($Q$4="","",
IF($BM$4=TRUE,SUMIFS(#REF!,#REF!,'Annual Report'!$D$8,#REF!,'Annual Report'!$Q$4),
IF(AND($BK$5=TRUE,$BN$5=FALSE),SUMIFS(#REF!,#REF!,'Annual Report'!$B$3,#REF!,'Annual Report'!$D$8,#REF!,'Annual Report'!$Q$4),
IF(AND($BK$5=FALSE,$BN$5=TRUE),SUMIFS(#REF!,#REF!,'Annual Report'!$B$5,#REF!,'Annual Report'!$D$8,#REF!,'Annual Report'!$Q$4),
IF(AND($BN$5=FALSE,$BM$5=FALSE),SUMIFS(#REF!,#REF!,'Annual Report'!$B$3,#REF!,'Annual Report'!$B$5,#REF!,'Annual Report'!$D$8,#REF!,'Annual Report'!$Q$4),"")))))</f>
        <v>#REF!</v>
      </c>
      <c r="BR10" s="105"/>
      <c r="BS10" s="23"/>
      <c r="BT10" s="23"/>
      <c r="BU10" s="190"/>
      <c r="BV10" s="53" t="s">
        <v>66</v>
      </c>
      <c r="BW10" s="54" t="str">
        <f>IFERROR(BW9/BW8*1000000,"")</f>
        <v/>
      </c>
      <c r="BX10" s="54" t="str">
        <f t="shared" ref="BX10:CB10" si="7">IFERROR(BX9/BX8*1000000,"")</f>
        <v/>
      </c>
      <c r="BY10" s="54" t="str">
        <f t="shared" si="7"/>
        <v/>
      </c>
      <c r="BZ10" s="54">
        <f t="shared" si="7"/>
        <v>109.47306962487228</v>
      </c>
      <c r="CA10" s="54">
        <f t="shared" si="7"/>
        <v>91.748537296307703</v>
      </c>
      <c r="CB10" s="54">
        <f t="shared" si="7"/>
        <v>194.37278175218228</v>
      </c>
      <c r="CC10" s="54" t="str">
        <f t="shared" ref="CC10:CI10" si="8">IFERROR(CC9/CC8*1000000,"")</f>
        <v/>
      </c>
      <c r="CD10" s="54" t="str">
        <f t="shared" si="8"/>
        <v/>
      </c>
      <c r="CE10" s="54" t="str">
        <f t="shared" si="8"/>
        <v/>
      </c>
      <c r="CF10" s="54" t="str">
        <f t="shared" si="8"/>
        <v/>
      </c>
      <c r="CG10" s="54" t="str">
        <f t="shared" si="8"/>
        <v/>
      </c>
      <c r="CH10" s="55"/>
      <c r="CI10" s="57">
        <f t="shared" si="8"/>
        <v>121.73839512346606</v>
      </c>
      <c r="CJ10" s="23"/>
      <c r="CK10" s="130"/>
    </row>
    <row r="11" spans="1:106" ht="16.25" thickTop="1" thickBot="1">
      <c r="A11" s="120" t="s">
        <v>3</v>
      </c>
      <c r="B11" s="163"/>
      <c r="C11" s="23"/>
      <c r="D11" s="209" t="s">
        <v>62</v>
      </c>
      <c r="E11" s="18" t="s">
        <v>64</v>
      </c>
      <c r="F11" s="50">
        <f t="shared" ref="F11:L11" si="9">IF(F8&lt;&gt;"",F5+F8,"")</f>
        <v>0</v>
      </c>
      <c r="G11" s="58">
        <f t="shared" si="9"/>
        <v>0</v>
      </c>
      <c r="H11" s="58">
        <f t="shared" si="9"/>
        <v>0</v>
      </c>
      <c r="I11" s="58">
        <f t="shared" si="9"/>
        <v>56354</v>
      </c>
      <c r="J11" s="58">
        <f t="shared" si="9"/>
        <v>1739486</v>
      </c>
      <c r="K11" s="58">
        <f t="shared" si="9"/>
        <v>807401</v>
      </c>
      <c r="L11" s="58">
        <f t="shared" si="9"/>
        <v>0</v>
      </c>
      <c r="M11" s="58">
        <f t="shared" ref="L11:P12" si="10">IF(M8&lt;&gt;"",M5+M8,"")</f>
        <v>0</v>
      </c>
      <c r="N11" s="58">
        <f t="shared" si="10"/>
        <v>0</v>
      </c>
      <c r="O11" s="58">
        <f t="shared" si="10"/>
        <v>0</v>
      </c>
      <c r="P11" s="58">
        <f t="shared" si="10"/>
        <v>0</v>
      </c>
      <c r="Q11" s="51">
        <f>IF(Q8&lt;&gt;"",Q5+Q8,"")</f>
        <v>0</v>
      </c>
      <c r="R11" s="52">
        <f>SUM(F11:Q11)</f>
        <v>2603241</v>
      </c>
      <c r="S11" s="23"/>
      <c r="T11" s="119"/>
      <c r="U11" s="6" t="e">
        <f>P4=#REF!</f>
        <v>#REF!</v>
      </c>
      <c r="Z11" s="6" t="b">
        <f t="shared" si="4"/>
        <v>0</v>
      </c>
      <c r="AA11" s="6" t="s">
        <v>10</v>
      </c>
      <c r="AB11" s="6">
        <v>5</v>
      </c>
      <c r="AC11" s="6" t="b">
        <f t="shared" si="5"/>
        <v>0</v>
      </c>
      <c r="BR11" s="105"/>
      <c r="BS11" s="23"/>
      <c r="BT11" s="23"/>
      <c r="BU11" s="187" t="s">
        <v>62</v>
      </c>
      <c r="BV11" s="18" t="s">
        <v>64</v>
      </c>
      <c r="BW11" s="50">
        <f>IF(BW8&lt;&gt;"",BW5+BW8,"")</f>
        <v>0</v>
      </c>
      <c r="BX11" s="58">
        <f t="shared" ref="BX11:CB11" si="11">IF(BX8&lt;&gt;"",BX5+BX8,"")</f>
        <v>0</v>
      </c>
      <c r="BY11" s="58">
        <f t="shared" si="11"/>
        <v>0</v>
      </c>
      <c r="BZ11" s="58">
        <f t="shared" si="11"/>
        <v>56354</v>
      </c>
      <c r="CA11" s="58">
        <f t="shared" si="11"/>
        <v>1739486</v>
      </c>
      <c r="CB11" s="58">
        <f t="shared" si="11"/>
        <v>807401</v>
      </c>
      <c r="CC11" s="58">
        <f t="shared" ref="CC11:CG12" si="12">IF(CC8&lt;&gt;"",CC5+CC8,"")</f>
        <v>0</v>
      </c>
      <c r="CD11" s="58">
        <f t="shared" si="12"/>
        <v>0</v>
      </c>
      <c r="CE11" s="58">
        <f t="shared" si="12"/>
        <v>0</v>
      </c>
      <c r="CF11" s="58">
        <f t="shared" si="12"/>
        <v>0</v>
      </c>
      <c r="CG11" s="58">
        <f t="shared" si="12"/>
        <v>0</v>
      </c>
      <c r="CH11" s="51"/>
      <c r="CI11" s="52">
        <f>SUM(BW11:CH11)</f>
        <v>2603241</v>
      </c>
      <c r="CJ11" s="23"/>
      <c r="CK11" s="130"/>
    </row>
    <row r="12" spans="1:106" ht="15.5" thickBot="1">
      <c r="A12" s="118"/>
      <c r="B12" s="162"/>
      <c r="C12" s="23"/>
      <c r="D12" s="204"/>
      <c r="E12" s="19" t="s">
        <v>65</v>
      </c>
      <c r="F12" s="40">
        <f t="shared" ref="F12:K12" si="13">IF(F9&lt;&gt;"",F6+F9,"")</f>
        <v>0</v>
      </c>
      <c r="G12" s="59">
        <f t="shared" si="13"/>
        <v>0</v>
      </c>
      <c r="H12" s="59">
        <f t="shared" si="13"/>
        <v>0</v>
      </c>
      <c r="I12" s="59">
        <f t="shared" si="13"/>
        <v>4</v>
      </c>
      <c r="J12" s="59">
        <f t="shared" si="13"/>
        <v>1529</v>
      </c>
      <c r="K12" s="59">
        <f t="shared" si="13"/>
        <v>222</v>
      </c>
      <c r="L12" s="59">
        <f t="shared" si="10"/>
        <v>0</v>
      </c>
      <c r="M12" s="59">
        <f t="shared" si="10"/>
        <v>0</v>
      </c>
      <c r="N12" s="59">
        <f t="shared" si="10"/>
        <v>0</v>
      </c>
      <c r="O12" s="59">
        <f t="shared" si="10"/>
        <v>0</v>
      </c>
      <c r="P12" s="59">
        <f t="shared" si="10"/>
        <v>0</v>
      </c>
      <c r="Q12" s="41">
        <f>IF(Q9&lt;&gt;"",Q6+Q9,"")</f>
        <v>0</v>
      </c>
      <c r="R12" s="42">
        <f>SUM(F12:Q12)</f>
        <v>1755</v>
      </c>
      <c r="S12" s="23"/>
      <c r="T12" s="119"/>
      <c r="U12" s="6" t="e">
        <f>D5=#REF!</f>
        <v>#REF!</v>
      </c>
      <c r="Z12" s="6" t="b">
        <f t="shared" si="4"/>
        <v>0</v>
      </c>
      <c r="AA12" s="6" t="s">
        <v>11</v>
      </c>
      <c r="AB12" s="6">
        <v>6</v>
      </c>
      <c r="AC12" s="6" t="b">
        <f t="shared" si="5"/>
        <v>0</v>
      </c>
      <c r="AI12" s="6" t="e">
        <f>IF($F$4="","",
IF($BM$4=TRUE,SUMIFS(#REF!,#REF!,'Annual Report'!$D$5,#REF!,'Annual Report'!$F$4),
IF(AND($BK$5=TRUE,$BN$5=FALSE),SUMIFS(#REF!,#REF!,'Annual Report'!$B$3,#REF!,'Annual Report'!$D$5,#REF!,'Annual Report'!$F$4),
IF(AND($BK$5=FALSE,$BN$5=TRUE),SUMIFS(#REF!,#REF!,'Annual Report'!$B$5,#REF!,'Annual Report'!$D$5,#REF!,'Annual Report'!$F$4),
IF(AND($BN$5=FALSE,$BM$5=FALSE),SUMIFS(#REF!,#REF!,'Annual Report'!$B$3,#REF!,'Annual Report'!$B$5,#REF!,'Annual Report'!$D$5,#REF!,'Annual Report'!$F$4),"")))))</f>
        <v>#REF!</v>
      </c>
      <c r="AJ12" s="6" t="e">
        <f>IF($L$4="","",
IF($BM$4=TRUE,SUMIFS(#REF!,#REF!,'Annual Report'!$D$5,#REF!,'Annual Report'!$L$4),
IF(AND($BK$5=TRUE,$BN$5=FALSE),SUMIFS(#REF!,#REF!,'Annual Report'!$B$3,#REF!,'Annual Report'!$D$5,#REF!,'Annual Report'!$L$4),
IF(AND($BK$5=FALSE,$BN$5=TRUE),SUMIFS(#REF!,#REF!,'Annual Report'!$B$5,#REF!,'Annual Report'!$D$5,#REF!,'Annual Report'!$L$4),
IF(AND($BN$5=FALSE,$BM$5=FALSE),SUMIFS(#REF!,#REF!,'Annual Report'!$B$3,#REF!,'Annual Report'!$B$5,#REF!,'Annual Report'!$D$5,#REF!,'Annual Report'!$L$4),"")))))</f>
        <v>#REF!</v>
      </c>
      <c r="AK12" s="6" t="e">
        <f>IF($M$4="","",
IF($BM$4=TRUE,SUMIFS(#REF!,#REF!,'Annual Report'!$D$5,#REF!,'Annual Report'!$M$4),
IF(AND($BK$5=TRUE,$BN$5=FALSE),SUMIFS(#REF!,#REF!,'Annual Report'!$B$3,#REF!,'Annual Report'!$D$5,#REF!,'Annual Report'!$M$4),
IF(AND($BK$5=FALSE,$BN$5=TRUE),SUMIFS(#REF!,#REF!,'Annual Report'!$B$5,#REF!,'Annual Report'!$D$5,#REF!,'Annual Report'!$M$4),
IF(AND($BN$5=FALSE,$BM$5=FALSE),SUMIFS(#REF!,#REF!,'Annual Report'!$B$3,#REF!,'Annual Report'!$B$5,#REF!,'Annual Report'!$D$5,#REF!,'Annual Report'!$M$4),"")))))</f>
        <v>#REF!</v>
      </c>
      <c r="AL12" s="6" t="e">
        <f>IF($N$4="","",
IF($BM$4=TRUE,SUMIFS(#REF!,#REF!,'Annual Report'!$D$5,#REF!,'Annual Report'!$N$4),
IF(AND($BK$5=TRUE,$BN$5=FALSE),SUMIFS(#REF!,#REF!,'Annual Report'!$B$3,#REF!,'Annual Report'!$D$5,#REF!,'Annual Report'!$N$4),
IF(AND($BK$5=FALSE,$BN$5=TRUE),SUMIFS(#REF!,#REF!,'Annual Report'!$B$5,#REF!,'Annual Report'!$D$5,#REF!,'Annual Report'!$N$4),
IF(AND($BN$5=FALSE,$BM$5=FALSE),SUMIFS(#REF!,#REF!,'Annual Report'!$B$3,#REF!,'Annual Report'!$B$5,#REF!,'Annual Report'!$D$5,#REF!,'Annual Report'!$N$4),"")))))</f>
        <v>#REF!</v>
      </c>
      <c r="AM12" s="6" t="e">
        <f>IF($O$4="","",
IF($BM$4=TRUE,SUMIFS(#REF!,#REF!,'Annual Report'!$D$5,#REF!,'Annual Report'!$O$4),
IF(AND($BK$5=TRUE,$BN$5=FALSE),SUMIFS(#REF!,#REF!,'Annual Report'!$B$3,#REF!,'Annual Report'!$D$5,#REF!,'Annual Report'!$O$4),
IF(AND($BK$5=FALSE,$BN$5=TRUE),SUMIFS(#REF!,#REF!,'Annual Report'!$B$5,#REF!,'Annual Report'!$D$5,#REF!,'Annual Report'!$O$4),
IF(AND($BN$5=FALSE,$BM$5=FALSE),SUMIFS(#REF!,#REF!,'Annual Report'!$B$3,#REF!,'Annual Report'!$B$5,#REF!,'Annual Report'!$D$5,#REF!,'Annual Report'!$O$4),"")))))</f>
        <v>#REF!</v>
      </c>
      <c r="AN12" s="6" t="e">
        <f>IF($P$4="","",
IF($BM$4=TRUE,SUMIFS(#REF!,#REF!,'Annual Report'!$D$5,#REF!,'Annual Report'!$P$4),
IF(AND($BK$5=TRUE,$BN$5=FALSE),SUMIFS(#REF!,#REF!,'Annual Report'!$B$3,#REF!,'Annual Report'!$D$5,#REF!,'Annual Report'!$P$4),
IF(AND($BK$5=FALSE,$BN$5=TRUE),SUMIFS(#REF!,#REF!,'Annual Report'!$B$5,#REF!,'Annual Report'!$D$5,#REF!,'Annual Report'!$P$4),
IF(AND($BN$5=FALSE,$BM$5=FALSE),SUMIFS(#REF!,#REF!,'Annual Report'!$B$3,#REF!,'Annual Report'!$B$5,#REF!,'Annual Report'!$D$5,#REF!,'Annual Report'!$P$4),"")))))</f>
        <v>#REF!</v>
      </c>
      <c r="AO12" s="6" t="e">
        <f>IF($Q$4="","",
IF($BM$4=TRUE,SUMIFS(#REF!,#REF!,'Annual Report'!$D$5,#REF!,'Annual Report'!$Q$4),
IF(AND($BK$5=TRUE,$BN$5=FALSE),SUMIFS(#REF!,#REF!,'Annual Report'!$B$3,#REF!,'Annual Report'!$D$5,#REF!,'Annual Report'!$Q$4),
IF(AND($BK$5=FALSE,$BN$5=TRUE),SUMIFS(#REF!,#REF!,'Annual Report'!$B$5,#REF!,'Annual Report'!$D$5,#REF!,'Annual Report'!$Q$4),
IF(AND($BN$5=FALSE,$BM$5=FALSE),SUMIFS(#REF!,#REF!,'Annual Report'!$B$3,#REF!,'Annual Report'!$B$5,#REF!,'Annual Report'!$D$5,#REF!,'Annual Report'!$Q$4),"")))))</f>
        <v>#REF!</v>
      </c>
      <c r="BR12" s="105"/>
      <c r="BS12" s="23"/>
      <c r="BT12" s="23"/>
      <c r="BU12" s="188"/>
      <c r="BV12" s="19" t="s">
        <v>65</v>
      </c>
      <c r="BW12" s="40">
        <f>IF(BW9&lt;&gt;"",BW6+BW9,"")</f>
        <v>0</v>
      </c>
      <c r="BX12" s="59">
        <f t="shared" ref="BX12:CB12" si="14">IF(BX9&lt;&gt;"",BX6+BX9,"")</f>
        <v>0</v>
      </c>
      <c r="BY12" s="59">
        <f t="shared" si="14"/>
        <v>0</v>
      </c>
      <c r="BZ12" s="59">
        <f t="shared" si="14"/>
        <v>3</v>
      </c>
      <c r="CA12" s="59">
        <f t="shared" si="14"/>
        <v>1267</v>
      </c>
      <c r="CB12" s="59">
        <f t="shared" si="14"/>
        <v>147</v>
      </c>
      <c r="CC12" s="59">
        <f t="shared" si="12"/>
        <v>0</v>
      </c>
      <c r="CD12" s="59">
        <f t="shared" si="12"/>
        <v>0</v>
      </c>
      <c r="CE12" s="59">
        <f t="shared" si="12"/>
        <v>0</v>
      </c>
      <c r="CF12" s="59">
        <f t="shared" si="12"/>
        <v>0</v>
      </c>
      <c r="CG12" s="59">
        <f t="shared" si="12"/>
        <v>0</v>
      </c>
      <c r="CH12" s="41"/>
      <c r="CI12" s="42">
        <f>SUM(BW12:CH12)</f>
        <v>1417</v>
      </c>
      <c r="CJ12" s="23"/>
      <c r="CK12" s="130"/>
      <c r="CP12" s="6">
        <v>1</v>
      </c>
      <c r="CQ12" s="6">
        <v>2</v>
      </c>
      <c r="CR12" s="6">
        <v>3</v>
      </c>
      <c r="CS12" s="6">
        <v>4</v>
      </c>
      <c r="CT12" s="6">
        <v>5</v>
      </c>
      <c r="CU12" s="6">
        <v>6</v>
      </c>
      <c r="CV12" s="6">
        <v>7</v>
      </c>
      <c r="CW12" s="6">
        <v>8</v>
      </c>
      <c r="CX12" s="6">
        <v>9</v>
      </c>
      <c r="CY12" s="6">
        <v>10</v>
      </c>
      <c r="CZ12" s="6">
        <v>11</v>
      </c>
      <c r="DA12" s="6">
        <v>12</v>
      </c>
    </row>
    <row r="13" spans="1:106" ht="15.5" thickBot="1">
      <c r="A13" s="120" t="s">
        <v>4</v>
      </c>
      <c r="B13" s="164">
        <f>IFERROR(INDEX($AL$28:$AL$58,MATCH(B11,AG28:AG58,0)),$AE$7)</f>
        <v>45017</v>
      </c>
      <c r="C13" s="23"/>
      <c r="D13" s="210"/>
      <c r="E13" s="53" t="s">
        <v>66</v>
      </c>
      <c r="F13" s="54" t="str">
        <f t="shared" ref="F13:R13" si="15">IFERROR(F12/F11*1000000,"")</f>
        <v/>
      </c>
      <c r="G13" s="54" t="str">
        <f t="shared" si="15"/>
        <v/>
      </c>
      <c r="H13" s="54" t="str">
        <f t="shared" si="15"/>
        <v/>
      </c>
      <c r="I13" s="54">
        <f t="shared" si="15"/>
        <v>70.979877204812439</v>
      </c>
      <c r="J13" s="54">
        <f t="shared" si="15"/>
        <v>878.99528941307949</v>
      </c>
      <c r="K13" s="54">
        <f t="shared" si="15"/>
        <v>274.95631043310573</v>
      </c>
      <c r="L13" s="54" t="str">
        <f t="shared" si="15"/>
        <v/>
      </c>
      <c r="M13" s="54" t="str">
        <f t="shared" si="15"/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5" t="str">
        <f t="shared" si="15"/>
        <v/>
      </c>
      <c r="R13" s="56">
        <f t="shared" si="15"/>
        <v>674.15963408689402</v>
      </c>
      <c r="S13" s="23"/>
      <c r="T13" s="119"/>
      <c r="Z13" s="6" t="b">
        <f t="shared" si="4"/>
        <v>0</v>
      </c>
      <c r="AA13" s="6" t="s">
        <v>12</v>
      </c>
      <c r="AB13" s="6">
        <v>7</v>
      </c>
      <c r="AC13" s="6" t="b">
        <f t="shared" si="5"/>
        <v>0</v>
      </c>
      <c r="BR13" s="105"/>
      <c r="BS13" s="23"/>
      <c r="BT13" s="23"/>
      <c r="BU13" s="190"/>
      <c r="BV13" s="53" t="s">
        <v>66</v>
      </c>
      <c r="BW13" s="54" t="str">
        <f t="shared" ref="BW13:CI13" si="16">IFERROR(BW12/BW11*1000000,"")</f>
        <v/>
      </c>
      <c r="BX13" s="54" t="str">
        <f t="shared" ref="BX13:CB13" si="17">IFERROR(BX12/BX11*1000000,"")</f>
        <v/>
      </c>
      <c r="BY13" s="54" t="str">
        <f t="shared" si="17"/>
        <v/>
      </c>
      <c r="BZ13" s="54">
        <f t="shared" si="17"/>
        <v>53.234907903609326</v>
      </c>
      <c r="CA13" s="54">
        <f t="shared" si="17"/>
        <v>728.37608350972641</v>
      </c>
      <c r="CB13" s="54">
        <f t="shared" si="17"/>
        <v>182.06566501651594</v>
      </c>
      <c r="CC13" s="54" t="str">
        <f t="shared" si="16"/>
        <v/>
      </c>
      <c r="CD13" s="54" t="str">
        <f t="shared" si="16"/>
        <v/>
      </c>
      <c r="CE13" s="54" t="str">
        <f t="shared" si="16"/>
        <v/>
      </c>
      <c r="CF13" s="54" t="str">
        <f t="shared" si="16"/>
        <v/>
      </c>
      <c r="CG13" s="54" t="str">
        <f t="shared" si="16"/>
        <v/>
      </c>
      <c r="CH13" s="55"/>
      <c r="CI13" s="56">
        <f t="shared" si="16"/>
        <v>544.32148233682551</v>
      </c>
      <c r="CJ13" s="23"/>
      <c r="CK13" s="130"/>
    </row>
    <row r="14" spans="1:106" ht="16.25" thickTop="1" thickBot="1">
      <c r="A14" s="118"/>
      <c r="B14" s="162"/>
      <c r="C14" s="23"/>
      <c r="D14" s="224" t="s">
        <v>68</v>
      </c>
      <c r="E14" s="225"/>
      <c r="F14" s="151" t="s">
        <v>69</v>
      </c>
      <c r="G14" s="152" t="s">
        <v>69</v>
      </c>
      <c r="H14" s="152" t="s">
        <v>69</v>
      </c>
      <c r="I14" s="152" t="s">
        <v>69</v>
      </c>
      <c r="J14" s="152" t="s">
        <v>69</v>
      </c>
      <c r="K14" s="152" t="s">
        <v>69</v>
      </c>
      <c r="L14" s="152" t="s">
        <v>69</v>
      </c>
      <c r="M14" s="152" t="s">
        <v>69</v>
      </c>
      <c r="N14" s="152" t="s">
        <v>69</v>
      </c>
      <c r="O14" s="152" t="s">
        <v>69</v>
      </c>
      <c r="P14" s="152" t="s">
        <v>69</v>
      </c>
      <c r="Q14" s="153" t="s">
        <v>69</v>
      </c>
      <c r="R14" s="154" t="str">
        <f t="shared" ref="R14" si="18">Q14</f>
        <v>-</v>
      </c>
      <c r="S14" s="23"/>
      <c r="T14" s="119"/>
      <c r="Z14" s="6" t="b">
        <f t="shared" si="4"/>
        <v>0</v>
      </c>
      <c r="AA14" s="6" t="s">
        <v>13</v>
      </c>
      <c r="AB14" s="6">
        <v>8</v>
      </c>
      <c r="AC14" s="6" t="b">
        <f t="shared" si="5"/>
        <v>0</v>
      </c>
      <c r="BR14" s="105"/>
      <c r="BS14" s="23"/>
      <c r="BT14" s="23"/>
      <c r="BU14" s="226" t="s">
        <v>68</v>
      </c>
      <c r="BV14" s="227"/>
      <c r="BW14" s="151" t="s">
        <v>69</v>
      </c>
      <c r="BX14" s="152" t="s">
        <v>69</v>
      </c>
      <c r="BY14" s="152" t="s">
        <v>69</v>
      </c>
      <c r="BZ14" s="152" t="s">
        <v>69</v>
      </c>
      <c r="CA14" s="152" t="s">
        <v>69</v>
      </c>
      <c r="CB14" s="152" t="s">
        <v>69</v>
      </c>
      <c r="CC14" s="152" t="s">
        <v>69</v>
      </c>
      <c r="CD14" s="152" t="s">
        <v>69</v>
      </c>
      <c r="CE14" s="152" t="s">
        <v>69</v>
      </c>
      <c r="CF14" s="152" t="s">
        <v>69</v>
      </c>
      <c r="CG14" s="152" t="s">
        <v>69</v>
      </c>
      <c r="CH14" s="153" t="s">
        <v>69</v>
      </c>
      <c r="CI14" s="154" t="str">
        <f t="shared" ref="CI14" si="19">CH14</f>
        <v>-</v>
      </c>
      <c r="CJ14" s="23"/>
      <c r="CK14" s="130"/>
      <c r="CP14" s="6" t="s">
        <v>160</v>
      </c>
    </row>
    <row r="15" spans="1:106" ht="15.5" thickBot="1">
      <c r="A15" s="120" t="s">
        <v>5</v>
      </c>
      <c r="B15" s="164">
        <f>IFERROR(INDEX($AL$28:$AL$58-1,MATCH(RIGHT(B11,2)*1+1,$AJ$28:$AJ$58,0)),AG7)</f>
        <v>45046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3"/>
      <c r="T15" s="119"/>
      <c r="Z15" s="6" t="b">
        <f t="shared" si="4"/>
        <v>0</v>
      </c>
      <c r="AA15" s="6" t="s">
        <v>14</v>
      </c>
      <c r="AB15" s="6">
        <v>9</v>
      </c>
      <c r="AC15" s="6" t="b">
        <f t="shared" si="5"/>
        <v>0</v>
      </c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R15" s="105"/>
      <c r="BS15" s="23"/>
      <c r="BT15" s="23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3"/>
      <c r="CK15" s="130"/>
    </row>
    <row r="16" spans="1:106">
      <c r="A16" s="121"/>
      <c r="B16" s="134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3"/>
      <c r="T16" s="119"/>
      <c r="Z16" s="6" t="b">
        <f t="shared" si="4"/>
        <v>0</v>
      </c>
      <c r="AA16" s="6" t="s">
        <v>15</v>
      </c>
      <c r="AB16" s="6">
        <v>10</v>
      </c>
      <c r="AC16" s="6" t="b">
        <f t="shared" si="5"/>
        <v>0</v>
      </c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R16" s="105"/>
      <c r="BS16" s="23"/>
      <c r="BT16" s="23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3"/>
      <c r="CK16" s="130"/>
      <c r="CP16" s="6" t="s">
        <v>172</v>
      </c>
      <c r="CQ16" s="6">
        <f>SUMIFS(Table_Assembly[Specific Amount],Table_Assembly[NG Type],$CP$14,Table_Assembly[Product type],$BU$43,Table_Assembly[NG content],CP16,Table_Assembly[Month],$CP$12)</f>
        <v>0</v>
      </c>
      <c r="CR16" s="6">
        <f>SUMIFS(Table_Assembly[Specific Amount],Table_Assembly[NG Type],$CP$14,Table_Assembly[Product type],$BU$43,Table_Assembly[NG content],CP16,Table_Assembly[Month],$CQ$12)</f>
        <v>0</v>
      </c>
      <c r="CS16" s="6">
        <f>SUMIFS(Table_Assembly[Specific Amount],Table_Assembly[NG Type],$CP$14,Table_Assembly[Product type],$BU$43,Table_Assembly[NG content],CP16,Table_Assembly[Month],$CR$12)</f>
        <v>0</v>
      </c>
      <c r="CT16" s="6">
        <f>SUMIFS(Table_Assembly[Specific Amount],Table_Assembly[NG Type],$CP$14,Table_Assembly[Product type],$BU$43,Table_Assembly[NG content],CP16,Table_Assembly[Month],$CS$12)</f>
        <v>0</v>
      </c>
      <c r="CU16" s="6">
        <f>SUMIFS(Table_Assembly[Specific Amount],Table_Assembly[NG Type],$CP$14,Table_Assembly[Product type],$BU$43,Table_Assembly[NG content],CP16,Table_Assembly[Month],$CT$12)</f>
        <v>58</v>
      </c>
      <c r="CV16" s="6">
        <f>SUMIFS(Table_Assembly[Specific Amount],Table_Assembly[NG Type],$CP$14,Table_Assembly[Product type],$BU$43,Table_Assembly[NG content],CP16,Table_Assembly[Month],$CU$12)</f>
        <v>5</v>
      </c>
      <c r="CW16" s="6">
        <f>SUMIFS(Table_Assembly[Specific Amount],Table_Assembly[NG Type],$CP$14,Table_Assembly[Product type],$BU$43,Table_Assembly[NG content],CP16,Table_Assembly[Month],$CV$12)</f>
        <v>0</v>
      </c>
      <c r="CX16" s="6">
        <f>SUMIFS(Table_Assembly[Specific Amount],Table_Assembly[NG Type],$CP$14,Table_Assembly[Product type],$BU$43,Table_Assembly[NG content],CP16,Table_Assembly[Month],$CW$12)</f>
        <v>0</v>
      </c>
      <c r="CY16" s="6">
        <f>SUMIFS(Table_Assembly[Specific Amount],Table_Assembly[NG Type],$CP$14,Table_Assembly[Product type],$BU$43,Table_Assembly[NG content],CP16,Table_Assembly[Month],$CX$12)</f>
        <v>0</v>
      </c>
      <c r="CZ16" s="6">
        <f>SUMIFS(Table_Assembly[Specific Amount],Table_Assembly[NG Type],$CP$14,Table_Assembly[Product type],$BU$43,Table_Assembly[NG content],CP16,Table_Assembly[Month],$CY$12)</f>
        <v>0</v>
      </c>
      <c r="DA16" s="6">
        <f>SUMIFS(Table_Assembly[Specific Amount],Table_Assembly[NG Type],$CP$14,Table_Assembly[Product type],$BU$43,Table_Assembly[NG content],CP16,Table_Assembly[Month],$CZ$12)</f>
        <v>0</v>
      </c>
      <c r="DB16" s="6">
        <f>SUMIFS(Table_Assembly[Total NG from material],Table_Assembly[Comp.],$CP$14,Table_Assembly[Total Produce],$BU$43,Table_Assembly[Reson for Others],CP16,Table_Assembly[Day],$DA$12)</f>
        <v>0</v>
      </c>
    </row>
    <row r="17" spans="1:106">
      <c r="A17" s="121"/>
      <c r="B17" s="134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3"/>
      <c r="T17" s="119"/>
      <c r="Z17" s="6" t="b">
        <f t="shared" si="4"/>
        <v>0</v>
      </c>
      <c r="AA17" s="6" t="s">
        <v>16</v>
      </c>
      <c r="AB17" s="6">
        <v>11</v>
      </c>
      <c r="AC17" s="6" t="b">
        <f t="shared" si="5"/>
        <v>0</v>
      </c>
      <c r="AE17" s="150" t="str">
        <f>AE18</f>
        <v>Week 1</v>
      </c>
      <c r="AF17" s="150" t="str">
        <f>IFERROR(IF(AF18=AE18,"",AF18),"")</f>
        <v>Week 2</v>
      </c>
      <c r="AG17" s="150" t="str">
        <f t="shared" ref="AG17:BI17" si="20">IFERROR(IF(AG18=AF18,"",AG18),"")</f>
        <v/>
      </c>
      <c r="AH17" s="150" t="str">
        <f t="shared" si="20"/>
        <v/>
      </c>
      <c r="AI17" s="150" t="str">
        <f t="shared" si="20"/>
        <v/>
      </c>
      <c r="AJ17" s="150" t="str">
        <f t="shared" si="20"/>
        <v/>
      </c>
      <c r="AK17" s="150" t="str">
        <f t="shared" si="20"/>
        <v/>
      </c>
      <c r="AL17" s="150" t="str">
        <f t="shared" si="20"/>
        <v/>
      </c>
      <c r="AM17" s="150" t="str">
        <f t="shared" si="20"/>
        <v>Week 3</v>
      </c>
      <c r="AN17" s="150" t="str">
        <f t="shared" si="20"/>
        <v/>
      </c>
      <c r="AO17" s="150" t="str">
        <f t="shared" si="20"/>
        <v/>
      </c>
      <c r="AP17" s="150" t="str">
        <f t="shared" si="20"/>
        <v/>
      </c>
      <c r="AQ17" s="150" t="str">
        <f t="shared" si="20"/>
        <v/>
      </c>
      <c r="AR17" s="150" t="str">
        <f t="shared" si="20"/>
        <v/>
      </c>
      <c r="AS17" s="150" t="str">
        <f t="shared" si="20"/>
        <v/>
      </c>
      <c r="AT17" s="150" t="str">
        <f t="shared" si="20"/>
        <v>Week 4</v>
      </c>
      <c r="AU17" s="150" t="str">
        <f t="shared" si="20"/>
        <v/>
      </c>
      <c r="AV17" s="150" t="str">
        <f t="shared" si="20"/>
        <v/>
      </c>
      <c r="AW17" s="150" t="str">
        <f t="shared" si="20"/>
        <v/>
      </c>
      <c r="AX17" s="150" t="str">
        <f t="shared" si="20"/>
        <v/>
      </c>
      <c r="AY17" s="150" t="str">
        <f t="shared" si="20"/>
        <v/>
      </c>
      <c r="AZ17" s="150" t="str">
        <f t="shared" si="20"/>
        <v/>
      </c>
      <c r="BA17" s="150" t="str">
        <f t="shared" si="20"/>
        <v>Week 5</v>
      </c>
      <c r="BB17" s="150" t="str">
        <f t="shared" si="20"/>
        <v/>
      </c>
      <c r="BC17" s="150" t="str">
        <f t="shared" si="20"/>
        <v/>
      </c>
      <c r="BD17" s="150" t="str">
        <f t="shared" si="20"/>
        <v/>
      </c>
      <c r="BE17" s="150" t="str">
        <f t="shared" si="20"/>
        <v/>
      </c>
      <c r="BF17" s="150" t="str">
        <f t="shared" si="20"/>
        <v/>
      </c>
      <c r="BG17" s="150" t="str">
        <f t="shared" si="20"/>
        <v/>
      </c>
      <c r="BH17" s="150" t="str">
        <f t="shared" si="20"/>
        <v>Week 6</v>
      </c>
      <c r="BI17" s="150" t="str">
        <f t="shared" si="20"/>
        <v/>
      </c>
      <c r="BR17" s="105"/>
      <c r="BS17" s="23"/>
      <c r="BT17" s="23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3"/>
      <c r="CK17" s="130"/>
      <c r="CP17" s="6" t="s">
        <v>173</v>
      </c>
      <c r="CQ17" s="6">
        <f>SUMIFS(Table_Assembly[Specific Amount],Table_Assembly[NG Type],$CP$14,Table_Assembly[Product type],$BU$43,Table_Assembly[NG content],CP17,Table_Assembly[Month],$CP$12)</f>
        <v>0</v>
      </c>
      <c r="CR17" s="6">
        <f>SUMIFS(Table_Assembly[Specific Amount],Table_Assembly[NG Type],$CP$14,Table_Assembly[Product type],$BU$43,Table_Assembly[NG content],CP17,Table_Assembly[Month],$CQ$12)</f>
        <v>0</v>
      </c>
      <c r="CS17" s="6">
        <f>SUMIFS(Table_Assembly[Specific Amount],Table_Assembly[NG Type],$CP$14,Table_Assembly[Product type],$BU$43,Table_Assembly[NG content],CP17,Table_Assembly[Month],$CR$12)</f>
        <v>0</v>
      </c>
      <c r="CT17" s="6">
        <f>SUMIFS(Table_Assembly[Specific Amount],Table_Assembly[NG Type],$CP$14,Table_Assembly[Product type],$BU$43,Table_Assembly[NG content],CP17,Table_Assembly[Month],$CS$12)</f>
        <v>0</v>
      </c>
      <c r="CU17" s="6">
        <f>SUMIFS(Table_Assembly[Specific Amount],Table_Assembly[NG Type],$CP$14,Table_Assembly[Product type],$BU$43,Table_Assembly[NG content],CP17,Table_Assembly[Month],$CT$12)</f>
        <v>1</v>
      </c>
      <c r="CV17" s="6">
        <f>SUMIFS(Table_Assembly[Specific Amount],Table_Assembly[NG Type],$CP$14,Table_Assembly[Product type],$BU$43,Table_Assembly[NG content],CP17,Table_Assembly[Month],$CU$12)</f>
        <v>0</v>
      </c>
      <c r="CW17" s="6">
        <f>SUMIFS(Table_Assembly[Specific Amount],Table_Assembly[NG Type],$CP$14,Table_Assembly[Product type],$BU$43,Table_Assembly[NG content],CP17,Table_Assembly[Month],$CV$12)</f>
        <v>0</v>
      </c>
      <c r="CX17" s="6">
        <f>SUMIFS(Table_Assembly[Specific Amount],Table_Assembly[NG Type],$CP$14,Table_Assembly[Product type],$BU$43,Table_Assembly[NG content],CP17,Table_Assembly[Month],$CW$12)</f>
        <v>0</v>
      </c>
      <c r="CY17" s="6">
        <f>SUMIFS(Table_Assembly[Specific Amount],Table_Assembly[NG Type],$CP$14,Table_Assembly[Product type],$BU$43,Table_Assembly[NG content],CP17,Table_Assembly[Month],$CX$12)</f>
        <v>0</v>
      </c>
      <c r="CZ17" s="6">
        <f>SUMIFS(Table_Assembly[Specific Amount],Table_Assembly[NG Type],$CP$14,Table_Assembly[Product type],$BU$43,Table_Assembly[NG content],CP17,Table_Assembly[Month],$CY$12)</f>
        <v>0</v>
      </c>
      <c r="DA17" s="6">
        <f>SUMIFS(Table_Assembly[Specific Amount],Table_Assembly[NG Type],$CP$14,Table_Assembly[Product type],$BU$43,Table_Assembly[NG content],CP17,Table_Assembly[Month],$CZ$12)</f>
        <v>0</v>
      </c>
      <c r="DB17" s="6">
        <f>SUMIFS(Table_Assembly[Total NG from material],Table_Assembly[Comp.],$CP$14,Table_Assembly[Total Produce],$BU$43,Table_Assembly[Reson for Others],CP17,Table_Assembly[Day],$DA$12)</f>
        <v>0</v>
      </c>
    </row>
    <row r="18" spans="1:106">
      <c r="A18" s="121"/>
      <c r="B18" s="134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3"/>
      <c r="T18" s="119"/>
      <c r="Z18" s="6" t="b">
        <f>$B$9=AA18</f>
        <v>0</v>
      </c>
      <c r="AA18" s="6" t="s">
        <v>17</v>
      </c>
      <c r="AB18" s="6">
        <v>12</v>
      </c>
      <c r="AC18" s="6" t="b">
        <f t="shared" si="5"/>
        <v>0</v>
      </c>
      <c r="AE18" s="150" t="str">
        <f>IF(AE21="","",$AE$19&amp;" "&amp;AE20)</f>
        <v>Week 1</v>
      </c>
      <c r="AF18" s="150" t="str">
        <f t="shared" ref="AF18:BI18" si="21">IF(AF21="","",$AE$19&amp;" "&amp;AF20)</f>
        <v>Week 2</v>
      </c>
      <c r="AG18" s="150" t="str">
        <f t="shared" si="21"/>
        <v>Week 2</v>
      </c>
      <c r="AH18" s="150" t="str">
        <f t="shared" si="21"/>
        <v>Week 2</v>
      </c>
      <c r="AI18" s="150" t="str">
        <f t="shared" si="21"/>
        <v>Week 2</v>
      </c>
      <c r="AJ18" s="150" t="str">
        <f t="shared" si="21"/>
        <v>Week 2</v>
      </c>
      <c r="AK18" s="150" t="str">
        <f t="shared" si="21"/>
        <v>Week 2</v>
      </c>
      <c r="AL18" s="150" t="str">
        <f t="shared" si="21"/>
        <v>Week 2</v>
      </c>
      <c r="AM18" s="150" t="str">
        <f t="shared" si="21"/>
        <v>Week 3</v>
      </c>
      <c r="AN18" s="150" t="str">
        <f t="shared" si="21"/>
        <v>Week 3</v>
      </c>
      <c r="AO18" s="150" t="str">
        <f t="shared" si="21"/>
        <v>Week 3</v>
      </c>
      <c r="AP18" s="150" t="str">
        <f t="shared" si="21"/>
        <v>Week 3</v>
      </c>
      <c r="AQ18" s="150" t="str">
        <f t="shared" si="21"/>
        <v>Week 3</v>
      </c>
      <c r="AR18" s="150" t="str">
        <f t="shared" si="21"/>
        <v>Week 3</v>
      </c>
      <c r="AS18" s="150" t="str">
        <f t="shared" si="21"/>
        <v>Week 3</v>
      </c>
      <c r="AT18" s="150" t="str">
        <f t="shared" si="21"/>
        <v>Week 4</v>
      </c>
      <c r="AU18" s="150" t="str">
        <f t="shared" si="21"/>
        <v>Week 4</v>
      </c>
      <c r="AV18" s="150" t="str">
        <f t="shared" si="21"/>
        <v>Week 4</v>
      </c>
      <c r="AW18" s="150" t="str">
        <f t="shared" si="21"/>
        <v>Week 4</v>
      </c>
      <c r="AX18" s="150" t="str">
        <f t="shared" si="21"/>
        <v>Week 4</v>
      </c>
      <c r="AY18" s="150" t="str">
        <f t="shared" si="21"/>
        <v>Week 4</v>
      </c>
      <c r="AZ18" s="150" t="str">
        <f t="shared" si="21"/>
        <v>Week 4</v>
      </c>
      <c r="BA18" s="150" t="str">
        <f t="shared" si="21"/>
        <v>Week 5</v>
      </c>
      <c r="BB18" s="150" t="str">
        <f t="shared" si="21"/>
        <v>Week 5</v>
      </c>
      <c r="BC18" s="150" t="str">
        <f t="shared" si="21"/>
        <v>Week 5</v>
      </c>
      <c r="BD18" s="150" t="str">
        <f t="shared" si="21"/>
        <v>Week 5</v>
      </c>
      <c r="BE18" s="150" t="str">
        <f t="shared" si="21"/>
        <v>Week 5</v>
      </c>
      <c r="BF18" s="150" t="str">
        <f t="shared" si="21"/>
        <v>Week 5</v>
      </c>
      <c r="BG18" s="150" t="str">
        <f t="shared" si="21"/>
        <v>Week 5</v>
      </c>
      <c r="BH18" s="150" t="str">
        <f t="shared" si="21"/>
        <v>Week 6</v>
      </c>
      <c r="BI18" s="150" t="str">
        <f t="shared" si="21"/>
        <v/>
      </c>
      <c r="BJ18" s="6" t="str">
        <f>IFERROR(IF(AF18=AE18,"",AF18),"")</f>
        <v>Week 2</v>
      </c>
      <c r="BR18" s="105"/>
      <c r="BS18" s="23"/>
      <c r="BT18" s="23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3"/>
      <c r="CK18" s="130"/>
      <c r="CP18" s="6" t="s">
        <v>230</v>
      </c>
      <c r="CQ18" s="6">
        <f>SUMIFS(Table_Assembly[Specific Amount],Table_Assembly[NG Type],$CP$14,Table_Assembly[Product type],$BU$43,Table_Assembly[NG content],CP18,Table_Assembly[Month],$CP$12)</f>
        <v>0</v>
      </c>
      <c r="CR18" s="6">
        <f>SUMIFS(Table_Assembly[Specific Amount],Table_Assembly[NG Type],$CP$14,Table_Assembly[Product type],$BU$43,Table_Assembly[NG content],CP18,Table_Assembly[Month],$CQ$12)</f>
        <v>0</v>
      </c>
      <c r="CS18" s="6">
        <f>SUMIFS(Table_Assembly[Specific Amount],Table_Assembly[NG Type],$CP$14,Table_Assembly[Product type],$BU$43,Table_Assembly[NG content],CP18,Table_Assembly[Month],$CR$12)</f>
        <v>0</v>
      </c>
      <c r="CT18" s="6">
        <f>SUMIFS(Table_Assembly[Specific Amount],Table_Assembly[NG Type],$CP$14,Table_Assembly[Product type],$BU$43,Table_Assembly[NG content],CP18,Table_Assembly[Month],$CS$12)</f>
        <v>0</v>
      </c>
      <c r="CU18" s="6">
        <f>SUMIFS(Table_Assembly[Specific Amount],Table_Assembly[NG Type],$CP$14,Table_Assembly[Product type],$BU$43,Table_Assembly[NG content],CP18,Table_Assembly[Month],$CT$12)</f>
        <v>0</v>
      </c>
      <c r="CV18" s="6">
        <f>SUMIFS(Table_Assembly[Specific Amount],Table_Assembly[NG Type],$CP$14,Table_Assembly[Product type],$BU$43,Table_Assembly[NG content],CP18,Table_Assembly[Month],$CU$12)</f>
        <v>0</v>
      </c>
      <c r="CW18" s="6">
        <f>SUMIFS(Table_Assembly[Specific Amount],Table_Assembly[NG Type],$CP$14,Table_Assembly[Product type],$BU$43,Table_Assembly[NG content],CP18,Table_Assembly[Month],$CV$12)</f>
        <v>0</v>
      </c>
      <c r="CX18" s="6">
        <f>SUMIFS(Table_Assembly[Specific Amount],Table_Assembly[NG Type],$CP$14,Table_Assembly[Product type],$BU$43,Table_Assembly[NG content],CP18,Table_Assembly[Month],$CW$12)</f>
        <v>0</v>
      </c>
      <c r="CY18" s="6">
        <f>SUMIFS(Table_Assembly[Specific Amount],Table_Assembly[NG Type],$CP$14,Table_Assembly[Product type],$BU$43,Table_Assembly[NG content],CP18,Table_Assembly[Month],$CX$12)</f>
        <v>0</v>
      </c>
      <c r="CZ18" s="6">
        <f>SUMIFS(Table_Assembly[Specific Amount],Table_Assembly[NG Type],$CP$14,Table_Assembly[Product type],$BU$43,Table_Assembly[NG content],CP18,Table_Assembly[Month],$CY$12)</f>
        <v>0</v>
      </c>
      <c r="DA18" s="6">
        <f>SUMIFS(Table_Assembly[Specific Amount],Table_Assembly[NG Type],$CP$14,Table_Assembly[Product type],$BU$43,Table_Assembly[NG content],CP18,Table_Assembly[Month],$CZ$12)</f>
        <v>0</v>
      </c>
      <c r="DB18" s="6">
        <f>SUMIFS(Table_Assembly[Total NG from material],Table_Assembly[Comp.],$CP$14,Table_Assembly[Total Produce],$BU$43,Table_Assembly[Reson for Others],CP18,Table_Assembly[Day],$DA$12)</f>
        <v>0</v>
      </c>
    </row>
    <row r="19" spans="1:106">
      <c r="A19" s="121"/>
      <c r="B19" s="134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3"/>
      <c r="T19" s="119"/>
      <c r="AE19" s="150" t="s">
        <v>3</v>
      </c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R19" s="105"/>
      <c r="BS19" s="23"/>
      <c r="BT19" s="23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3"/>
      <c r="CK19" s="130"/>
      <c r="CP19" s="6" t="s">
        <v>174</v>
      </c>
      <c r="CQ19" s="6">
        <f>SUMIFS(Table_Assembly[Specific Amount],Table_Assembly[NG Type],$CP$14,Table_Assembly[Product type],$BU$43,Table_Assembly[NG content],CP19,Table_Assembly[Month],$CP$12)</f>
        <v>0</v>
      </c>
      <c r="CR19" s="6">
        <f>SUMIFS(Table_Assembly[Specific Amount],Table_Assembly[NG Type],$CP$14,Table_Assembly[Product type],$BU$43,Table_Assembly[NG content],CP19,Table_Assembly[Month],$CQ$12)</f>
        <v>0</v>
      </c>
      <c r="CS19" s="6">
        <f>SUMIFS(Table_Assembly[Specific Amount],Table_Assembly[NG Type],$CP$14,Table_Assembly[Product type],$BU$43,Table_Assembly[NG content],CP19,Table_Assembly[Month],$CR$12)</f>
        <v>0</v>
      </c>
      <c r="CT19" s="6">
        <f>SUMIFS(Table_Assembly[Specific Amount],Table_Assembly[NG Type],$CP$14,Table_Assembly[Product type],$BU$43,Table_Assembly[NG content],CP19,Table_Assembly[Month],$CS$12)</f>
        <v>0</v>
      </c>
      <c r="CU19" s="6">
        <f>SUMIFS(Table_Assembly[Specific Amount],Table_Assembly[NG Type],$CP$14,Table_Assembly[Product type],$BU$43,Table_Assembly[NG content],CP19,Table_Assembly[Month],$CT$12)</f>
        <v>0</v>
      </c>
      <c r="CV19" s="6">
        <f>SUMIFS(Table_Assembly[Specific Amount],Table_Assembly[NG Type],$CP$14,Table_Assembly[Product type],$BU$43,Table_Assembly[NG content],CP19,Table_Assembly[Month],$CU$12)</f>
        <v>1</v>
      </c>
      <c r="CW19" s="6">
        <f>SUMIFS(Table_Assembly[Specific Amount],Table_Assembly[NG Type],$CP$14,Table_Assembly[Product type],$BU$43,Table_Assembly[NG content],CP19,Table_Assembly[Month],$CV$12)</f>
        <v>0</v>
      </c>
      <c r="CX19" s="6">
        <f>SUMIFS(Table_Assembly[Specific Amount],Table_Assembly[NG Type],$CP$14,Table_Assembly[Product type],$BU$43,Table_Assembly[NG content],CP19,Table_Assembly[Month],$CW$12)</f>
        <v>0</v>
      </c>
      <c r="CY19" s="6">
        <f>SUMIFS(Table_Assembly[Specific Amount],Table_Assembly[NG Type],$CP$14,Table_Assembly[Product type],$BU$43,Table_Assembly[NG content],CP19,Table_Assembly[Month],$CX$12)</f>
        <v>0</v>
      </c>
      <c r="CZ19" s="6">
        <f>SUMIFS(Table_Assembly[Specific Amount],Table_Assembly[NG Type],$CP$14,Table_Assembly[Product type],$BU$43,Table_Assembly[NG content],CP19,Table_Assembly[Month],$CY$12)</f>
        <v>0</v>
      </c>
      <c r="DA19" s="6">
        <f>SUMIFS(Table_Assembly[Specific Amount],Table_Assembly[NG Type],$CP$14,Table_Assembly[Product type],$BU$43,Table_Assembly[NG content],CP19,Table_Assembly[Month],$CZ$12)</f>
        <v>0</v>
      </c>
      <c r="DB19" s="6">
        <f>SUMIFS(Table_Assembly[Total NG from material],Table_Assembly[Comp.],$CP$14,Table_Assembly[Total Produce],$BU$43,Table_Assembly[Reson for Others],CP19,Table_Assembly[Day],$DA$12)</f>
        <v>0</v>
      </c>
    </row>
    <row r="20" spans="1:106">
      <c r="A20" s="121"/>
      <c r="B20" s="134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3"/>
      <c r="T20" s="119"/>
      <c r="AE20" s="150">
        <v>1</v>
      </c>
      <c r="AF20" s="150">
        <f>IF(AF21="","",IF(AF21="Monday",AE20+1,AE20))</f>
        <v>2</v>
      </c>
      <c r="AG20" s="150">
        <f t="shared" ref="AG20:BI20" si="22">IF(AG21="","",IF(AG21="Monday",AF20+1,AF20))</f>
        <v>2</v>
      </c>
      <c r="AH20" s="150">
        <f t="shared" si="22"/>
        <v>2</v>
      </c>
      <c r="AI20" s="150">
        <f t="shared" si="22"/>
        <v>2</v>
      </c>
      <c r="AJ20" s="150">
        <f t="shared" si="22"/>
        <v>2</v>
      </c>
      <c r="AK20" s="150">
        <f t="shared" si="22"/>
        <v>2</v>
      </c>
      <c r="AL20" s="150">
        <f t="shared" si="22"/>
        <v>2</v>
      </c>
      <c r="AM20" s="150">
        <f t="shared" si="22"/>
        <v>3</v>
      </c>
      <c r="AN20" s="150">
        <f t="shared" si="22"/>
        <v>3</v>
      </c>
      <c r="AO20" s="150">
        <f t="shared" si="22"/>
        <v>3</v>
      </c>
      <c r="AP20" s="150">
        <f t="shared" si="22"/>
        <v>3</v>
      </c>
      <c r="AQ20" s="150">
        <f t="shared" si="22"/>
        <v>3</v>
      </c>
      <c r="AR20" s="150">
        <f t="shared" si="22"/>
        <v>3</v>
      </c>
      <c r="AS20" s="150">
        <f t="shared" si="22"/>
        <v>3</v>
      </c>
      <c r="AT20" s="150">
        <f t="shared" si="22"/>
        <v>4</v>
      </c>
      <c r="AU20" s="150">
        <f t="shared" si="22"/>
        <v>4</v>
      </c>
      <c r="AV20" s="150">
        <f t="shared" si="22"/>
        <v>4</v>
      </c>
      <c r="AW20" s="150">
        <f t="shared" si="22"/>
        <v>4</v>
      </c>
      <c r="AX20" s="150">
        <f t="shared" si="22"/>
        <v>4</v>
      </c>
      <c r="AY20" s="150">
        <f t="shared" si="22"/>
        <v>4</v>
      </c>
      <c r="AZ20" s="150">
        <f t="shared" si="22"/>
        <v>4</v>
      </c>
      <c r="BA20" s="150">
        <f t="shared" si="22"/>
        <v>5</v>
      </c>
      <c r="BB20" s="150">
        <f t="shared" si="22"/>
        <v>5</v>
      </c>
      <c r="BC20" s="150">
        <f t="shared" si="22"/>
        <v>5</v>
      </c>
      <c r="BD20" s="150">
        <f t="shared" si="22"/>
        <v>5</v>
      </c>
      <c r="BE20" s="150">
        <f t="shared" si="22"/>
        <v>5</v>
      </c>
      <c r="BF20" s="150">
        <f t="shared" si="22"/>
        <v>5</v>
      </c>
      <c r="BG20" s="150">
        <f t="shared" si="22"/>
        <v>5</v>
      </c>
      <c r="BH20" s="150">
        <f t="shared" si="22"/>
        <v>6</v>
      </c>
      <c r="BI20" s="150" t="str">
        <f t="shared" si="22"/>
        <v/>
      </c>
      <c r="BR20" s="105"/>
      <c r="BS20" s="23"/>
      <c r="BT20" s="23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3"/>
      <c r="CK20" s="130"/>
      <c r="CP20" s="6" t="s">
        <v>231</v>
      </c>
      <c r="CQ20" s="6">
        <f>SUMIFS(Table_Assembly[Specific Amount],Table_Assembly[NG Type],$CP$14,Table_Assembly[Product type],$BU$43,Table_Assembly[NG content],CP20,Table_Assembly[Month],$CP$12)</f>
        <v>0</v>
      </c>
      <c r="CR20" s="6">
        <f>SUMIFS(Table_Assembly[Specific Amount],Table_Assembly[NG Type],$CP$14,Table_Assembly[Product type],$BU$43,Table_Assembly[NG content],CP20,Table_Assembly[Month],$CQ$12)</f>
        <v>0</v>
      </c>
      <c r="CS20" s="6">
        <f>SUMIFS(Table_Assembly[Specific Amount],Table_Assembly[NG Type],$CP$14,Table_Assembly[Product type],$BU$43,Table_Assembly[NG content],CP20,Table_Assembly[Month],$CR$12)</f>
        <v>0</v>
      </c>
      <c r="CT20" s="6">
        <f>SUMIFS(Table_Assembly[Specific Amount],Table_Assembly[NG Type],$CP$14,Table_Assembly[Product type],$BU$43,Table_Assembly[NG content],CP20,Table_Assembly[Month],$CS$12)</f>
        <v>0</v>
      </c>
      <c r="CU20" s="6">
        <f>SUMIFS(Table_Assembly[Specific Amount],Table_Assembly[NG Type],$CP$14,Table_Assembly[Product type],$BU$43,Table_Assembly[NG content],CP20,Table_Assembly[Month],$CT$12)</f>
        <v>0</v>
      </c>
      <c r="CV20" s="6">
        <f>SUMIFS(Table_Assembly[Specific Amount],Table_Assembly[NG Type],$CP$14,Table_Assembly[Product type],$BU$43,Table_Assembly[NG content],CP20,Table_Assembly[Month],$CU$12)</f>
        <v>0</v>
      </c>
      <c r="CW20" s="6">
        <f>SUMIFS(Table_Assembly[Specific Amount],Table_Assembly[NG Type],$CP$14,Table_Assembly[Product type],$BU$43,Table_Assembly[NG content],CP20,Table_Assembly[Month],$CV$12)</f>
        <v>0</v>
      </c>
      <c r="CX20" s="6">
        <f>SUMIFS(Table_Assembly[Specific Amount],Table_Assembly[NG Type],$CP$14,Table_Assembly[Product type],$BU$43,Table_Assembly[NG content],CP20,Table_Assembly[Month],$CW$12)</f>
        <v>0</v>
      </c>
      <c r="CY20" s="6">
        <f>SUMIFS(Table_Assembly[Specific Amount],Table_Assembly[NG Type],$CP$14,Table_Assembly[Product type],$BU$43,Table_Assembly[NG content],CP20,Table_Assembly[Month],$CX$12)</f>
        <v>0</v>
      </c>
      <c r="CZ20" s="6">
        <f>SUMIFS(Table_Assembly[Specific Amount],Table_Assembly[NG Type],$CP$14,Table_Assembly[Product type],$BU$43,Table_Assembly[NG content],CP20,Table_Assembly[Month],$CY$12)</f>
        <v>0</v>
      </c>
      <c r="DA20" s="6">
        <f>SUMIFS(Table_Assembly[Specific Amount],Table_Assembly[NG Type],$CP$14,Table_Assembly[Product type],$BU$43,Table_Assembly[NG content],CP20,Table_Assembly[Month],$CZ$12)</f>
        <v>0</v>
      </c>
      <c r="DB20" s="6">
        <f>SUMIFS(Table_Assembly[Total NG from material],Table_Assembly[Comp.],$CP$14,Table_Assembly[Total Produce],$BU$43,Table_Assembly[Reson for Others],CP20,Table_Assembly[Day],$DA$12)</f>
        <v>0</v>
      </c>
    </row>
    <row r="21" spans="1:106">
      <c r="A21" s="121"/>
      <c r="B21" s="134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3"/>
      <c r="T21" s="119"/>
      <c r="AE21" s="150" t="str">
        <f>IFERROR(IF(WEEKDAY(AE22)=7, "Sunday",IF(WEEKDAY(AE22)=1,"Monday",IF(WEEKDAY(AE22)=2,"Tuesday",IF(WEEKDAY(AE22)=3,"Wednesday",IF(WEEKDAY(AE22)=4,"Thursday",IF(WEEKDAY(AE22)=5,"Friday",IF(WEEKDAY(AE22)=6,"Saturday",""))))))),"")</f>
        <v>Sunday</v>
      </c>
      <c r="AF21" s="150" t="str">
        <f t="shared" ref="AF21:BI21" si="23">IFERROR(IF(WEEKDAY(AF22)=7, "Sunday",IF(WEEKDAY(AF22)=1,"Monday",IF(WEEKDAY(AF22)=2,"Tuesday",IF(WEEKDAY(AF22)=3,"Wednesday",IF(WEEKDAY(AF22)=4,"Thursday",IF(WEEKDAY(AF22)=5,"Friday",IF(WEEKDAY(AF22)=6,"Saturday",""))))))),"")</f>
        <v>Monday</v>
      </c>
      <c r="AG21" s="150" t="str">
        <f t="shared" si="23"/>
        <v>Tuesday</v>
      </c>
      <c r="AH21" s="150" t="str">
        <f t="shared" si="23"/>
        <v>Wednesday</v>
      </c>
      <c r="AI21" s="150" t="str">
        <f t="shared" si="23"/>
        <v>Thursday</v>
      </c>
      <c r="AJ21" s="150" t="str">
        <f t="shared" si="23"/>
        <v>Friday</v>
      </c>
      <c r="AK21" s="150" t="str">
        <f t="shared" si="23"/>
        <v>Saturday</v>
      </c>
      <c r="AL21" s="150" t="str">
        <f t="shared" si="23"/>
        <v>Sunday</v>
      </c>
      <c r="AM21" s="150" t="str">
        <f t="shared" si="23"/>
        <v>Monday</v>
      </c>
      <c r="AN21" s="150" t="str">
        <f t="shared" si="23"/>
        <v>Tuesday</v>
      </c>
      <c r="AO21" s="150" t="str">
        <f t="shared" si="23"/>
        <v>Wednesday</v>
      </c>
      <c r="AP21" s="150" t="str">
        <f t="shared" si="23"/>
        <v>Thursday</v>
      </c>
      <c r="AQ21" s="150" t="str">
        <f t="shared" si="23"/>
        <v>Friday</v>
      </c>
      <c r="AR21" s="150" t="str">
        <f t="shared" si="23"/>
        <v>Saturday</v>
      </c>
      <c r="AS21" s="150" t="str">
        <f t="shared" si="23"/>
        <v>Sunday</v>
      </c>
      <c r="AT21" s="150" t="str">
        <f t="shared" si="23"/>
        <v>Monday</v>
      </c>
      <c r="AU21" s="150" t="str">
        <f t="shared" si="23"/>
        <v>Tuesday</v>
      </c>
      <c r="AV21" s="150" t="str">
        <f t="shared" si="23"/>
        <v>Wednesday</v>
      </c>
      <c r="AW21" s="150" t="str">
        <f t="shared" si="23"/>
        <v>Thursday</v>
      </c>
      <c r="AX21" s="150" t="str">
        <f t="shared" si="23"/>
        <v>Friday</v>
      </c>
      <c r="AY21" s="150" t="str">
        <f t="shared" si="23"/>
        <v>Saturday</v>
      </c>
      <c r="AZ21" s="150" t="str">
        <f t="shared" si="23"/>
        <v>Sunday</v>
      </c>
      <c r="BA21" s="150" t="str">
        <f t="shared" si="23"/>
        <v>Monday</v>
      </c>
      <c r="BB21" s="150" t="str">
        <f t="shared" si="23"/>
        <v>Tuesday</v>
      </c>
      <c r="BC21" s="150" t="str">
        <f t="shared" si="23"/>
        <v>Wednesday</v>
      </c>
      <c r="BD21" s="150" t="str">
        <f t="shared" si="23"/>
        <v>Thursday</v>
      </c>
      <c r="BE21" s="150" t="str">
        <f t="shared" si="23"/>
        <v>Friday</v>
      </c>
      <c r="BF21" s="150" t="str">
        <f t="shared" si="23"/>
        <v>Saturday</v>
      </c>
      <c r="BG21" s="150" t="str">
        <f t="shared" si="23"/>
        <v>Sunday</v>
      </c>
      <c r="BH21" s="150" t="str">
        <f t="shared" si="23"/>
        <v>Monday</v>
      </c>
      <c r="BI21" s="150" t="str">
        <f t="shared" si="23"/>
        <v/>
      </c>
      <c r="BR21" s="105"/>
      <c r="BS21" s="23"/>
      <c r="BT21" s="23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3"/>
      <c r="CK21" s="130"/>
      <c r="CP21" s="6" t="s">
        <v>175</v>
      </c>
      <c r="CQ21" s="6">
        <f>SUMIFS(Table_Assembly[Specific Amount],Table_Assembly[NG Type],$CP$14,Table_Assembly[Product type],$BU$43,Table_Assembly[NG content],CP21,Table_Assembly[Month],$CP$12)</f>
        <v>0</v>
      </c>
      <c r="CR21" s="6">
        <f>SUMIFS(Table_Assembly[Specific Amount],Table_Assembly[NG Type],$CP$14,Table_Assembly[Product type],$BU$43,Table_Assembly[NG content],CP21,Table_Assembly[Month],$CQ$12)</f>
        <v>0</v>
      </c>
      <c r="CS21" s="6">
        <f>SUMIFS(Table_Assembly[Specific Amount],Table_Assembly[NG Type],$CP$14,Table_Assembly[Product type],$BU$43,Table_Assembly[NG content],CP21,Table_Assembly[Month],$CR$12)</f>
        <v>0</v>
      </c>
      <c r="CT21" s="6">
        <f>SUMIFS(Table_Assembly[Specific Amount],Table_Assembly[NG Type],$CP$14,Table_Assembly[Product type],$BU$43,Table_Assembly[NG content],CP21,Table_Assembly[Month],$CS$12)</f>
        <v>0</v>
      </c>
      <c r="CU21" s="6">
        <f>SUMIFS(Table_Assembly[Specific Amount],Table_Assembly[NG Type],$CP$14,Table_Assembly[Product type],$BU$43,Table_Assembly[NG content],CP21,Table_Assembly[Month],$CT$12)</f>
        <v>7</v>
      </c>
      <c r="CV21" s="6">
        <f>SUMIFS(Table_Assembly[Specific Amount],Table_Assembly[NG Type],$CP$14,Table_Assembly[Product type],$BU$43,Table_Assembly[NG content],CP21,Table_Assembly[Month],$CU$12)</f>
        <v>1</v>
      </c>
      <c r="CW21" s="6">
        <f>SUMIFS(Table_Assembly[Specific Amount],Table_Assembly[NG Type],$CP$14,Table_Assembly[Product type],$BU$43,Table_Assembly[NG content],CP21,Table_Assembly[Month],$CV$12)</f>
        <v>0</v>
      </c>
      <c r="CX21" s="6">
        <f>SUMIFS(Table_Assembly[Specific Amount],Table_Assembly[NG Type],$CP$14,Table_Assembly[Product type],$BU$43,Table_Assembly[NG content],CP21,Table_Assembly[Month],$CW$12)</f>
        <v>0</v>
      </c>
      <c r="CY21" s="6">
        <f>SUMIFS(Table_Assembly[Specific Amount],Table_Assembly[NG Type],$CP$14,Table_Assembly[Product type],$BU$43,Table_Assembly[NG content],CP21,Table_Assembly[Month],$CX$12)</f>
        <v>0</v>
      </c>
      <c r="CZ21" s="6">
        <f>SUMIFS(Table_Assembly[Specific Amount],Table_Assembly[NG Type],$CP$14,Table_Assembly[Product type],$BU$43,Table_Assembly[NG content],CP21,Table_Assembly[Month],$CY$12)</f>
        <v>0</v>
      </c>
      <c r="DA21" s="6">
        <f>SUMIFS(Table_Assembly[Specific Amount],Table_Assembly[NG Type],$CP$14,Table_Assembly[Product type],$BU$43,Table_Assembly[NG content],CP21,Table_Assembly[Month],$CZ$12)</f>
        <v>0</v>
      </c>
      <c r="DB21" s="6">
        <f>SUMIFS(Table_Assembly[Total NG from material],Table_Assembly[Comp.],$CP$14,Table_Assembly[Total Produce],$BU$43,Table_Assembly[Reson for Others],CP21,Table_Assembly[Day],$DA$12)</f>
        <v>0</v>
      </c>
    </row>
    <row r="22" spans="1:106">
      <c r="A22" s="121"/>
      <c r="B22" s="134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3"/>
      <c r="T22" s="119"/>
      <c r="AA22" s="6" t="e">
        <f ca="1">OFFSET($AA$23,0,0,COUNTA(AA23:AA30))</f>
        <v>#VALUE!</v>
      </c>
      <c r="AE22" s="155">
        <f>$AE$7</f>
        <v>45017</v>
      </c>
      <c r="AF22" s="155">
        <f>IFERROR(IF(AE22=$AG$7,"",AE22+1),"")</f>
        <v>45018</v>
      </c>
      <c r="AG22" s="155">
        <f t="shared" ref="AG22:BI22" si="24">IFERROR(IF(AF22=$AG$7,"",AF22+1),"")</f>
        <v>45019</v>
      </c>
      <c r="AH22" s="155">
        <f t="shared" si="24"/>
        <v>45020</v>
      </c>
      <c r="AI22" s="155">
        <f t="shared" si="24"/>
        <v>45021</v>
      </c>
      <c r="AJ22" s="155">
        <f t="shared" si="24"/>
        <v>45022</v>
      </c>
      <c r="AK22" s="155">
        <f t="shared" si="24"/>
        <v>45023</v>
      </c>
      <c r="AL22" s="155">
        <f t="shared" si="24"/>
        <v>45024</v>
      </c>
      <c r="AM22" s="155">
        <f t="shared" si="24"/>
        <v>45025</v>
      </c>
      <c r="AN22" s="155">
        <f t="shared" si="24"/>
        <v>45026</v>
      </c>
      <c r="AO22" s="155">
        <f t="shared" si="24"/>
        <v>45027</v>
      </c>
      <c r="AP22" s="155">
        <f t="shared" si="24"/>
        <v>45028</v>
      </c>
      <c r="AQ22" s="155">
        <f t="shared" si="24"/>
        <v>45029</v>
      </c>
      <c r="AR22" s="155">
        <f t="shared" si="24"/>
        <v>45030</v>
      </c>
      <c r="AS22" s="155">
        <f t="shared" si="24"/>
        <v>45031</v>
      </c>
      <c r="AT22" s="155">
        <f t="shared" si="24"/>
        <v>45032</v>
      </c>
      <c r="AU22" s="155">
        <f t="shared" si="24"/>
        <v>45033</v>
      </c>
      <c r="AV22" s="155">
        <f t="shared" si="24"/>
        <v>45034</v>
      </c>
      <c r="AW22" s="155">
        <f t="shared" si="24"/>
        <v>45035</v>
      </c>
      <c r="AX22" s="155">
        <f t="shared" si="24"/>
        <v>45036</v>
      </c>
      <c r="AY22" s="155">
        <f t="shared" si="24"/>
        <v>45037</v>
      </c>
      <c r="AZ22" s="155">
        <f t="shared" si="24"/>
        <v>45038</v>
      </c>
      <c r="BA22" s="155">
        <f t="shared" si="24"/>
        <v>45039</v>
      </c>
      <c r="BB22" s="155">
        <f t="shared" si="24"/>
        <v>45040</v>
      </c>
      <c r="BC22" s="155">
        <f t="shared" si="24"/>
        <v>45041</v>
      </c>
      <c r="BD22" s="155">
        <f t="shared" si="24"/>
        <v>45042</v>
      </c>
      <c r="BE22" s="155">
        <f t="shared" si="24"/>
        <v>45043</v>
      </c>
      <c r="BF22" s="155">
        <f t="shared" si="24"/>
        <v>45044</v>
      </c>
      <c r="BG22" s="155">
        <f t="shared" si="24"/>
        <v>45045</v>
      </c>
      <c r="BH22" s="155">
        <f t="shared" si="24"/>
        <v>45046</v>
      </c>
      <c r="BI22" s="155" t="str">
        <f t="shared" si="24"/>
        <v/>
      </c>
      <c r="BJ22" s="149"/>
      <c r="BK22" s="149"/>
      <c r="BR22" s="105"/>
      <c r="BS22" s="23"/>
      <c r="BT22" s="23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3"/>
      <c r="CK22" s="130"/>
      <c r="CP22" s="6" t="s">
        <v>232</v>
      </c>
      <c r="CQ22" s="6">
        <f>SUMIFS(Table_Assembly[Specific Amount],Table_Assembly[NG Type],$CP$14,Table_Assembly[Product type],$BU$43,Table_Assembly[NG content],CP22,Table_Assembly[Month],$CP$12)</f>
        <v>0</v>
      </c>
      <c r="CR22" s="6">
        <f>SUMIFS(Table_Assembly[Specific Amount],Table_Assembly[NG Type],$CP$14,Table_Assembly[Product type],$BU$43,Table_Assembly[NG content],CP22,Table_Assembly[Month],$CQ$12)</f>
        <v>0</v>
      </c>
      <c r="CS22" s="6">
        <f>SUMIFS(Table_Assembly[Specific Amount],Table_Assembly[NG Type],$CP$14,Table_Assembly[Product type],$BU$43,Table_Assembly[NG content],CP22,Table_Assembly[Month],$CR$12)</f>
        <v>0</v>
      </c>
      <c r="CT22" s="6">
        <f>SUMIFS(Table_Assembly[Specific Amount],Table_Assembly[NG Type],$CP$14,Table_Assembly[Product type],$BU$43,Table_Assembly[NG content],CP22,Table_Assembly[Month],$CS$12)</f>
        <v>0</v>
      </c>
      <c r="CU22" s="6">
        <f>SUMIFS(Table_Assembly[Specific Amount],Table_Assembly[NG Type],$CP$14,Table_Assembly[Product type],$BU$43,Table_Assembly[NG content],CP22,Table_Assembly[Month],$CT$12)</f>
        <v>1</v>
      </c>
      <c r="CV22" s="6">
        <f>SUMIFS(Table_Assembly[Specific Amount],Table_Assembly[NG Type],$CP$14,Table_Assembly[Product type],$BU$43,Table_Assembly[NG content],CP22,Table_Assembly[Month],$CU$12)</f>
        <v>0</v>
      </c>
      <c r="CW22" s="6">
        <f>SUMIFS(Table_Assembly[Specific Amount],Table_Assembly[NG Type],$CP$14,Table_Assembly[Product type],$BU$43,Table_Assembly[NG content],CP22,Table_Assembly[Month],$CV$12)</f>
        <v>0</v>
      </c>
      <c r="CX22" s="6">
        <f>SUMIFS(Table_Assembly[Specific Amount],Table_Assembly[NG Type],$CP$14,Table_Assembly[Product type],$BU$43,Table_Assembly[NG content],CP22,Table_Assembly[Month],$CW$12)</f>
        <v>0</v>
      </c>
      <c r="CY22" s="6">
        <f>SUMIFS(Table_Assembly[Specific Amount],Table_Assembly[NG Type],$CP$14,Table_Assembly[Product type],$BU$43,Table_Assembly[NG content],CP22,Table_Assembly[Month],$CX$12)</f>
        <v>0</v>
      </c>
      <c r="CZ22" s="6">
        <f>SUMIFS(Table_Assembly[Specific Amount],Table_Assembly[NG Type],$CP$14,Table_Assembly[Product type],$BU$43,Table_Assembly[NG content],CP22,Table_Assembly[Month],$CY$12)</f>
        <v>0</v>
      </c>
      <c r="DA22" s="6">
        <f>SUMIFS(Table_Assembly[Specific Amount],Table_Assembly[NG Type],$CP$14,Table_Assembly[Product type],$BU$43,Table_Assembly[NG content],CP22,Table_Assembly[Month],$CZ$12)</f>
        <v>0</v>
      </c>
      <c r="DB22" s="6">
        <f>SUMIFS(Table_Assembly[Total NG from material],Table_Assembly[Comp.],$CP$14,Table_Assembly[Total Produce],$BU$43,Table_Assembly[Reson for Others],CP22,Table_Assembly[Day],$DA$12)</f>
        <v>0</v>
      </c>
    </row>
    <row r="23" spans="1:106">
      <c r="A23" s="121"/>
      <c r="B23" s="134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3"/>
      <c r="T23" s="119"/>
      <c r="X23" s="6" t="e">
        <f ca="1">Z41=#REF!</f>
        <v>#REF!</v>
      </c>
      <c r="AA23" s="6" t="s">
        <v>71</v>
      </c>
      <c r="BR23" s="105"/>
      <c r="BS23" s="23"/>
      <c r="BT23" s="23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3"/>
      <c r="CK23" s="130"/>
      <c r="CP23" s="6" t="s">
        <v>176</v>
      </c>
      <c r="CQ23" s="6">
        <f>SUMIFS(Table_Assembly[Specific Amount],Table_Assembly[NG Type],$CP$14,Table_Assembly[Product type],$BU$43,Table_Assembly[NG content],CP23,Table_Assembly[Month],$CP$12)</f>
        <v>0</v>
      </c>
      <c r="CR23" s="6">
        <f>SUMIFS(Table_Assembly[Specific Amount],Table_Assembly[NG Type],$CP$14,Table_Assembly[Product type],$BU$43,Table_Assembly[NG content],CP23,Table_Assembly[Month],$CQ$12)</f>
        <v>0</v>
      </c>
      <c r="CS23" s="6">
        <f>SUMIFS(Table_Assembly[Specific Amount],Table_Assembly[NG Type],$CP$14,Table_Assembly[Product type],$BU$43,Table_Assembly[NG content],CP23,Table_Assembly[Month],$CR$12)</f>
        <v>0</v>
      </c>
      <c r="CT23" s="6">
        <f>SUMIFS(Table_Assembly[Specific Amount],Table_Assembly[NG Type],$CP$14,Table_Assembly[Product type],$BU$43,Table_Assembly[NG content],CP23,Table_Assembly[Month],$CS$12)</f>
        <v>0</v>
      </c>
      <c r="CU23" s="6">
        <f>SUMIFS(Table_Assembly[Specific Amount],Table_Assembly[NG Type],$CP$14,Table_Assembly[Product type],$BU$43,Table_Assembly[NG content],CP23,Table_Assembly[Month],$CT$12)</f>
        <v>0</v>
      </c>
      <c r="CV23" s="6">
        <f>SUMIFS(Table_Assembly[Specific Amount],Table_Assembly[NG Type],$CP$14,Table_Assembly[Product type],$BU$43,Table_Assembly[NG content],CP23,Table_Assembly[Month],$CU$12)</f>
        <v>0</v>
      </c>
      <c r="CW23" s="6">
        <f>SUMIFS(Table_Assembly[Specific Amount],Table_Assembly[NG Type],$CP$14,Table_Assembly[Product type],$BU$43,Table_Assembly[NG content],CP23,Table_Assembly[Month],$CV$12)</f>
        <v>0</v>
      </c>
      <c r="CX23" s="6">
        <f>SUMIFS(Table_Assembly[Specific Amount],Table_Assembly[NG Type],$CP$14,Table_Assembly[Product type],$BU$43,Table_Assembly[NG content],CP23,Table_Assembly[Month],$CW$12)</f>
        <v>0</v>
      </c>
      <c r="CY23" s="6">
        <f>SUMIFS(Table_Assembly[Specific Amount],Table_Assembly[NG Type],$CP$14,Table_Assembly[Product type],$BU$43,Table_Assembly[NG content],CP23,Table_Assembly[Month],$CX$12)</f>
        <v>0</v>
      </c>
      <c r="CZ23" s="6">
        <f>SUMIFS(Table_Assembly[Specific Amount],Table_Assembly[NG Type],$CP$14,Table_Assembly[Product type],$BU$43,Table_Assembly[NG content],CP23,Table_Assembly[Month],$CY$12)</f>
        <v>0</v>
      </c>
      <c r="DA23" s="6">
        <f>SUMIFS(Table_Assembly[Specific Amount],Table_Assembly[NG Type],$CP$14,Table_Assembly[Product type],$BU$43,Table_Assembly[NG content],CP23,Table_Assembly[Month],$CZ$12)</f>
        <v>0</v>
      </c>
      <c r="DB23" s="6">
        <f>SUMIFS(Table_Assembly[Total NG from material],Table_Assembly[Comp.],$CP$14,Table_Assembly[Total Produce],$BU$43,Table_Assembly[Reson for Others],CP23,Table_Assembly[Day],$DA$12)</f>
        <v>0</v>
      </c>
    </row>
    <row r="24" spans="1:106">
      <c r="A24" s="122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3"/>
      <c r="T24" s="119"/>
      <c r="AA24" s="6" t="s">
        <v>53</v>
      </c>
      <c r="AO24" s="6" t="str">
        <f ca="1">IFERROR(IF($AO$26=#REF!,_xlfn.SINGLE(ROW(#REF!)),""),"")</f>
        <v/>
      </c>
      <c r="BR24" s="105"/>
      <c r="BS24" s="23"/>
      <c r="BT24" s="23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3"/>
      <c r="CK24" s="130"/>
      <c r="CP24" s="6" t="s">
        <v>177</v>
      </c>
      <c r="CQ24" s="6">
        <f>SUMIFS(Table_Assembly[Specific Amount],Table_Assembly[NG Type],$CP$14,Table_Assembly[Product type],$BU$43,Table_Assembly[NG content],CP24,Table_Assembly[Month],$CP$12)</f>
        <v>0</v>
      </c>
      <c r="CR24" s="6">
        <f>SUMIFS(Table_Assembly[Specific Amount],Table_Assembly[NG Type],$CP$14,Table_Assembly[Product type],$BU$43,Table_Assembly[NG content],CP24,Table_Assembly[Month],$CQ$12)</f>
        <v>0</v>
      </c>
      <c r="CS24" s="6">
        <f>SUMIFS(Table_Assembly[Specific Amount],Table_Assembly[NG Type],$CP$14,Table_Assembly[Product type],$BU$43,Table_Assembly[NG content],CP24,Table_Assembly[Month],$CR$12)</f>
        <v>0</v>
      </c>
      <c r="CT24" s="6">
        <f>SUMIFS(Table_Assembly[Specific Amount],Table_Assembly[NG Type],$CP$14,Table_Assembly[Product type],$BU$43,Table_Assembly[NG content],CP24,Table_Assembly[Month],$CS$12)</f>
        <v>0</v>
      </c>
      <c r="CU24" s="6">
        <f>SUMIFS(Table_Assembly[Specific Amount],Table_Assembly[NG Type],$CP$14,Table_Assembly[Product type],$BU$43,Table_Assembly[NG content],CP24,Table_Assembly[Month],$CT$12)</f>
        <v>3</v>
      </c>
      <c r="CV24" s="6">
        <f>SUMIFS(Table_Assembly[Specific Amount],Table_Assembly[NG Type],$CP$14,Table_Assembly[Product type],$BU$43,Table_Assembly[NG content],CP24,Table_Assembly[Month],$CU$12)</f>
        <v>0</v>
      </c>
      <c r="CW24" s="6">
        <f>SUMIFS(Table_Assembly[Specific Amount],Table_Assembly[NG Type],$CP$14,Table_Assembly[Product type],$BU$43,Table_Assembly[NG content],CP24,Table_Assembly[Month],$CV$12)</f>
        <v>0</v>
      </c>
      <c r="CX24" s="6">
        <f>SUMIFS(Table_Assembly[Specific Amount],Table_Assembly[NG Type],$CP$14,Table_Assembly[Product type],$BU$43,Table_Assembly[NG content],CP24,Table_Assembly[Month],$CW$12)</f>
        <v>0</v>
      </c>
      <c r="CY24" s="6">
        <f>SUMIFS(Table_Assembly[Specific Amount],Table_Assembly[NG Type],$CP$14,Table_Assembly[Product type],$BU$43,Table_Assembly[NG content],CP24,Table_Assembly[Month],$CX$12)</f>
        <v>0</v>
      </c>
      <c r="CZ24" s="6">
        <f>SUMIFS(Table_Assembly[Specific Amount],Table_Assembly[NG Type],$CP$14,Table_Assembly[Product type],$BU$43,Table_Assembly[NG content],CP24,Table_Assembly[Month],$CY$12)</f>
        <v>0</v>
      </c>
      <c r="DA24" s="6">
        <f>SUMIFS(Table_Assembly[Specific Amount],Table_Assembly[NG Type],$CP$14,Table_Assembly[Product type],$BU$43,Table_Assembly[NG content],CP24,Table_Assembly[Month],$CZ$12)</f>
        <v>0</v>
      </c>
      <c r="DB24" s="6">
        <f>SUMIFS(Table_Assembly[Total NG from material],Table_Assembly[Comp.],$CP$14,Table_Assembly[Total Produce],$BU$43,Table_Assembly[Reson for Others],CP24,Table_Assembly[Day],$DA$12)</f>
        <v>0</v>
      </c>
    </row>
    <row r="25" spans="1:106">
      <c r="A25" s="122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3"/>
      <c r="T25" s="119"/>
      <c r="AA25" s="6" t="s">
        <v>84</v>
      </c>
      <c r="AG25" s="6" t="e">
        <f ca="1">OFFSET($AG$28,0,0,COUNTA($AG$28:$AG$58))</f>
        <v>#VALUE!</v>
      </c>
      <c r="BR25" s="105"/>
      <c r="BS25" s="23"/>
      <c r="BT25" s="23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3"/>
      <c r="CK25" s="130"/>
      <c r="CP25" s="6" t="s">
        <v>178</v>
      </c>
      <c r="CQ25" s="6">
        <f>SUMIFS(Table_Assembly[Specific Amount],Table_Assembly[NG Type],$CP$14,Table_Assembly[Product type],$BU$43,Table_Assembly[NG content],CP25,Table_Assembly[Month],$CP$12)</f>
        <v>0</v>
      </c>
      <c r="CR25" s="6">
        <f>SUMIFS(Table_Assembly[Specific Amount],Table_Assembly[NG Type],$CP$14,Table_Assembly[Product type],$BU$43,Table_Assembly[NG content],CP25,Table_Assembly[Month],$CQ$12)</f>
        <v>0</v>
      </c>
      <c r="CS25" s="6">
        <f>SUMIFS(Table_Assembly[Specific Amount],Table_Assembly[NG Type],$CP$14,Table_Assembly[Product type],$BU$43,Table_Assembly[NG content],CP25,Table_Assembly[Month],$CR$12)</f>
        <v>0</v>
      </c>
      <c r="CT25" s="6">
        <f>SUMIFS(Table_Assembly[Specific Amount],Table_Assembly[NG Type],$CP$14,Table_Assembly[Product type],$BU$43,Table_Assembly[NG content],CP25,Table_Assembly[Month],$CS$12)</f>
        <v>0</v>
      </c>
      <c r="CU25" s="6">
        <f>SUMIFS(Table_Assembly[Specific Amount],Table_Assembly[NG Type],$CP$14,Table_Assembly[Product type],$BU$43,Table_Assembly[NG content],CP25,Table_Assembly[Month],$CT$12)</f>
        <v>4</v>
      </c>
      <c r="CV25" s="6">
        <f>SUMIFS(Table_Assembly[Specific Amount],Table_Assembly[NG Type],$CP$14,Table_Assembly[Product type],$BU$43,Table_Assembly[NG content],CP25,Table_Assembly[Month],$CU$12)</f>
        <v>0</v>
      </c>
      <c r="CW25" s="6">
        <f>SUMIFS(Table_Assembly[Specific Amount],Table_Assembly[NG Type],$CP$14,Table_Assembly[Product type],$BU$43,Table_Assembly[NG content],CP25,Table_Assembly[Month],$CV$12)</f>
        <v>0</v>
      </c>
      <c r="CX25" s="6">
        <f>SUMIFS(Table_Assembly[Specific Amount],Table_Assembly[NG Type],$CP$14,Table_Assembly[Product type],$BU$43,Table_Assembly[NG content],CP25,Table_Assembly[Month],$CW$12)</f>
        <v>0</v>
      </c>
      <c r="CY25" s="6">
        <f>SUMIFS(Table_Assembly[Specific Amount],Table_Assembly[NG Type],$CP$14,Table_Assembly[Product type],$BU$43,Table_Assembly[NG content],CP25,Table_Assembly[Month],$CX$12)</f>
        <v>0</v>
      </c>
      <c r="CZ25" s="6">
        <f>SUMIFS(Table_Assembly[Specific Amount],Table_Assembly[NG Type],$CP$14,Table_Assembly[Product type],$BU$43,Table_Assembly[NG content],CP25,Table_Assembly[Month],$CY$12)</f>
        <v>0</v>
      </c>
      <c r="DA25" s="6">
        <f>SUMIFS(Table_Assembly[Specific Amount],Table_Assembly[NG Type],$CP$14,Table_Assembly[Product type],$BU$43,Table_Assembly[NG content],CP25,Table_Assembly[Month],$CZ$12)</f>
        <v>0</v>
      </c>
      <c r="DB25" s="6">
        <f>SUMIFS(Table_Assembly[Total NG from material],Table_Assembly[Comp.],$CP$14,Table_Assembly[Total Produce],$BU$43,Table_Assembly[Reson for Others],CP25,Table_Assembly[Day],$DA$12)</f>
        <v>0</v>
      </c>
    </row>
    <row r="26" spans="1:106">
      <c r="A26" s="122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3"/>
      <c r="T26" s="119"/>
      <c r="AC26" s="6" t="e">
        <f ca="1">OFFSET($AC$28,0,0,COUNTA(AC28:AC35))</f>
        <v>#VALUE!</v>
      </c>
      <c r="AO26" s="6" t="str">
        <f ca="1">IFERROR(MATCH($B$114,OFFSET(#REF!,AO25,0,1000000),0)+AO25,"")</f>
        <v/>
      </c>
      <c r="AP26" s="156" t="str">
        <f ca="1">IFERROR(_xlfn.SINGLE(INDEX(#REF!,'Annual Report'!AO26)),"")</f>
        <v/>
      </c>
      <c r="AQ26" s="6" t="str">
        <f ca="1">IFERROR(_xlfn.SINGLE(INDEX(#REF!,'Annual Report'!AO26)),"")</f>
        <v/>
      </c>
      <c r="AS26" s="6" t="str">
        <f ca="1">IFERROR(MATCH($L$115,OFFSET(#REF!,AS25,0,1000000),0)+AS25,"")</f>
        <v/>
      </c>
      <c r="AT26" s="156" t="str">
        <f ca="1">IFERROR(_xlfn.SINGLE(INDEX(#REF!,'Annual Report'!AS26)),"")</f>
        <v/>
      </c>
      <c r="AU26" s="6" t="str">
        <f ca="1">IFERROR(_xlfn.SINGLE(INDEX(#REF!,'Annual Report'!AS26)),"")</f>
        <v/>
      </c>
      <c r="BR26" s="105"/>
      <c r="BS26" s="23"/>
      <c r="BT26" s="23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3"/>
      <c r="CK26" s="130"/>
      <c r="CP26" s="6" t="s">
        <v>233</v>
      </c>
      <c r="CQ26" s="6">
        <f>SUMIFS(Table_Assembly[Specific Amount],Table_Assembly[NG Type],$CP$14,Table_Assembly[Product type],$BU$43,Table_Assembly[NG content],CP26,Table_Assembly[Month],$CP$12)</f>
        <v>0</v>
      </c>
      <c r="CR26" s="6">
        <f>SUMIFS(Table_Assembly[Specific Amount],Table_Assembly[NG Type],$CP$14,Table_Assembly[Product type],$BU$43,Table_Assembly[NG content],CP26,Table_Assembly[Month],$CQ$12)</f>
        <v>0</v>
      </c>
      <c r="CS26" s="6">
        <f>SUMIFS(Table_Assembly[Specific Amount],Table_Assembly[NG Type],$CP$14,Table_Assembly[Product type],$BU$43,Table_Assembly[NG content],CP26,Table_Assembly[Month],$CR$12)</f>
        <v>0</v>
      </c>
      <c r="CT26" s="6">
        <f>SUMIFS(Table_Assembly[Specific Amount],Table_Assembly[NG Type],$CP$14,Table_Assembly[Product type],$BU$43,Table_Assembly[NG content],CP26,Table_Assembly[Month],$CS$12)</f>
        <v>0</v>
      </c>
      <c r="CU26" s="6">
        <f>SUMIFS(Table_Assembly[Specific Amount],Table_Assembly[NG Type],$CP$14,Table_Assembly[Product type],$BU$43,Table_Assembly[NG content],CP26,Table_Assembly[Month],$CT$12)</f>
        <v>27</v>
      </c>
      <c r="CV26" s="6">
        <f>SUMIFS(Table_Assembly[Specific Amount],Table_Assembly[NG Type],$CP$14,Table_Assembly[Product type],$BU$43,Table_Assembly[NG content],CP26,Table_Assembly[Month],$CU$12)</f>
        <v>4</v>
      </c>
      <c r="CW26" s="6">
        <f>SUMIFS(Table_Assembly[Specific Amount],Table_Assembly[NG Type],$CP$14,Table_Assembly[Product type],$BU$43,Table_Assembly[NG content],CP26,Table_Assembly[Month],$CV$12)</f>
        <v>0</v>
      </c>
      <c r="CX26" s="6">
        <f>SUMIFS(Table_Assembly[Specific Amount],Table_Assembly[NG Type],$CP$14,Table_Assembly[Product type],$BU$43,Table_Assembly[NG content],CP26,Table_Assembly[Month],$CW$12)</f>
        <v>0</v>
      </c>
      <c r="CY26" s="6">
        <f>SUMIFS(Table_Assembly[Specific Amount],Table_Assembly[NG Type],$CP$14,Table_Assembly[Product type],$BU$43,Table_Assembly[NG content],CP26,Table_Assembly[Month],$CX$12)</f>
        <v>0</v>
      </c>
      <c r="CZ26" s="6">
        <f>SUMIFS(Table_Assembly[Specific Amount],Table_Assembly[NG Type],$CP$14,Table_Assembly[Product type],$BU$43,Table_Assembly[NG content],CP26,Table_Assembly[Month],$CY$12)</f>
        <v>0</v>
      </c>
      <c r="DA26" s="6">
        <f>SUMIFS(Table_Assembly[Specific Amount],Table_Assembly[NG Type],$CP$14,Table_Assembly[Product type],$BU$43,Table_Assembly[NG content],CP26,Table_Assembly[Month],$CZ$12)</f>
        <v>0</v>
      </c>
      <c r="DB26" s="6">
        <f>SUMIFS(Table_Assembly[Total NG from material],Table_Assembly[Comp.],$CP$14,Table_Assembly[Total Produce],$BU$43,Table_Assembly[Reson for Others],CP26,Table_Assembly[Day],$DA$12)</f>
        <v>0</v>
      </c>
    </row>
    <row r="27" spans="1:106">
      <c r="A27" s="122"/>
      <c r="B27" s="23"/>
      <c r="C27" s="23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3"/>
      <c r="T27" s="119"/>
      <c r="V27" s="6" t="str">
        <f ca="1">LOOKUP(Y28,Z28:Z34)</f>
        <v/>
      </c>
      <c r="W27" s="6" t="e">
        <f ca="1">AND(#REF!=$D$5,OR(#REF!=Z28,#REF!=Z29,#REF!=Z30,#REF!=Z31,#REF!=Z32,#REF!=Z33,#REF!=Z34))</f>
        <v>#REF!</v>
      </c>
      <c r="Z27" s="6" t="e">
        <f ca="1">AND(#REF!=$D$5,OR(#REF!=Z28,#REF!=Z29,#REF!=Z30,#REF!=Z31,#REF!=Z32,#REF!=Z33,#REF!=Z34))</f>
        <v>#REF!</v>
      </c>
      <c r="AA27" s="6" t="e">
        <f ca="1">AND(#REF!=$D$5,OR(#REF!=Z36,#REF!=Z37,#REF!=Z38,#REF!=Z39,#REF!=Z40,#REF!=Z41,#REF!=Z42))</f>
        <v>#REF!</v>
      </c>
      <c r="AB27" s="6" t="e">
        <f ca="1">AND(#REF!=$D$5,OR(#REF!=Z44,#REF!=Z45,#REF!=Z46,#REF!=Z47,#REF!=Z48,#REF!=Z49,#REF!=Z50))</f>
        <v>#REF!</v>
      </c>
      <c r="AC27" s="6" t="e">
        <f ca="1">AND(#REF!=$D$5,OR(#REF!=Z52,#REF!=Z53,#REF!=Z54,#REF!=Z55,#REF!=Z56,#REF!=Z57,#REF!=Z58))</f>
        <v>#REF!</v>
      </c>
      <c r="AD27" s="6" t="e">
        <f ca="1">AND(#REF!=$D$5,OR(#REF!=Z60,#REF!=Z61,#REF!=Z62,#REF!=Z63,#REF!=Z64,#REF!=Z65,#REF!=Z66))</f>
        <v>#REF!</v>
      </c>
      <c r="AE27" s="6" t="e">
        <f ca="1">AND(#REF!=$D$5,OR(#REF!=Z68,#REF!=Z69,#REF!=Z70,#REF!=Z71,#REF!=Z72,#REF!=Z73,#REF!=Z74))</f>
        <v>#REF!</v>
      </c>
      <c r="AO27" s="6" t="str">
        <f ca="1">IFERROR(MATCH($B$114,OFFSET(#REF!,AO26,0,1000000),0)+AO26,"")</f>
        <v/>
      </c>
      <c r="AP27" s="156" t="str">
        <f ca="1">IFERROR(_xlfn.SINGLE(INDEX(#REF!,'Annual Report'!AO27)),"")</f>
        <v/>
      </c>
      <c r="AQ27" s="6" t="str">
        <f ca="1">IFERROR(_xlfn.SINGLE(INDEX(#REF!,'Annual Report'!AO27)),"")</f>
        <v/>
      </c>
      <c r="AS27" s="6" t="str">
        <f ca="1">IFERROR(MATCH($L$115,OFFSET(#REF!,AS26,0,1000000),0)+AS26,"")</f>
        <v/>
      </c>
      <c r="AT27" s="156" t="str">
        <f ca="1">IFERROR(_xlfn.SINGLE(INDEX(#REF!,'Annual Report'!AS27)),"")</f>
        <v/>
      </c>
      <c r="AU27" s="6" t="str">
        <f ca="1">IFERROR(_xlfn.SINGLE(INDEX(#REF!,'Annual Report'!AS27)),"")</f>
        <v/>
      </c>
      <c r="BR27" s="105"/>
      <c r="BS27" s="23"/>
      <c r="BT27" s="23"/>
      <c r="BU27" s="25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3"/>
      <c r="CK27" s="130"/>
      <c r="CP27" s="6" t="s">
        <v>179</v>
      </c>
      <c r="CQ27" s="6">
        <f>SUMIFS(Table_Assembly[Specific Amount],Table_Assembly[NG Type],$CP$14,Table_Assembly[Product type],$BU$43,Table_Assembly[NG content],CP27,Table_Assembly[Month],$CP$12)</f>
        <v>0</v>
      </c>
      <c r="CR27" s="6">
        <f>SUMIFS(Table_Assembly[Specific Amount],Table_Assembly[NG Type],$CP$14,Table_Assembly[Product type],$BU$43,Table_Assembly[NG content],CP27,Table_Assembly[Month],$CQ$12)</f>
        <v>0</v>
      </c>
      <c r="CS27" s="6">
        <f>SUMIFS(Table_Assembly[Specific Amount],Table_Assembly[NG Type],$CP$14,Table_Assembly[Product type],$BU$43,Table_Assembly[NG content],CP27,Table_Assembly[Month],$CR$12)</f>
        <v>0</v>
      </c>
      <c r="CT27" s="6">
        <f>SUMIFS(Table_Assembly[Specific Amount],Table_Assembly[NG Type],$CP$14,Table_Assembly[Product type],$BU$43,Table_Assembly[NG content],CP27,Table_Assembly[Month],$CS$12)</f>
        <v>0</v>
      </c>
      <c r="CU27" s="6">
        <f>SUMIFS(Table_Assembly[Specific Amount],Table_Assembly[NG Type],$CP$14,Table_Assembly[Product type],$BU$43,Table_Assembly[NG content],CP27,Table_Assembly[Month],$CT$12)</f>
        <v>0</v>
      </c>
      <c r="CV27" s="6">
        <f>SUMIFS(Table_Assembly[Specific Amount],Table_Assembly[NG Type],$CP$14,Table_Assembly[Product type],$BU$43,Table_Assembly[NG content],CP27,Table_Assembly[Month],$CU$12)</f>
        <v>0</v>
      </c>
      <c r="CW27" s="6">
        <f>SUMIFS(Table_Assembly[Specific Amount],Table_Assembly[NG Type],$CP$14,Table_Assembly[Product type],$BU$43,Table_Assembly[NG content],CP27,Table_Assembly[Month],$CV$12)</f>
        <v>0</v>
      </c>
      <c r="CX27" s="6">
        <f>SUMIFS(Table_Assembly[Specific Amount],Table_Assembly[NG Type],$CP$14,Table_Assembly[Product type],$BU$43,Table_Assembly[NG content],CP27,Table_Assembly[Month],$CW$12)</f>
        <v>0</v>
      </c>
      <c r="CY27" s="6">
        <f>SUMIFS(Table_Assembly[Specific Amount],Table_Assembly[NG Type],$CP$14,Table_Assembly[Product type],$BU$43,Table_Assembly[NG content],CP27,Table_Assembly[Month],$CX$12)</f>
        <v>0</v>
      </c>
      <c r="CZ27" s="6">
        <f>SUMIFS(Table_Assembly[Specific Amount],Table_Assembly[NG Type],$CP$14,Table_Assembly[Product type],$BU$43,Table_Assembly[NG content],CP27,Table_Assembly[Month],$CY$12)</f>
        <v>0</v>
      </c>
      <c r="DA27" s="6">
        <f>SUMIFS(Table_Assembly[Specific Amount],Table_Assembly[NG Type],$CP$14,Table_Assembly[Product type],$BU$43,Table_Assembly[NG content],CP27,Table_Assembly[Month],$CZ$12)</f>
        <v>0</v>
      </c>
      <c r="DB27" s="6">
        <f>SUMIFS(Table_Assembly[Total NG from material],Table_Assembly[Comp.],$CP$14,Table_Assembly[Total Produce],$BU$43,Table_Assembly[Reson for Others],CP27,Table_Assembly[Day],$DA$12)</f>
        <v>0</v>
      </c>
    </row>
    <row r="28" spans="1:106">
      <c r="A28" s="122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3"/>
      <c r="T28" s="119"/>
      <c r="U28" s="6" t="b">
        <f ca="1">ISNUMBER(Z28)</f>
        <v>1</v>
      </c>
      <c r="V28" s="6" t="str">
        <f ca="1">LOOKUP(X28,1/(1-ISNUMBER($Z$28:$Z$34)),$Z$28:$Z$34)</f>
        <v/>
      </c>
      <c r="W28" s="149">
        <f>IFERROR(INDEX($AL$28:$AL$58,MATCH(Y28,$AG$28:$AG$58,0)),"")</f>
        <v>45017</v>
      </c>
      <c r="X28" s="6">
        <f ca="1">IFERROR(MATCH($Y$28,OFFSET($AH$28:$AH$58,X27,0,1000000),0)+X27,"")</f>
        <v>1</v>
      </c>
      <c r="Y28" s="6" t="s">
        <v>105</v>
      </c>
      <c r="Z28" s="155">
        <f ca="1">IFERROR(INDEX($AL$28:$AL$58,X28),"")</f>
        <v>45017</v>
      </c>
      <c r="AA28" s="6">
        <f>COUNTA($AG$28:$AG$58)</f>
        <v>31</v>
      </c>
      <c r="AB28" s="6">
        <f>COUNTBLANK($AG$28:$AG$58)</f>
        <v>26</v>
      </c>
      <c r="AC28" s="6" t="s">
        <v>105</v>
      </c>
      <c r="AD28" s="149">
        <f>AL28</f>
        <v>45017</v>
      </c>
      <c r="AE28" s="6" t="str">
        <f ca="1">OFFSET($AG$28:$AG$58,0,0)</f>
        <v>Week 1</v>
      </c>
      <c r="AF28" s="6">
        <f>IFERROR(RIGHT(AG28,1)*1,"")</f>
        <v>1</v>
      </c>
      <c r="AG28" s="150" t="str">
        <f>AH28</f>
        <v>Week 1</v>
      </c>
      <c r="AH28" s="150" t="str">
        <f t="shared" ref="AH28:AH58" si="25">IF(AK28="","",$AI$28&amp;" "&amp;AJ28)</f>
        <v>Week 1</v>
      </c>
      <c r="AI28" s="150" t="s">
        <v>3</v>
      </c>
      <c r="AJ28" s="150">
        <v>1</v>
      </c>
      <c r="AK28" s="150" t="str">
        <f>IFERROR(IF(WEEKDAY(AL28)=1, "Sunday",IF(WEEKDAY(AL28)=2,"Monday",IF(WEEKDAY(AL28)=3,"Tuesday",IF(WEEKDAY(AL28)=4,"Wednesday",IF(WEEKDAY(AL28)=5,"Thursday",IF(WEEKDAY(AL28)=6,"Friday",IF(WEEKDAY(AL28)=7,"Saturday",""))))))),"")</f>
        <v>Saturday</v>
      </c>
      <c r="AL28" s="155">
        <f>$AE$7</f>
        <v>45017</v>
      </c>
      <c r="AM28" s="6" t="b">
        <f>$B$11=AH28</f>
        <v>0</v>
      </c>
      <c r="AO28" s="6" t="str">
        <f ca="1">IFERROR(MATCH($B$114,OFFSET(#REF!,AO27,0,1000000),0)+AO27,"")</f>
        <v/>
      </c>
      <c r="AP28" s="156" t="str">
        <f ca="1">IFERROR(_xlfn.SINGLE(INDEX(#REF!,'Annual Report'!AO28)),"")</f>
        <v/>
      </c>
      <c r="AQ28" s="6" t="str">
        <f ca="1">IFERROR(_xlfn.SINGLE(INDEX(#REF!,'Annual Report'!AO28)),"")</f>
        <v/>
      </c>
      <c r="AS28" s="6" t="str">
        <f ca="1">IFERROR(MATCH($L$115,OFFSET(#REF!,AS27,0,1000000),0)+AS27,"")</f>
        <v/>
      </c>
      <c r="AT28" s="156" t="str">
        <f ca="1">IFERROR(_xlfn.SINGLE(INDEX(#REF!,'Annual Report'!AS28)),"")</f>
        <v/>
      </c>
      <c r="AU28" s="6" t="str">
        <f ca="1">IFERROR(_xlfn.SINGLE(INDEX(#REF!,'Annual Report'!AS28)),"")</f>
        <v/>
      </c>
      <c r="BR28" s="105"/>
      <c r="BS28" s="23"/>
      <c r="BT28" s="23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3"/>
      <c r="CK28" s="130"/>
      <c r="CP28" s="6" t="s">
        <v>180</v>
      </c>
      <c r="CQ28" s="6">
        <f>SUMIFS(Table_Assembly[Specific Amount],Table_Assembly[NG Type],$CP$14,Table_Assembly[Product type],$BU$43,Table_Assembly[NG content],CP28,Table_Assembly[Month],$CP$12)</f>
        <v>0</v>
      </c>
      <c r="CR28" s="6">
        <f>SUMIFS(Table_Assembly[Specific Amount],Table_Assembly[NG Type],$CP$14,Table_Assembly[Product type],$BU$43,Table_Assembly[NG content],CP28,Table_Assembly[Month],$CQ$12)</f>
        <v>0</v>
      </c>
      <c r="CS28" s="6">
        <f>SUMIFS(Table_Assembly[Specific Amount],Table_Assembly[NG Type],$CP$14,Table_Assembly[Product type],$BU$43,Table_Assembly[NG content],CP28,Table_Assembly[Month],$CR$12)</f>
        <v>0</v>
      </c>
      <c r="CT28" s="6">
        <f>SUMIFS(Table_Assembly[Specific Amount],Table_Assembly[NG Type],$CP$14,Table_Assembly[Product type],$BU$43,Table_Assembly[NG content],CP28,Table_Assembly[Month],$CS$12)</f>
        <v>0</v>
      </c>
      <c r="CU28" s="6">
        <f>SUMIFS(Table_Assembly[Specific Amount],Table_Assembly[NG Type],$CP$14,Table_Assembly[Product type],$BU$43,Table_Assembly[NG content],CP28,Table_Assembly[Month],$CT$12)</f>
        <v>0</v>
      </c>
      <c r="CV28" s="6">
        <f>SUMIFS(Table_Assembly[Specific Amount],Table_Assembly[NG Type],$CP$14,Table_Assembly[Product type],$BU$43,Table_Assembly[NG content],CP28,Table_Assembly[Month],$CU$12)</f>
        <v>0</v>
      </c>
      <c r="CW28" s="6">
        <f>SUMIFS(Table_Assembly[Specific Amount],Table_Assembly[NG Type],$CP$14,Table_Assembly[Product type],$BU$43,Table_Assembly[NG content],CP28,Table_Assembly[Month],$CV$12)</f>
        <v>0</v>
      </c>
      <c r="CX28" s="6">
        <f>SUMIFS(Table_Assembly[Specific Amount],Table_Assembly[NG Type],$CP$14,Table_Assembly[Product type],$BU$43,Table_Assembly[NG content],CP28,Table_Assembly[Month],$CW$12)</f>
        <v>0</v>
      </c>
      <c r="CY28" s="6">
        <f>SUMIFS(Table_Assembly[Specific Amount],Table_Assembly[NG Type],$CP$14,Table_Assembly[Product type],$BU$43,Table_Assembly[NG content],CP28,Table_Assembly[Month],$CX$12)</f>
        <v>0</v>
      </c>
      <c r="CZ28" s="6">
        <f>SUMIFS(Table_Assembly[Specific Amount],Table_Assembly[NG Type],$CP$14,Table_Assembly[Product type],$BU$43,Table_Assembly[NG content],CP28,Table_Assembly[Month],$CY$12)</f>
        <v>0</v>
      </c>
      <c r="DA28" s="6">
        <f>SUMIFS(Table_Assembly[Specific Amount],Table_Assembly[NG Type],$CP$14,Table_Assembly[Product type],$BU$43,Table_Assembly[NG content],CP28,Table_Assembly[Month],$CZ$12)</f>
        <v>0</v>
      </c>
      <c r="DB28" s="6">
        <f>SUMIFS(Table_Assembly[Total NG from material],Table_Assembly[Comp.],$CP$14,Table_Assembly[Total Produce],$BU$43,Table_Assembly[Reson for Others],CP28,Table_Assembly[Day],$DA$12)</f>
        <v>0</v>
      </c>
    </row>
    <row r="29" spans="1:106">
      <c r="A29" s="122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3"/>
      <c r="T29" s="119"/>
      <c r="U29" s="6" t="b">
        <f t="shared" ref="U29:U34" ca="1" si="26">ISNUMBER(Z29)</f>
        <v>1</v>
      </c>
      <c r="V29" s="6" t="str">
        <f t="shared" ref="V29:V34" ca="1" si="27">LOOKUP(X29,1/(1-ISNUMBER($Z$28:$Z$34)),$Z$28:$Z$34)</f>
        <v/>
      </c>
      <c r="W29" s="149">
        <f>IFERROR(INDEX($AL$28:$AL$58-1,MATCH(RIGHT(Y28,2)*1+1,$AJ$28:$AJ$58,0)),$AG$7)</f>
        <v>45018</v>
      </c>
      <c r="X29" s="6">
        <f t="shared" ref="X29:X34" ca="1" si="28">IFERROR(MATCH($Y$28,OFFSET($AH$28:$AH$58,X28,0,1000000),0)+X28,"")</f>
        <v>2</v>
      </c>
      <c r="Z29" s="155">
        <f t="shared" ref="Z29:Z34" ca="1" si="29">IFERROR(INDEX($AL$28:$AL$58,X29),"")</f>
        <v>45018</v>
      </c>
      <c r="AB29" s="6">
        <f>$AA$28-$AB$28</f>
        <v>5</v>
      </c>
      <c r="AC29" s="6" t="s">
        <v>104</v>
      </c>
      <c r="AD29" s="149">
        <f t="shared" ref="AD29:AD58" si="30">AL29</f>
        <v>45018</v>
      </c>
      <c r="AE29" s="6" t="str">
        <f t="shared" ref="AE29:AE58" ca="1" si="31">OFFSET($AG$28:$AG$58,0,0)</f>
        <v/>
      </c>
      <c r="AF29" s="6" t="str">
        <f t="shared" ref="AF29:AF58" si="32">IFERROR(RIGHT(AG29,1)*1,"")</f>
        <v/>
      </c>
      <c r="AG29" s="150" t="str">
        <f t="shared" ref="AG29:AG58" si="33">IFERROR(IF(AH29=AH28,"",AH29),"")</f>
        <v/>
      </c>
      <c r="AH29" s="150" t="str">
        <f t="shared" si="25"/>
        <v>Week 1</v>
      </c>
      <c r="AI29" s="150"/>
      <c r="AJ29" s="150">
        <f t="shared" ref="AJ29:AJ58" si="34">IF(AK29="","",IF(AK29="Monday",AJ28+1,AJ28))</f>
        <v>1</v>
      </c>
      <c r="AK29" s="150" t="str">
        <f t="shared" ref="AK29:AK58" si="35">IFERROR(IF(WEEKDAY(AL29)=1, "Sunday",IF(WEEKDAY(AL29)=2,"Monday",IF(WEEKDAY(AL29)=3,"Tuesday",IF(WEEKDAY(AL29)=4,"Wednesday",IF(WEEKDAY(AL29)=5,"Thursday",IF(WEEKDAY(AL29)=6,"Friday",IF(WEEKDAY(AL29)=7,"Saturday",""))))))),"")</f>
        <v>Sunday</v>
      </c>
      <c r="AL29" s="155">
        <f t="shared" ref="AL29:AL58" si="36">IFERROR(IF(AL28=$AG$7,"",AL28+1),"")</f>
        <v>45018</v>
      </c>
      <c r="AM29" s="6" t="b">
        <f t="shared" ref="AM29:AM58" si="37">$B$11=AH29</f>
        <v>0</v>
      </c>
      <c r="AO29" s="6" t="str">
        <f ca="1">IFERROR(MATCH($B$114,OFFSET(#REF!,AO28,0,1000000),0)+AO28,"")</f>
        <v/>
      </c>
      <c r="AP29" s="156" t="str">
        <f ca="1">IFERROR(_xlfn.SINGLE(INDEX(#REF!,'Annual Report'!AO29)),"")</f>
        <v/>
      </c>
      <c r="AQ29" s="6" t="str">
        <f ca="1">IFERROR(_xlfn.SINGLE(INDEX(#REF!,'Annual Report'!AO29)),"")</f>
        <v/>
      </c>
      <c r="AS29" s="6" t="str">
        <f ca="1">IFERROR(MATCH($L$115,OFFSET(#REF!,AS28,0,1000000),0)+AS28,"")</f>
        <v/>
      </c>
      <c r="AT29" s="156" t="str">
        <f ca="1">IFERROR(_xlfn.SINGLE(INDEX(#REF!,'Annual Report'!AS29)),"")</f>
        <v/>
      </c>
      <c r="AU29" s="6" t="str">
        <f ca="1">IFERROR(_xlfn.SINGLE(INDEX(#REF!,'Annual Report'!AS29)),"")</f>
        <v/>
      </c>
      <c r="BR29" s="105"/>
      <c r="BS29" s="23"/>
      <c r="BT29" s="23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3"/>
      <c r="CK29" s="130"/>
      <c r="CP29" s="6" t="s">
        <v>181</v>
      </c>
      <c r="CQ29" s="6">
        <f>SUMIFS(Table_Assembly[Specific Amount],Table_Assembly[NG Type],$CP$14,Table_Assembly[Product type],$BU$43,Table_Assembly[NG content],CP29,Table_Assembly[Month],$CP$12)</f>
        <v>0</v>
      </c>
      <c r="CR29" s="6">
        <f>SUMIFS(Table_Assembly[Specific Amount],Table_Assembly[NG Type],$CP$14,Table_Assembly[Product type],$BU$43,Table_Assembly[NG content],CP29,Table_Assembly[Month],$CQ$12)</f>
        <v>0</v>
      </c>
      <c r="CS29" s="6">
        <f>SUMIFS(Table_Assembly[Specific Amount],Table_Assembly[NG Type],$CP$14,Table_Assembly[Product type],$BU$43,Table_Assembly[NG content],CP29,Table_Assembly[Month],$CR$12)</f>
        <v>0</v>
      </c>
      <c r="CT29" s="6">
        <f>SUMIFS(Table_Assembly[Specific Amount],Table_Assembly[NG Type],$CP$14,Table_Assembly[Product type],$BU$43,Table_Assembly[NG content],CP29,Table_Assembly[Month],$CS$12)</f>
        <v>0</v>
      </c>
      <c r="CU29" s="6">
        <f>SUMIFS(Table_Assembly[Specific Amount],Table_Assembly[NG Type],$CP$14,Table_Assembly[Product type],$BU$43,Table_Assembly[NG content],CP29,Table_Assembly[Month],$CT$12)</f>
        <v>0</v>
      </c>
      <c r="CV29" s="6">
        <f>SUMIFS(Table_Assembly[Specific Amount],Table_Assembly[NG Type],$CP$14,Table_Assembly[Product type],$BU$43,Table_Assembly[NG content],CP29,Table_Assembly[Month],$CU$12)</f>
        <v>0</v>
      </c>
      <c r="CW29" s="6">
        <f>SUMIFS(Table_Assembly[Specific Amount],Table_Assembly[NG Type],$CP$14,Table_Assembly[Product type],$BU$43,Table_Assembly[NG content],CP29,Table_Assembly[Month],$CV$12)</f>
        <v>0</v>
      </c>
      <c r="CX29" s="6">
        <f>SUMIFS(Table_Assembly[Specific Amount],Table_Assembly[NG Type],$CP$14,Table_Assembly[Product type],$BU$43,Table_Assembly[NG content],CP29,Table_Assembly[Month],$CW$12)</f>
        <v>0</v>
      </c>
      <c r="CY29" s="6">
        <f>SUMIFS(Table_Assembly[Specific Amount],Table_Assembly[NG Type],$CP$14,Table_Assembly[Product type],$BU$43,Table_Assembly[NG content],CP29,Table_Assembly[Month],$CX$12)</f>
        <v>0</v>
      </c>
      <c r="CZ29" s="6">
        <f>SUMIFS(Table_Assembly[Specific Amount],Table_Assembly[NG Type],$CP$14,Table_Assembly[Product type],$BU$43,Table_Assembly[NG content],CP29,Table_Assembly[Month],$CY$12)</f>
        <v>0</v>
      </c>
      <c r="DA29" s="6">
        <f>SUMIFS(Table_Assembly[Specific Amount],Table_Assembly[NG Type],$CP$14,Table_Assembly[Product type],$BU$43,Table_Assembly[NG content],CP29,Table_Assembly[Month],$CZ$12)</f>
        <v>0</v>
      </c>
      <c r="DB29" s="6">
        <f>SUMIFS(Table_Assembly[Total NG from material],Table_Assembly[Comp.],$CP$14,Table_Assembly[Total Produce],$BU$43,Table_Assembly[Reson for Others],CP29,Table_Assembly[Day],$DA$12)</f>
        <v>0</v>
      </c>
    </row>
    <row r="30" spans="1:106">
      <c r="A30" s="122"/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3"/>
      <c r="T30" s="119"/>
      <c r="U30" s="6" t="b">
        <f t="shared" ca="1" si="26"/>
        <v>0</v>
      </c>
      <c r="V30" s="6" t="e">
        <f t="shared" ca="1" si="27"/>
        <v>#N/A</v>
      </c>
      <c r="W30" s="149"/>
      <c r="X30" s="6" t="str">
        <f t="shared" ca="1" si="28"/>
        <v/>
      </c>
      <c r="Z30" s="155" t="str">
        <f t="shared" ca="1" si="29"/>
        <v/>
      </c>
      <c r="AC30" s="6" t="s">
        <v>82</v>
      </c>
      <c r="AD30" s="149">
        <f t="shared" si="30"/>
        <v>45019</v>
      </c>
      <c r="AE30" s="6" t="str">
        <f t="shared" ca="1" si="31"/>
        <v>Week 2</v>
      </c>
      <c r="AF30" s="6">
        <f t="shared" si="32"/>
        <v>2</v>
      </c>
      <c r="AG30" s="150" t="str">
        <f t="shared" si="33"/>
        <v>Week 2</v>
      </c>
      <c r="AH30" s="150" t="str">
        <f t="shared" si="25"/>
        <v>Week 2</v>
      </c>
      <c r="AI30" s="150"/>
      <c r="AJ30" s="150">
        <f t="shared" si="34"/>
        <v>2</v>
      </c>
      <c r="AK30" s="150" t="str">
        <f t="shared" si="35"/>
        <v>Monday</v>
      </c>
      <c r="AL30" s="155">
        <f t="shared" si="36"/>
        <v>45019</v>
      </c>
      <c r="AM30" s="6" t="b">
        <f t="shared" si="37"/>
        <v>0</v>
      </c>
      <c r="AO30" s="6" t="str">
        <f ca="1">IFERROR(MATCH($B$114,OFFSET(#REF!,AO29,0,1000000),0)+AO29,"")</f>
        <v/>
      </c>
      <c r="AP30" s="156" t="str">
        <f ca="1">IFERROR(_xlfn.SINGLE(INDEX(#REF!,'Annual Report'!AO30)),"")</f>
        <v/>
      </c>
      <c r="AQ30" s="6" t="str">
        <f ca="1">IFERROR(_xlfn.SINGLE(INDEX(#REF!,'Annual Report'!AO30)),"")</f>
        <v/>
      </c>
      <c r="AS30" s="6" t="str">
        <f ca="1">IFERROR(MATCH($L$115,OFFSET(#REF!,AS29,0,1000000),0)+AS29,"")</f>
        <v/>
      </c>
      <c r="AT30" s="156" t="str">
        <f ca="1">IFERROR(_xlfn.SINGLE(INDEX(#REF!,'Annual Report'!AS30)),"")</f>
        <v/>
      </c>
      <c r="AU30" s="6" t="str">
        <f ca="1">IFERROR(_xlfn.SINGLE(INDEX(#REF!,'Annual Report'!AS30)),"")</f>
        <v/>
      </c>
      <c r="BR30" s="105"/>
      <c r="BS30" s="23"/>
      <c r="BT30" s="23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3"/>
      <c r="CK30" s="130"/>
      <c r="CP30" s="6" t="s">
        <v>182</v>
      </c>
      <c r="CQ30" s="6">
        <f>SUMIFS(Table_Assembly[Specific Amount],Table_Assembly[NG Type],$CP$14,Table_Assembly[Product type],$BU$43,Table_Assembly[NG content],CP30,Table_Assembly[Month],$CP$12)</f>
        <v>0</v>
      </c>
      <c r="CR30" s="6">
        <f>SUMIFS(Table_Assembly[Specific Amount],Table_Assembly[NG Type],$CP$14,Table_Assembly[Product type],$BU$43,Table_Assembly[NG content],CP30,Table_Assembly[Month],$CQ$12)</f>
        <v>0</v>
      </c>
      <c r="CS30" s="6">
        <f>SUMIFS(Table_Assembly[Specific Amount],Table_Assembly[NG Type],$CP$14,Table_Assembly[Product type],$BU$43,Table_Assembly[NG content],CP30,Table_Assembly[Month],$CR$12)</f>
        <v>0</v>
      </c>
      <c r="CT30" s="6">
        <f>SUMIFS(Table_Assembly[Specific Amount],Table_Assembly[NG Type],$CP$14,Table_Assembly[Product type],$BU$43,Table_Assembly[NG content],CP30,Table_Assembly[Month],$CS$12)</f>
        <v>0</v>
      </c>
      <c r="CU30" s="6">
        <f>SUMIFS(Table_Assembly[Specific Amount],Table_Assembly[NG Type],$CP$14,Table_Assembly[Product type],$BU$43,Table_Assembly[NG content],CP30,Table_Assembly[Month],$CT$12)</f>
        <v>0</v>
      </c>
      <c r="CV30" s="6">
        <f>SUMIFS(Table_Assembly[Specific Amount],Table_Assembly[NG Type],$CP$14,Table_Assembly[Product type],$BU$43,Table_Assembly[NG content],CP30,Table_Assembly[Month],$CU$12)</f>
        <v>0</v>
      </c>
      <c r="CW30" s="6">
        <f>SUMIFS(Table_Assembly[Specific Amount],Table_Assembly[NG Type],$CP$14,Table_Assembly[Product type],$BU$43,Table_Assembly[NG content],CP30,Table_Assembly[Month],$CV$12)</f>
        <v>0</v>
      </c>
      <c r="CX30" s="6">
        <f>SUMIFS(Table_Assembly[Specific Amount],Table_Assembly[NG Type],$CP$14,Table_Assembly[Product type],$BU$43,Table_Assembly[NG content],CP30,Table_Assembly[Month],$CW$12)</f>
        <v>0</v>
      </c>
      <c r="CY30" s="6">
        <f>SUMIFS(Table_Assembly[Specific Amount],Table_Assembly[NG Type],$CP$14,Table_Assembly[Product type],$BU$43,Table_Assembly[NG content],CP30,Table_Assembly[Month],$CX$12)</f>
        <v>0</v>
      </c>
      <c r="CZ30" s="6">
        <f>SUMIFS(Table_Assembly[Specific Amount],Table_Assembly[NG Type],$CP$14,Table_Assembly[Product type],$BU$43,Table_Assembly[NG content],CP30,Table_Assembly[Month],$CY$12)</f>
        <v>0</v>
      </c>
      <c r="DA30" s="6">
        <f>SUMIFS(Table_Assembly[Specific Amount],Table_Assembly[NG Type],$CP$14,Table_Assembly[Product type],$BU$43,Table_Assembly[NG content],CP30,Table_Assembly[Month],$CZ$12)</f>
        <v>0</v>
      </c>
      <c r="DB30" s="6">
        <f>SUMIFS(Table_Assembly[Total NG from material],Table_Assembly[Comp.],$CP$14,Table_Assembly[Total Produce],$BU$43,Table_Assembly[Reson for Others],CP30,Table_Assembly[Day],$DA$12)</f>
        <v>0</v>
      </c>
    </row>
    <row r="31" spans="1:106">
      <c r="A31" s="122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119"/>
      <c r="U31" s="6" t="b">
        <f t="shared" ca="1" si="26"/>
        <v>0</v>
      </c>
      <c r="V31" s="6" t="e">
        <f t="shared" ca="1" si="27"/>
        <v>#N/A</v>
      </c>
      <c r="W31" s="149"/>
      <c r="X31" s="6" t="str">
        <f t="shared" ca="1" si="28"/>
        <v/>
      </c>
      <c r="Z31" s="155" t="str">
        <f t="shared" ca="1" si="29"/>
        <v/>
      </c>
      <c r="AC31" s="6" t="s">
        <v>106</v>
      </c>
      <c r="AD31" s="149">
        <f t="shared" si="30"/>
        <v>45020</v>
      </c>
      <c r="AE31" s="6" t="str">
        <f t="shared" ca="1" si="31"/>
        <v/>
      </c>
      <c r="AF31" s="6" t="str">
        <f t="shared" si="32"/>
        <v/>
      </c>
      <c r="AG31" s="150" t="str">
        <f t="shared" si="33"/>
        <v/>
      </c>
      <c r="AH31" s="150" t="str">
        <f t="shared" si="25"/>
        <v>Week 2</v>
      </c>
      <c r="AI31" s="150"/>
      <c r="AJ31" s="150">
        <f t="shared" si="34"/>
        <v>2</v>
      </c>
      <c r="AK31" s="150" t="str">
        <f t="shared" si="35"/>
        <v>Tuesday</v>
      </c>
      <c r="AL31" s="155">
        <f t="shared" si="36"/>
        <v>45020</v>
      </c>
      <c r="AM31" s="6" t="b">
        <f t="shared" si="37"/>
        <v>0</v>
      </c>
      <c r="AO31" s="6" t="str">
        <f ca="1">IFERROR(MATCH($B$114,OFFSET(#REF!,AO30,0,1000000),0)+AO30,"")</f>
        <v/>
      </c>
      <c r="AP31" s="156" t="str">
        <f ca="1">IFERROR(_xlfn.SINGLE(INDEX(#REF!,'Annual Report'!AO31)),"")</f>
        <v/>
      </c>
      <c r="AQ31" s="6" t="str">
        <f ca="1">IFERROR(_xlfn.SINGLE(INDEX(#REF!,'Annual Report'!AO31)),"")</f>
        <v/>
      </c>
      <c r="AS31" s="6" t="str">
        <f ca="1">IFERROR(MATCH($L$115,OFFSET(#REF!,AS30,0,1000000),0)+AS30,"")</f>
        <v/>
      </c>
      <c r="AT31" s="156" t="str">
        <f ca="1">IFERROR(_xlfn.SINGLE(INDEX(#REF!,'Annual Report'!AS31)),"")</f>
        <v/>
      </c>
      <c r="AU31" s="6" t="str">
        <f ca="1">IFERROR(_xlfn.SINGLE(INDEX(#REF!,'Annual Report'!AS31)),"")</f>
        <v/>
      </c>
      <c r="BR31" s="105"/>
      <c r="BS31" s="23"/>
      <c r="BT31" s="23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3"/>
      <c r="CK31" s="130"/>
      <c r="CP31" s="6" t="s">
        <v>183</v>
      </c>
      <c r="CQ31" s="6">
        <f>SUMIFS(Table_Assembly[Specific Amount],Table_Assembly[NG Type],$CP$14,Table_Assembly[Product type],$BU$43,Table_Assembly[NG content],CP31,Table_Assembly[Month],$CP$12)</f>
        <v>0</v>
      </c>
      <c r="CR31" s="6">
        <f>SUMIFS(Table_Assembly[Specific Amount],Table_Assembly[NG Type],$CP$14,Table_Assembly[Product type],$BU$43,Table_Assembly[NG content],CP31,Table_Assembly[Month],$CQ$12)</f>
        <v>0</v>
      </c>
      <c r="CS31" s="6">
        <f>SUMIFS(Table_Assembly[Specific Amount],Table_Assembly[NG Type],$CP$14,Table_Assembly[Product type],$BU$43,Table_Assembly[NG content],CP31,Table_Assembly[Month],$CR$12)</f>
        <v>0</v>
      </c>
      <c r="CT31" s="6">
        <f>SUMIFS(Table_Assembly[Specific Amount],Table_Assembly[NG Type],$CP$14,Table_Assembly[Product type],$BU$43,Table_Assembly[NG content],CP31,Table_Assembly[Month],$CS$12)</f>
        <v>0</v>
      </c>
      <c r="CU31" s="6">
        <f>SUMIFS(Table_Assembly[Specific Amount],Table_Assembly[NG Type],$CP$14,Table_Assembly[Product type],$BU$43,Table_Assembly[NG content],CP31,Table_Assembly[Month],$CT$12)</f>
        <v>1</v>
      </c>
      <c r="CV31" s="6">
        <f>SUMIFS(Table_Assembly[Specific Amount],Table_Assembly[NG Type],$CP$14,Table_Assembly[Product type],$BU$43,Table_Assembly[NG content],CP31,Table_Assembly[Month],$CU$12)</f>
        <v>0</v>
      </c>
      <c r="CW31" s="6">
        <f>SUMIFS(Table_Assembly[Specific Amount],Table_Assembly[NG Type],$CP$14,Table_Assembly[Product type],$BU$43,Table_Assembly[NG content],CP31,Table_Assembly[Month],$CV$12)</f>
        <v>0</v>
      </c>
      <c r="CX31" s="6">
        <f>SUMIFS(Table_Assembly[Specific Amount],Table_Assembly[NG Type],$CP$14,Table_Assembly[Product type],$BU$43,Table_Assembly[NG content],CP31,Table_Assembly[Month],$CW$12)</f>
        <v>0</v>
      </c>
      <c r="CY31" s="6">
        <f>SUMIFS(Table_Assembly[Specific Amount],Table_Assembly[NG Type],$CP$14,Table_Assembly[Product type],$BU$43,Table_Assembly[NG content],CP31,Table_Assembly[Month],$CX$12)</f>
        <v>0</v>
      </c>
      <c r="CZ31" s="6">
        <f>SUMIFS(Table_Assembly[Specific Amount],Table_Assembly[NG Type],$CP$14,Table_Assembly[Product type],$BU$43,Table_Assembly[NG content],CP31,Table_Assembly[Month],$CY$12)</f>
        <v>0</v>
      </c>
      <c r="DA31" s="6">
        <f>SUMIFS(Table_Assembly[Specific Amount],Table_Assembly[NG Type],$CP$14,Table_Assembly[Product type],$BU$43,Table_Assembly[NG content],CP31,Table_Assembly[Month],$CZ$12)</f>
        <v>0</v>
      </c>
      <c r="DB31" s="6">
        <f>SUMIFS(Table_Assembly[Total NG from material],Table_Assembly[Comp.],$CP$14,Table_Assembly[Total Produce],$BU$43,Table_Assembly[Reson for Others],CP31,Table_Assembly[Day],$DA$12)</f>
        <v>0</v>
      </c>
    </row>
    <row r="32" spans="1:106">
      <c r="A32" s="122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3"/>
      <c r="T32" s="119"/>
      <c r="U32" s="6" t="b">
        <f t="shared" ca="1" si="26"/>
        <v>0</v>
      </c>
      <c r="V32" s="6" t="e">
        <f t="shared" ca="1" si="27"/>
        <v>#N/A</v>
      </c>
      <c r="W32" s="149"/>
      <c r="X32" s="6" t="str">
        <f t="shared" ca="1" si="28"/>
        <v/>
      </c>
      <c r="Z32" s="155" t="str">
        <f t="shared" ca="1" si="29"/>
        <v/>
      </c>
      <c r="AC32" s="6" t="str">
        <f>IF($AB$29&gt;=5,"Week 5","")</f>
        <v>Week 5</v>
      </c>
      <c r="AD32" s="149">
        <f t="shared" si="30"/>
        <v>45021</v>
      </c>
      <c r="AE32" s="6" t="str">
        <f t="shared" ca="1" si="31"/>
        <v/>
      </c>
      <c r="AF32" s="6" t="str">
        <f t="shared" si="32"/>
        <v/>
      </c>
      <c r="AG32" s="150" t="str">
        <f t="shared" si="33"/>
        <v/>
      </c>
      <c r="AH32" s="150" t="str">
        <f t="shared" si="25"/>
        <v>Week 2</v>
      </c>
      <c r="AI32" s="150"/>
      <c r="AJ32" s="150">
        <f t="shared" si="34"/>
        <v>2</v>
      </c>
      <c r="AK32" s="150" t="str">
        <f t="shared" si="35"/>
        <v>Wednesday</v>
      </c>
      <c r="AL32" s="155">
        <f t="shared" si="36"/>
        <v>45021</v>
      </c>
      <c r="AM32" s="6" t="b">
        <f t="shared" si="37"/>
        <v>0</v>
      </c>
      <c r="AO32" s="6" t="str">
        <f ca="1">IFERROR(MATCH($B$114,OFFSET(#REF!,AO31,0,1000000),0)+AO31,"")</f>
        <v/>
      </c>
      <c r="AP32" s="156" t="str">
        <f ca="1">IFERROR(_xlfn.SINGLE(INDEX(#REF!,'Annual Report'!AO32)),"")</f>
        <v/>
      </c>
      <c r="AQ32" s="6" t="str">
        <f ca="1">IFERROR(_xlfn.SINGLE(INDEX(#REF!,'Annual Report'!AO32)),"")</f>
        <v/>
      </c>
      <c r="AS32" s="6" t="str">
        <f ca="1">IFERROR(MATCH($L$115,OFFSET(#REF!,AS31,0,1000000),0)+AS31,"")</f>
        <v/>
      </c>
      <c r="AT32" s="156" t="str">
        <f ca="1">IFERROR(_xlfn.SINGLE(INDEX(#REF!,'Annual Report'!AS32)),"")</f>
        <v/>
      </c>
      <c r="AU32" s="6" t="str">
        <f ca="1">IFERROR(_xlfn.SINGLE(INDEX(#REF!,'Annual Report'!AS32)),"")</f>
        <v/>
      </c>
      <c r="BR32" s="105"/>
      <c r="BS32" s="23"/>
      <c r="BT32" s="23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3"/>
      <c r="CK32" s="130"/>
      <c r="CP32" s="6" t="s">
        <v>234</v>
      </c>
      <c r="CQ32" s="6">
        <f>SUMIFS(Table_Assembly[Specific Amount],Table_Assembly[NG Type],$CP$14,Table_Assembly[Product type],$BU$43,Table_Assembly[NG content],CP32,Table_Assembly[Month],$CP$12)</f>
        <v>0</v>
      </c>
      <c r="CR32" s="6">
        <f>SUMIFS(Table_Assembly[Specific Amount],Table_Assembly[NG Type],$CP$14,Table_Assembly[Product type],$BU$43,Table_Assembly[NG content],CP32,Table_Assembly[Month],$CQ$12)</f>
        <v>0</v>
      </c>
      <c r="CS32" s="6">
        <f>SUMIFS(Table_Assembly[Specific Amount],Table_Assembly[NG Type],$CP$14,Table_Assembly[Product type],$BU$43,Table_Assembly[NG content],CP32,Table_Assembly[Month],$CR$12)</f>
        <v>0</v>
      </c>
      <c r="CT32" s="6">
        <f>SUMIFS(Table_Assembly[Specific Amount],Table_Assembly[NG Type],$CP$14,Table_Assembly[Product type],$BU$43,Table_Assembly[NG content],CP32,Table_Assembly[Month],$CS$12)</f>
        <v>0</v>
      </c>
      <c r="CU32" s="6">
        <f>SUMIFS(Table_Assembly[Specific Amount],Table_Assembly[NG Type],$CP$14,Table_Assembly[Product type],$BU$43,Table_Assembly[NG content],CP32,Table_Assembly[Month],$CT$12)</f>
        <v>0</v>
      </c>
      <c r="CV32" s="6">
        <f>SUMIFS(Table_Assembly[Specific Amount],Table_Assembly[NG Type],$CP$14,Table_Assembly[Product type],$BU$43,Table_Assembly[NG content],CP32,Table_Assembly[Month],$CU$12)</f>
        <v>0</v>
      </c>
      <c r="CW32" s="6">
        <f>SUMIFS(Table_Assembly[Specific Amount],Table_Assembly[NG Type],$CP$14,Table_Assembly[Product type],$BU$43,Table_Assembly[NG content],CP32,Table_Assembly[Month],$CV$12)</f>
        <v>0</v>
      </c>
      <c r="CX32" s="6">
        <f>SUMIFS(Table_Assembly[Specific Amount],Table_Assembly[NG Type],$CP$14,Table_Assembly[Product type],$BU$43,Table_Assembly[NG content],CP32,Table_Assembly[Month],$CW$12)</f>
        <v>0</v>
      </c>
      <c r="CY32" s="6">
        <f>SUMIFS(Table_Assembly[Specific Amount],Table_Assembly[NG Type],$CP$14,Table_Assembly[Product type],$BU$43,Table_Assembly[NG content],CP32,Table_Assembly[Month],$CX$12)</f>
        <v>0</v>
      </c>
      <c r="CZ32" s="6">
        <f>SUMIFS(Table_Assembly[Specific Amount],Table_Assembly[NG Type],$CP$14,Table_Assembly[Product type],$BU$43,Table_Assembly[NG content],CP32,Table_Assembly[Month],$CY$12)</f>
        <v>0</v>
      </c>
      <c r="DA32" s="6">
        <f>SUMIFS(Table_Assembly[Specific Amount],Table_Assembly[NG Type],$CP$14,Table_Assembly[Product type],$BU$43,Table_Assembly[NG content],CP32,Table_Assembly[Month],$CZ$12)</f>
        <v>0</v>
      </c>
      <c r="DB32" s="6">
        <f>SUMIFS(Table_Assembly[Total NG from material],Table_Assembly[Comp.],$CP$14,Table_Assembly[Total Produce],$BU$43,Table_Assembly[Reson for Others],CP32,Table_Assembly[Day],$DA$12)</f>
        <v>0</v>
      </c>
    </row>
    <row r="33" spans="1:106">
      <c r="A33" s="122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3"/>
      <c r="T33" s="119"/>
      <c r="U33" s="6" t="b">
        <f t="shared" ca="1" si="26"/>
        <v>0</v>
      </c>
      <c r="V33" s="6" t="e">
        <f t="shared" ca="1" si="27"/>
        <v>#N/A</v>
      </c>
      <c r="W33" s="149"/>
      <c r="X33" s="6" t="str">
        <f t="shared" ca="1" si="28"/>
        <v/>
      </c>
      <c r="Z33" s="155" t="str">
        <f t="shared" ca="1" si="29"/>
        <v/>
      </c>
      <c r="AC33" s="6" t="str">
        <f>IF($AB$29&gt;=6,"Week 6","")</f>
        <v/>
      </c>
      <c r="AD33" s="149">
        <f t="shared" si="30"/>
        <v>45022</v>
      </c>
      <c r="AE33" s="6" t="str">
        <f t="shared" ca="1" si="31"/>
        <v/>
      </c>
      <c r="AF33" s="6" t="str">
        <f t="shared" si="32"/>
        <v/>
      </c>
      <c r="AG33" s="150" t="str">
        <f t="shared" si="33"/>
        <v/>
      </c>
      <c r="AH33" s="150" t="str">
        <f t="shared" si="25"/>
        <v>Week 2</v>
      </c>
      <c r="AI33" s="150"/>
      <c r="AJ33" s="150">
        <f t="shared" si="34"/>
        <v>2</v>
      </c>
      <c r="AK33" s="150" t="str">
        <f t="shared" si="35"/>
        <v>Thursday</v>
      </c>
      <c r="AL33" s="155">
        <f t="shared" si="36"/>
        <v>45022</v>
      </c>
      <c r="AM33" s="6" t="b">
        <f t="shared" si="37"/>
        <v>0</v>
      </c>
      <c r="AO33" s="6" t="str">
        <f ca="1">IFERROR(MATCH($B$114,OFFSET(#REF!,AO32,0,1000000),0)+AO32,"")</f>
        <v/>
      </c>
      <c r="AP33" s="156" t="str">
        <f ca="1">IFERROR(_xlfn.SINGLE(INDEX(#REF!,'Annual Report'!AO33)),"")</f>
        <v/>
      </c>
      <c r="AQ33" s="6" t="str">
        <f ca="1">IFERROR(_xlfn.SINGLE(INDEX(#REF!,'Annual Report'!AO33)),"")</f>
        <v/>
      </c>
      <c r="AS33" s="6" t="str">
        <f ca="1">IFERROR(MATCH($L$115,OFFSET(#REF!,AS32,0,1000000),0)+AS32,"")</f>
        <v/>
      </c>
      <c r="AT33" s="156" t="str">
        <f ca="1">IFERROR(_xlfn.SINGLE(INDEX(#REF!,'Annual Report'!AS33)),"")</f>
        <v/>
      </c>
      <c r="AU33" s="6" t="str">
        <f ca="1">IFERROR(_xlfn.SINGLE(INDEX(#REF!,'Annual Report'!AS33)),"")</f>
        <v/>
      </c>
      <c r="BR33" s="105"/>
      <c r="BS33" s="23"/>
      <c r="BT33" s="23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3"/>
      <c r="CK33" s="130"/>
      <c r="CP33" s="6" t="s">
        <v>184</v>
      </c>
      <c r="CQ33" s="6">
        <f>SUMIFS(Table_Assembly[Specific Amount],Table_Assembly[NG Type],$CP$14,Table_Assembly[Product type],$BU$43,Table_Assembly[NG content],CP33,Table_Assembly[Month],$CP$12)</f>
        <v>0</v>
      </c>
      <c r="CR33" s="6">
        <f>SUMIFS(Table_Assembly[Specific Amount],Table_Assembly[NG Type],$CP$14,Table_Assembly[Product type],$BU$43,Table_Assembly[NG content],CP33,Table_Assembly[Month],$CQ$12)</f>
        <v>0</v>
      </c>
      <c r="CS33" s="6">
        <f>SUMIFS(Table_Assembly[Specific Amount],Table_Assembly[NG Type],$CP$14,Table_Assembly[Product type],$BU$43,Table_Assembly[NG content],CP33,Table_Assembly[Month],$CR$12)</f>
        <v>0</v>
      </c>
      <c r="CT33" s="6">
        <f>SUMIFS(Table_Assembly[Specific Amount],Table_Assembly[NG Type],$CP$14,Table_Assembly[Product type],$BU$43,Table_Assembly[NG content],CP33,Table_Assembly[Month],$CS$12)</f>
        <v>0</v>
      </c>
      <c r="CU33" s="6">
        <f>SUMIFS(Table_Assembly[Specific Amount],Table_Assembly[NG Type],$CP$14,Table_Assembly[Product type],$BU$43,Table_Assembly[NG content],CP33,Table_Assembly[Month],$CT$12)</f>
        <v>4</v>
      </c>
      <c r="CV33" s="6">
        <f>SUMIFS(Table_Assembly[Specific Amount],Table_Assembly[NG Type],$CP$14,Table_Assembly[Product type],$BU$43,Table_Assembly[NG content],CP33,Table_Assembly[Month],$CU$12)</f>
        <v>4</v>
      </c>
      <c r="CW33" s="6">
        <f>SUMIFS(Table_Assembly[Specific Amount],Table_Assembly[NG Type],$CP$14,Table_Assembly[Product type],$BU$43,Table_Assembly[NG content],CP33,Table_Assembly[Month],$CV$12)</f>
        <v>0</v>
      </c>
      <c r="CX33" s="6">
        <f>SUMIFS(Table_Assembly[Specific Amount],Table_Assembly[NG Type],$CP$14,Table_Assembly[Product type],$BU$43,Table_Assembly[NG content],CP33,Table_Assembly[Month],$CW$12)</f>
        <v>0</v>
      </c>
      <c r="CY33" s="6">
        <f>SUMIFS(Table_Assembly[Specific Amount],Table_Assembly[NG Type],$CP$14,Table_Assembly[Product type],$BU$43,Table_Assembly[NG content],CP33,Table_Assembly[Month],$CX$12)</f>
        <v>0</v>
      </c>
      <c r="CZ33" s="6">
        <f>SUMIFS(Table_Assembly[Specific Amount],Table_Assembly[NG Type],$CP$14,Table_Assembly[Product type],$BU$43,Table_Assembly[NG content],CP33,Table_Assembly[Month],$CY$12)</f>
        <v>0</v>
      </c>
      <c r="DA33" s="6">
        <f>SUMIFS(Table_Assembly[Specific Amount],Table_Assembly[NG Type],$CP$14,Table_Assembly[Product type],$BU$43,Table_Assembly[NG content],CP33,Table_Assembly[Month],$CZ$12)</f>
        <v>0</v>
      </c>
      <c r="DB33" s="6">
        <f>SUMIFS(Table_Assembly[Total NG from material],Table_Assembly[Comp.],$CP$14,Table_Assembly[Total Produce],$BU$43,Table_Assembly[Reson for Others],CP33,Table_Assembly[Day],$DA$12)</f>
        <v>0</v>
      </c>
    </row>
    <row r="34" spans="1:106">
      <c r="A34" s="122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3"/>
      <c r="T34" s="119"/>
      <c r="U34" s="6" t="b">
        <f t="shared" ca="1" si="26"/>
        <v>0</v>
      </c>
      <c r="V34" s="6" t="e">
        <f t="shared" ca="1" si="27"/>
        <v>#N/A</v>
      </c>
      <c r="W34" s="157"/>
      <c r="X34" s="6" t="str">
        <f t="shared" ca="1" si="28"/>
        <v/>
      </c>
      <c r="Z34" s="155" t="str">
        <f t="shared" ca="1" si="29"/>
        <v/>
      </c>
      <c r="AD34" s="149">
        <f t="shared" si="30"/>
        <v>45023</v>
      </c>
      <c r="AE34" s="6" t="str">
        <f t="shared" ca="1" si="31"/>
        <v/>
      </c>
      <c r="AF34" s="6" t="str">
        <f t="shared" si="32"/>
        <v/>
      </c>
      <c r="AG34" s="150" t="str">
        <f t="shared" si="33"/>
        <v/>
      </c>
      <c r="AH34" s="150" t="str">
        <f t="shared" si="25"/>
        <v>Week 2</v>
      </c>
      <c r="AI34" s="150"/>
      <c r="AJ34" s="150">
        <f t="shared" si="34"/>
        <v>2</v>
      </c>
      <c r="AK34" s="150" t="str">
        <f t="shared" si="35"/>
        <v>Friday</v>
      </c>
      <c r="AL34" s="155">
        <f t="shared" si="36"/>
        <v>45023</v>
      </c>
      <c r="AM34" s="6" t="b">
        <f t="shared" si="37"/>
        <v>0</v>
      </c>
      <c r="AO34" s="6" t="str">
        <f ca="1">IFERROR(MATCH($B$114,OFFSET(#REF!,AO33,0,1000000),0)+AO33,"")</f>
        <v/>
      </c>
      <c r="AP34" s="156" t="str">
        <f ca="1">IFERROR(_xlfn.SINGLE(INDEX(#REF!,'Annual Report'!AO34)),"")</f>
        <v/>
      </c>
      <c r="AQ34" s="6" t="str">
        <f ca="1">IFERROR(_xlfn.SINGLE(INDEX(#REF!,'Annual Report'!AO34)),"")</f>
        <v/>
      </c>
      <c r="AS34" s="6" t="str">
        <f ca="1">IFERROR(MATCH($L$115,OFFSET(#REF!,AS33,0,1000000),0)+AS33,"")</f>
        <v/>
      </c>
      <c r="AT34" s="156" t="str">
        <f ca="1">IFERROR(_xlfn.SINGLE(INDEX(#REF!,'Annual Report'!AS34)),"")</f>
        <v/>
      </c>
      <c r="AU34" s="6" t="str">
        <f ca="1">IFERROR(_xlfn.SINGLE(INDEX(#REF!,'Annual Report'!AS34)),"")</f>
        <v/>
      </c>
      <c r="BR34" s="105"/>
      <c r="BS34" s="23"/>
      <c r="BT34" s="23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3"/>
      <c r="CK34" s="130"/>
      <c r="CP34" s="6" t="s">
        <v>322</v>
      </c>
      <c r="CQ34" s="6">
        <f>SUMIFS(Table_Assembly[Specific Amount],Table_Assembly[NG Type],$CP$14,Table_Assembly[Product type],$BU$43,Table_Assembly[NG content],CP34,Table_Assembly[Month],$CP$12)</f>
        <v>0</v>
      </c>
      <c r="CR34" s="6">
        <f>SUMIFS(Table_Assembly[Specific Amount],Table_Assembly[NG Type],$CP$14,Table_Assembly[Product type],$BU$43,Table_Assembly[NG content],CP34,Table_Assembly[Month],$CQ$12)</f>
        <v>0</v>
      </c>
      <c r="CS34" s="6">
        <f>SUMIFS(Table_Assembly[Specific Amount],Table_Assembly[NG Type],$CP$14,Table_Assembly[Product type],$BU$43,Table_Assembly[NG content],CP34,Table_Assembly[Month],$CR$12)</f>
        <v>0</v>
      </c>
      <c r="CT34" s="6">
        <f>SUMIFS(Table_Assembly[Specific Amount],Table_Assembly[NG Type],$CP$14,Table_Assembly[Product type],$BU$43,Table_Assembly[NG content],CP34,Table_Assembly[Month],$CS$12)</f>
        <v>0</v>
      </c>
      <c r="CU34" s="6">
        <f>SUMIFS(Table_Assembly[Specific Amount],Table_Assembly[NG Type],$CP$14,Table_Assembly[Product type],$BU$43,Table_Assembly[NG content],CP34,Table_Assembly[Month],$CT$12)</f>
        <v>26</v>
      </c>
      <c r="CV34" s="6">
        <f>SUMIFS(Table_Assembly[Specific Amount],Table_Assembly[NG Type],$CP$14,Table_Assembly[Product type],$BU$43,Table_Assembly[NG content],CP34,Table_Assembly[Month],$CU$12)</f>
        <v>25</v>
      </c>
      <c r="CW34" s="6">
        <f>SUMIFS(Table_Assembly[Specific Amount],Table_Assembly[NG Type],$CP$14,Table_Assembly[Product type],$BU$43,Table_Assembly[NG content],CP34,Table_Assembly[Month],$CV$12)</f>
        <v>0</v>
      </c>
      <c r="CX34" s="6">
        <f>SUMIFS(Table_Assembly[Specific Amount],Table_Assembly[NG Type],$CP$14,Table_Assembly[Product type],$BU$43,Table_Assembly[NG content],CP34,Table_Assembly[Month],$CW$12)</f>
        <v>0</v>
      </c>
      <c r="CY34" s="6">
        <f>SUMIFS(Table_Assembly[Specific Amount],Table_Assembly[NG Type],$CP$14,Table_Assembly[Product type],$BU$43,Table_Assembly[NG content],CP34,Table_Assembly[Month],$CX$12)</f>
        <v>0</v>
      </c>
      <c r="CZ34" s="6">
        <f>SUMIFS(Table_Assembly[Specific Amount],Table_Assembly[NG Type],$CP$14,Table_Assembly[Product type],$BU$43,Table_Assembly[NG content],CP34,Table_Assembly[Month],$CY$12)</f>
        <v>0</v>
      </c>
      <c r="DA34" s="6">
        <f>SUMIFS(Table_Assembly[Specific Amount],Table_Assembly[NG Type],$CP$14,Table_Assembly[Product type],$BU$43,Table_Assembly[NG content],CP34,Table_Assembly[Month],$CZ$12)</f>
        <v>0</v>
      </c>
      <c r="DB34" s="6">
        <f>SUMIFS(Table_Assembly[Total NG from material],Table_Assembly[Comp.],$CP$14,Table_Assembly[Total Produce],$BU$43,Table_Assembly[Reson for Others],CP34,Table_Assembly[Day],$DA$12)</f>
        <v>0</v>
      </c>
    </row>
    <row r="35" spans="1:106">
      <c r="A35" s="122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3"/>
      <c r="T35" s="119"/>
      <c r="W35" s="149" t="e">
        <f ca="1">LOOKUP(Y28,1/(1-ISBLANK(Z28:Z34)),Z28:Z34)</f>
        <v>#N/A</v>
      </c>
      <c r="AD35" s="149">
        <f t="shared" si="30"/>
        <v>45024</v>
      </c>
      <c r="AE35" s="6" t="str">
        <f t="shared" ca="1" si="31"/>
        <v/>
      </c>
      <c r="AF35" s="6" t="str">
        <f t="shared" si="32"/>
        <v/>
      </c>
      <c r="AG35" s="150" t="str">
        <f t="shared" si="33"/>
        <v/>
      </c>
      <c r="AH35" s="150" t="str">
        <f t="shared" si="25"/>
        <v>Week 2</v>
      </c>
      <c r="AI35" s="150"/>
      <c r="AJ35" s="150">
        <f t="shared" si="34"/>
        <v>2</v>
      </c>
      <c r="AK35" s="150" t="str">
        <f t="shared" si="35"/>
        <v>Saturday</v>
      </c>
      <c r="AL35" s="155">
        <f t="shared" si="36"/>
        <v>45024</v>
      </c>
      <c r="AM35" s="6" t="b">
        <f t="shared" si="37"/>
        <v>0</v>
      </c>
      <c r="AO35" s="6" t="str">
        <f ca="1">IFERROR(MATCH($B$114,OFFSET(#REF!,AO34,0,1000000),0)+AO34,"")</f>
        <v/>
      </c>
      <c r="AP35" s="156" t="str">
        <f ca="1">IFERROR(_xlfn.SINGLE(INDEX(#REF!,'Annual Report'!AO35)),"")</f>
        <v/>
      </c>
      <c r="AQ35" s="6" t="str">
        <f ca="1">IFERROR(_xlfn.SINGLE(INDEX(#REF!,'Annual Report'!AO35)),"")</f>
        <v/>
      </c>
      <c r="AS35" s="6" t="str">
        <f ca="1">IFERROR(MATCH($L$115,OFFSET(#REF!,AS34,0,1000000),0)+AS34,"")</f>
        <v/>
      </c>
      <c r="AT35" s="156" t="str">
        <f ca="1">IFERROR(_xlfn.SINGLE(INDEX(#REF!,'Annual Report'!AS35)),"")</f>
        <v/>
      </c>
      <c r="AU35" s="6" t="str">
        <f ca="1">IFERROR(_xlfn.SINGLE(INDEX(#REF!,'Annual Report'!AS35)),"")</f>
        <v/>
      </c>
      <c r="BR35" s="105"/>
      <c r="BS35" s="23"/>
      <c r="BT35" s="23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3"/>
      <c r="CK35" s="130"/>
      <c r="CP35" s="6" t="s">
        <v>185</v>
      </c>
      <c r="CQ35" s="6">
        <f>SUMIFS(Table_Assembly[Specific Amount],Table_Assembly[NG Type],$CP$14,Table_Assembly[Product type],$BU$43,Table_Assembly[NG content],CP35,Table_Assembly[Month],$CP$12)</f>
        <v>0</v>
      </c>
      <c r="CR35" s="6">
        <f>SUMIFS(Table_Assembly[Specific Amount],Table_Assembly[NG Type],$CP$14,Table_Assembly[Product type],$BU$43,Table_Assembly[NG content],CP35,Table_Assembly[Month],$CQ$12)</f>
        <v>0</v>
      </c>
      <c r="CS35" s="6">
        <f>SUMIFS(Table_Assembly[Specific Amount],Table_Assembly[NG Type],$CP$14,Table_Assembly[Product type],$BU$43,Table_Assembly[NG content],CP35,Table_Assembly[Month],$CR$12)</f>
        <v>0</v>
      </c>
      <c r="CT35" s="6">
        <f>SUMIFS(Table_Assembly[Specific Amount],Table_Assembly[NG Type],$CP$14,Table_Assembly[Product type],$BU$43,Table_Assembly[NG content],CP35,Table_Assembly[Month],$CS$12)</f>
        <v>0</v>
      </c>
      <c r="CU35" s="6">
        <f>SUMIFS(Table_Assembly[Specific Amount],Table_Assembly[NG Type],$CP$14,Table_Assembly[Product type],$BU$43,Table_Assembly[NG content],CP35,Table_Assembly[Month],$CT$12)</f>
        <v>0</v>
      </c>
      <c r="CV35" s="6">
        <f>SUMIFS(Table_Assembly[Specific Amount],Table_Assembly[NG Type],$CP$14,Table_Assembly[Product type],$BU$43,Table_Assembly[NG content],CP35,Table_Assembly[Month],$CU$12)</f>
        <v>0</v>
      </c>
      <c r="CW35" s="6">
        <f>SUMIFS(Table_Assembly[Specific Amount],Table_Assembly[NG Type],$CP$14,Table_Assembly[Product type],$BU$43,Table_Assembly[NG content],CP35,Table_Assembly[Month],$CV$12)</f>
        <v>0</v>
      </c>
      <c r="CX35" s="6">
        <f>SUMIFS(Table_Assembly[Specific Amount],Table_Assembly[NG Type],$CP$14,Table_Assembly[Product type],$BU$43,Table_Assembly[NG content],CP35,Table_Assembly[Month],$CW$12)</f>
        <v>0</v>
      </c>
      <c r="CY35" s="6">
        <f>SUMIFS(Table_Assembly[Specific Amount],Table_Assembly[NG Type],$CP$14,Table_Assembly[Product type],$BU$43,Table_Assembly[NG content],CP35,Table_Assembly[Month],$CX$12)</f>
        <v>0</v>
      </c>
      <c r="CZ35" s="6">
        <f>SUMIFS(Table_Assembly[Specific Amount],Table_Assembly[NG Type],$CP$14,Table_Assembly[Product type],$BU$43,Table_Assembly[NG content],CP35,Table_Assembly[Month],$CY$12)</f>
        <v>0</v>
      </c>
      <c r="DA35" s="6">
        <f>SUMIFS(Table_Assembly[Specific Amount],Table_Assembly[NG Type],$CP$14,Table_Assembly[Product type],$BU$43,Table_Assembly[NG content],CP35,Table_Assembly[Month],$CZ$12)</f>
        <v>0</v>
      </c>
      <c r="DB35" s="6">
        <f>SUMIFS(Table_Assembly[Total NG from material],Table_Assembly[Comp.],$CP$14,Table_Assembly[Total Produce],$BU$43,Table_Assembly[Reson for Others],CP35,Table_Assembly[Day],$DA$12)</f>
        <v>0</v>
      </c>
    </row>
    <row r="36" spans="1:106">
      <c r="A36" s="122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3"/>
      <c r="T36" s="119"/>
      <c r="W36" s="149">
        <f>IFERROR(INDEX($AL$28:$AL$58,MATCH(Y36,$AG$28:$AG$58,0)),"")</f>
        <v>45019</v>
      </c>
      <c r="X36" s="6">
        <f ca="1">IFERROR(MATCH($Y$36,OFFSET($AH$28:$AH$58,X35,0,1000000),0)+X35,"")</f>
        <v>3</v>
      </c>
      <c r="Y36" s="6" t="s">
        <v>104</v>
      </c>
      <c r="Z36" s="155">
        <f ca="1">IFERROR(INDEX($AL$28:$AL$58,X36),"")</f>
        <v>45019</v>
      </c>
      <c r="AD36" s="149">
        <f t="shared" si="30"/>
        <v>45025</v>
      </c>
      <c r="AE36" s="6" t="str">
        <f t="shared" ca="1" si="31"/>
        <v/>
      </c>
      <c r="AF36" s="6" t="str">
        <f t="shared" si="32"/>
        <v/>
      </c>
      <c r="AG36" s="150" t="str">
        <f t="shared" si="33"/>
        <v/>
      </c>
      <c r="AH36" s="150" t="str">
        <f t="shared" si="25"/>
        <v>Week 2</v>
      </c>
      <c r="AI36" s="150"/>
      <c r="AJ36" s="150">
        <f t="shared" si="34"/>
        <v>2</v>
      </c>
      <c r="AK36" s="150" t="str">
        <f t="shared" si="35"/>
        <v>Sunday</v>
      </c>
      <c r="AL36" s="155">
        <f t="shared" si="36"/>
        <v>45025</v>
      </c>
      <c r="AM36" s="6" t="b">
        <f t="shared" si="37"/>
        <v>0</v>
      </c>
      <c r="AO36" s="6" t="str">
        <f ca="1">IFERROR(MATCH($B$114,OFFSET(#REF!,AO35,0,1000000),0)+AO35,"")</f>
        <v/>
      </c>
      <c r="AP36" s="156" t="str">
        <f ca="1">IFERROR(_xlfn.SINGLE(INDEX(#REF!,'Annual Report'!AO36)),"")</f>
        <v/>
      </c>
      <c r="AQ36" s="6" t="str">
        <f ca="1">IFERROR(_xlfn.SINGLE(INDEX(#REF!,'Annual Report'!AO36)),"")</f>
        <v/>
      </c>
      <c r="AS36" s="6" t="str">
        <f ca="1">IFERROR(MATCH($L$115,OFFSET(#REF!,AS35,0,1000000),0)+AS35,"")</f>
        <v/>
      </c>
      <c r="AT36" s="156" t="str">
        <f ca="1">IFERROR(_xlfn.SINGLE(INDEX(#REF!,'Annual Report'!AS36)),"")</f>
        <v/>
      </c>
      <c r="AU36" s="6" t="str">
        <f ca="1">IFERROR(_xlfn.SINGLE(INDEX(#REF!,'Annual Report'!AS36)),"")</f>
        <v/>
      </c>
      <c r="BR36" s="105"/>
      <c r="BS36" s="23"/>
      <c r="BT36" s="23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3"/>
      <c r="CK36" s="130"/>
      <c r="CP36" s="6" t="s">
        <v>236</v>
      </c>
      <c r="CQ36" s="6">
        <f>SUMIFS(Table_Assembly[Specific Amount],Table_Assembly[NG Type],$CP$14,Table_Assembly[Product type],$BU$43,Table_Assembly[NG content],CP36,Table_Assembly[Month],$CP$12)</f>
        <v>0</v>
      </c>
      <c r="CR36" s="6">
        <f>SUMIFS(Table_Assembly[Specific Amount],Table_Assembly[NG Type],$CP$14,Table_Assembly[Product type],$BU$43,Table_Assembly[NG content],CP36,Table_Assembly[Month],$CQ$12)</f>
        <v>0</v>
      </c>
      <c r="CS36" s="6">
        <f>SUMIFS(Table_Assembly[Specific Amount],Table_Assembly[NG Type],$CP$14,Table_Assembly[Product type],$BU$43,Table_Assembly[NG content],CP36,Table_Assembly[Month],$CR$12)</f>
        <v>0</v>
      </c>
      <c r="CT36" s="6">
        <f>SUMIFS(Table_Assembly[Specific Amount],Table_Assembly[NG Type],$CP$14,Table_Assembly[Product type],$BU$43,Table_Assembly[NG content],CP36,Table_Assembly[Month],$CS$12)</f>
        <v>0</v>
      </c>
      <c r="CU36" s="6">
        <f>SUMIFS(Table_Assembly[Specific Amount],Table_Assembly[NG Type],$CP$14,Table_Assembly[Product type],$BU$43,Table_Assembly[NG content],CP36,Table_Assembly[Month],$CT$12)</f>
        <v>8</v>
      </c>
      <c r="CV36" s="6">
        <f>SUMIFS(Table_Assembly[Specific Amount],Table_Assembly[NG Type],$CP$14,Table_Assembly[Product type],$BU$43,Table_Assembly[NG content],CP36,Table_Assembly[Month],$CU$12)</f>
        <v>6</v>
      </c>
      <c r="CW36" s="6">
        <f>SUMIFS(Table_Assembly[Specific Amount],Table_Assembly[NG Type],$CP$14,Table_Assembly[Product type],$BU$43,Table_Assembly[NG content],CP36,Table_Assembly[Month],$CV$12)</f>
        <v>0</v>
      </c>
      <c r="CX36" s="6">
        <f>SUMIFS(Table_Assembly[Specific Amount],Table_Assembly[NG Type],$CP$14,Table_Assembly[Product type],$BU$43,Table_Assembly[NG content],CP36,Table_Assembly[Month],$CW$12)</f>
        <v>0</v>
      </c>
      <c r="CY36" s="6">
        <f>SUMIFS(Table_Assembly[Specific Amount],Table_Assembly[NG Type],$CP$14,Table_Assembly[Product type],$BU$43,Table_Assembly[NG content],CP36,Table_Assembly[Month],$CX$12)</f>
        <v>0</v>
      </c>
      <c r="CZ36" s="6">
        <f>SUMIFS(Table_Assembly[Specific Amount],Table_Assembly[NG Type],$CP$14,Table_Assembly[Product type],$BU$43,Table_Assembly[NG content],CP36,Table_Assembly[Month],$CY$12)</f>
        <v>0</v>
      </c>
      <c r="DA36" s="6">
        <f>SUMIFS(Table_Assembly[Specific Amount],Table_Assembly[NG Type],$CP$14,Table_Assembly[Product type],$BU$43,Table_Assembly[NG content],CP36,Table_Assembly[Month],$CZ$12)</f>
        <v>0</v>
      </c>
      <c r="DB36" s="6">
        <f>SUMIFS(Table_Assembly[Total NG from material],Table_Assembly[Comp.],$CP$14,Table_Assembly[Total Produce],$BU$43,Table_Assembly[Reson for Others],CP36,Table_Assembly[Day],$DA$12)</f>
        <v>0</v>
      </c>
    </row>
    <row r="37" spans="1:106">
      <c r="A37" s="122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3"/>
      <c r="T37" s="119"/>
      <c r="W37" s="149">
        <f>IFERROR(INDEX($AL$28:$AL$58-1,MATCH(RIGHT(Y36,2)*1+1,$AJ$28:$AJ$58,0)),$AG$7)</f>
        <v>45025</v>
      </c>
      <c r="X37" s="6">
        <f t="shared" ref="X37:X42" ca="1" si="38">IFERROR(MATCH($Y$36,OFFSET($AH$28:$AH$58,X36,0,1000000),0)+X36,"")</f>
        <v>4</v>
      </c>
      <c r="Z37" s="155">
        <f t="shared" ref="Z37:Z42" ca="1" si="39">IFERROR(INDEX($AL$28:$AL$58,X37),"")</f>
        <v>45020</v>
      </c>
      <c r="AD37" s="149">
        <f t="shared" si="30"/>
        <v>45026</v>
      </c>
      <c r="AE37" s="6" t="str">
        <f t="shared" ca="1" si="31"/>
        <v>Week 3</v>
      </c>
      <c r="AF37" s="6">
        <f t="shared" si="32"/>
        <v>3</v>
      </c>
      <c r="AG37" s="150" t="str">
        <f t="shared" si="33"/>
        <v>Week 3</v>
      </c>
      <c r="AH37" s="150" t="str">
        <f t="shared" si="25"/>
        <v>Week 3</v>
      </c>
      <c r="AI37" s="150"/>
      <c r="AJ37" s="150">
        <f t="shared" si="34"/>
        <v>3</v>
      </c>
      <c r="AK37" s="150" t="str">
        <f t="shared" si="35"/>
        <v>Monday</v>
      </c>
      <c r="AL37" s="155">
        <f t="shared" si="36"/>
        <v>45026</v>
      </c>
      <c r="AM37" s="6" t="b">
        <f t="shared" si="37"/>
        <v>0</v>
      </c>
      <c r="AO37" s="6" t="str">
        <f ca="1">IFERROR(MATCH($B$114,OFFSET(#REF!,AO36,0,1000000),0)+AO36,"")</f>
        <v/>
      </c>
      <c r="AP37" s="156" t="str">
        <f ca="1">IFERROR(_xlfn.SINGLE(INDEX(#REF!,'Annual Report'!AO37)),"")</f>
        <v/>
      </c>
      <c r="AQ37" s="6" t="str">
        <f ca="1">IFERROR(_xlfn.SINGLE(INDEX(#REF!,'Annual Report'!AO37)),"")</f>
        <v/>
      </c>
      <c r="AS37" s="6" t="str">
        <f ca="1">IFERROR(MATCH($L$115,OFFSET(#REF!,AS36,0,1000000),0)+AS36,"")</f>
        <v/>
      </c>
      <c r="AT37" s="156" t="str">
        <f ca="1">IFERROR(_xlfn.SINGLE(INDEX(#REF!,'Annual Report'!AS37)),"")</f>
        <v/>
      </c>
      <c r="AU37" s="6" t="str">
        <f ca="1">IFERROR(_xlfn.SINGLE(INDEX(#REF!,'Annual Report'!AS37)),"")</f>
        <v/>
      </c>
      <c r="BR37" s="105"/>
      <c r="BS37" s="23"/>
      <c r="BT37" s="23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3"/>
      <c r="CK37" s="130"/>
      <c r="CP37" s="6" t="s">
        <v>168</v>
      </c>
      <c r="CQ37" s="6">
        <f>SUMIFS(Table_Assembly[Specific Amount],Table_Assembly[NG Type],$CP$14,Table_Assembly[Product type],$BU$43,Table_Assembly[NG content],CP37,Table_Assembly[Month],$CP$12)</f>
        <v>0</v>
      </c>
      <c r="CR37" s="6">
        <f>SUMIFS(Table_Assembly[Specific Amount],Table_Assembly[NG Type],$CP$14,Table_Assembly[Product type],$BU$43,Table_Assembly[NG content],CP37,Table_Assembly[Month],$CQ$12)</f>
        <v>0</v>
      </c>
      <c r="CS37" s="6">
        <f>SUMIFS(Table_Assembly[Specific Amount],Table_Assembly[NG Type],$CP$14,Table_Assembly[Product type],$BU$43,Table_Assembly[NG content],CP37,Table_Assembly[Month],$CR$12)</f>
        <v>0</v>
      </c>
      <c r="CT37" s="6">
        <f>SUMIFS(Table_Assembly[Specific Amount],Table_Assembly[NG Type],$CP$14,Table_Assembly[Product type],$BU$43,Table_Assembly[NG content],CP37,Table_Assembly[Month],$CS$12)</f>
        <v>0</v>
      </c>
      <c r="CU37" s="6">
        <f>SUMIFS(Table_Assembly[Specific Amount],Table_Assembly[NG Type],$CP$14,Table_Assembly[Product type],$BU$43,Table_Assembly[NG content],CP37,Table_Assembly[Month],$CT$12)</f>
        <v>1</v>
      </c>
      <c r="CV37" s="6">
        <f>SUMIFS(Table_Assembly[Specific Amount],Table_Assembly[NG Type],$CP$14,Table_Assembly[Product type],$BU$43,Table_Assembly[NG content],CP37,Table_Assembly[Month],$CU$12)</f>
        <v>0</v>
      </c>
      <c r="CW37" s="6">
        <f>SUMIFS(Table_Assembly[Specific Amount],Table_Assembly[NG Type],$CP$14,Table_Assembly[Product type],$BU$43,Table_Assembly[NG content],CP37,Table_Assembly[Month],$CV$12)</f>
        <v>0</v>
      </c>
      <c r="CX37" s="6">
        <f>SUMIFS(Table_Assembly[Specific Amount],Table_Assembly[NG Type],$CP$14,Table_Assembly[Product type],$BU$43,Table_Assembly[NG content],CP37,Table_Assembly[Month],$CW$12)</f>
        <v>0</v>
      </c>
      <c r="CY37" s="6">
        <f>SUMIFS(Table_Assembly[Specific Amount],Table_Assembly[NG Type],$CP$14,Table_Assembly[Product type],$BU$43,Table_Assembly[NG content],CP37,Table_Assembly[Month],$CX$12)</f>
        <v>0</v>
      </c>
      <c r="CZ37" s="6">
        <f>SUMIFS(Table_Assembly[Specific Amount],Table_Assembly[NG Type],$CP$14,Table_Assembly[Product type],$BU$43,Table_Assembly[NG content],CP37,Table_Assembly[Month],$CY$12)</f>
        <v>0</v>
      </c>
      <c r="DA37" s="6">
        <f>SUMIFS(Table_Assembly[Specific Amount],Table_Assembly[NG Type],$CP$14,Table_Assembly[Product type],$BU$43,Table_Assembly[NG content],CP37,Table_Assembly[Month],$CZ$12)</f>
        <v>0</v>
      </c>
      <c r="DB37" s="6">
        <f>SUMIFS(Table_Assembly[Total NG from material],Table_Assembly[Comp.],$CP$14,Table_Assembly[Total Produce],$BU$43,Table_Assembly[Reson for Others],CP37,Table_Assembly[Day],$DA$12)</f>
        <v>0</v>
      </c>
    </row>
    <row r="38" spans="1:106">
      <c r="A38" s="122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3"/>
      <c r="T38" s="119"/>
      <c r="W38" s="149"/>
      <c r="X38" s="6">
        <f t="shared" ca="1" si="38"/>
        <v>5</v>
      </c>
      <c r="Z38" s="155">
        <f t="shared" ca="1" si="39"/>
        <v>45021</v>
      </c>
      <c r="AD38" s="149">
        <f t="shared" si="30"/>
        <v>45027</v>
      </c>
      <c r="AE38" s="6" t="str">
        <f t="shared" ca="1" si="31"/>
        <v/>
      </c>
      <c r="AF38" s="6" t="str">
        <f t="shared" si="32"/>
        <v/>
      </c>
      <c r="AG38" s="150" t="str">
        <f t="shared" si="33"/>
        <v/>
      </c>
      <c r="AH38" s="150" t="str">
        <f t="shared" si="25"/>
        <v>Week 3</v>
      </c>
      <c r="AI38" s="150"/>
      <c r="AJ38" s="150">
        <f t="shared" si="34"/>
        <v>3</v>
      </c>
      <c r="AK38" s="150" t="str">
        <f t="shared" si="35"/>
        <v>Tuesday</v>
      </c>
      <c r="AL38" s="155">
        <f t="shared" si="36"/>
        <v>45027</v>
      </c>
      <c r="AM38" s="6" t="b">
        <f t="shared" si="37"/>
        <v>0</v>
      </c>
      <c r="AO38" s="6" t="str">
        <f ca="1">IFERROR(MATCH($B$114,OFFSET(#REF!,AO37,0,1000000),0)+AO37,"")</f>
        <v/>
      </c>
      <c r="AP38" s="156" t="str">
        <f ca="1">IFERROR(_xlfn.SINGLE(INDEX(#REF!,'Annual Report'!AO38)),"")</f>
        <v/>
      </c>
      <c r="AQ38" s="6" t="str">
        <f ca="1">IFERROR(_xlfn.SINGLE(INDEX(#REF!,'Annual Report'!AO38)),"")</f>
        <v/>
      </c>
      <c r="AS38" s="6" t="str">
        <f ca="1">IFERROR(MATCH($L$115,OFFSET(#REF!,AS37,0,1000000),0)+AS37,"")</f>
        <v/>
      </c>
      <c r="AT38" s="156" t="str">
        <f ca="1">IFERROR(_xlfn.SINGLE(INDEX(#REF!,'Annual Report'!AS38)),"")</f>
        <v/>
      </c>
      <c r="AU38" s="6" t="str">
        <f ca="1">IFERROR(_xlfn.SINGLE(INDEX(#REF!,'Annual Report'!AS38)),"")</f>
        <v/>
      </c>
      <c r="BR38" s="105"/>
      <c r="BS38" s="23"/>
      <c r="BT38" s="23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3"/>
      <c r="CK38" s="130"/>
      <c r="CP38" s="6" t="s">
        <v>237</v>
      </c>
      <c r="CQ38" s="6">
        <f>SUMIFS(Table_Assembly[Specific Amount],Table_Assembly[NG Type],$CP$14,Table_Assembly[Product type],$BU$43,Table_Assembly[NG content],CP38,Table_Assembly[Month],$CP$12)</f>
        <v>0</v>
      </c>
      <c r="CR38" s="6">
        <f>SUMIFS(Table_Assembly[Specific Amount],Table_Assembly[NG Type],$CP$14,Table_Assembly[Product type],$BU$43,Table_Assembly[NG content],CP38,Table_Assembly[Month],$CQ$12)</f>
        <v>0</v>
      </c>
      <c r="CS38" s="6">
        <f>SUMIFS(Table_Assembly[Specific Amount],Table_Assembly[NG Type],$CP$14,Table_Assembly[Product type],$BU$43,Table_Assembly[NG content],CP38,Table_Assembly[Month],$CR$12)</f>
        <v>0</v>
      </c>
      <c r="CT38" s="6">
        <f>SUMIFS(Table_Assembly[Specific Amount],Table_Assembly[NG Type],$CP$14,Table_Assembly[Product type],$BU$43,Table_Assembly[NG content],CP38,Table_Assembly[Month],$CS$12)</f>
        <v>0</v>
      </c>
      <c r="CU38" s="6">
        <f>SUMIFS(Table_Assembly[Specific Amount],Table_Assembly[NG Type],$CP$14,Table_Assembly[Product type],$BU$43,Table_Assembly[NG content],CP38,Table_Assembly[Month],$CT$12)</f>
        <v>0</v>
      </c>
      <c r="CV38" s="6">
        <f>SUMIFS(Table_Assembly[Specific Amount],Table_Assembly[NG Type],$CP$14,Table_Assembly[Product type],$BU$43,Table_Assembly[NG content],CP38,Table_Assembly[Month],$CU$12)</f>
        <v>0</v>
      </c>
      <c r="CW38" s="6">
        <f>SUMIFS(Table_Assembly[Specific Amount],Table_Assembly[NG Type],$CP$14,Table_Assembly[Product type],$BU$43,Table_Assembly[NG content],CP38,Table_Assembly[Month],$CV$12)</f>
        <v>0</v>
      </c>
      <c r="CX38" s="6">
        <f>SUMIFS(Table_Assembly[Specific Amount],Table_Assembly[NG Type],$CP$14,Table_Assembly[Product type],$BU$43,Table_Assembly[NG content],CP38,Table_Assembly[Month],$CW$12)</f>
        <v>0</v>
      </c>
      <c r="CY38" s="6">
        <f>SUMIFS(Table_Assembly[Specific Amount],Table_Assembly[NG Type],$CP$14,Table_Assembly[Product type],$BU$43,Table_Assembly[NG content],CP38,Table_Assembly[Month],$CX$12)</f>
        <v>0</v>
      </c>
      <c r="CZ38" s="6">
        <f>SUMIFS(Table_Assembly[Specific Amount],Table_Assembly[NG Type],$CP$14,Table_Assembly[Product type],$BU$43,Table_Assembly[NG content],CP38,Table_Assembly[Month],$CY$12)</f>
        <v>0</v>
      </c>
      <c r="DA38" s="6">
        <f>SUMIFS(Table_Assembly[Specific Amount],Table_Assembly[NG Type],$CP$14,Table_Assembly[Product type],$BU$43,Table_Assembly[NG content],CP38,Table_Assembly[Month],$CZ$12)</f>
        <v>0</v>
      </c>
      <c r="DB38" s="6">
        <f>SUMIFS(Table_Assembly[Total NG from material],Table_Assembly[Comp.],$CP$14,Table_Assembly[Total Produce],$BU$43,Table_Assembly[Reson for Others],CP38,Table_Assembly[Day],$DA$12)</f>
        <v>0</v>
      </c>
    </row>
    <row r="39" spans="1:106">
      <c r="A39" s="1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19"/>
      <c r="W39" s="149"/>
      <c r="X39" s="6">
        <f t="shared" ca="1" si="38"/>
        <v>6</v>
      </c>
      <c r="Z39" s="155">
        <f t="shared" ca="1" si="39"/>
        <v>45022</v>
      </c>
      <c r="AD39" s="149">
        <f t="shared" si="30"/>
        <v>45028</v>
      </c>
      <c r="AE39" s="6" t="str">
        <f t="shared" ca="1" si="31"/>
        <v/>
      </c>
      <c r="AF39" s="6" t="str">
        <f t="shared" si="32"/>
        <v/>
      </c>
      <c r="AG39" s="150" t="str">
        <f t="shared" si="33"/>
        <v/>
      </c>
      <c r="AH39" s="150" t="str">
        <f t="shared" si="25"/>
        <v>Week 3</v>
      </c>
      <c r="AI39" s="150"/>
      <c r="AJ39" s="150">
        <f t="shared" si="34"/>
        <v>3</v>
      </c>
      <c r="AK39" s="150" t="str">
        <f t="shared" si="35"/>
        <v>Wednesday</v>
      </c>
      <c r="AL39" s="155">
        <f t="shared" si="36"/>
        <v>45028</v>
      </c>
      <c r="AM39" s="6" t="b">
        <f t="shared" si="37"/>
        <v>0</v>
      </c>
      <c r="AO39" s="6" t="str">
        <f ca="1">IFERROR(MATCH($B$114,OFFSET(#REF!,AO38,0,1000000),0)+AO38,"")</f>
        <v/>
      </c>
      <c r="AP39" s="156" t="str">
        <f ca="1">IFERROR(_xlfn.SINGLE(INDEX(#REF!,'Annual Report'!AO39)),"")</f>
        <v/>
      </c>
      <c r="AQ39" s="6" t="str">
        <f ca="1">IFERROR(_xlfn.SINGLE(INDEX(#REF!,'Annual Report'!AO39)),"")</f>
        <v/>
      </c>
      <c r="AS39" s="6" t="str">
        <f ca="1">IFERROR(MATCH($L$115,OFFSET(#REF!,AS38,0,1000000),0)+AS38,"")</f>
        <v/>
      </c>
      <c r="AT39" s="156" t="str">
        <f ca="1">IFERROR(_xlfn.SINGLE(INDEX(#REF!,'Annual Report'!AS39)),"")</f>
        <v/>
      </c>
      <c r="AU39" s="6" t="str">
        <f ca="1">IFERROR(_xlfn.SINGLE(INDEX(#REF!,'Annual Report'!AS39)),"")</f>
        <v/>
      </c>
      <c r="BR39" s="105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130"/>
      <c r="CP39" s="6" t="s">
        <v>238</v>
      </c>
      <c r="CQ39" s="6">
        <f>SUMIFS(Table_Assembly[Specific Amount],Table_Assembly[NG Type],$CP$14,Table_Assembly[Product type],$BU$43,Table_Assembly[NG content],CP39,Table_Assembly[Month],$CP$12)</f>
        <v>0</v>
      </c>
      <c r="CR39" s="6">
        <f>SUMIFS(Table_Assembly[Specific Amount],Table_Assembly[NG Type],$CP$14,Table_Assembly[Product type],$BU$43,Table_Assembly[NG content],CP39,Table_Assembly[Month],$CQ$12)</f>
        <v>0</v>
      </c>
      <c r="CS39" s="6">
        <f>SUMIFS(Table_Assembly[Specific Amount],Table_Assembly[NG Type],$CP$14,Table_Assembly[Product type],$BU$43,Table_Assembly[NG content],CP39,Table_Assembly[Month],$CR$12)</f>
        <v>0</v>
      </c>
      <c r="CT39" s="6">
        <f>SUMIFS(Table_Assembly[Specific Amount],Table_Assembly[NG Type],$CP$14,Table_Assembly[Product type],$BU$43,Table_Assembly[NG content],CP39,Table_Assembly[Month],$CS$12)</f>
        <v>0</v>
      </c>
      <c r="CU39" s="6">
        <f>SUMIFS(Table_Assembly[Specific Amount],Table_Assembly[NG Type],$CP$14,Table_Assembly[Product type],$BU$43,Table_Assembly[NG content],CP39,Table_Assembly[Month],$CT$12)</f>
        <v>0</v>
      </c>
      <c r="CV39" s="6">
        <f>SUMIFS(Table_Assembly[Specific Amount],Table_Assembly[NG Type],$CP$14,Table_Assembly[Product type],$BU$43,Table_Assembly[NG content],CP39,Table_Assembly[Month],$CU$12)</f>
        <v>0</v>
      </c>
      <c r="CW39" s="6">
        <f>SUMIFS(Table_Assembly[Specific Amount],Table_Assembly[NG Type],$CP$14,Table_Assembly[Product type],$BU$43,Table_Assembly[NG content],CP39,Table_Assembly[Month],$CV$12)</f>
        <v>0</v>
      </c>
      <c r="CX39" s="6">
        <f>SUMIFS(Table_Assembly[Specific Amount],Table_Assembly[NG Type],$CP$14,Table_Assembly[Product type],$BU$43,Table_Assembly[NG content],CP39,Table_Assembly[Month],$CW$12)</f>
        <v>0</v>
      </c>
      <c r="CY39" s="6">
        <f>SUMIFS(Table_Assembly[Specific Amount],Table_Assembly[NG Type],$CP$14,Table_Assembly[Product type],$BU$43,Table_Assembly[NG content],CP39,Table_Assembly[Month],$CX$12)</f>
        <v>0</v>
      </c>
      <c r="CZ39" s="6">
        <f>SUMIFS(Table_Assembly[Specific Amount],Table_Assembly[NG Type],$CP$14,Table_Assembly[Product type],$BU$43,Table_Assembly[NG content],CP39,Table_Assembly[Month],$CY$12)</f>
        <v>0</v>
      </c>
      <c r="DA39" s="6">
        <f>SUMIFS(Table_Assembly[Specific Amount],Table_Assembly[NG Type],$CP$14,Table_Assembly[Product type],$BU$43,Table_Assembly[NG content],CP39,Table_Assembly[Month],$CZ$12)</f>
        <v>0</v>
      </c>
      <c r="DB39" s="6">
        <f>SUMIFS(Table_Assembly[Total NG from material],Table_Assembly[Comp.],$CP$14,Table_Assembly[Total Produce],$BU$43,Table_Assembly[Reson for Others],CP39,Table_Assembly[Day],$DA$12)</f>
        <v>0</v>
      </c>
    </row>
    <row r="40" spans="1:106" ht="15.5" thickBot="1">
      <c r="A40" s="1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19"/>
      <c r="W40" s="149"/>
      <c r="X40" s="6">
        <f t="shared" ca="1" si="38"/>
        <v>7</v>
      </c>
      <c r="Z40" s="155">
        <f t="shared" ca="1" si="39"/>
        <v>45023</v>
      </c>
      <c r="AD40" s="149">
        <f t="shared" si="30"/>
        <v>45029</v>
      </c>
      <c r="AE40" s="6" t="str">
        <f t="shared" ca="1" si="31"/>
        <v/>
      </c>
      <c r="AF40" s="6" t="str">
        <f t="shared" si="32"/>
        <v/>
      </c>
      <c r="AG40" s="150" t="str">
        <f t="shared" si="33"/>
        <v/>
      </c>
      <c r="AH40" s="150" t="str">
        <f t="shared" si="25"/>
        <v>Week 3</v>
      </c>
      <c r="AI40" s="150"/>
      <c r="AJ40" s="150">
        <f t="shared" si="34"/>
        <v>3</v>
      </c>
      <c r="AK40" s="150" t="str">
        <f t="shared" si="35"/>
        <v>Thursday</v>
      </c>
      <c r="AL40" s="155">
        <f t="shared" si="36"/>
        <v>45029</v>
      </c>
      <c r="AM40" s="6" t="b">
        <f t="shared" si="37"/>
        <v>0</v>
      </c>
      <c r="AO40" s="6" t="str">
        <f ca="1">IFERROR(MATCH($B$114,OFFSET(#REF!,AO39,0,1000000),0)+AO39,"")</f>
        <v/>
      </c>
      <c r="AP40" s="156" t="str">
        <f ca="1">IFERROR(_xlfn.SINGLE(INDEX(#REF!,'Annual Report'!AO40)),"")</f>
        <v/>
      </c>
      <c r="AQ40" s="6" t="str">
        <f ca="1">IFERROR(_xlfn.SINGLE(INDEX(#REF!,'Annual Report'!AO40)),"")</f>
        <v/>
      </c>
      <c r="AS40" s="6" t="str">
        <f ca="1">IFERROR(MATCH($L$115,OFFSET(#REF!,AS39,0,1000000),0)+AS39,"")</f>
        <v/>
      </c>
      <c r="AT40" s="156" t="str">
        <f ca="1">IFERROR(_xlfn.SINGLE(INDEX(#REF!,'Annual Report'!AS40)),"")</f>
        <v/>
      </c>
      <c r="AU40" s="6" t="str">
        <f ca="1">IFERROR(_xlfn.SINGLE(INDEX(#REF!,'Annual Report'!AS40)),"")</f>
        <v/>
      </c>
      <c r="BR40" s="105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130"/>
      <c r="CP40" s="6" t="s">
        <v>186</v>
      </c>
      <c r="CQ40" s="6">
        <f>SUMIFS(Table_Assembly[Specific Amount],Table_Assembly[NG Type],$CP$14,Table_Assembly[Product type],$BU$43,Table_Assembly[NG content],CP40,Table_Assembly[Month],$CP$12)</f>
        <v>0</v>
      </c>
      <c r="CR40" s="6">
        <f>SUMIFS(Table_Assembly[Specific Amount],Table_Assembly[NG Type],$CP$14,Table_Assembly[Product type],$BU$43,Table_Assembly[NG content],CP40,Table_Assembly[Month],$CQ$12)</f>
        <v>0</v>
      </c>
      <c r="CS40" s="6">
        <f>SUMIFS(Table_Assembly[Specific Amount],Table_Assembly[NG Type],$CP$14,Table_Assembly[Product type],$BU$43,Table_Assembly[NG content],CP40,Table_Assembly[Month],$CR$12)</f>
        <v>0</v>
      </c>
      <c r="CT40" s="6">
        <f>SUMIFS(Table_Assembly[Specific Amount],Table_Assembly[NG Type],$CP$14,Table_Assembly[Product type],$BU$43,Table_Assembly[NG content],CP40,Table_Assembly[Month],$CS$12)</f>
        <v>0</v>
      </c>
      <c r="CU40" s="6">
        <f>SUMIFS(Table_Assembly[Specific Amount],Table_Assembly[NG Type],$CP$14,Table_Assembly[Product type],$BU$43,Table_Assembly[NG content],CP40,Table_Assembly[Month],$CT$12)</f>
        <v>0</v>
      </c>
      <c r="CV40" s="6">
        <f>SUMIFS(Table_Assembly[Specific Amount],Table_Assembly[NG Type],$CP$14,Table_Assembly[Product type],$BU$43,Table_Assembly[NG content],CP40,Table_Assembly[Month],$CU$12)</f>
        <v>0</v>
      </c>
      <c r="CW40" s="6">
        <f>SUMIFS(Table_Assembly[Specific Amount],Table_Assembly[NG Type],$CP$14,Table_Assembly[Product type],$BU$43,Table_Assembly[NG content],CP40,Table_Assembly[Month],$CV$12)</f>
        <v>0</v>
      </c>
      <c r="CX40" s="6">
        <f>SUMIFS(Table_Assembly[Specific Amount],Table_Assembly[NG Type],$CP$14,Table_Assembly[Product type],$BU$43,Table_Assembly[NG content],CP40,Table_Assembly[Month],$CW$12)</f>
        <v>0</v>
      </c>
      <c r="CY40" s="6">
        <f>SUMIFS(Table_Assembly[Specific Amount],Table_Assembly[NG Type],$CP$14,Table_Assembly[Product type],$BU$43,Table_Assembly[NG content],CP40,Table_Assembly[Month],$CX$12)</f>
        <v>0</v>
      </c>
      <c r="CZ40" s="6">
        <f>SUMIFS(Table_Assembly[Specific Amount],Table_Assembly[NG Type],$CP$14,Table_Assembly[Product type],$BU$43,Table_Assembly[NG content],CP40,Table_Assembly[Month],$CY$12)</f>
        <v>0</v>
      </c>
      <c r="DA40" s="6">
        <f>SUMIFS(Table_Assembly[Specific Amount],Table_Assembly[NG Type],$CP$14,Table_Assembly[Product type],$BU$43,Table_Assembly[NG content],CP40,Table_Assembly[Month],$CZ$12)</f>
        <v>0</v>
      </c>
      <c r="DB40" s="6">
        <f>SUMIFS(Table_Assembly[Total NG from material],Table_Assembly[Comp.],$CP$14,Table_Assembly[Total Produce],$BU$43,Table_Assembly[Reson for Others],CP40,Table_Assembly[Day],$DA$12)</f>
        <v>0</v>
      </c>
    </row>
    <row r="41" spans="1:106" ht="15.5">
      <c r="A41" s="122"/>
      <c r="B41" s="23"/>
      <c r="C41" s="23"/>
      <c r="D41" s="217"/>
      <c r="E41" s="219"/>
      <c r="F41" s="221" t="s">
        <v>111</v>
      </c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3"/>
      <c r="S41" s="23"/>
      <c r="T41" s="119"/>
      <c r="W41" s="149"/>
      <c r="X41" s="6">
        <f t="shared" ca="1" si="38"/>
        <v>8</v>
      </c>
      <c r="Z41" s="155">
        <f t="shared" ca="1" si="39"/>
        <v>45024</v>
      </c>
      <c r="AD41" s="149">
        <f t="shared" si="30"/>
        <v>45030</v>
      </c>
      <c r="AE41" s="6" t="str">
        <f t="shared" ca="1" si="31"/>
        <v/>
      </c>
      <c r="AF41" s="6" t="str">
        <f t="shared" si="32"/>
        <v/>
      </c>
      <c r="AG41" s="150" t="str">
        <f t="shared" si="33"/>
        <v/>
      </c>
      <c r="AH41" s="150" t="str">
        <f t="shared" si="25"/>
        <v>Week 3</v>
      </c>
      <c r="AI41" s="150"/>
      <c r="AJ41" s="150">
        <f t="shared" si="34"/>
        <v>3</v>
      </c>
      <c r="AK41" s="150" t="str">
        <f t="shared" si="35"/>
        <v>Friday</v>
      </c>
      <c r="AL41" s="155">
        <f t="shared" si="36"/>
        <v>45030</v>
      </c>
      <c r="AM41" s="6" t="b">
        <f t="shared" si="37"/>
        <v>0</v>
      </c>
      <c r="AO41" s="6" t="str">
        <f ca="1">IFERROR(MATCH($B$114,OFFSET(#REF!,AO40,0,1000000),0)+AO40,"")</f>
        <v/>
      </c>
      <c r="AP41" s="156" t="str">
        <f ca="1">IFERROR(_xlfn.SINGLE(INDEX(#REF!,'Annual Report'!AO41)),"")</f>
        <v/>
      </c>
      <c r="AQ41" s="6" t="str">
        <f ca="1">IFERROR(_xlfn.SINGLE(INDEX(#REF!,'Annual Report'!AO41)),"")</f>
        <v/>
      </c>
      <c r="AS41" s="6" t="str">
        <f ca="1">IFERROR(MATCH($L$115,OFFSET(#REF!,AS40,0,1000000),0)+AS40,"")</f>
        <v/>
      </c>
      <c r="AT41" s="156" t="str">
        <f ca="1">IFERROR(_xlfn.SINGLE(INDEX(#REF!,'Annual Report'!AS41)),"")</f>
        <v/>
      </c>
      <c r="AU41" s="6" t="str">
        <f ca="1">IFERROR(_xlfn.SINGLE(INDEX(#REF!,'Annual Report'!AS41)),"")</f>
        <v/>
      </c>
      <c r="BR41" s="105"/>
      <c r="BS41" s="23"/>
      <c r="BT41" s="23"/>
      <c r="BU41" s="228"/>
      <c r="BV41" s="230"/>
      <c r="BW41" s="221" t="s">
        <v>111</v>
      </c>
      <c r="BX41" s="222"/>
      <c r="BY41" s="222"/>
      <c r="BZ41" s="222"/>
      <c r="CA41" s="222"/>
      <c r="CB41" s="222"/>
      <c r="CC41" s="222"/>
      <c r="CD41" s="222"/>
      <c r="CE41" s="222"/>
      <c r="CF41" s="222"/>
      <c r="CG41" s="222"/>
      <c r="CH41" s="222"/>
      <c r="CI41" s="223"/>
      <c r="CJ41" s="23"/>
      <c r="CK41" s="130"/>
      <c r="CP41" s="6" t="s">
        <v>187</v>
      </c>
      <c r="CQ41" s="6">
        <f>SUMIFS(Table_Assembly[Specific Amount],Table_Assembly[NG Type],$CP$14,Table_Assembly[Product type],$BU$43,Table_Assembly[NG content],CP41,Table_Assembly[Month],$CP$12)</f>
        <v>0</v>
      </c>
      <c r="CR41" s="6">
        <f>SUMIFS(Table_Assembly[Specific Amount],Table_Assembly[NG Type],$CP$14,Table_Assembly[Product type],$BU$43,Table_Assembly[NG content],CP41,Table_Assembly[Month],$CQ$12)</f>
        <v>0</v>
      </c>
      <c r="CS41" s="6">
        <f>SUMIFS(Table_Assembly[Specific Amount],Table_Assembly[NG Type],$CP$14,Table_Assembly[Product type],$BU$43,Table_Assembly[NG content],CP41,Table_Assembly[Month],$CR$12)</f>
        <v>0</v>
      </c>
      <c r="CT41" s="6">
        <f>SUMIFS(Table_Assembly[Specific Amount],Table_Assembly[NG Type],$CP$14,Table_Assembly[Product type],$BU$43,Table_Assembly[NG content],CP41,Table_Assembly[Month],$CS$12)</f>
        <v>0</v>
      </c>
      <c r="CU41" s="6">
        <f>SUMIFS(Table_Assembly[Specific Amount],Table_Assembly[NG Type],$CP$14,Table_Assembly[Product type],$BU$43,Table_Assembly[NG content],CP41,Table_Assembly[Month],$CT$12)</f>
        <v>0</v>
      </c>
      <c r="CV41" s="6">
        <f>SUMIFS(Table_Assembly[Specific Amount],Table_Assembly[NG Type],$CP$14,Table_Assembly[Product type],$BU$43,Table_Assembly[NG content],CP41,Table_Assembly[Month],$CU$12)</f>
        <v>0</v>
      </c>
      <c r="CW41" s="6">
        <f>SUMIFS(Table_Assembly[Specific Amount],Table_Assembly[NG Type],$CP$14,Table_Assembly[Product type],$BU$43,Table_Assembly[NG content],CP41,Table_Assembly[Month],$CV$12)</f>
        <v>0</v>
      </c>
      <c r="CX41" s="6">
        <f>SUMIFS(Table_Assembly[Specific Amount],Table_Assembly[NG Type],$CP$14,Table_Assembly[Product type],$BU$43,Table_Assembly[NG content],CP41,Table_Assembly[Month],$CW$12)</f>
        <v>0</v>
      </c>
      <c r="CY41" s="6">
        <f>SUMIFS(Table_Assembly[Specific Amount],Table_Assembly[NG Type],$CP$14,Table_Assembly[Product type],$BU$43,Table_Assembly[NG content],CP41,Table_Assembly[Month],$CX$12)</f>
        <v>0</v>
      </c>
      <c r="CZ41" s="6">
        <f>SUMIFS(Table_Assembly[Specific Amount],Table_Assembly[NG Type],$CP$14,Table_Assembly[Product type],$BU$43,Table_Assembly[NG content],CP41,Table_Assembly[Month],$CY$12)</f>
        <v>0</v>
      </c>
      <c r="DA41" s="6">
        <f>SUMIFS(Table_Assembly[Specific Amount],Table_Assembly[NG Type],$CP$14,Table_Assembly[Product type],$BU$43,Table_Assembly[NG content],CP41,Table_Assembly[Month],$CZ$12)</f>
        <v>0</v>
      </c>
      <c r="DB41" s="6">
        <f>SUMIFS(Table_Assembly[Total NG from material],Table_Assembly[Comp.],$CP$14,Table_Assembly[Total Produce],$BU$43,Table_Assembly[Reson for Others],CP41,Table_Assembly[Day],$DA$12)</f>
        <v>0</v>
      </c>
    </row>
    <row r="42" spans="1:106" ht="15.5" thickBot="1">
      <c r="A42" s="122"/>
      <c r="B42" s="23"/>
      <c r="C42" s="23"/>
      <c r="D42" s="218"/>
      <c r="E42" s="220"/>
      <c r="F42" s="60" t="str">
        <f t="shared" ref="F42:K42" si="40">IF(F4="","",F4)</f>
        <v>January</v>
      </c>
      <c r="G42" s="61" t="str">
        <f t="shared" si="40"/>
        <v>February</v>
      </c>
      <c r="H42" s="61" t="str">
        <f t="shared" si="40"/>
        <v>March</v>
      </c>
      <c r="I42" s="61" t="str">
        <f t="shared" si="40"/>
        <v>April</v>
      </c>
      <c r="J42" s="61" t="str">
        <f t="shared" si="40"/>
        <v>May</v>
      </c>
      <c r="K42" s="61" t="str">
        <f t="shared" si="40"/>
        <v>June</v>
      </c>
      <c r="L42" s="61" t="str">
        <f t="shared" ref="L42:Q42" si="41">IF(L4="","",L4)</f>
        <v>July</v>
      </c>
      <c r="M42" s="61" t="str">
        <f t="shared" si="41"/>
        <v>August</v>
      </c>
      <c r="N42" s="61" t="str">
        <f t="shared" si="41"/>
        <v>September</v>
      </c>
      <c r="O42" s="61" t="str">
        <f t="shared" si="41"/>
        <v>October</v>
      </c>
      <c r="P42" s="61" t="str">
        <f t="shared" si="41"/>
        <v>November</v>
      </c>
      <c r="Q42" s="62" t="str">
        <f t="shared" si="41"/>
        <v>December</v>
      </c>
      <c r="R42" s="63" t="s">
        <v>62</v>
      </c>
      <c r="S42" s="23"/>
      <c r="T42" s="119"/>
      <c r="W42" s="149"/>
      <c r="X42" s="6">
        <f t="shared" ca="1" si="38"/>
        <v>9</v>
      </c>
      <c r="Z42" s="155">
        <f t="shared" ca="1" si="39"/>
        <v>45025</v>
      </c>
      <c r="AD42" s="149">
        <f t="shared" si="30"/>
        <v>45031</v>
      </c>
      <c r="AE42" s="6" t="str">
        <f t="shared" ca="1" si="31"/>
        <v/>
      </c>
      <c r="AF42" s="6" t="str">
        <f t="shared" si="32"/>
        <v/>
      </c>
      <c r="AG42" s="150" t="str">
        <f t="shared" si="33"/>
        <v/>
      </c>
      <c r="AH42" s="150" t="str">
        <f t="shared" si="25"/>
        <v>Week 3</v>
      </c>
      <c r="AI42" s="150"/>
      <c r="AJ42" s="150">
        <f t="shared" si="34"/>
        <v>3</v>
      </c>
      <c r="AK42" s="150" t="str">
        <f t="shared" si="35"/>
        <v>Saturday</v>
      </c>
      <c r="AL42" s="155">
        <f t="shared" si="36"/>
        <v>45031</v>
      </c>
      <c r="AM42" s="6" t="b">
        <f t="shared" si="37"/>
        <v>0</v>
      </c>
      <c r="AO42" s="6" t="str">
        <f ca="1">IFERROR(MATCH($B$114,OFFSET(#REF!,AO41,0,1000000),0)+AO41,"")</f>
        <v/>
      </c>
      <c r="AP42" s="156" t="str">
        <f ca="1">IFERROR(_xlfn.SINGLE(INDEX(#REF!,'Annual Report'!AO42)),"")</f>
        <v/>
      </c>
      <c r="AQ42" s="6" t="str">
        <f ca="1">IFERROR(_xlfn.SINGLE(INDEX(#REF!,'Annual Report'!AO42)),"")</f>
        <v/>
      </c>
      <c r="AS42" s="6" t="str">
        <f ca="1">IFERROR(MATCH($L$115,OFFSET(#REF!,AS41,0,1000000),0)+AS41,"")</f>
        <v/>
      </c>
      <c r="AT42" s="156" t="str">
        <f ca="1">IFERROR(_xlfn.SINGLE(INDEX(#REF!,'Annual Report'!AS42)),"")</f>
        <v/>
      </c>
      <c r="AU42" s="6" t="str">
        <f ca="1">IFERROR(_xlfn.SINGLE(INDEX(#REF!,'Annual Report'!AS42)),"")</f>
        <v/>
      </c>
      <c r="BR42" s="105"/>
      <c r="BS42" s="23"/>
      <c r="BT42" s="23"/>
      <c r="BU42" s="229"/>
      <c r="BV42" s="231"/>
      <c r="BW42" s="60" t="str">
        <f>IF(BW4="","",BW4)</f>
        <v>January</v>
      </c>
      <c r="BX42" s="61" t="str">
        <f t="shared" ref="BX42:CH42" si="42">IF(BX4="","",BX4)</f>
        <v>February</v>
      </c>
      <c r="BY42" s="61" t="str">
        <f t="shared" si="42"/>
        <v>March</v>
      </c>
      <c r="BZ42" s="61" t="str">
        <f t="shared" si="42"/>
        <v>April</v>
      </c>
      <c r="CA42" s="61" t="str">
        <f t="shared" si="42"/>
        <v>May</v>
      </c>
      <c r="CB42" s="61" t="str">
        <f t="shared" si="42"/>
        <v>June</v>
      </c>
      <c r="CC42" s="61" t="str">
        <f t="shared" si="42"/>
        <v>July</v>
      </c>
      <c r="CD42" s="61" t="str">
        <f t="shared" si="42"/>
        <v>August</v>
      </c>
      <c r="CE42" s="61" t="str">
        <f t="shared" si="42"/>
        <v>September</v>
      </c>
      <c r="CF42" s="61" t="str">
        <f t="shared" si="42"/>
        <v>October</v>
      </c>
      <c r="CG42" s="61" t="str">
        <f t="shared" si="42"/>
        <v>November</v>
      </c>
      <c r="CH42" s="62" t="str">
        <f t="shared" si="42"/>
        <v>December</v>
      </c>
      <c r="CI42" s="63" t="s">
        <v>62</v>
      </c>
      <c r="CJ42" s="23"/>
      <c r="CK42" s="130"/>
      <c r="CP42" s="6" t="s">
        <v>188</v>
      </c>
      <c r="CQ42" s="6">
        <f>SUMIFS(Table_Assembly[Specific Amount],Table_Assembly[NG Type],$CP$14,Table_Assembly[Product type],$BU$43,Table_Assembly[NG content],CP42,Table_Assembly[Month],$CP$12)</f>
        <v>0</v>
      </c>
      <c r="CR42" s="6">
        <f>SUMIFS(Table_Assembly[Specific Amount],Table_Assembly[NG Type],$CP$14,Table_Assembly[Product type],$BU$43,Table_Assembly[NG content],CP42,Table_Assembly[Month],$CQ$12)</f>
        <v>0</v>
      </c>
      <c r="CS42" s="6">
        <f>SUMIFS(Table_Assembly[Specific Amount],Table_Assembly[NG Type],$CP$14,Table_Assembly[Product type],$BU$43,Table_Assembly[NG content],CP42,Table_Assembly[Month],$CR$12)</f>
        <v>0</v>
      </c>
      <c r="CT42" s="6">
        <f>SUMIFS(Table_Assembly[Specific Amount],Table_Assembly[NG Type],$CP$14,Table_Assembly[Product type],$BU$43,Table_Assembly[NG content],CP42,Table_Assembly[Month],$CS$12)</f>
        <v>0</v>
      </c>
      <c r="CU42" s="6">
        <f>SUMIFS(Table_Assembly[Specific Amount],Table_Assembly[NG Type],$CP$14,Table_Assembly[Product type],$BU$43,Table_Assembly[NG content],CP42,Table_Assembly[Month],$CT$12)</f>
        <v>0</v>
      </c>
      <c r="CV42" s="6">
        <f>SUMIFS(Table_Assembly[Specific Amount],Table_Assembly[NG Type],$CP$14,Table_Assembly[Product type],$BU$43,Table_Assembly[NG content],CP42,Table_Assembly[Month],$CU$12)</f>
        <v>2</v>
      </c>
      <c r="CW42" s="6">
        <f>SUMIFS(Table_Assembly[Specific Amount],Table_Assembly[NG Type],$CP$14,Table_Assembly[Product type],$BU$43,Table_Assembly[NG content],CP42,Table_Assembly[Month],$CV$12)</f>
        <v>0</v>
      </c>
      <c r="CX42" s="6">
        <f>SUMIFS(Table_Assembly[Specific Amount],Table_Assembly[NG Type],$CP$14,Table_Assembly[Product type],$BU$43,Table_Assembly[NG content],CP42,Table_Assembly[Month],$CW$12)</f>
        <v>0</v>
      </c>
      <c r="CY42" s="6">
        <f>SUMIFS(Table_Assembly[Specific Amount],Table_Assembly[NG Type],$CP$14,Table_Assembly[Product type],$BU$43,Table_Assembly[NG content],CP42,Table_Assembly[Month],$CX$12)</f>
        <v>0</v>
      </c>
      <c r="CZ42" s="6">
        <f>SUMIFS(Table_Assembly[Specific Amount],Table_Assembly[NG Type],$CP$14,Table_Assembly[Product type],$BU$43,Table_Assembly[NG content],CP42,Table_Assembly[Month],$CY$12)</f>
        <v>0</v>
      </c>
      <c r="DA42" s="6">
        <f>SUMIFS(Table_Assembly[Specific Amount],Table_Assembly[NG Type],$CP$14,Table_Assembly[Product type],$BU$43,Table_Assembly[NG content],CP42,Table_Assembly[Month],$CZ$12)</f>
        <v>0</v>
      </c>
      <c r="DB42" s="6">
        <f>SUMIFS(Table_Assembly[Total NG from material],Table_Assembly[Comp.],$CP$14,Table_Assembly[Total Produce],$BU$43,Table_Assembly[Reson for Others],CP42,Table_Assembly[Day],$DA$12)</f>
        <v>0</v>
      </c>
    </row>
    <row r="43" spans="1:106" ht="15.5" thickTop="1">
      <c r="A43" s="122"/>
      <c r="B43" s="23"/>
      <c r="C43" s="23"/>
      <c r="D43" s="209" t="s">
        <v>63</v>
      </c>
      <c r="E43" s="178" t="s">
        <v>31</v>
      </c>
      <c r="F43" s="179">
        <f t="shared" ref="F43:P43" si="43">IF(F6="","",F6)</f>
        <v>0</v>
      </c>
      <c r="G43" s="179">
        <f t="shared" si="43"/>
        <v>0</v>
      </c>
      <c r="H43" s="179">
        <f t="shared" si="43"/>
        <v>0</v>
      </c>
      <c r="I43" s="179">
        <f t="shared" si="43"/>
        <v>0</v>
      </c>
      <c r="J43" s="179">
        <f t="shared" si="43"/>
        <v>1302</v>
      </c>
      <c r="K43" s="179">
        <f t="shared" si="43"/>
        <v>134</v>
      </c>
      <c r="L43" s="179">
        <f t="shared" si="43"/>
        <v>0</v>
      </c>
      <c r="M43" s="179">
        <f t="shared" si="43"/>
        <v>0</v>
      </c>
      <c r="N43" s="179">
        <f t="shared" si="43"/>
        <v>0</v>
      </c>
      <c r="O43" s="179">
        <f t="shared" si="43"/>
        <v>0</v>
      </c>
      <c r="P43" s="179">
        <f t="shared" si="43"/>
        <v>0</v>
      </c>
      <c r="Q43" s="180">
        <f t="shared" ref="Q43" si="44">IF(Q6="","",Q6)</f>
        <v>0</v>
      </c>
      <c r="R43" s="181">
        <f t="shared" ref="R43:R48" si="45">SUM(F43:Q43)</f>
        <v>1436</v>
      </c>
      <c r="S43" s="23"/>
      <c r="T43" s="119"/>
      <c r="W43" s="149"/>
      <c r="AD43" s="149">
        <f t="shared" si="30"/>
        <v>45032</v>
      </c>
      <c r="AE43" s="6" t="str">
        <f t="shared" ca="1" si="31"/>
        <v/>
      </c>
      <c r="AF43" s="6" t="str">
        <f t="shared" si="32"/>
        <v/>
      </c>
      <c r="AG43" s="150" t="str">
        <f t="shared" si="33"/>
        <v/>
      </c>
      <c r="AH43" s="150" t="str">
        <f t="shared" si="25"/>
        <v>Week 3</v>
      </c>
      <c r="AI43" s="150"/>
      <c r="AJ43" s="150">
        <f t="shared" si="34"/>
        <v>3</v>
      </c>
      <c r="AK43" s="150" t="str">
        <f t="shared" si="35"/>
        <v>Sunday</v>
      </c>
      <c r="AL43" s="155">
        <f t="shared" si="36"/>
        <v>45032</v>
      </c>
      <c r="AM43" s="6" t="b">
        <f t="shared" si="37"/>
        <v>0</v>
      </c>
      <c r="AO43" s="6" t="str">
        <f ca="1">IFERROR(MATCH($B$114,OFFSET(#REF!,AO42,0,1000000),0)+AO42,"")</f>
        <v/>
      </c>
      <c r="AP43" s="156" t="str">
        <f ca="1">IFERROR(_xlfn.SINGLE(INDEX(#REF!,'Annual Report'!AO43)),"")</f>
        <v/>
      </c>
      <c r="AQ43" s="6" t="str">
        <f ca="1">IFERROR(_xlfn.SINGLE(INDEX(#REF!,'Annual Report'!AO43)),"")</f>
        <v/>
      </c>
      <c r="AS43" s="6" t="str">
        <f ca="1">IFERROR(MATCH($L$115,OFFSET(#REF!,AS42,0,1000000),0)+AS42,"")</f>
        <v/>
      </c>
      <c r="AT43" s="156" t="str">
        <f ca="1">IFERROR(_xlfn.SINGLE(INDEX(#REF!,'Annual Report'!AS43)),"")</f>
        <v/>
      </c>
      <c r="AU43" s="6" t="str">
        <f ca="1">IFERROR(_xlfn.SINGLE(INDEX(#REF!,'Annual Report'!AS43)),"")</f>
        <v/>
      </c>
      <c r="BR43" s="105"/>
      <c r="BS43" s="23"/>
      <c r="BT43" s="23"/>
      <c r="BU43" s="187" t="s">
        <v>63</v>
      </c>
      <c r="BV43" s="178" t="s">
        <v>31</v>
      </c>
      <c r="BW43" s="179">
        <f>IF(BW6="","",BW6)</f>
        <v>0</v>
      </c>
      <c r="BX43" s="179">
        <f t="shared" ref="BX43:CH43" si="46">IF(BX6="","",BX6)</f>
        <v>0</v>
      </c>
      <c r="BY43" s="179">
        <f t="shared" si="46"/>
        <v>0</v>
      </c>
      <c r="BZ43" s="179">
        <f t="shared" si="46"/>
        <v>0</v>
      </c>
      <c r="CA43" s="179">
        <f t="shared" si="46"/>
        <v>1180</v>
      </c>
      <c r="CB43" s="179">
        <f t="shared" si="46"/>
        <v>70</v>
      </c>
      <c r="CC43" s="179">
        <f t="shared" si="46"/>
        <v>0</v>
      </c>
      <c r="CD43" s="179">
        <f t="shared" si="46"/>
        <v>0</v>
      </c>
      <c r="CE43" s="179">
        <f t="shared" si="46"/>
        <v>0</v>
      </c>
      <c r="CF43" s="179">
        <f t="shared" si="46"/>
        <v>0</v>
      </c>
      <c r="CG43" s="179">
        <f t="shared" si="46"/>
        <v>0</v>
      </c>
      <c r="CH43" s="180">
        <f t="shared" si="46"/>
        <v>0</v>
      </c>
      <c r="CI43" s="181">
        <f t="shared" ref="CI43:CI49" si="47">SUM(BW43:CH43)</f>
        <v>1250</v>
      </c>
      <c r="CJ43" s="23"/>
      <c r="CK43" s="130"/>
      <c r="CP43" s="6" t="s">
        <v>189</v>
      </c>
      <c r="CQ43" s="6">
        <f>SUMIFS(Table_Assembly[Specific Amount],Table_Assembly[NG Type],$CP$14,Table_Assembly[Product type],$BU$43,Table_Assembly[NG content],CP43,Table_Assembly[Month],$CP$12)</f>
        <v>0</v>
      </c>
      <c r="CR43" s="6">
        <f>SUMIFS(Table_Assembly[Specific Amount],Table_Assembly[NG Type],$CP$14,Table_Assembly[Product type],$BU$43,Table_Assembly[NG content],CP43,Table_Assembly[Month],$CQ$12)</f>
        <v>0</v>
      </c>
      <c r="CS43" s="6">
        <f>SUMIFS(Table_Assembly[Specific Amount],Table_Assembly[NG Type],$CP$14,Table_Assembly[Product type],$BU$43,Table_Assembly[NG content],CP43,Table_Assembly[Month],$CR$12)</f>
        <v>0</v>
      </c>
      <c r="CT43" s="6">
        <f>SUMIFS(Table_Assembly[Specific Amount],Table_Assembly[NG Type],$CP$14,Table_Assembly[Product type],$BU$43,Table_Assembly[NG content],CP43,Table_Assembly[Month],$CS$12)</f>
        <v>0</v>
      </c>
      <c r="CU43" s="6">
        <f>SUMIFS(Table_Assembly[Specific Amount],Table_Assembly[NG Type],$CP$14,Table_Assembly[Product type],$BU$43,Table_Assembly[NG content],CP43,Table_Assembly[Month],$CT$12)</f>
        <v>0</v>
      </c>
      <c r="CV43" s="6">
        <f>SUMIFS(Table_Assembly[Specific Amount],Table_Assembly[NG Type],$CP$14,Table_Assembly[Product type],$BU$43,Table_Assembly[NG content],CP43,Table_Assembly[Month],$CU$12)</f>
        <v>0</v>
      </c>
      <c r="CW43" s="6">
        <f>SUMIFS(Table_Assembly[Specific Amount],Table_Assembly[NG Type],$CP$14,Table_Assembly[Product type],$BU$43,Table_Assembly[NG content],CP43,Table_Assembly[Month],$CV$12)</f>
        <v>0</v>
      </c>
      <c r="CX43" s="6">
        <f>SUMIFS(Table_Assembly[Specific Amount],Table_Assembly[NG Type],$CP$14,Table_Assembly[Product type],$BU$43,Table_Assembly[NG content],CP43,Table_Assembly[Month],$CW$12)</f>
        <v>0</v>
      </c>
      <c r="CY43" s="6">
        <f>SUMIFS(Table_Assembly[Specific Amount],Table_Assembly[NG Type],$CP$14,Table_Assembly[Product type],$BU$43,Table_Assembly[NG content],CP43,Table_Assembly[Month],$CX$12)</f>
        <v>0</v>
      </c>
      <c r="CZ43" s="6">
        <f>SUMIFS(Table_Assembly[Specific Amount],Table_Assembly[NG Type],$CP$14,Table_Assembly[Product type],$BU$43,Table_Assembly[NG content],CP43,Table_Assembly[Month],$CY$12)</f>
        <v>0</v>
      </c>
      <c r="DA43" s="6">
        <f>SUMIFS(Table_Assembly[Specific Amount],Table_Assembly[NG Type],$CP$14,Table_Assembly[Product type],$BU$43,Table_Assembly[NG content],CP43,Table_Assembly[Month],$CZ$12)</f>
        <v>0</v>
      </c>
      <c r="DB43" s="6">
        <f>SUMIFS(Table_Assembly[Total NG from material],Table_Assembly[Comp.],$CP$14,Table_Assembly[Total Produce],$BU$43,Table_Assembly[Reson for Others],CP43,Table_Assembly[Day],$DA$12)</f>
        <v>0</v>
      </c>
    </row>
    <row r="44" spans="1:106">
      <c r="A44" s="122"/>
      <c r="B44" s="23"/>
      <c r="C44" s="23"/>
      <c r="D44" s="204"/>
      <c r="E44" s="19" t="s">
        <v>102</v>
      </c>
      <c r="F44" s="40">
        <f>IF($F$4="","",
IF($BM$4=TRUE,SUMIFS(Table_Assembly[Total NG from material],Table_Assembly[Product type],$D$5,Table_Assembly[Month],"1"),
IF(AND($BK$5=TRUE,$BN$5=FALSE),SUMIFS(Table_Assembly[Total NG from material],Table_Assembly[Product type],$D$5,Table_Assembly[Month],"1"),
IF(AND($BK$5=FALSE,$BN$5=TRUE),SUMIFS(Table_Assembly[Total NG from material],Table_Assembly[Product type],$D$5,Table_Assembly[Customer],$B$5,Table_Assembly[Month],"1"),
IF(AND($BN$5=FALSE,$BM$5=FALSE),SUMIFS(Table_Assembly[Total NG from material],Table_Assembly[Product type],$D$5,Table_Assembly[Customer],$B$5,Table_Assembly[Month],"1"),"")))))</f>
        <v>0</v>
      </c>
      <c r="G44" s="40">
        <f>IF($G$4="","",
IF($BM$4=TRUE,SUMIFS(Table_Assembly[Total NG from material],Table_Assembly[Product type],$D$5,Table_Assembly[Month],"2"),
IF(AND($BK$5=TRUE,$BN$5=FALSE),SUMIFS(Table_Assembly[Total NG from material],Table_Assembly[Product type],$D$5,Table_Assembly[Month],"2"),
IF(AND($BK$5=FALSE,$BN$5=TRUE),SUMIFS(Table_Assembly[Total NG from material],Table_Assembly[Product type],$D$5,Table_Assembly[Customer],$B$5,Table_Assembly[Month],"2"),
IF(AND($BN$5=FALSE,$BM$5=FALSE),SUMIFS(Table_Assembly[Total NG from material],Table_Assembly[Product type],$D$5,Table_Assembly[Customer],$B$5,Table_Assembly[Month],"2"),"")))))</f>
        <v>0</v>
      </c>
      <c r="H44" s="40">
        <f>IF($H$4="","",
IF($BM$4=TRUE,SUMIFS(Table_Assembly[Total NG from material],Table_Assembly[Product type],$D$5,Table_Assembly[Month],"3"),
IF(AND($BK$5=TRUE,$BN$5=FALSE),SUMIFS(Table_Assembly[Total NG from material],Table_Assembly[Product type],$D$5,Table_Assembly[Month],"3"),
IF(AND($BK$5=FALSE,$BN$5=TRUE),SUMIFS(Table_Assembly[Total NG from material],Table_Assembly[Product type],$D$5,Table_Assembly[Customer],$B$5,Table_Assembly[Month],"3"),
IF(AND($BN$5=FALSE,$BM$5=FALSE),SUMIFS(Table_Assembly[Total NG from material],Table_Assembly[Product type],$D$5,Table_Assembly[Customer],$B$5,Table_Assembly[Month],"3"),"")))))</f>
        <v>0</v>
      </c>
      <c r="I44" s="40">
        <f>IF($I$4="","",
IF($BM$4=TRUE,SUMIFS(Table_Assembly[Total NG from material],Table_Assembly[Product type],$D$5,Table_Assembly[Month],"4"),
IF(AND($BK$5=TRUE,$BN$5=FALSE),SUMIFS(Table_Assembly[Total NG from material],Table_Assembly[Product type],$D$5,Table_Assembly[Month],"4"),
IF(AND($BK$5=FALSE,$BN$5=TRUE),SUMIFS(Table_Assembly[Total NG from material],Table_Assembly[Product type],$D$5,Table_Assembly[Customer],$B$5,Table_Assembly[Month],"4"),
IF(AND($BN$5=FALSE,$BM$5=FALSE),SUMIFS(Table_Assembly[Total NG from material],Table_Assembly[Product type],$D$5,Table_Assembly[Customer],$B$5,Table_Assembly[Month],"4"),"")))))</f>
        <v>0</v>
      </c>
      <c r="J44" s="40">
        <f>IF($J$4="","",
IF($BM$4=TRUE,SUMIFS(Table_Assembly[Total NG from material],Table_Assembly[Product type],$D$5,Table_Assembly[Month],"5"),
IF(AND($BK$5=TRUE,$BN$5=FALSE),SUMIFS(Table_Assembly[Total NG from material],Table_Assembly[Product type],$D$5,Table_Assembly[Month],"5"),
IF(AND($BK$5=FALSE,$BN$5=TRUE),SUMIFS(Table_Assembly[Total NG from material],Table_Assembly[Product type],$D$5,Table_Assembly[Customer],$B$5,Table_Assembly[Month],"5"),
IF(AND($BN$5=FALSE,$BM$5=FALSE),SUMIFS(Table_Assembly[Total NG from material],Table_Assembly[Product type],$D$5,Table_Assembly[Customer],$B$5,Table_Assembly[Month],"5"),"")))))</f>
        <v>122</v>
      </c>
      <c r="K44" s="40">
        <f>IF($K$4="","",
IF($BM$4=TRUE,SUMIFS(Table_Assembly[Total NG from material],Table_Assembly[Product type],$D$5,Table_Assembly[Month],"6"),
IF(AND($BK$5=TRUE,$BN$5=FALSE),SUMIFS(Table_Assembly[Total NG from material],Table_Assembly[Product type],$D$5,Table_Assembly[Month],"6"),
IF(AND($BK$5=FALSE,$BN$5=TRUE),SUMIFS(Table_Assembly[Total NG from material],Table_Assembly[Product type],$D$5,Table_Assembly[Customer],$B$5,Table_Assembly[Month],"6"),
IF(AND($BN$5=FALSE,$BM$5=FALSE),SUMIFS(Table_Assembly[Total NG from material],Table_Assembly[Product type],$D$5,Table_Assembly[Customer],$B$5,Table_Assembly[Month],"6"),"")))))</f>
        <v>64</v>
      </c>
      <c r="L44" s="40">
        <f>IF($L$4="","",
IF($BM$4=TRUE,SUMIFS(Table_Assembly[Total NG from material],Table_Assembly[Product type],$D$5,Table_Assembly[Month],"7"),
IF(AND($BK$5=TRUE,$BN$5=FALSE),SUMIFS(Table_Assembly[Total NG from material],Table_Assembly[Product type],$D$5,Table_Assembly[Month],"7"),
IF(AND($BK$5=FALSE,$BN$5=TRUE),SUMIFS(Table_Assembly[Total NG from material],Table_Assembly[Product type],$D$5,Table_Assembly[Customer],$B$5,Table_Assembly[Month],"7"),
IF(AND($BN$5=FALSE,$BM$5=FALSE),SUMIFS(Table_Assembly[Total NG from material],Table_Assembly[Product type],$D$5,Table_Assembly[Customer],$B$5,Table_Assembly[Month],"7"),"")))))</f>
        <v>0</v>
      </c>
      <c r="M44" s="40">
        <f>IF($M$4="","",
IF($BM$4=TRUE,SUMIFS(Table_Assembly[Total NG from material],Table_Assembly[Product type],$D$5,Table_Assembly[Month],"8"),
IF(AND($BK$5=TRUE,$BN$5=FALSE),SUMIFS(Table_Assembly[Total NG from material],Table_Assembly[Product type],$D$5,Table_Assembly[Month],"8"),
IF(AND($BK$5=FALSE,$BN$5=TRUE),SUMIFS(Table_Assembly[Total NG from material],Table_Assembly[Product type],$D$5,Table_Assembly[Customer],$B$5,Table_Assembly[Month],"8"),
IF(AND($BN$5=FALSE,$BM$5=FALSE),SUMIFS(Table_Assembly[Total NG from material],Table_Assembly[Product type],$D$5,Table_Assembly[Customer],$B$5,Table_Assembly[Month],"8"),"")))))</f>
        <v>0</v>
      </c>
      <c r="N44" s="40">
        <f>IF($N$4="","",
IF($BM$4=TRUE,SUMIFS(Table_Assembly[Total NG from material],Table_Assembly[Product type],$D$5,Table_Assembly[Month],"9"),
IF(AND($BK$5=TRUE,$BN$5=FALSE),SUMIFS(Table_Assembly[Total NG from material],Table_Assembly[Product type],$D$5,Table_Assembly[Month],"9"),
IF(AND($BK$5=FALSE,$BN$5=TRUE),SUMIFS(Table_Assembly[Total NG from material],Table_Assembly[Product type],$D$5,Table_Assembly[Customer],$B$5,Table_Assembly[Month],"9"),
IF(AND($BN$5=FALSE,$BM$5=FALSE),SUMIFS(Table_Assembly[Total NG from material],Table_Assembly[Product type],$D$5,Table_Assembly[Customer],$B$5,Table_Assembly[Month],"9"),"")))))</f>
        <v>0</v>
      </c>
      <c r="O44" s="40">
        <f>IF($O$4="","",
IF($BM$4=TRUE,SUMIFS(Table_Assembly[Total NG from material],Table_Assembly[Product type],$D$5,Table_Assembly[Month],"10"),
IF(AND($BK$5=TRUE,$BN$5=FALSE),SUMIFS(Table_Assembly[Total NG from material],Table_Assembly[Product type],$D$5,Table_Assembly[Month],"10"),
IF(AND($BK$5=FALSE,$BN$5=TRUE),SUMIFS(Table_Assembly[Total NG from material],Table_Assembly[Product type],$D$5,Table_Assembly[Customer],$B$5,Table_Assembly[Month],"10"),
IF(AND($BN$5=FALSE,$BM$5=FALSE),SUMIFS(Table_Assembly[Total NG from material],Table_Assembly[Product type],$D$5,Table_Assembly[Customer],$B$5,Table_Assembly[Month],"10"),"")))))</f>
        <v>0</v>
      </c>
      <c r="P44" s="40">
        <f>IF($P$4="","",
IF($BM$4=TRUE,SUMIFS(Table_Assembly[Total NG from material],Table_Assembly[Product type],$D$5,Table_Assembly[Month],"11"),
IF(AND($BK$5=TRUE,$BN$5=FALSE),SUMIFS(Table_Assembly[Total NG from material],Table_Assembly[Product type],$D$5,Table_Assembly[Month],"11"),
IF(AND($BK$5=FALSE,$BN$5=TRUE),SUMIFS(Table_Assembly[Total NG from material],Table_Assembly[Product type],$D$5,Table_Assembly[Customer],$B$5,Table_Assembly[Month],"11"),
IF(AND($BN$5=FALSE,$BM$5=FALSE),SUMIFS(Table_Assembly[Total NG from material],Table_Assembly[Product type],$D$5,Table_Assembly[Customer],$B$5,Table_Assembly[Month],"11"),"")))))</f>
        <v>0</v>
      </c>
      <c r="Q44" s="41">
        <f>IF($Q$4="","",
IF($BM$4=TRUE,SUMIFS(Table_Assembly[Total NG from material],Table_Assembly[Product type],$D$5,Table_Assembly[Month],"12"),
IF(AND($BK$5=TRUE,$BN$5=FALSE),SUMIFS(Table_Assembly[Total NG from material],Table_Assembly[Product type],$D$5,Table_Assembly[Month],"12"),
IF(AND($BK$5=FALSE,$BN$5=TRUE),SUMIFS(Table_Assembly[Total NG from material],Table_Assembly[Product type],$D$5,Table_Assembly[Customer],$B$5,Table_Assembly[Month],"12"),
IF(AND($BN$5=FALSE,$BM$5=FALSE),SUMIFS(Table_Assembly[Total NG from material],Table_Assembly[Product type],$D$5,Table_Assembly[Customer],$B$5,Table_Assembly[Month],"12"),"")))))</f>
        <v>0</v>
      </c>
      <c r="R44" s="42">
        <f t="shared" si="45"/>
        <v>186</v>
      </c>
      <c r="S44" s="23"/>
      <c r="T44" s="119"/>
      <c r="W44" s="149">
        <f>IFERROR(INDEX($AL$28:$AL$58,MATCH(Y44,$AG$28:$AG$58,0)),"")</f>
        <v>45026</v>
      </c>
      <c r="X44" s="6">
        <f ca="1">IFERROR(MATCH($Y$44,OFFSET($AH$28:$AH$58,X43,0,1000000),0)+X43,"")</f>
        <v>10</v>
      </c>
      <c r="Y44" s="6" t="s">
        <v>82</v>
      </c>
      <c r="Z44" s="155">
        <f ca="1">IFERROR(INDEX($AL$28:$AL$58,X44),"")</f>
        <v>45026</v>
      </c>
      <c r="AD44" s="149">
        <f t="shared" si="30"/>
        <v>45033</v>
      </c>
      <c r="AE44" s="6" t="str">
        <f t="shared" ca="1" si="31"/>
        <v>Week 4</v>
      </c>
      <c r="AF44" s="6">
        <f t="shared" si="32"/>
        <v>4</v>
      </c>
      <c r="AG44" s="150" t="str">
        <f t="shared" si="33"/>
        <v>Week 4</v>
      </c>
      <c r="AH44" s="150" t="str">
        <f t="shared" si="25"/>
        <v>Week 4</v>
      </c>
      <c r="AI44" s="150"/>
      <c r="AJ44" s="150">
        <f t="shared" si="34"/>
        <v>4</v>
      </c>
      <c r="AK44" s="150" t="str">
        <f t="shared" si="35"/>
        <v>Monday</v>
      </c>
      <c r="AL44" s="155">
        <f t="shared" si="36"/>
        <v>45033</v>
      </c>
      <c r="AM44" s="6" t="b">
        <f t="shared" si="37"/>
        <v>0</v>
      </c>
      <c r="AO44" s="6" t="str">
        <f ca="1">IFERROR(MATCH($B$114,OFFSET(#REF!,AO43,0,1000000),0)+AO43,"")</f>
        <v/>
      </c>
      <c r="AP44" s="156" t="str">
        <f ca="1">IFERROR(_xlfn.SINGLE(INDEX(#REF!,'Annual Report'!AO44)),"")</f>
        <v/>
      </c>
      <c r="AQ44" s="6" t="str">
        <f ca="1">IFERROR(_xlfn.SINGLE(INDEX(#REF!,'Annual Report'!AO44)),"")</f>
        <v/>
      </c>
      <c r="AS44" s="6" t="str">
        <f ca="1">IFERROR(MATCH($L$115,OFFSET(#REF!,AS43,0,1000000),0)+AS43,"")</f>
        <v/>
      </c>
      <c r="AT44" s="156" t="str">
        <f ca="1">IFERROR(_xlfn.SINGLE(INDEX(#REF!,'Annual Report'!AS44)),"")</f>
        <v/>
      </c>
      <c r="AU44" s="6" t="str">
        <f ca="1">IFERROR(_xlfn.SINGLE(INDEX(#REF!,'Annual Report'!AS44)),"")</f>
        <v/>
      </c>
      <c r="BR44" s="105"/>
      <c r="BS44" s="23"/>
      <c r="BT44" s="23"/>
      <c r="BU44" s="188"/>
      <c r="BV44" s="108" t="s">
        <v>134</v>
      </c>
      <c r="BW44" s="40">
        <f>IF(BW42="","",SUM(CQ16:CQ17))</f>
        <v>0</v>
      </c>
      <c r="BX44" s="40">
        <f t="shared" ref="BX44:CH44" si="48">IF(BX42="","",SUM(CR16:CR17))</f>
        <v>0</v>
      </c>
      <c r="BY44" s="40">
        <f t="shared" si="48"/>
        <v>0</v>
      </c>
      <c r="BZ44" s="40">
        <f t="shared" si="48"/>
        <v>0</v>
      </c>
      <c r="CA44" s="40">
        <f t="shared" si="48"/>
        <v>59</v>
      </c>
      <c r="CB44" s="40">
        <f t="shared" si="48"/>
        <v>5</v>
      </c>
      <c r="CC44" s="40">
        <f t="shared" si="48"/>
        <v>0</v>
      </c>
      <c r="CD44" s="40">
        <f t="shared" si="48"/>
        <v>0</v>
      </c>
      <c r="CE44" s="40">
        <f t="shared" si="48"/>
        <v>0</v>
      </c>
      <c r="CF44" s="40">
        <f t="shared" si="48"/>
        <v>0</v>
      </c>
      <c r="CG44" s="40">
        <f t="shared" si="48"/>
        <v>0</v>
      </c>
      <c r="CH44" s="41">
        <f t="shared" si="48"/>
        <v>0</v>
      </c>
      <c r="CI44" s="42">
        <f t="shared" si="47"/>
        <v>64</v>
      </c>
      <c r="CJ44" s="23"/>
      <c r="CK44" s="130"/>
      <c r="CP44" s="6" t="s">
        <v>190</v>
      </c>
      <c r="CQ44" s="6">
        <f>SUMIFS(Table_Assembly[Specific Amount],Table_Assembly[NG Type],$CP$14,Table_Assembly[Product type],$BU$43,Table_Assembly[NG content],CP44,Table_Assembly[Month],$CP$12)</f>
        <v>0</v>
      </c>
      <c r="CR44" s="6">
        <f>SUMIFS(Table_Assembly[Specific Amount],Table_Assembly[NG Type],$CP$14,Table_Assembly[Product type],$BU$43,Table_Assembly[NG content],CP44,Table_Assembly[Month],$CQ$12)</f>
        <v>0</v>
      </c>
      <c r="CS44" s="6">
        <f>SUMIFS(Table_Assembly[Specific Amount],Table_Assembly[NG Type],$CP$14,Table_Assembly[Product type],$BU$43,Table_Assembly[NG content],CP44,Table_Assembly[Month],$CR$12)</f>
        <v>0</v>
      </c>
      <c r="CT44" s="6">
        <f>SUMIFS(Table_Assembly[Specific Amount],Table_Assembly[NG Type],$CP$14,Table_Assembly[Product type],$BU$43,Table_Assembly[NG content],CP44,Table_Assembly[Month],$CS$12)</f>
        <v>0</v>
      </c>
      <c r="CU44" s="6">
        <f>SUMIFS(Table_Assembly[Specific Amount],Table_Assembly[NG Type],$CP$14,Table_Assembly[Product type],$BU$43,Table_Assembly[NG content],CP44,Table_Assembly[Month],$CT$12)</f>
        <v>7</v>
      </c>
      <c r="CV44" s="6">
        <f>SUMIFS(Table_Assembly[Specific Amount],Table_Assembly[NG Type],$CP$14,Table_Assembly[Product type],$BU$43,Table_Assembly[NG content],CP44,Table_Assembly[Month],$CU$12)</f>
        <v>4</v>
      </c>
      <c r="CW44" s="6">
        <f>SUMIFS(Table_Assembly[Specific Amount],Table_Assembly[NG Type],$CP$14,Table_Assembly[Product type],$BU$43,Table_Assembly[NG content],CP44,Table_Assembly[Month],$CV$12)</f>
        <v>0</v>
      </c>
      <c r="CX44" s="6">
        <f>SUMIFS(Table_Assembly[Specific Amount],Table_Assembly[NG Type],$CP$14,Table_Assembly[Product type],$BU$43,Table_Assembly[NG content],CP44,Table_Assembly[Month],$CW$12)</f>
        <v>0</v>
      </c>
      <c r="CY44" s="6">
        <f>SUMIFS(Table_Assembly[Specific Amount],Table_Assembly[NG Type],$CP$14,Table_Assembly[Product type],$BU$43,Table_Assembly[NG content],CP44,Table_Assembly[Month],$CX$12)</f>
        <v>0</v>
      </c>
      <c r="CZ44" s="6">
        <f>SUMIFS(Table_Assembly[Specific Amount],Table_Assembly[NG Type],$CP$14,Table_Assembly[Product type],$BU$43,Table_Assembly[NG content],CP44,Table_Assembly[Month],$CY$12)</f>
        <v>0</v>
      </c>
      <c r="DA44" s="6">
        <f>SUMIFS(Table_Assembly[Specific Amount],Table_Assembly[NG Type],$CP$14,Table_Assembly[Product type],$BU$43,Table_Assembly[NG content],CP44,Table_Assembly[Month],$CZ$12)</f>
        <v>0</v>
      </c>
      <c r="DB44" s="6">
        <f>SUMIFS(Table_Assembly[Total NG from material],Table_Assembly[Comp.],$CP$14,Table_Assembly[Total Produce],$BU$43,Table_Assembly[Reson for Others],CP44,Table_Assembly[Day],$DA$12)</f>
        <v>0</v>
      </c>
    </row>
    <row r="45" spans="1:106" ht="15.5" thickBot="1">
      <c r="A45" s="122"/>
      <c r="B45" s="23"/>
      <c r="C45" s="23"/>
      <c r="D45" s="210"/>
      <c r="E45" s="53" t="s">
        <v>103</v>
      </c>
      <c r="F45" s="54">
        <f>IF($F$4="","",
IF($BM$4=TRUE,SUMIFS(Table_Assembly[Total NG from machine],Table_Assembly[Product type],$D$5,Table_Assembly[Month],"1"),
IF(AND($BK$5=TRUE,$BN$5=FALSE),SUMIFS(Table_Assembly[Total NG from machine],Table_Assembly[Product type],$D$5,Table_Assembly[Month],"1"),
IF(AND($BK$5=FALSE,$BN$5=TRUE),SUMIFS(Table_Assembly[Total NG from machine],Table_Assembly[Product type],$D$5,Table_Assembly[Customer],$B$5,Table_Assembly[Month],"1"),
IF(AND($BN$5=FALSE,$BM$5=FALSE),SUMIFS(Table_Assembly[Total NG from machine],Table_Assembly[Product type],$D$5,Table_Assembly[Customer],$B$5,Table_Assembly[Month],"1"),"")))))</f>
        <v>0</v>
      </c>
      <c r="G45" s="54">
        <f>IF($G$4="","",
IF($BM$4=TRUE,SUMIFS(Table_Assembly[Total NG from machine],Table_Assembly[Product type],$D$5,Table_Assembly[Month],"2"),
IF(AND($BK$5=TRUE,$BN$5=FALSE),SUMIFS(Table_Assembly[Total NG from machine],Table_Assembly[Product type],$D$5,Table_Assembly[Month],"2"),
IF(AND($BK$5=FALSE,$BN$5=TRUE),SUMIFS(Table_Assembly[Total NG from machine],Table_Assembly[Product type],$D$5,Table_Assembly[Customer],$B$5,Table_Assembly[Month],"2"),
IF(AND($BN$5=FALSE,$BM$5=FALSE),SUMIFS(Table_Assembly[Total NG from machine],Table_Assembly[Product type],$D$5,Table_Assembly[Customer],$B$5,Table_Assembly[Month],"2"),"")))))</f>
        <v>0</v>
      </c>
      <c r="H45" s="54">
        <f>IF($H$4="","",
IF($BM$4=TRUE,SUMIFS(Table_Assembly[Total NG from machine],Table_Assembly[Product type],$D$5,Table_Assembly[Month],"3"),
IF(AND($BK$5=TRUE,$BN$5=FALSE),SUMIFS(Table_Assembly[Total NG from machine],Table_Assembly[Product type],$D$5,Table_Assembly[Month],"3"),
IF(AND($BK$5=FALSE,$BN$5=TRUE),SUMIFS(Table_Assembly[Total NG from machine],Table_Assembly[Product type],$D$5,Table_Assembly[Customer],$B$5,Table_Assembly[Month],"3"),
IF(AND($BN$5=FALSE,$BM$5=FALSE),SUMIFS(Table_Assembly[Total NG from machine],Table_Assembly[Product type],$D$5,Table_Assembly[Customer],$B$5,Table_Assembly[Month],"3"),"")))))</f>
        <v>0</v>
      </c>
      <c r="I45" s="54">
        <f>IF($I$4="","",
IF($BM$4=TRUE,SUMIFS(Table_Assembly[Total NG from machine],Table_Assembly[Product type],$D$5,Table_Assembly[Month],"4"),
IF(AND($BK$5=TRUE,$BN$5=FALSE),SUMIFS(Table_Assembly[Total NG from machine],Table_Assembly[Product type],$D$5,Table_Assembly[Month],"4"),
IF(AND($BK$5=FALSE,$BN$5=TRUE),SUMIFS(Table_Assembly[Total NG from machine],Table_Assembly[Product type],$D$5,Table_Assembly[Customer],$B$5,Table_Assembly[Month],"4"),
IF(AND($BN$5=FALSE,$BM$5=FALSE),SUMIFS(Table_Assembly[Total NG from machine],Table_Assembly[Product type],$D$5,Table_Assembly[Customer],$B$5,Table_Assembly[Month],"4"),"")))))</f>
        <v>0</v>
      </c>
      <c r="J45" s="54">
        <f>IF($J$4="","",
IF($BM$4=TRUE,SUMIFS(Table_Assembly[Total NG from machine],Table_Assembly[Product type],$D$5,Table_Assembly[Month],"5"),
IF(AND($BK$5=TRUE,$BN$5=FALSE),SUMIFS(Table_Assembly[Total NG from machine],Table_Assembly[Product type],$D$5,Table_Assembly[Month],"5"),
IF(AND($BK$5=FALSE,$BN$5=TRUE),SUMIFS(Table_Assembly[Total NG from machine],Table_Assembly[Product type],$D$5,Table_Assembly[Customer],$B$5,Table_Assembly[Month],"5"),
IF(AND($BN$5=FALSE,$BM$5=FALSE),SUMIFS(Table_Assembly[Total NG from machine],Table_Assembly[Product type],$D$5,Table_Assembly[Customer],$B$5,Table_Assembly[Month],"5"),"")))))</f>
        <v>1180</v>
      </c>
      <c r="K45" s="54">
        <f>IF($K$4="","",
IF($BM$4=TRUE,SUMIFS(Table_Assembly[Total NG from machine],Table_Assembly[Product type],$D$5,Table_Assembly[Month],"6"),
IF(AND($BK$5=TRUE,$BN$5=FALSE),SUMIFS(Table_Assembly[Total NG from machine],Table_Assembly[Product type],$D$5,Table_Assembly[Month],"6"),
IF(AND($BK$5=FALSE,$BN$5=TRUE),SUMIFS(Table_Assembly[Total NG from machine],Table_Assembly[Product type],$D$5,Table_Assembly[Customer],$B$5,Table_Assembly[Month],"6"),
IF(AND($BN$5=FALSE,$BM$5=FALSE),SUMIFS(Table_Assembly[Total NG from machine],Table_Assembly[Product type],$D$5,Table_Assembly[Customer],$B$5,Table_Assembly[Month],"6"),"")))))</f>
        <v>70</v>
      </c>
      <c r="L45" s="54">
        <f>IF($L$4="","",
IF($BM$4=TRUE,SUMIFS(Table_Assembly[Total NG from machine],Table_Assembly[Product type],$D$5,Table_Assembly[Month],"7"),
IF(AND($BK$5=TRUE,$BN$5=FALSE),SUMIFS(Table_Assembly[Total NG from machine],Table_Assembly[Product type],$D$5,Table_Assembly[Month],"7"),
IF(AND($BK$5=FALSE,$BN$5=TRUE),SUMIFS(Table_Assembly[Total NG from machine],Table_Assembly[Product type],$D$5,Table_Assembly[Customer],$B$5,Table_Assembly[Month],"7"),
IF(AND($BN$5=FALSE,$BM$5=FALSE),SUMIFS(Table_Assembly[Total NG from machine],Table_Assembly[Product type],$D$5,Table_Assembly[Customer],$B$5,Table_Assembly[Month],"7"),"")))))</f>
        <v>0</v>
      </c>
      <c r="M45" s="54">
        <f>IF($M$4="","",
IF($BM$4=TRUE,SUMIFS(Table_Assembly[Total NG from machine],Table_Assembly[Product type],$D$5,Table_Assembly[Month],"8"),
IF(AND($BK$5=TRUE,$BN$5=FALSE),SUMIFS(Table_Assembly[Total NG from machine],Table_Assembly[Product type],$D$5,Table_Assembly[Month],"8"),
IF(AND($BK$5=FALSE,$BN$5=TRUE),SUMIFS(Table_Assembly[Total NG from machine],Table_Assembly[Product type],$D$5,Table_Assembly[Customer],$B$5,Table_Assembly[Month],"8"),
IF(AND($BN$5=FALSE,$BM$5=FALSE),SUMIFS(Table_Assembly[Total NG from machine],Table_Assembly[Product type],$D$5,Table_Assembly[Customer],$B$5,Table_Assembly[Month],"8"),"")))))</f>
        <v>0</v>
      </c>
      <c r="N45" s="54">
        <f>IF($N$4="","",
IF($BM$4=TRUE,SUMIFS(Table_Assembly[Total NG from machine],Table_Assembly[Product type],$D$5,Table_Assembly[Month],"9"),
IF(AND($BK$5=TRUE,$BN$5=FALSE),SUMIFS(Table_Assembly[Total NG from machine],Table_Assembly[Product type],$D$5,Table_Assembly[Month],"9"),
IF(AND($BK$5=FALSE,$BN$5=TRUE),SUMIFS(Table_Assembly[Total NG from machine],Table_Assembly[Product type],$D$5,Table_Assembly[Customer],$B$5,Table_Assembly[Month],"9"),
IF(AND($BN$5=FALSE,$BM$5=FALSE),SUMIFS(Table_Assembly[Total NG from machine],Table_Assembly[Product type],$D$5,Table_Assembly[Customer],$B$5,Table_Assembly[Month],"9"),"")))))</f>
        <v>0</v>
      </c>
      <c r="O45" s="54">
        <f>IF($O$4="","",
IF($BM$4=TRUE,SUMIFS(Table_Assembly[Total NG from machine],Table_Assembly[Product type],$D$5,Table_Assembly[Month],"10"),
IF(AND($BK$5=TRUE,$BN$5=FALSE),SUMIFS(Table_Assembly[Total NG from machine],Table_Assembly[Product type],$D$5,Table_Assembly[Month],"10"),
IF(AND($BK$5=FALSE,$BN$5=TRUE),SUMIFS(Table_Assembly[Total NG from machine],Table_Assembly[Product type],$D$5,Table_Assembly[Customer],$B$5,Table_Assembly[Month],"10"),
IF(AND($BN$5=FALSE,$BM$5=FALSE),SUMIFS(Table_Assembly[Total NG from machine],Table_Assembly[Product type],$D$5,Table_Assembly[Customer],$B$5,Table_Assembly[Month],"10"),"")))))</f>
        <v>0</v>
      </c>
      <c r="P45" s="54">
        <f>IF($P$4="","",
IF($BM$4=TRUE,SUMIFS(Table_Assembly[Total NG from machine],Table_Assembly[Product type],$D$5,Table_Assembly[Month],"11"),
IF(AND($BK$5=TRUE,$BN$5=FALSE),SUMIFS(Table_Assembly[Total NG from machine],Table_Assembly[Product type],$D$5,Table_Assembly[Month],"11"),
IF(AND($BK$5=FALSE,$BN$5=TRUE),SUMIFS(Table_Assembly[Total NG from machine],Table_Assembly[Product type],$D$5,Table_Assembly[Customer],$B$5,Table_Assembly[Month],"11"),
IF(AND($BN$5=FALSE,$BM$5=FALSE),SUMIFS(Table_Assembly[Total NG from machine],Table_Assembly[Product type],$D$5,Table_Assembly[Customer],$B$5,Table_Assembly[Month],"11"),"")))))</f>
        <v>0</v>
      </c>
      <c r="Q45" s="55">
        <f>IF($K$4="","",
IF($BM$4=TRUE,SUMIFS(Table_Assembly[Total NG from machine],Table_Assembly[Product type],$D$5,Table_Assembly[Month],"12"),
IF(AND($BK$5=TRUE,$BN$5=FALSE),SUMIFS(Table_Assembly[Total NG from machine],Table_Assembly[Product type],$D$5,Table_Assembly[Month],"12"),
IF(AND($BK$5=FALSE,$BN$5=TRUE),SUMIFS(Table_Assembly[Total NG from machine],Table_Assembly[Product type],$D$5,Table_Assembly[Customer],$B$5,Table_Assembly[Month],"12"),
IF(AND($BN$5=FALSE,$BM$5=FALSE),SUMIFS(Table_Assembly[Total NG from machine],Table_Assembly[Product type],$D$5,Table_Assembly[Customer],$B$5,Table_Assembly[Month],"12"),"")))))</f>
        <v>0</v>
      </c>
      <c r="R45" s="56">
        <f t="shared" si="45"/>
        <v>1250</v>
      </c>
      <c r="S45" s="23"/>
      <c r="T45" s="119"/>
      <c r="W45" s="149">
        <f>IFERROR(INDEX($AL$28:$AL$58-1,MATCH(RIGHT(Y44,2)*1+1,$AJ$28:$AJ$58,0)),$AG$7)</f>
        <v>45032</v>
      </c>
      <c r="X45" s="6">
        <f t="shared" ref="X45:X50" ca="1" si="49">IFERROR(MATCH($Y$44,OFFSET($AH$28:$AH$58,X44,0,1000000),0)+X44,"")</f>
        <v>11</v>
      </c>
      <c r="Z45" s="155">
        <f t="shared" ref="Z45:Z50" ca="1" si="50">IFERROR(INDEX($AL$28:$AL$58,X45),"")</f>
        <v>45027</v>
      </c>
      <c r="AD45" s="149">
        <f t="shared" si="30"/>
        <v>45034</v>
      </c>
      <c r="AE45" s="6" t="str">
        <f t="shared" ca="1" si="31"/>
        <v/>
      </c>
      <c r="AF45" s="6" t="str">
        <f t="shared" si="32"/>
        <v/>
      </c>
      <c r="AG45" s="150" t="str">
        <f t="shared" si="33"/>
        <v/>
      </c>
      <c r="AH45" s="150" t="str">
        <f t="shared" si="25"/>
        <v>Week 4</v>
      </c>
      <c r="AI45" s="150"/>
      <c r="AJ45" s="150">
        <f t="shared" si="34"/>
        <v>4</v>
      </c>
      <c r="AK45" s="150" t="str">
        <f t="shared" si="35"/>
        <v>Tuesday</v>
      </c>
      <c r="AL45" s="155">
        <f t="shared" si="36"/>
        <v>45034</v>
      </c>
      <c r="AM45" s="6" t="b">
        <f t="shared" si="37"/>
        <v>0</v>
      </c>
      <c r="AO45" s="6" t="str">
        <f ca="1">IFERROR(MATCH($B$114,OFFSET(#REF!,AO44,0,1000000),0)+AO44,"")</f>
        <v/>
      </c>
      <c r="AP45" s="156" t="str">
        <f ca="1">IFERROR(_xlfn.SINGLE(INDEX(#REF!,'Annual Report'!AO45)),"")</f>
        <v/>
      </c>
      <c r="AQ45" s="6" t="str">
        <f ca="1">IFERROR(_xlfn.SINGLE(INDEX(#REF!,'Annual Report'!AO45)),"")</f>
        <v/>
      </c>
      <c r="AS45" s="6" t="str">
        <f ca="1">IFERROR(MATCH($L$115,OFFSET(#REF!,AS44,0,1000000),0)+AS44,"")</f>
        <v/>
      </c>
      <c r="AT45" s="156" t="str">
        <f ca="1">IFERROR(_xlfn.SINGLE(INDEX(#REF!,'Annual Report'!AS45)),"")</f>
        <v/>
      </c>
      <c r="AU45" s="6" t="str">
        <f ca="1">IFERROR(_xlfn.SINGLE(INDEX(#REF!,'Annual Report'!AS45)),"")</f>
        <v/>
      </c>
      <c r="BR45" s="105"/>
      <c r="BS45" s="23"/>
      <c r="BT45" s="23"/>
      <c r="BU45" s="188"/>
      <c r="BV45" s="108" t="s">
        <v>318</v>
      </c>
      <c r="BW45" s="40">
        <f>IF(BW42="","",SUM(CQ18:CQ21))</f>
        <v>0</v>
      </c>
      <c r="BX45" s="40">
        <f t="shared" ref="BX45:CH45" si="51">IF(BX42="","",SUM(CR18:CR21))</f>
        <v>0</v>
      </c>
      <c r="BY45" s="40">
        <f t="shared" si="51"/>
        <v>0</v>
      </c>
      <c r="BZ45" s="40">
        <f t="shared" si="51"/>
        <v>0</v>
      </c>
      <c r="CA45" s="40">
        <f t="shared" si="51"/>
        <v>7</v>
      </c>
      <c r="CB45" s="40">
        <f t="shared" si="51"/>
        <v>2</v>
      </c>
      <c r="CC45" s="40">
        <f t="shared" si="51"/>
        <v>0</v>
      </c>
      <c r="CD45" s="40">
        <f t="shared" si="51"/>
        <v>0</v>
      </c>
      <c r="CE45" s="40">
        <f t="shared" si="51"/>
        <v>0</v>
      </c>
      <c r="CF45" s="40">
        <f t="shared" si="51"/>
        <v>0</v>
      </c>
      <c r="CG45" s="40">
        <f t="shared" si="51"/>
        <v>0</v>
      </c>
      <c r="CH45" s="41">
        <f t="shared" si="51"/>
        <v>0</v>
      </c>
      <c r="CI45" s="42">
        <f t="shared" si="47"/>
        <v>9</v>
      </c>
      <c r="CJ45" s="23"/>
      <c r="CK45" s="130"/>
      <c r="CP45" s="6" t="s">
        <v>191</v>
      </c>
      <c r="CQ45" s="6">
        <f>SUMIFS(Table_Assembly[Specific Amount],Table_Assembly[NG Type],$CP$14,Table_Assembly[Product type],$BU$43,Table_Assembly[NG content],CP45,Table_Assembly[Month],$CP$12)</f>
        <v>0</v>
      </c>
      <c r="CR45" s="6">
        <f>SUMIFS(Table_Assembly[Specific Amount],Table_Assembly[NG Type],$CP$14,Table_Assembly[Product type],$BU$43,Table_Assembly[NG content],CP45,Table_Assembly[Month],$CQ$12)</f>
        <v>0</v>
      </c>
      <c r="CS45" s="6">
        <f>SUMIFS(Table_Assembly[Specific Amount],Table_Assembly[NG Type],$CP$14,Table_Assembly[Product type],$BU$43,Table_Assembly[NG content],CP45,Table_Assembly[Month],$CR$12)</f>
        <v>0</v>
      </c>
      <c r="CT45" s="6">
        <f>SUMIFS(Table_Assembly[Specific Amount],Table_Assembly[NG Type],$CP$14,Table_Assembly[Product type],$BU$43,Table_Assembly[NG content],CP45,Table_Assembly[Month],$CS$12)</f>
        <v>0</v>
      </c>
      <c r="CU45" s="6">
        <f>SUMIFS(Table_Assembly[Specific Amount],Table_Assembly[NG Type],$CP$14,Table_Assembly[Product type],$BU$43,Table_Assembly[NG content],CP45,Table_Assembly[Month],$CT$12)</f>
        <v>0</v>
      </c>
      <c r="CV45" s="6">
        <f>SUMIFS(Table_Assembly[Specific Amount],Table_Assembly[NG Type],$CP$14,Table_Assembly[Product type],$BU$43,Table_Assembly[NG content],CP45,Table_Assembly[Month],$CU$12)</f>
        <v>0</v>
      </c>
      <c r="CW45" s="6">
        <f>SUMIFS(Table_Assembly[Specific Amount],Table_Assembly[NG Type],$CP$14,Table_Assembly[Product type],$BU$43,Table_Assembly[NG content],CP45,Table_Assembly[Month],$CV$12)</f>
        <v>0</v>
      </c>
      <c r="CX45" s="6">
        <f>SUMIFS(Table_Assembly[Specific Amount],Table_Assembly[NG Type],$CP$14,Table_Assembly[Product type],$BU$43,Table_Assembly[NG content],CP45,Table_Assembly[Month],$CW$12)</f>
        <v>0</v>
      </c>
      <c r="CY45" s="6">
        <f>SUMIFS(Table_Assembly[Specific Amount],Table_Assembly[NG Type],$CP$14,Table_Assembly[Product type],$BU$43,Table_Assembly[NG content],CP45,Table_Assembly[Month],$CX$12)</f>
        <v>0</v>
      </c>
      <c r="CZ45" s="6">
        <f>SUMIFS(Table_Assembly[Specific Amount],Table_Assembly[NG Type],$CP$14,Table_Assembly[Product type],$BU$43,Table_Assembly[NG content],CP45,Table_Assembly[Month],$CY$12)</f>
        <v>0</v>
      </c>
      <c r="DA45" s="6">
        <f>SUMIFS(Table_Assembly[Specific Amount],Table_Assembly[NG Type],$CP$14,Table_Assembly[Product type],$BU$43,Table_Assembly[NG content],CP45,Table_Assembly[Month],$CZ$12)</f>
        <v>0</v>
      </c>
      <c r="DB45" s="6">
        <f>SUMIFS(Table_Assembly[Total NG from material],Table_Assembly[Comp.],$CP$14,Table_Assembly[Total Produce],$BU$43,Table_Assembly[Reson for Others],CP45,Table_Assembly[Day],$DA$12)</f>
        <v>0</v>
      </c>
    </row>
    <row r="46" spans="1:106" ht="15.5" thickTop="1">
      <c r="A46" s="122"/>
      <c r="B46" s="23"/>
      <c r="C46" s="23"/>
      <c r="D46" s="209" t="s">
        <v>67</v>
      </c>
      <c r="E46" s="178" t="s">
        <v>31</v>
      </c>
      <c r="F46" s="179">
        <f t="shared" ref="F46:P46" si="52">IF(F9="","",F9)</f>
        <v>0</v>
      </c>
      <c r="G46" s="179">
        <f t="shared" si="52"/>
        <v>0</v>
      </c>
      <c r="H46" s="179">
        <f t="shared" si="52"/>
        <v>0</v>
      </c>
      <c r="I46" s="179">
        <f t="shared" si="52"/>
        <v>4</v>
      </c>
      <c r="J46" s="179">
        <f>IF(J9="","",J9)</f>
        <v>227</v>
      </c>
      <c r="K46" s="179">
        <f t="shared" si="52"/>
        <v>88</v>
      </c>
      <c r="L46" s="179">
        <f t="shared" si="52"/>
        <v>0</v>
      </c>
      <c r="M46" s="179">
        <f t="shared" si="52"/>
        <v>0</v>
      </c>
      <c r="N46" s="179">
        <f t="shared" si="52"/>
        <v>0</v>
      </c>
      <c r="O46" s="179">
        <f t="shared" si="52"/>
        <v>0</v>
      </c>
      <c r="P46" s="179">
        <f t="shared" si="52"/>
        <v>0</v>
      </c>
      <c r="Q46" s="180">
        <f t="shared" ref="Q46" si="53">IF(Q9="","",Q9)</f>
        <v>0</v>
      </c>
      <c r="R46" s="181">
        <f t="shared" si="45"/>
        <v>319</v>
      </c>
      <c r="S46" s="23"/>
      <c r="T46" s="119"/>
      <c r="W46" s="149"/>
      <c r="X46" s="6">
        <f t="shared" ca="1" si="49"/>
        <v>12</v>
      </c>
      <c r="Z46" s="155">
        <f t="shared" ca="1" si="50"/>
        <v>45028</v>
      </c>
      <c r="AD46" s="149">
        <f t="shared" si="30"/>
        <v>45035</v>
      </c>
      <c r="AE46" s="6" t="str">
        <f t="shared" ca="1" si="31"/>
        <v/>
      </c>
      <c r="AF46" s="6" t="str">
        <f t="shared" si="32"/>
        <v/>
      </c>
      <c r="AG46" s="150" t="str">
        <f t="shared" si="33"/>
        <v/>
      </c>
      <c r="AH46" s="150" t="str">
        <f t="shared" si="25"/>
        <v>Week 4</v>
      </c>
      <c r="AI46" s="150"/>
      <c r="AJ46" s="150">
        <f t="shared" si="34"/>
        <v>4</v>
      </c>
      <c r="AK46" s="150" t="str">
        <f t="shared" si="35"/>
        <v>Wednesday</v>
      </c>
      <c r="AL46" s="155">
        <f t="shared" si="36"/>
        <v>45035</v>
      </c>
      <c r="AM46" s="6" t="b">
        <f t="shared" si="37"/>
        <v>0</v>
      </c>
      <c r="AO46" s="6" t="str">
        <f ca="1">IFERROR(MATCH($B$114,OFFSET(#REF!,AO45,0,1000000),0)+AO45,"")</f>
        <v/>
      </c>
      <c r="AP46" s="156" t="str">
        <f ca="1">IFERROR(_xlfn.SINGLE(INDEX(#REF!,'Annual Report'!AO46)),"")</f>
        <v/>
      </c>
      <c r="AQ46" s="6" t="str">
        <f ca="1">IFERROR(_xlfn.SINGLE(INDEX(#REF!,'Annual Report'!AO46)),"")</f>
        <v/>
      </c>
      <c r="AS46" s="6" t="str">
        <f ca="1">IFERROR(MATCH($L$115,OFFSET(#REF!,AS45,0,1000000),0)+AS45,"")</f>
        <v/>
      </c>
      <c r="AT46" s="156" t="str">
        <f ca="1">IFERROR(_xlfn.SINGLE(INDEX(#REF!,'Annual Report'!AS46)),"")</f>
        <v/>
      </c>
      <c r="AU46" s="6" t="str">
        <f ca="1">IFERROR(_xlfn.SINGLE(INDEX(#REF!,'Annual Report'!AS46)),"")</f>
        <v/>
      </c>
      <c r="BR46" s="105"/>
      <c r="BS46" s="23"/>
      <c r="BT46" s="23"/>
      <c r="BU46" s="188"/>
      <c r="BV46" s="108" t="s">
        <v>135</v>
      </c>
      <c r="BW46" s="40">
        <f>IF(BW42="","",SUM(CQ23:CQ26))</f>
        <v>0</v>
      </c>
      <c r="BX46" s="40">
        <f t="shared" ref="BX46:CH46" si="54">IF(BX42="","",SUM(CR23:CR26))</f>
        <v>0</v>
      </c>
      <c r="BY46" s="40">
        <f t="shared" si="54"/>
        <v>0</v>
      </c>
      <c r="BZ46" s="40">
        <f t="shared" si="54"/>
        <v>0</v>
      </c>
      <c r="CA46" s="40">
        <f t="shared" si="54"/>
        <v>34</v>
      </c>
      <c r="CB46" s="40">
        <f t="shared" si="54"/>
        <v>4</v>
      </c>
      <c r="CC46" s="40">
        <f t="shared" si="54"/>
        <v>0</v>
      </c>
      <c r="CD46" s="40">
        <f t="shared" si="54"/>
        <v>0</v>
      </c>
      <c r="CE46" s="40">
        <f t="shared" si="54"/>
        <v>0</v>
      </c>
      <c r="CF46" s="40">
        <f t="shared" si="54"/>
        <v>0</v>
      </c>
      <c r="CG46" s="40">
        <f t="shared" si="54"/>
        <v>0</v>
      </c>
      <c r="CH46" s="41">
        <f t="shared" si="54"/>
        <v>0</v>
      </c>
      <c r="CI46" s="42">
        <f t="shared" si="47"/>
        <v>38</v>
      </c>
      <c r="CJ46" s="23"/>
      <c r="CK46" s="130"/>
      <c r="CP46" s="6" t="s">
        <v>240</v>
      </c>
      <c r="CQ46" s="6">
        <f>SUMIFS(Table_Assembly[Specific Amount],Table_Assembly[NG Type],$CP$14,Table_Assembly[Product type],$BU$43,Table_Assembly[NG content],CP46,Table_Assembly[Month],$CP$12)</f>
        <v>0</v>
      </c>
      <c r="CR46" s="6">
        <f>SUMIFS(Table_Assembly[Specific Amount],Table_Assembly[NG Type],$CP$14,Table_Assembly[Product type],$BU$43,Table_Assembly[NG content],CP46,Table_Assembly[Month],$CQ$12)</f>
        <v>0</v>
      </c>
      <c r="CS46" s="6">
        <f>SUMIFS(Table_Assembly[Specific Amount],Table_Assembly[NG Type],$CP$14,Table_Assembly[Product type],$BU$43,Table_Assembly[NG content],CP46,Table_Assembly[Month],$CR$12)</f>
        <v>0</v>
      </c>
      <c r="CT46" s="6">
        <f>SUMIFS(Table_Assembly[Specific Amount],Table_Assembly[NG Type],$CP$14,Table_Assembly[Product type],$BU$43,Table_Assembly[NG content],CP46,Table_Assembly[Month],$CS$12)</f>
        <v>0</v>
      </c>
      <c r="CU46" s="6">
        <f>SUMIFS(Table_Assembly[Specific Amount],Table_Assembly[NG Type],$CP$14,Table_Assembly[Product type],$BU$43,Table_Assembly[NG content],CP46,Table_Assembly[Month],$CT$12)</f>
        <v>0</v>
      </c>
      <c r="CV46" s="6">
        <f>SUMIFS(Table_Assembly[Specific Amount],Table_Assembly[NG Type],$CP$14,Table_Assembly[Product type],$BU$43,Table_Assembly[NG content],CP46,Table_Assembly[Month],$CU$12)</f>
        <v>0</v>
      </c>
      <c r="CW46" s="6">
        <f>SUMIFS(Table_Assembly[Specific Amount],Table_Assembly[NG Type],$CP$14,Table_Assembly[Product type],$BU$43,Table_Assembly[NG content],CP46,Table_Assembly[Month],$CV$12)</f>
        <v>0</v>
      </c>
      <c r="CX46" s="6">
        <f>SUMIFS(Table_Assembly[Specific Amount],Table_Assembly[NG Type],$CP$14,Table_Assembly[Product type],$BU$43,Table_Assembly[NG content],CP46,Table_Assembly[Month],$CW$12)</f>
        <v>0</v>
      </c>
      <c r="CY46" s="6">
        <f>SUMIFS(Table_Assembly[Specific Amount],Table_Assembly[NG Type],$CP$14,Table_Assembly[Product type],$BU$43,Table_Assembly[NG content],CP46,Table_Assembly[Month],$CX$12)</f>
        <v>0</v>
      </c>
      <c r="CZ46" s="6">
        <f>SUMIFS(Table_Assembly[Specific Amount],Table_Assembly[NG Type],$CP$14,Table_Assembly[Product type],$BU$43,Table_Assembly[NG content],CP46,Table_Assembly[Month],$CY$12)</f>
        <v>0</v>
      </c>
      <c r="DA46" s="6">
        <f>SUMIFS(Table_Assembly[Specific Amount],Table_Assembly[NG Type],$CP$14,Table_Assembly[Product type],$BU$43,Table_Assembly[NG content],CP46,Table_Assembly[Month],$CZ$12)</f>
        <v>0</v>
      </c>
      <c r="DB46" s="6">
        <f>SUMIFS(Table_Assembly[Total NG from material],Table_Assembly[Comp.],$CP$14,Table_Assembly[Total Produce],$BU$43,Table_Assembly[Reson for Others],CP46,Table_Assembly[Day],$DA$12)</f>
        <v>0</v>
      </c>
    </row>
    <row r="47" spans="1:106">
      <c r="A47" s="122"/>
      <c r="B47" s="23"/>
      <c r="C47" s="23"/>
      <c r="D47" s="204"/>
      <c r="E47" s="19" t="s">
        <v>102</v>
      </c>
      <c r="F47" s="40">
        <f>IF($F$4="","",
IF($BM$4=TRUE,SUMIFS(Table_Assembly[Total NG from material],Table_Assembly[Product type],$D$46,Table_Assembly[Month],"1"),
IF(AND($BK$5=TRUE,$BN$5=FALSE),SUMIFS(Table_Assembly[Total NG from material],Table_Assembly[Product type],$D$46,Table_Assembly[Month],"1"),
IF(AND($BK$5=FALSE,$BN$5=TRUE),SUMIFS(Table_Assembly[Total NG from material],Table_Assembly[Product type],$D$46,Table_Assembly[Customer],$B$5,Table_Assembly[Month],"1"),
IF(AND($BN$5=FALSE,$BM$5=FALSE),SUMIFS(Table_Assembly[Total NG from material],Table_Assembly[Product type],$D$46,Table_Assembly[Customer],$B$5,Table_Assembly[Month],"1"),"")))))</f>
        <v>0</v>
      </c>
      <c r="G47" s="40">
        <f>IF($G$4="","",
IF($BM$4=TRUE,SUMIFS(Table_Assembly[Total NG from material],Table_Assembly[Product type],$D$46,Table_Assembly[Month],"2"),
IF(AND($BK$5=TRUE,$BN$5=FALSE),SUMIFS(Table_Assembly[Total NG from material],Table_Assembly[Product type],$D$46,Table_Assembly[Month],"2"),
IF(AND($BK$5=FALSE,$BN$5=TRUE),SUMIFS(Table_Assembly[Total NG from material],Table_Assembly[Product type],$D$46,Table_Assembly[Customer],$B$5,Table_Assembly[Month],"2"),
IF(AND($BN$5=FALSE,$BM$5=FALSE),SUMIFS(Table_Assembly[Total NG from material],Table_Assembly[Product type],$D$46,Table_Assembly[Customer],$B$5,Table_Assembly[Month],"2"),"")))))</f>
        <v>0</v>
      </c>
      <c r="H47" s="40">
        <f>IF($H$4="","",
IF($BM$4=TRUE,SUMIFS(Table_Assembly[Total NG from material],Table_Assembly[Product type],$D$46,Table_Assembly[Month],"3"),
IF(AND($BK$5=TRUE,$BN$5=FALSE),SUMIFS(Table_Assembly[Total NG from material],Table_Assembly[Product type],$D$46,Table_Assembly[Month],"3"),
IF(AND($BK$5=FALSE,$BN$5=TRUE),SUMIFS(Table_Assembly[Total NG from material],Table_Assembly[Product type],$D$46,Table_Assembly[Customer],$B$5,Table_Assembly[Month],"3"),
IF(AND($BN$5=FALSE,$BM$5=FALSE),SUMIFS(Table_Assembly[Total NG from material],Table_Assembly[Product type],$D$46,Table_Assembly[Customer],$B$5,Table_Assembly[Month],"3"),"")))))</f>
        <v>0</v>
      </c>
      <c r="I47" s="40">
        <f>IF($I$4="","",
IF($BM$4=TRUE,SUMIFS(Table_Assembly[Total NG from material],Table_Assembly[Product type],$D$46,Table_Assembly[Month],"4"),
IF(AND($BK$5=TRUE,$BN$5=FALSE),SUMIFS(Table_Assembly[Total NG from material],Table_Assembly[Product type],$D$46,Table_Assembly[Month],"4"),
IF(AND($BK$5=FALSE,$BN$5=TRUE),SUMIFS(Table_Assembly[Total NG from material],Table_Assembly[Product type],$D$46,Table_Assembly[Customer],$B$5,Table_Assembly[Month],"4"),
IF(AND($BN$5=FALSE,$BM$5=FALSE),SUMIFS(Table_Assembly[Total NG from material],Table_Assembly[Product type],$D$46,Table_Assembly[Customer],$B$5,Table_Assembly[Month],"4"),"")))))</f>
        <v>1</v>
      </c>
      <c r="J47" s="40">
        <f>IF($J$4="","",
IF($BM$4=TRUE,SUMIFS(Table_Assembly[Total NG from material],Table_Assembly[Product type],$D$46,Table_Assembly[Month],"5"),
IF(AND($BK$5=TRUE,$BN$5=FALSE),SUMIFS(Table_Assembly[Total NG from material],Table_Assembly[Product type],$D$46,Table_Assembly[Month],"5"),
IF(AND($BK$5=FALSE,$BN$5=TRUE),SUMIFS(Table_Assembly[Total NG from material],Table_Assembly[Product type],$D$46,Table_Assembly[Customer],$B$5,Table_Assembly[Month],"5"),
IF(AND($BN$5=FALSE,$BM$5=FALSE),SUMIFS(Table_Assembly[Total NG from material],Table_Assembly[Product type],$D$46,Table_Assembly[Customer],$B$5,Table_Assembly[Month],"5"),"")))))</f>
        <v>140</v>
      </c>
      <c r="K47" s="40">
        <f>IF($K$4="","",
IF($BM$4=TRUE,SUMIFS(Table_Assembly[Total NG from material],Table_Assembly[Product type],$D$46,Table_Assembly[Month],"6"),
IF(AND($BK$5=TRUE,$BN$5=FALSE),SUMIFS(Table_Assembly[Total NG from material],Table_Assembly[Product type],$D$46,Table_Assembly[Month],"6"),
IF(AND($BK$5=FALSE,$BN$5=TRUE),SUMIFS(Table_Assembly[Total NG from material],Table_Assembly[Product type],$D$46,Table_Assembly[Customer],$B$5,Table_Assembly[Month],"6"),
IF(AND($BN$5=FALSE,$BM$5=FALSE),SUMIFS(Table_Assembly[Total NG from material],Table_Assembly[Product type],$D$46,Table_Assembly[Customer],$B$5,Table_Assembly[Month],"6"),"")))))</f>
        <v>11</v>
      </c>
      <c r="L47" s="40">
        <f>IF($L$4="","",
IF($BM$4=TRUE,SUMIFS(Table_Assembly[Total NG from material],Table_Assembly[Product type],$D$46,Table_Assembly[Month],"7"),
IF(AND($BK$5=TRUE,$BN$5=FALSE),SUMIFS(Table_Assembly[Total NG from material],Table_Assembly[Product type],$D$46,Table_Assembly[Month],"7"),
IF(AND($BK$5=FALSE,$BN$5=TRUE),SUMIFS(Table_Assembly[Total NG from material],Table_Assembly[Product type],$D$46,Table_Assembly[Customer],$B$5,Table_Assembly[Month],"7"),
IF(AND($BN$5=FALSE,$BM$5=FALSE),SUMIFS(Table_Assembly[Total NG from material],Table_Assembly[Product type],$D$46,Table_Assembly[Customer],$B$5,Table_Assembly[Month],"7"),"")))))</f>
        <v>0</v>
      </c>
      <c r="M47" s="40">
        <f>IF($M$4="","",
IF($BM$4=TRUE,SUMIFS(Table_Assembly[Total NG from material],Table_Assembly[Product type],$D$5,Table_Assembly[Month],"8"),
IF(AND($BK$5=TRUE,$BN$5=FALSE),SUMIFS(Table_Assembly[Total NG from material],Table_Assembly[Product type],$D$5,Table_Assembly[Month],"8"),
IF(AND($BK$5=FALSE,$BN$5=TRUE),SUMIFS(Table_Assembly[Total NG from material],Table_Assembly[Product type],$D$5,Table_Assembly[Customer],$B$5,Table_Assembly[Month],"8"),
IF(AND($BN$5=FALSE,$BM$5=FALSE),SUMIFS(Table_Assembly[Total NG from material],Table_Assembly[Product type],$D$5,Table_Assembly[Customer],$B$5,Table_Assembly[Month],"8"),"")))))</f>
        <v>0</v>
      </c>
      <c r="N47" s="40">
        <f>IF($N$4="","",
IF($BM$4=TRUE,SUMIFS(Table_Assembly[Total NG from material],Table_Assembly[Product type],$D$46,Table_Assembly[Month],"9"),
IF(AND($BK$5=TRUE,$BN$5=FALSE),SUMIFS(Table_Assembly[Total NG from material],Table_Assembly[Product type],$D$46,Table_Assembly[Month],"9"),
IF(AND($BK$5=FALSE,$BN$5=TRUE),SUMIFS(Table_Assembly[Total NG from material],Table_Assembly[Product type],$D$46,Table_Assembly[Customer],$B$5,Table_Assembly[Month],"9"),
IF(AND($BN$5=FALSE,$BM$5=FALSE),SUMIFS(Table_Assembly[Total NG from material],Table_Assembly[Product type],$D$46,Table_Assembly[Customer],$B$5,Table_Assembly[Month],"9"),"")))))</f>
        <v>0</v>
      </c>
      <c r="O47" s="40">
        <f>IF($O$4="","",
IF($BM$4=TRUE,SUMIFS(Table_Assembly[Total NG from material],Table_Assembly[Product type],$D$46,Table_Assembly[Month],"10"),
IF(AND($BK$5=TRUE,$BN$5=FALSE),SUMIFS(Table_Assembly[Total NG from material],Table_Assembly[Product type],$D$46,Table_Assembly[Month],"10"),
IF(AND($BK$5=FALSE,$BN$5=TRUE),SUMIFS(Table_Assembly[Total NG from material],Table_Assembly[Product type],$D$46,Table_Assembly[Customer],$B$5,Table_Assembly[Month],"10"),
IF(AND($BN$5=FALSE,$BM$5=FALSE),SUMIFS(Table_Assembly[Total NG from material],Table_Assembly[Product type],$D$46,Table_Assembly[Customer],$B$5,Table_Assembly[Month],"10"),"")))))</f>
        <v>0</v>
      </c>
      <c r="P47" s="40">
        <f>IF($P$4="","",
IF($BM$4=TRUE,SUMIFS(Table_Assembly[Total NG from material],Table_Assembly[Product type],$D$46,Table_Assembly[Month],"11"),
IF(AND($BK$5=TRUE,$BN$5=FALSE),SUMIFS(Table_Assembly[Total NG from material],Table_Assembly[Product type],$D$46,Table_Assembly[Month],"11"),
IF(AND($BK$5=FALSE,$BN$5=TRUE),SUMIFS(Table_Assembly[Total NG from material],Table_Assembly[Product type],$D$46,Table_Assembly[Customer],$B$5,Table_Assembly[Month],"11"),
IF(AND($BN$5=FALSE,$BM$5=FALSE),SUMIFS(Table_Assembly[Total NG from material],Table_Assembly[Product type],$D$46,Table_Assembly[Customer],$B$5,Table_Assembly[Month],"11"),"")))))</f>
        <v>0</v>
      </c>
      <c r="Q47" s="41">
        <f>IF($Q$4="","",
IF($BM$4=TRUE,SUMIFS(Table_Assembly[Total NG from material],Table_Assembly[Product type],$D$46,Table_Assembly[Month],"12"),
IF(AND($BK$5=TRUE,$BN$5=FALSE),SUMIFS(Table_Assembly[Total NG from material],Table_Assembly[Product type],$D$46,Table_Assembly[Month],"12"),
IF(AND($BK$5=FALSE,$BN$5=TRUE),SUMIFS(Table_Assembly[Total NG from material],Table_Assembly[Product type],$D$46,Table_Assembly[Customer],$B$5,Table_Assembly[Month],"12"),
IF(AND($BN$5=FALSE,$BM$5=FALSE),SUMIFS(Table_Assembly[Total NG from material],Table_Assembly[Product type],$D$46,Table_Assembly[Customer],$B$5,Table_Assembly[Month],"12"),"")))))</f>
        <v>0</v>
      </c>
      <c r="R47" s="42">
        <f t="shared" si="45"/>
        <v>152</v>
      </c>
      <c r="S47" s="23"/>
      <c r="T47" s="119"/>
      <c r="W47" s="149"/>
      <c r="X47" s="6">
        <f t="shared" ca="1" si="49"/>
        <v>13</v>
      </c>
      <c r="Z47" s="155">
        <f t="shared" ca="1" si="50"/>
        <v>45029</v>
      </c>
      <c r="AD47" s="149">
        <f t="shared" si="30"/>
        <v>45036</v>
      </c>
      <c r="AE47" s="6" t="str">
        <f t="shared" ca="1" si="31"/>
        <v/>
      </c>
      <c r="AF47" s="6" t="str">
        <f t="shared" si="32"/>
        <v/>
      </c>
      <c r="AG47" s="150" t="str">
        <f t="shared" si="33"/>
        <v/>
      </c>
      <c r="AH47" s="150" t="str">
        <f t="shared" si="25"/>
        <v>Week 4</v>
      </c>
      <c r="AI47" s="150"/>
      <c r="AJ47" s="150">
        <f t="shared" si="34"/>
        <v>4</v>
      </c>
      <c r="AK47" s="150" t="str">
        <f t="shared" si="35"/>
        <v>Thursday</v>
      </c>
      <c r="AL47" s="155">
        <f t="shared" si="36"/>
        <v>45036</v>
      </c>
      <c r="AM47" s="6" t="b">
        <f t="shared" si="37"/>
        <v>0</v>
      </c>
      <c r="AO47" s="6" t="str">
        <f ca="1">IFERROR(MATCH($B$114,OFFSET(#REF!,AO46,0,1000000),0)+AO46,"")</f>
        <v/>
      </c>
      <c r="AP47" s="156" t="str">
        <f ca="1">IFERROR(_xlfn.SINGLE(INDEX(#REF!,'Annual Report'!AO47)),"")</f>
        <v/>
      </c>
      <c r="AQ47" s="6" t="str">
        <f ca="1">IFERROR(_xlfn.SINGLE(INDEX(#REF!,'Annual Report'!AO47)),"")</f>
        <v/>
      </c>
      <c r="AS47" s="6" t="str">
        <f ca="1">IFERROR(MATCH($L$115,OFFSET(#REF!,AS46,0,1000000),0)+AS46,"")</f>
        <v/>
      </c>
      <c r="AT47" s="156" t="str">
        <f ca="1">IFERROR(_xlfn.SINGLE(INDEX(#REF!,'Annual Report'!AS47)),"")</f>
        <v/>
      </c>
      <c r="AU47" s="6" t="str">
        <f ca="1">IFERROR(_xlfn.SINGLE(INDEX(#REF!,'Annual Report'!AS47)),"")</f>
        <v/>
      </c>
      <c r="BR47" s="105"/>
      <c r="BS47" s="23"/>
      <c r="BT47" s="23"/>
      <c r="BU47" s="188"/>
      <c r="BV47" s="108" t="s">
        <v>197</v>
      </c>
      <c r="BW47" s="40">
        <f>IF(BW42="","",SUM(CQ22,CQ32))</f>
        <v>0</v>
      </c>
      <c r="BX47" s="40">
        <f t="shared" ref="BX47:CH47" si="55">IF(BX42="","",SUM(CR22,CR32))</f>
        <v>0</v>
      </c>
      <c r="BY47" s="40">
        <f t="shared" si="55"/>
        <v>0</v>
      </c>
      <c r="BZ47" s="40">
        <f t="shared" si="55"/>
        <v>0</v>
      </c>
      <c r="CA47" s="40">
        <f t="shared" si="55"/>
        <v>1</v>
      </c>
      <c r="CB47" s="40">
        <f t="shared" si="55"/>
        <v>0</v>
      </c>
      <c r="CC47" s="40">
        <f t="shared" si="55"/>
        <v>0</v>
      </c>
      <c r="CD47" s="40">
        <f t="shared" si="55"/>
        <v>0</v>
      </c>
      <c r="CE47" s="40">
        <f t="shared" si="55"/>
        <v>0</v>
      </c>
      <c r="CF47" s="40">
        <f t="shared" si="55"/>
        <v>0</v>
      </c>
      <c r="CG47" s="40">
        <f t="shared" si="55"/>
        <v>0</v>
      </c>
      <c r="CH47" s="41">
        <f t="shared" si="55"/>
        <v>0</v>
      </c>
      <c r="CI47" s="42">
        <f t="shared" si="47"/>
        <v>1</v>
      </c>
      <c r="CJ47" s="23"/>
      <c r="CK47" s="130"/>
      <c r="CP47" s="6" t="s">
        <v>192</v>
      </c>
      <c r="CQ47" s="6">
        <f>SUMIFS(Table_Assembly[Specific Amount],Table_Assembly[NG Type],$CP$14,Table_Assembly[Product type],$BU$43,Table_Assembly[NG content],CP47,Table_Assembly[Month],$CP$12)</f>
        <v>0</v>
      </c>
      <c r="CR47" s="6">
        <f>SUMIFS(Table_Assembly[Specific Amount],Table_Assembly[NG Type],$CP$14,Table_Assembly[Product type],$BU$43,Table_Assembly[NG content],CP47,Table_Assembly[Month],$CQ$12)</f>
        <v>0</v>
      </c>
      <c r="CS47" s="6">
        <f>SUMIFS(Table_Assembly[Specific Amount],Table_Assembly[NG Type],$CP$14,Table_Assembly[Product type],$BU$43,Table_Assembly[NG content],CP47,Table_Assembly[Month],$CR$12)</f>
        <v>0</v>
      </c>
      <c r="CT47" s="6">
        <f>SUMIFS(Table_Assembly[Specific Amount],Table_Assembly[NG Type],$CP$14,Table_Assembly[Product type],$BU$43,Table_Assembly[NG content],CP47,Table_Assembly[Month],$CS$12)</f>
        <v>0</v>
      </c>
      <c r="CU47" s="6">
        <f>SUMIFS(Table_Assembly[Specific Amount],Table_Assembly[NG Type],$CP$14,Table_Assembly[Product type],$BU$43,Table_Assembly[NG content],CP47,Table_Assembly[Month],$CT$12)</f>
        <v>0</v>
      </c>
      <c r="CV47" s="6">
        <f>SUMIFS(Table_Assembly[Specific Amount],Table_Assembly[NG Type],$CP$14,Table_Assembly[Product type],$BU$43,Table_Assembly[NG content],CP47,Table_Assembly[Month],$CU$12)</f>
        <v>0</v>
      </c>
      <c r="CW47" s="6">
        <f>SUMIFS(Table_Assembly[Specific Amount],Table_Assembly[NG Type],$CP$14,Table_Assembly[Product type],$BU$43,Table_Assembly[NG content],CP47,Table_Assembly[Month],$CV$12)</f>
        <v>0</v>
      </c>
      <c r="CX47" s="6">
        <f>SUMIFS(Table_Assembly[Specific Amount],Table_Assembly[NG Type],$CP$14,Table_Assembly[Product type],$BU$43,Table_Assembly[NG content],CP47,Table_Assembly[Month],$CW$12)</f>
        <v>0</v>
      </c>
      <c r="CY47" s="6">
        <f>SUMIFS(Table_Assembly[Specific Amount],Table_Assembly[NG Type],$CP$14,Table_Assembly[Product type],$BU$43,Table_Assembly[NG content],CP47,Table_Assembly[Month],$CX$12)</f>
        <v>0</v>
      </c>
      <c r="CZ47" s="6">
        <f>SUMIFS(Table_Assembly[Specific Amount],Table_Assembly[NG Type],$CP$14,Table_Assembly[Product type],$BU$43,Table_Assembly[NG content],CP47,Table_Assembly[Month],$CY$12)</f>
        <v>0</v>
      </c>
      <c r="DA47" s="6">
        <f>SUMIFS(Table_Assembly[Specific Amount],Table_Assembly[NG Type],$CP$14,Table_Assembly[Product type],$BU$43,Table_Assembly[NG content],CP47,Table_Assembly[Month],$CZ$12)</f>
        <v>0</v>
      </c>
      <c r="DB47" s="6">
        <f>SUMIFS(Table_Assembly[Total NG from material],Table_Assembly[Comp.],$CP$14,Table_Assembly[Total Produce],$BU$43,Table_Assembly[Reson for Others],CP47,Table_Assembly[Day],$DA$12)</f>
        <v>0</v>
      </c>
    </row>
    <row r="48" spans="1:106" ht="15.5" thickBot="1">
      <c r="A48" s="122"/>
      <c r="B48" s="23"/>
      <c r="C48" s="23"/>
      <c r="D48" s="205"/>
      <c r="E48" s="43" t="s">
        <v>103</v>
      </c>
      <c r="F48" s="44">
        <f>IF($F$4="","",
IF($BM$4=TRUE,SUMIFS(Table_Assembly[Total NG from machine],Table_Assembly[Product type],$D$46,Table_Assembly[Month],"1"),
IF(AND($BK$5=TRUE,$BN$5=FALSE),SUMIFS(Table_Assembly[Total NG from machine],Table_Assembly[Product type],$D$46,Table_Assembly[Month],"1"),
IF(AND($BK$5=FALSE,$BN$5=TRUE),SUMIFS(Table_Assembly[Total NG from machine],Table_Assembly[Product type],$D$46,Table_Assembly[Customer],$B$5,Table_Assembly[Month],"1"),
IF(AND($BN$5=FALSE,$BM$5=FALSE),SUMIFS(Table_Assembly[Total NG from machine],Table_Assembly[Product type],$D$46,Table_Assembly[Customer],$B$5,Table_Assembly[Month],"1"),"")))))</f>
        <v>0</v>
      </c>
      <c r="G48" s="44">
        <f>IF($G$4="","",
IF($BM$4=TRUE,SUMIFS(Table_Assembly[Total NG from machine],Table_Assembly[Product type],$D$46,Table_Assembly[Month],"2"),
IF(AND($BK$5=TRUE,$BN$5=FALSE),SUMIFS(Table_Assembly[Total NG from machine],Table_Assembly[Product type],$D$46,Table_Assembly[Month],"2"),
IF(AND($BK$5=FALSE,$BN$5=TRUE),SUMIFS(Table_Assembly[Total NG from machine],Table_Assembly[Product type],$D$46,Table_Assembly[Customer],$B$5,Table_Assembly[Month],"2"),
IF(AND($BN$5=FALSE,$BM$5=FALSE),SUMIFS(Table_Assembly[Total NG from machine],Table_Assembly[Product type],$D$46,Table_Assembly[Customer],$B$5,Table_Assembly[Month],"2"),"")))))</f>
        <v>0</v>
      </c>
      <c r="H48" s="44">
        <f>IF($H$4="","",
IF($BM$4=TRUE,SUMIFS(Table_Assembly[Total NG from machine],Table_Assembly[Product type],$D$46,Table_Assembly[Month],"3"),
IF(AND($BK$5=TRUE,$BN$5=FALSE),SUMIFS(Table_Assembly[Total NG from machine],Table_Assembly[Product type],$D$46,Table_Assembly[Month],"3"),
IF(AND($BK$5=FALSE,$BN$5=TRUE),SUMIFS(Table_Assembly[Total NG from machine],Table_Assembly[Product type],$D$46,Table_Assembly[Customer],$B$5,Table_Assembly[Month],"3"),
IF(AND($BN$5=FALSE,$BM$5=FALSE),SUMIFS(Table_Assembly[Total NG from machine],Table_Assembly[Product type],$D$46,Table_Assembly[Customer],$B$5,Table_Assembly[Month],"3"),"")))))</f>
        <v>0</v>
      </c>
      <c r="I48" s="44">
        <f>IF($I$4="","",
IF($BM$4=TRUE,SUMIFS(Table_Assembly[Total NG from machine],Table_Assembly[Product type],$D$46,Table_Assembly[Month],"4"),
IF(AND($BK$5=TRUE,$BN$5=FALSE),SUMIFS(Table_Assembly[Total NG from machine],Table_Assembly[Product type],$D$46,Table_Assembly[Month],"4"),
IF(AND($BK$5=FALSE,$BN$5=TRUE),SUMIFS(Table_Assembly[Total NG from machine],Table_Assembly[Product type],$D$46,Table_Assembly[Customer],$B$5,Table_Assembly[Month],"4"),
IF(AND($BN$5=FALSE,$BM$5=FALSE),SUMIFS(Table_Assembly[Total NG from machine],Table_Assembly[Product type],$D$46,Table_Assembly[Customer],$B$5,Table_Assembly[Month],"4"),"")))))</f>
        <v>3</v>
      </c>
      <c r="J48" s="44">
        <f>IF($J$4="","",
IF($BM$4=TRUE,SUMIFS(Table_Assembly[Total NG from machine],Table_Assembly[Product type],$D$46,Table_Assembly[Month],"5"),
IF(AND($BK$5=TRUE,$BN$5=FALSE),SUMIFS(Table_Assembly[Total NG from machine],Table_Assembly[Product type],$D$46,Table_Assembly[Month],"5"),
IF(AND($BK$5=FALSE,$BN$5=TRUE),SUMIFS(Table_Assembly[Total NG from machine],Table_Assembly[Product type],$D$46,Table_Assembly[Customer],$B$5,Table_Assembly[Month],"5"),
IF(AND($BN$5=FALSE,$BM$5=FALSE),SUMIFS(Table_Assembly[Total NG from machine],Table_Assembly[Product type],$D$46,Table_Assembly[Customer],$B$5,Table_Assembly[Month],"5"),"")))))</f>
        <v>87</v>
      </c>
      <c r="K48" s="44">
        <f>IF($K$4="","",
IF($BM$4=TRUE,SUMIFS(Table_Assembly[Total NG from machine],Table_Assembly[Product type],$D$46,Table_Assembly[Month],"6"),
IF(AND($BK$5=TRUE,$BN$5=FALSE),SUMIFS(Table_Assembly[Total NG from machine],Table_Assembly[Product type],$D$46,Table_Assembly[Month],"6"),
IF(AND($BK$5=FALSE,$BN$5=TRUE),SUMIFS(Table_Assembly[Total NG from machine],Table_Assembly[Product type],$D$46,Table_Assembly[Customer],$B$5,Table_Assembly[Month],"6"),
IF(AND($BN$5=FALSE,$BM$5=FALSE),SUMIFS(Table_Assembly[Total NG from machine],Table_Assembly[Product type],$D$46,Table_Assembly[Customer],$B$5,Table_Assembly[Month],"6"),"")))))</f>
        <v>77</v>
      </c>
      <c r="L48" s="44">
        <f>IF($L$4="","",
IF($BM$4=TRUE,SUMIFS(Table_Assembly[Total NG from machine],Table_Assembly[Product type],$D$46,Table_Assembly[Month],"7"),
IF(AND($BK$5=TRUE,$BN$5=FALSE),SUMIFS(Table_Assembly[Total NG from machine],Table_Assembly[Product type],$D$46,Table_Assembly[Month],"7"),
IF(AND($BK$5=FALSE,$BN$5=TRUE),SUMIFS(Table_Assembly[Total NG from machine],Table_Assembly[Product type],$D$46,Table_Assembly[Customer],$B$5,Table_Assembly[Month],"7"),
IF(AND($BN$5=FALSE,$BM$5=FALSE),SUMIFS(Table_Assembly[Total NG from machine],Table_Assembly[Product type],$D$46,Table_Assembly[Customer],$B$5,Table_Assembly[Month],"7"),"")))))</f>
        <v>0</v>
      </c>
      <c r="M48" s="44">
        <f>IF($M$4="","",
IF($BM$4=TRUE,SUMIFS(Table_Assembly[Total NG from machine],Table_Assembly[Product type],$D$5,Table_Assembly[Month],"8"),
IF(AND($BK$5=TRUE,$BN$5=FALSE),SUMIFS(Table_Assembly[Total NG from machine],Table_Assembly[Product type],$D$5,Table_Assembly[Month],"8"),
IF(AND($BK$5=FALSE,$BN$5=TRUE),SUMIFS(Table_Assembly[Total NG from machine],Table_Assembly[Product type],$D$5,Table_Assembly[Customer],$B$5,Table_Assembly[Month],"8"),
IF(AND($BN$5=FALSE,$BM$5=FALSE),SUMIFS(Table_Assembly[Total NG from machine],Table_Assembly[Product type],$D$5,Table_Assembly[Customer],$B$5,Table_Assembly[Month],"8"),"")))))</f>
        <v>0</v>
      </c>
      <c r="N48" s="44">
        <f>IF($N$4="","",
IF($BM$4=TRUE,SUMIFS(Table_Assembly[Total NG from machine],Table_Assembly[Product type],$D$46,Table_Assembly[Month],"9"),
IF(AND($BK$5=TRUE,$BN$5=FALSE),SUMIFS(Table_Assembly[Total NG from machine],Table_Assembly[Product type],$D$46,Table_Assembly[Month],"9"),
IF(AND($BK$5=FALSE,$BN$5=TRUE),SUMIFS(Table_Assembly[Total NG from machine],Table_Assembly[Product type],$D$46,Table_Assembly[Customer],$B$5,Table_Assembly[Month],"9"),
IF(AND($BN$5=FALSE,$BM$5=FALSE),SUMIFS(Table_Assembly[Total NG from machine],Table_Assembly[Product type],$D$46,Table_Assembly[Customer],$B$5,Table_Assembly[Month],"9"),"")))))</f>
        <v>0</v>
      </c>
      <c r="O48" s="44">
        <f>IF($O$4="","",
IF($BM$4=TRUE,SUMIFS(Table_Assembly[Total NG from machine],Table_Assembly[Product type],$D$46,Table_Assembly[Month],"10"),
IF(AND($BK$5=TRUE,$BN$5=FALSE),SUMIFS(Table_Assembly[Total NG from machine],Table_Assembly[Product type],$D$46,Table_Assembly[Month],"10"),
IF(AND($BK$5=FALSE,$BN$5=TRUE),SUMIFS(Table_Assembly[Total NG from machine],Table_Assembly[Product type],$D$46,Table_Assembly[Customer],$B$5,Table_Assembly[Month],"10"),
IF(AND($BN$5=FALSE,$BM$5=FALSE),SUMIFS(Table_Assembly[Total NG from machine],Table_Assembly[Product type],$D$46,Table_Assembly[Customer],$B$5,Table_Assembly[Month],"10"),"")))))</f>
        <v>0</v>
      </c>
      <c r="P48" s="44">
        <f>IF($P$4="","",
IF($BM$4=TRUE,SUMIFS(Table_Assembly[Total NG from machine],Table_Assembly[Product type],$D$46,Table_Assembly[Month],"11"),
IF(AND($BK$5=TRUE,$BN$5=FALSE),SUMIFS(Table_Assembly[Total NG from machine],Table_Assembly[Product type],$D$46,Table_Assembly[Month],"11"),
IF(AND($BK$5=FALSE,$BN$5=TRUE),SUMIFS(Table_Assembly[Total NG from machine],Table_Assembly[Product type],$D$46,Table_Assembly[Customer],$B$5,Table_Assembly[Month],"11"),
IF(AND($BN$5=FALSE,$BM$5=FALSE),SUMIFS(Table_Assembly[Total NG from machine],Table_Assembly[Product type],$D$46,Table_Assembly[Customer],$B$5,Table_Assembly[Month],"11"),"")))))</f>
        <v>0</v>
      </c>
      <c r="Q48" s="45">
        <f>IF($K$4="","",
IF($BM$4=TRUE,SUMIFS(Table_Assembly[Total NG from machine],Table_Assembly[Product type],$D$46,Table_Assembly[Month],"12"),
IF(AND($BK$5=TRUE,$BN$5=FALSE),SUMIFS(Table_Assembly[Total NG from machine],Table_Assembly[Product type],$D$46,Table_Assembly[Month],"12"),
IF(AND($BK$5=FALSE,$BN$5=TRUE),SUMIFS(Table_Assembly[Total NG from machine],Table_Assembly[Product type],$D$46,Table_Assembly[Customer],$B$5,Table_Assembly[Month],"12"),
IF(AND($BN$5=FALSE,$BM$5=FALSE),SUMIFS(Table_Assembly[Total NG from machine],Table_Assembly[Product type],$D$46,Table_Assembly[Customer],$B$5,Table_Assembly[Month],"12"),"")))))</f>
        <v>0</v>
      </c>
      <c r="R48" s="46">
        <f t="shared" si="45"/>
        <v>167</v>
      </c>
      <c r="S48" s="23"/>
      <c r="T48" s="119"/>
      <c r="W48" s="149"/>
      <c r="X48" s="6">
        <f t="shared" ca="1" si="49"/>
        <v>14</v>
      </c>
      <c r="Z48" s="155">
        <f t="shared" ca="1" si="50"/>
        <v>45030</v>
      </c>
      <c r="AD48" s="149">
        <f t="shared" si="30"/>
        <v>45037</v>
      </c>
      <c r="AE48" s="6" t="str">
        <f t="shared" ca="1" si="31"/>
        <v/>
      </c>
      <c r="AF48" s="6" t="str">
        <f t="shared" si="32"/>
        <v/>
      </c>
      <c r="AG48" s="150" t="str">
        <f t="shared" si="33"/>
        <v/>
      </c>
      <c r="AH48" s="150" t="str">
        <f t="shared" si="25"/>
        <v>Week 4</v>
      </c>
      <c r="AI48" s="150"/>
      <c r="AJ48" s="150">
        <f t="shared" si="34"/>
        <v>4</v>
      </c>
      <c r="AK48" s="150" t="str">
        <f t="shared" si="35"/>
        <v>Friday</v>
      </c>
      <c r="AL48" s="155">
        <f t="shared" si="36"/>
        <v>45037</v>
      </c>
      <c r="AM48" s="6" t="b">
        <f t="shared" si="37"/>
        <v>0</v>
      </c>
      <c r="AO48" s="6" t="str">
        <f ca="1">IFERROR(MATCH($B$114,OFFSET(#REF!,AO47,0,1000000),0)+AO47,"")</f>
        <v/>
      </c>
      <c r="AP48" s="156" t="str">
        <f ca="1">IFERROR(_xlfn.SINGLE(INDEX(#REF!,'Annual Report'!AO48)),"")</f>
        <v/>
      </c>
      <c r="AQ48" s="6" t="str">
        <f ca="1">IFERROR(_xlfn.SINGLE(INDEX(#REF!,'Annual Report'!AO48)),"")</f>
        <v/>
      </c>
      <c r="AS48" s="6" t="str">
        <f ca="1">IFERROR(MATCH($L$115,OFFSET(#REF!,AS47,0,1000000),0)+AS47,"")</f>
        <v/>
      </c>
      <c r="AT48" s="156" t="str">
        <f ca="1">IFERROR(_xlfn.SINGLE(INDEX(#REF!,'Annual Report'!AS48)),"")</f>
        <v/>
      </c>
      <c r="AU48" s="6" t="str">
        <f ca="1">IFERROR(_xlfn.SINGLE(INDEX(#REF!,'Annual Report'!AS48)),"")</f>
        <v/>
      </c>
      <c r="BR48" s="105"/>
      <c r="BS48" s="23"/>
      <c r="BT48" s="23"/>
      <c r="BU48" s="188"/>
      <c r="BV48" s="108" t="s">
        <v>319</v>
      </c>
      <c r="BW48" s="40">
        <f>IF(BW43="","",SUM(CQ27:CQ31,CQ33:CQ47))</f>
        <v>0</v>
      </c>
      <c r="BX48" s="40">
        <f t="shared" ref="BX48:CH48" si="56">IF(BX43="","",SUM(CR27:CR31,CR33:CR47))</f>
        <v>0</v>
      </c>
      <c r="BY48" s="40">
        <f t="shared" si="56"/>
        <v>0</v>
      </c>
      <c r="BZ48" s="40">
        <f t="shared" si="56"/>
        <v>0</v>
      </c>
      <c r="CA48" s="40">
        <f t="shared" si="56"/>
        <v>47</v>
      </c>
      <c r="CB48" s="40">
        <f t="shared" si="56"/>
        <v>41</v>
      </c>
      <c r="CC48" s="40">
        <f t="shared" si="56"/>
        <v>0</v>
      </c>
      <c r="CD48" s="40">
        <f t="shared" si="56"/>
        <v>0</v>
      </c>
      <c r="CE48" s="40">
        <f t="shared" si="56"/>
        <v>0</v>
      </c>
      <c r="CF48" s="40">
        <f t="shared" si="56"/>
        <v>0</v>
      </c>
      <c r="CG48" s="40">
        <f t="shared" si="56"/>
        <v>0</v>
      </c>
      <c r="CH48" s="41">
        <f t="shared" si="56"/>
        <v>0</v>
      </c>
      <c r="CI48" s="42">
        <f t="shared" si="47"/>
        <v>88</v>
      </c>
      <c r="CJ48" s="23"/>
      <c r="CK48" s="130"/>
      <c r="CP48" s="6" t="s">
        <v>193</v>
      </c>
      <c r="CQ48" s="6">
        <f>SUMIFS(Table_Assembly[Specific Amount],Table_Assembly[NG Type],$CP$14,Table_Assembly[Product type],$BU$43,Table_Assembly[NG content],CP48,Table_Assembly[Month],$CP$12)</f>
        <v>0</v>
      </c>
      <c r="CR48" s="6">
        <f>SUMIFS(Table_Assembly[Specific Amount],Table_Assembly[NG Type],$CP$14,Table_Assembly[Product type],$BU$43,Table_Assembly[NG content],CP48,Table_Assembly[Month],$CQ$12)</f>
        <v>0</v>
      </c>
      <c r="CS48" s="6">
        <f>SUMIFS(Table_Assembly[Specific Amount],Table_Assembly[NG Type],$CP$14,Table_Assembly[Product type],$BU$43,Table_Assembly[NG content],CP48,Table_Assembly[Month],$CR$12)</f>
        <v>0</v>
      </c>
      <c r="CT48" s="6">
        <f>SUMIFS(Table_Assembly[Specific Amount],Table_Assembly[NG Type],$CP$14,Table_Assembly[Product type],$BU$43,Table_Assembly[NG content],CP48,Table_Assembly[Month],$CS$12)</f>
        <v>0</v>
      </c>
      <c r="CU48" s="6">
        <f>SUMIFS(Table_Assembly[Specific Amount],Table_Assembly[NG Type],$CP$14,Table_Assembly[Product type],$BU$43,Table_Assembly[NG content],CP48,Table_Assembly[Month],$CT$12)</f>
        <v>0</v>
      </c>
      <c r="CV48" s="6">
        <f>SUMIFS(Table_Assembly[Specific Amount],Table_Assembly[NG Type],$CP$14,Table_Assembly[Product type],$BU$43,Table_Assembly[NG content],CP48,Table_Assembly[Month],$CU$12)</f>
        <v>0</v>
      </c>
      <c r="CW48" s="6">
        <f>SUMIFS(Table_Assembly[Specific Amount],Table_Assembly[NG Type],$CP$14,Table_Assembly[Product type],$BU$43,Table_Assembly[NG content],CP48,Table_Assembly[Month],$CV$12)</f>
        <v>0</v>
      </c>
      <c r="CX48" s="6">
        <f>SUMIFS(Table_Assembly[Specific Amount],Table_Assembly[NG Type],$CP$14,Table_Assembly[Product type],$BU$43,Table_Assembly[NG content],CP48,Table_Assembly[Month],$CW$12)</f>
        <v>0</v>
      </c>
      <c r="CY48" s="6">
        <f>SUMIFS(Table_Assembly[Specific Amount],Table_Assembly[NG Type],$CP$14,Table_Assembly[Product type],$BU$43,Table_Assembly[NG content],CP48,Table_Assembly[Month],$CX$12)</f>
        <v>0</v>
      </c>
      <c r="CZ48" s="6">
        <f>SUMIFS(Table_Assembly[Specific Amount],Table_Assembly[NG Type],$CP$14,Table_Assembly[Product type],$BU$43,Table_Assembly[NG content],CP48,Table_Assembly[Month],$CY$12)</f>
        <v>0</v>
      </c>
      <c r="DA48" s="6">
        <f>SUMIFS(Table_Assembly[Specific Amount],Table_Assembly[NG Type],$CP$14,Table_Assembly[Product type],$BU$43,Table_Assembly[NG content],CP48,Table_Assembly[Month],$CZ$12)</f>
        <v>0</v>
      </c>
      <c r="DB48" s="6">
        <f>SUMIFS(Table_Assembly[Total NG from material],Table_Assembly[Comp.],$CP$14,Table_Assembly[Total Produce],$BU$43,Table_Assembly[Reson for Others],CP48,Table_Assembly[Day],$DA$12)</f>
        <v>0</v>
      </c>
    </row>
    <row r="49" spans="1:106" ht="15.5" thickBot="1">
      <c r="A49" s="1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119"/>
      <c r="W49" s="149"/>
      <c r="X49" s="6">
        <f t="shared" ca="1" si="49"/>
        <v>15</v>
      </c>
      <c r="Z49" s="155">
        <f t="shared" ca="1" si="50"/>
        <v>45031</v>
      </c>
      <c r="AD49" s="149">
        <f t="shared" si="30"/>
        <v>45038</v>
      </c>
      <c r="AE49" s="6" t="str">
        <f t="shared" ca="1" si="31"/>
        <v/>
      </c>
      <c r="AF49" s="6" t="str">
        <f t="shared" si="32"/>
        <v/>
      </c>
      <c r="AG49" s="150" t="str">
        <f t="shared" si="33"/>
        <v/>
      </c>
      <c r="AH49" s="150" t="str">
        <f t="shared" si="25"/>
        <v>Week 4</v>
      </c>
      <c r="AI49" s="150"/>
      <c r="AJ49" s="150">
        <f t="shared" si="34"/>
        <v>4</v>
      </c>
      <c r="AK49" s="150" t="str">
        <f t="shared" si="35"/>
        <v>Saturday</v>
      </c>
      <c r="AL49" s="155">
        <f t="shared" si="36"/>
        <v>45038</v>
      </c>
      <c r="AM49" s="6" t="b">
        <f t="shared" si="37"/>
        <v>0</v>
      </c>
      <c r="AO49" s="6" t="str">
        <f ca="1">IFERROR(MATCH($B$114,OFFSET(#REF!,AO48,0,1000000),0)+AO48,"")</f>
        <v/>
      </c>
      <c r="AP49" s="156" t="str">
        <f ca="1">IFERROR(_xlfn.SINGLE(INDEX(#REF!,'Annual Report'!AO49)),"")</f>
        <v/>
      </c>
      <c r="AQ49" s="6" t="str">
        <f ca="1">IFERROR(_xlfn.SINGLE(INDEX(#REF!,'Annual Report'!AO49)),"")</f>
        <v/>
      </c>
      <c r="AS49" s="6" t="str">
        <f ca="1">IFERROR(MATCH($L$115,OFFSET(#REF!,AS48,0,1000000),0)+AS48,"")</f>
        <v/>
      </c>
      <c r="AT49" s="156" t="str">
        <f ca="1">IFERROR(_xlfn.SINGLE(INDEX(#REF!,'Annual Report'!AS49)),"")</f>
        <v/>
      </c>
      <c r="AU49" s="6" t="str">
        <f ca="1">IFERROR(_xlfn.SINGLE(INDEX(#REF!,'Annual Report'!AS49)),"")</f>
        <v/>
      </c>
      <c r="BR49" s="105"/>
      <c r="BS49" s="23"/>
      <c r="BT49" s="23"/>
      <c r="BU49" s="190"/>
      <c r="BV49" s="109" t="s">
        <v>136</v>
      </c>
      <c r="BW49" s="54">
        <f>IF(BW42="","",SUM(CQ51:CQ52))</f>
        <v>0</v>
      </c>
      <c r="BX49" s="54">
        <f t="shared" ref="BX49:CH49" si="57">IF(BX42="","",SUM(CR51:CR52))</f>
        <v>0</v>
      </c>
      <c r="BY49" s="54">
        <f t="shared" si="57"/>
        <v>0</v>
      </c>
      <c r="BZ49" s="54">
        <f t="shared" si="57"/>
        <v>0</v>
      </c>
      <c r="CA49" s="54">
        <f t="shared" si="57"/>
        <v>1032</v>
      </c>
      <c r="CB49" s="54">
        <f t="shared" si="57"/>
        <v>18</v>
      </c>
      <c r="CC49" s="54">
        <f t="shared" si="57"/>
        <v>0</v>
      </c>
      <c r="CD49" s="54">
        <f t="shared" si="57"/>
        <v>0</v>
      </c>
      <c r="CE49" s="54">
        <f t="shared" si="57"/>
        <v>0</v>
      </c>
      <c r="CF49" s="54">
        <f t="shared" si="57"/>
        <v>0</v>
      </c>
      <c r="CG49" s="54">
        <f t="shared" si="57"/>
        <v>0</v>
      </c>
      <c r="CH49" s="55">
        <f t="shared" si="57"/>
        <v>0</v>
      </c>
      <c r="CI49" s="56">
        <f t="shared" si="47"/>
        <v>1050</v>
      </c>
      <c r="CJ49" s="23"/>
      <c r="CK49" s="130"/>
      <c r="CP49" s="6" t="s">
        <v>241</v>
      </c>
      <c r="CQ49" s="6">
        <f>SUMIFS(Table_Assembly[Specific Amount],Table_Assembly[NG Type],$CP$14,Table_Assembly[Product type],$BU$43,Table_Assembly[NG content],CP49,Table_Assembly[Month],$CP$12)</f>
        <v>0</v>
      </c>
      <c r="CR49" s="6">
        <f>SUMIFS(Table_Assembly[Specific Amount],Table_Assembly[NG Type],$CP$14,Table_Assembly[Product type],$BU$43,Table_Assembly[NG content],CP49,Table_Assembly[Month],$CQ$12)</f>
        <v>0</v>
      </c>
      <c r="CS49" s="6">
        <f>SUMIFS(Table_Assembly[Specific Amount],Table_Assembly[NG Type],$CP$14,Table_Assembly[Product type],$BU$43,Table_Assembly[NG content],CP49,Table_Assembly[Month],$CR$12)</f>
        <v>0</v>
      </c>
      <c r="CT49" s="6">
        <f>SUMIFS(Table_Assembly[Specific Amount],Table_Assembly[NG Type],$CP$14,Table_Assembly[Product type],$BU$43,Table_Assembly[NG content],CP49,Table_Assembly[Month],$CS$12)</f>
        <v>0</v>
      </c>
      <c r="CU49" s="6">
        <f>SUMIFS(Table_Assembly[Specific Amount],Table_Assembly[NG Type],$CP$14,Table_Assembly[Product type],$BU$43,Table_Assembly[NG content],CP49,Table_Assembly[Month],$CT$12)</f>
        <v>0</v>
      </c>
      <c r="CV49" s="6">
        <f>SUMIFS(Table_Assembly[Specific Amount],Table_Assembly[NG Type],$CP$14,Table_Assembly[Product type],$BU$43,Table_Assembly[NG content],CP49,Table_Assembly[Month],$CU$12)</f>
        <v>0</v>
      </c>
      <c r="CW49" s="6">
        <f>SUMIFS(Table_Assembly[Specific Amount],Table_Assembly[NG Type],$CP$14,Table_Assembly[Product type],$BU$43,Table_Assembly[NG content],CP49,Table_Assembly[Month],$CV$12)</f>
        <v>0</v>
      </c>
      <c r="CX49" s="6">
        <f>SUMIFS(Table_Assembly[Specific Amount],Table_Assembly[NG Type],$CP$14,Table_Assembly[Product type],$BU$43,Table_Assembly[NG content],CP49,Table_Assembly[Month],$CW$12)</f>
        <v>0</v>
      </c>
      <c r="CY49" s="6">
        <f>SUMIFS(Table_Assembly[Specific Amount],Table_Assembly[NG Type],$CP$14,Table_Assembly[Product type],$BU$43,Table_Assembly[NG content],CP49,Table_Assembly[Month],$CX$12)</f>
        <v>0</v>
      </c>
      <c r="CZ49" s="6">
        <f>SUMIFS(Table_Assembly[Specific Amount],Table_Assembly[NG Type],$CP$14,Table_Assembly[Product type],$BU$43,Table_Assembly[NG content],CP49,Table_Assembly[Month],$CY$12)</f>
        <v>0</v>
      </c>
      <c r="DA49" s="6">
        <f>SUMIFS(Table_Assembly[Specific Amount],Table_Assembly[NG Type],$CP$14,Table_Assembly[Product type],$BU$43,Table_Assembly[NG content],CP49,Table_Assembly[Month],$CZ$12)</f>
        <v>0</v>
      </c>
      <c r="DB49" s="6">
        <f>SUMIFS(Table_Assembly[Total NG from material],Table_Assembly[Comp.],$CP$14,Table_Assembly[Total Produce],$BU$43,Table_Assembly[Reson for Others],CP49,Table_Assembly[Day],$DA$12)</f>
        <v>0</v>
      </c>
    </row>
    <row r="50" spans="1:106" ht="15.5" thickTop="1">
      <c r="A50" s="1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119"/>
      <c r="W50" s="149"/>
      <c r="X50" s="6">
        <f t="shared" ca="1" si="49"/>
        <v>16</v>
      </c>
      <c r="Z50" s="155">
        <f t="shared" ca="1" si="50"/>
        <v>45032</v>
      </c>
      <c r="AD50" s="149">
        <f t="shared" si="30"/>
        <v>45039</v>
      </c>
      <c r="AE50" s="6" t="str">
        <f t="shared" ca="1" si="31"/>
        <v/>
      </c>
      <c r="AF50" s="6" t="str">
        <f t="shared" si="32"/>
        <v/>
      </c>
      <c r="AG50" s="150" t="str">
        <f t="shared" si="33"/>
        <v/>
      </c>
      <c r="AH50" s="150" t="str">
        <f t="shared" si="25"/>
        <v>Week 4</v>
      </c>
      <c r="AI50" s="150"/>
      <c r="AJ50" s="150">
        <f t="shared" si="34"/>
        <v>4</v>
      </c>
      <c r="AK50" s="150" t="str">
        <f t="shared" si="35"/>
        <v>Sunday</v>
      </c>
      <c r="AL50" s="155">
        <f t="shared" si="36"/>
        <v>45039</v>
      </c>
      <c r="AM50" s="6" t="b">
        <f t="shared" si="37"/>
        <v>0</v>
      </c>
      <c r="AO50" s="6" t="str">
        <f ca="1">IFERROR(MATCH($B$114,OFFSET(#REF!,AO49,0,1000000),0)+AO49,"")</f>
        <v/>
      </c>
      <c r="AP50" s="156" t="str">
        <f ca="1">IFERROR(_xlfn.SINGLE(INDEX(#REF!,'Annual Report'!AO50)),"")</f>
        <v/>
      </c>
      <c r="AQ50" s="6" t="str">
        <f ca="1">IFERROR(_xlfn.SINGLE(INDEX(#REF!,'Annual Report'!AO50)),"")</f>
        <v/>
      </c>
      <c r="AS50" s="6" t="str">
        <f ca="1">IFERROR(MATCH($L$115,OFFSET(#REF!,AS49,0,1000000),0)+AS49,"")</f>
        <v/>
      </c>
      <c r="AT50" s="156" t="str">
        <f ca="1">IFERROR(_xlfn.SINGLE(INDEX(#REF!,'Annual Report'!AS50)),"")</f>
        <v/>
      </c>
      <c r="AU50" s="6" t="str">
        <f ca="1">IFERROR(_xlfn.SINGLE(INDEX(#REF!,'Annual Report'!AS50)),"")</f>
        <v/>
      </c>
      <c r="BR50" s="105"/>
      <c r="BS50" s="23"/>
      <c r="BT50" s="23"/>
      <c r="BU50" s="187" t="s">
        <v>52</v>
      </c>
      <c r="BV50" s="186" t="s">
        <v>31</v>
      </c>
      <c r="BW50" s="183">
        <f t="shared" ref="BW50:CH50" si="58">IF(BW9="","",BW9)</f>
        <v>0</v>
      </c>
      <c r="BX50" s="183">
        <f t="shared" si="58"/>
        <v>0</v>
      </c>
      <c r="BY50" s="183">
        <f t="shared" si="58"/>
        <v>0</v>
      </c>
      <c r="BZ50" s="183">
        <f t="shared" si="58"/>
        <v>3</v>
      </c>
      <c r="CA50" s="183">
        <f t="shared" si="58"/>
        <v>87</v>
      </c>
      <c r="CB50" s="183">
        <f t="shared" si="58"/>
        <v>77</v>
      </c>
      <c r="CC50" s="183">
        <f t="shared" si="58"/>
        <v>0</v>
      </c>
      <c r="CD50" s="183">
        <f t="shared" si="58"/>
        <v>0</v>
      </c>
      <c r="CE50" s="183">
        <f t="shared" si="58"/>
        <v>0</v>
      </c>
      <c r="CF50" s="183">
        <f t="shared" si="58"/>
        <v>0</v>
      </c>
      <c r="CG50" s="183">
        <f t="shared" si="58"/>
        <v>0</v>
      </c>
      <c r="CH50" s="184">
        <f t="shared" si="58"/>
        <v>0</v>
      </c>
      <c r="CI50" s="185">
        <f t="shared" ref="CI50:CI56" si="59">SUM(BW50:CH50)</f>
        <v>167</v>
      </c>
      <c r="CJ50" s="23"/>
      <c r="CK50" s="130"/>
      <c r="CP50" s="6" t="s">
        <v>194</v>
      </c>
      <c r="CQ50" s="6">
        <f>SUMIFS(Table_Assembly[Specific Amount],Table_Assembly[NG Type],$CP$14,Table_Assembly[Product type],$BU$43,Table_Assembly[NG content],CP50,Table_Assembly[Month],$CP$12)</f>
        <v>0</v>
      </c>
      <c r="CR50" s="6">
        <f>SUMIFS(Table_Assembly[Specific Amount],Table_Assembly[NG Type],$CP$14,Table_Assembly[Product type],$BU$43,Table_Assembly[NG content],CP50,Table_Assembly[Month],$CQ$12)</f>
        <v>0</v>
      </c>
      <c r="CS50" s="6">
        <f>SUMIFS(Table_Assembly[Specific Amount],Table_Assembly[NG Type],$CP$14,Table_Assembly[Product type],$BU$43,Table_Assembly[NG content],CP50,Table_Assembly[Month],$CR$12)</f>
        <v>0</v>
      </c>
      <c r="CT50" s="6">
        <f>SUMIFS(Table_Assembly[Specific Amount],Table_Assembly[NG Type],$CP$14,Table_Assembly[Product type],$BU$43,Table_Assembly[NG content],CP50,Table_Assembly[Month],$CS$12)</f>
        <v>0</v>
      </c>
      <c r="CU50" s="6">
        <f>SUMIFS(Table_Assembly[Specific Amount],Table_Assembly[NG Type],$CP$14,Table_Assembly[Product type],$BU$43,Table_Assembly[NG content],CP50,Table_Assembly[Month],$CT$12)</f>
        <v>0</v>
      </c>
      <c r="CV50" s="6">
        <f>SUMIFS(Table_Assembly[Specific Amount],Table_Assembly[NG Type],$CP$14,Table_Assembly[Product type],$BU$43,Table_Assembly[NG content],CP50,Table_Assembly[Month],$CU$12)</f>
        <v>0</v>
      </c>
      <c r="CW50" s="6">
        <f>SUMIFS(Table_Assembly[Specific Amount],Table_Assembly[NG Type],$CP$14,Table_Assembly[Product type],$BU$43,Table_Assembly[NG content],CP50,Table_Assembly[Month],$CV$12)</f>
        <v>0</v>
      </c>
      <c r="CX50" s="6">
        <f>SUMIFS(Table_Assembly[Specific Amount],Table_Assembly[NG Type],$CP$14,Table_Assembly[Product type],$BU$43,Table_Assembly[NG content],CP50,Table_Assembly[Month],$CW$12)</f>
        <v>0</v>
      </c>
      <c r="CY50" s="6">
        <f>SUMIFS(Table_Assembly[Specific Amount],Table_Assembly[NG Type],$CP$14,Table_Assembly[Product type],$BU$43,Table_Assembly[NG content],CP50,Table_Assembly[Month],$CX$12)</f>
        <v>0</v>
      </c>
      <c r="CZ50" s="6">
        <f>SUMIFS(Table_Assembly[Specific Amount],Table_Assembly[NG Type],$CP$14,Table_Assembly[Product type],$BU$43,Table_Assembly[NG content],CP50,Table_Assembly[Month],$CY$12)</f>
        <v>0</v>
      </c>
      <c r="DA50" s="6">
        <f>SUMIFS(Table_Assembly[Specific Amount],Table_Assembly[NG Type],$CP$14,Table_Assembly[Product type],$BU$43,Table_Assembly[NG content],CP50,Table_Assembly[Month],$CZ$12)</f>
        <v>0</v>
      </c>
      <c r="DB50" s="6">
        <f>SUMIFS(Table_Assembly[Total NG from material],Table_Assembly[Comp.],$CP$14,Table_Assembly[Total Produce],$BU$43,Table_Assembly[Reson for Others],CP50,Table_Assembly[Day],$DA$12)</f>
        <v>0</v>
      </c>
    </row>
    <row r="51" spans="1:106">
      <c r="A51" s="1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119"/>
      <c r="W51" s="149"/>
      <c r="AD51" s="149">
        <f t="shared" si="30"/>
        <v>45040</v>
      </c>
      <c r="AE51" s="6" t="str">
        <f t="shared" ca="1" si="31"/>
        <v>Week 5</v>
      </c>
      <c r="AF51" s="6">
        <f t="shared" si="32"/>
        <v>5</v>
      </c>
      <c r="AG51" s="150" t="str">
        <f t="shared" si="33"/>
        <v>Week 5</v>
      </c>
      <c r="AH51" s="150" t="str">
        <f t="shared" si="25"/>
        <v>Week 5</v>
      </c>
      <c r="AI51" s="150"/>
      <c r="AJ51" s="150">
        <f t="shared" si="34"/>
        <v>5</v>
      </c>
      <c r="AK51" s="150" t="str">
        <f t="shared" si="35"/>
        <v>Monday</v>
      </c>
      <c r="AL51" s="155">
        <f t="shared" si="36"/>
        <v>45040</v>
      </c>
      <c r="AM51" s="6" t="b">
        <f t="shared" si="37"/>
        <v>0</v>
      </c>
      <c r="AO51" s="6" t="str">
        <f ca="1">IFERROR(MATCH($B$114,OFFSET(#REF!,AO50,0,1000000),0)+AO50,"")</f>
        <v/>
      </c>
      <c r="AP51" s="156" t="str">
        <f ca="1">IFERROR(_xlfn.SINGLE(INDEX(#REF!,'Annual Report'!AO51)),"")</f>
        <v/>
      </c>
      <c r="AQ51" s="6" t="str">
        <f ca="1">IFERROR(_xlfn.SINGLE(INDEX(#REF!,'Annual Report'!AO51)),"")</f>
        <v/>
      </c>
      <c r="AS51" s="6" t="str">
        <f ca="1">IFERROR(MATCH($L$115,OFFSET(#REF!,AS50,0,1000000),0)+AS50,"")</f>
        <v/>
      </c>
      <c r="AT51" s="156" t="str">
        <f ca="1">IFERROR(_xlfn.SINGLE(INDEX(#REF!,'Annual Report'!AS51)),"")</f>
        <v/>
      </c>
      <c r="AU51" s="6" t="str">
        <f ca="1">IFERROR(_xlfn.SINGLE(INDEX(#REF!,'Annual Report'!AS51)),"")</f>
        <v/>
      </c>
      <c r="BR51" s="105"/>
      <c r="BS51" s="23"/>
      <c r="BT51" s="23"/>
      <c r="BU51" s="188"/>
      <c r="BV51" s="108" t="s">
        <v>134</v>
      </c>
      <c r="BW51" s="40">
        <f>IF(BW42="","",SUM(CQ54:CQ55))</f>
        <v>0</v>
      </c>
      <c r="BX51" s="40">
        <f t="shared" ref="BX51:CH51" si="60">IF(BX42="","",SUM(CR54:CR55))</f>
        <v>0</v>
      </c>
      <c r="BY51" s="40">
        <f t="shared" si="60"/>
        <v>0</v>
      </c>
      <c r="BZ51" s="40">
        <f t="shared" si="60"/>
        <v>0</v>
      </c>
      <c r="CA51" s="40">
        <f t="shared" si="60"/>
        <v>0</v>
      </c>
      <c r="CB51" s="40">
        <f t="shared" si="60"/>
        <v>0</v>
      </c>
      <c r="CC51" s="40">
        <f t="shared" si="60"/>
        <v>0</v>
      </c>
      <c r="CD51" s="40">
        <f t="shared" si="60"/>
        <v>0</v>
      </c>
      <c r="CE51" s="40">
        <f t="shared" si="60"/>
        <v>0</v>
      </c>
      <c r="CF51" s="40">
        <f t="shared" si="60"/>
        <v>0</v>
      </c>
      <c r="CG51" s="40">
        <f t="shared" si="60"/>
        <v>0</v>
      </c>
      <c r="CH51" s="41">
        <f t="shared" si="60"/>
        <v>0</v>
      </c>
      <c r="CI51" s="42">
        <f t="shared" si="59"/>
        <v>0</v>
      </c>
      <c r="CJ51" s="23"/>
      <c r="CK51" s="130"/>
      <c r="CP51" s="6" t="s">
        <v>195</v>
      </c>
      <c r="CQ51" s="6">
        <f>SUMIFS(Table_Assembly[Specific Amount],Table_Assembly[NG Type],$CP$14,Table_Assembly[Product type],$BU$43,Table_Assembly[NG content],CP51,Table_Assembly[Month],$CP$12)</f>
        <v>0</v>
      </c>
      <c r="CR51" s="6">
        <f>SUMIFS(Table_Assembly[Specific Amount],Table_Assembly[NG Type],$CP$14,Table_Assembly[Product type],$BU$43,Table_Assembly[NG content],CP51,Table_Assembly[Month],$CQ$12)</f>
        <v>0</v>
      </c>
      <c r="CS51" s="6">
        <f>SUMIFS(Table_Assembly[Specific Amount],Table_Assembly[NG Type],$CP$14,Table_Assembly[Product type],$BU$43,Table_Assembly[NG content],CP51,Table_Assembly[Month],$CR$12)</f>
        <v>0</v>
      </c>
      <c r="CT51" s="6">
        <f>SUMIFS(Table_Assembly[Specific Amount],Table_Assembly[NG Type],$CP$14,Table_Assembly[Product type],$BU$43,Table_Assembly[NG content],CP51,Table_Assembly[Month],$CS$12)</f>
        <v>0</v>
      </c>
      <c r="CU51" s="6">
        <f>SUMIFS(Table_Assembly[Specific Amount],Table_Assembly[NG Type],$CP$14,Table_Assembly[Product type],$BU$43,Table_Assembly[NG content],CP51,Table_Assembly[Month],$CT$12)</f>
        <v>0</v>
      </c>
      <c r="CV51" s="6">
        <f>SUMIFS(Table_Assembly[Specific Amount],Table_Assembly[NG Type],$CP$14,Table_Assembly[Product type],$BU$43,Table_Assembly[NG content],CP51,Table_Assembly[Month],$CU$12)</f>
        <v>0</v>
      </c>
      <c r="CW51" s="6">
        <f>SUMIFS(Table_Assembly[Specific Amount],Table_Assembly[NG Type],$CP$14,Table_Assembly[Product type],$BU$43,Table_Assembly[NG content],CP51,Table_Assembly[Month],$CV$12)</f>
        <v>0</v>
      </c>
      <c r="CX51" s="6">
        <f>SUMIFS(Table_Assembly[Specific Amount],Table_Assembly[NG Type],$CP$14,Table_Assembly[Product type],$BU$43,Table_Assembly[NG content],CP51,Table_Assembly[Month],$CW$12)</f>
        <v>0</v>
      </c>
      <c r="CY51" s="6">
        <f>SUMIFS(Table_Assembly[Specific Amount],Table_Assembly[NG Type],$CP$14,Table_Assembly[Product type],$BU$43,Table_Assembly[NG content],CP51,Table_Assembly[Month],$CX$12)</f>
        <v>0</v>
      </c>
      <c r="CZ51" s="6">
        <f>SUMIFS(Table_Assembly[Specific Amount],Table_Assembly[NG Type],$CP$14,Table_Assembly[Product type],$BU$43,Table_Assembly[NG content],CP51,Table_Assembly[Month],$CY$12)</f>
        <v>0</v>
      </c>
      <c r="DA51" s="6">
        <f>SUMIFS(Table_Assembly[Specific Amount],Table_Assembly[NG Type],$CP$14,Table_Assembly[Product type],$BU$43,Table_Assembly[NG content],CP51,Table_Assembly[Month],$CZ$12)</f>
        <v>0</v>
      </c>
      <c r="DB51" s="6">
        <f>SUMIFS(Table_Assembly[Total NG from material],Table_Assembly[Comp.],$CP$14,Table_Assembly[Total Produce],$BU$43,Table_Assembly[Reson for Others],CP51,Table_Assembly[Day],$DA$12)</f>
        <v>0</v>
      </c>
    </row>
    <row r="52" spans="1:106">
      <c r="A52" s="1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119"/>
      <c r="W52" s="149">
        <f>IFERROR(INDEX($AL$28:$AL$58,MATCH(Y52,$AG$28:$AG$58,0)),"")</f>
        <v>45033</v>
      </c>
      <c r="X52" s="6">
        <f ca="1">IFERROR(MATCH($Y$52,OFFSET($AH$28:$AH$58,X51,0,1000000),0)+X51,"")</f>
        <v>17</v>
      </c>
      <c r="Y52" s="6" t="s">
        <v>106</v>
      </c>
      <c r="Z52" s="155">
        <f ca="1">IFERROR(INDEX($AL$28:$AL$58,X52),"")</f>
        <v>45033</v>
      </c>
      <c r="AD52" s="149">
        <f t="shared" si="30"/>
        <v>45041</v>
      </c>
      <c r="AE52" s="6" t="str">
        <f t="shared" ca="1" si="31"/>
        <v/>
      </c>
      <c r="AF52" s="6" t="str">
        <f t="shared" si="32"/>
        <v/>
      </c>
      <c r="AG52" s="150" t="str">
        <f t="shared" si="33"/>
        <v/>
      </c>
      <c r="AH52" s="150" t="str">
        <f t="shared" si="25"/>
        <v>Week 5</v>
      </c>
      <c r="AI52" s="150"/>
      <c r="AJ52" s="150">
        <f t="shared" si="34"/>
        <v>5</v>
      </c>
      <c r="AK52" s="150" t="str">
        <f t="shared" si="35"/>
        <v>Tuesday</v>
      </c>
      <c r="AL52" s="155">
        <f t="shared" si="36"/>
        <v>45041</v>
      </c>
      <c r="AM52" s="6" t="b">
        <f t="shared" si="37"/>
        <v>0</v>
      </c>
      <c r="AO52" s="6" t="str">
        <f ca="1">IFERROR(MATCH($B$114,OFFSET(#REF!,AO51,0,1000000),0)+AO51,"")</f>
        <v/>
      </c>
      <c r="AP52" s="156" t="str">
        <f ca="1">IFERROR(_xlfn.SINGLE(INDEX(#REF!,'Annual Report'!AO52)),"")</f>
        <v/>
      </c>
      <c r="AQ52" s="6" t="str">
        <f ca="1">IFERROR(_xlfn.SINGLE(INDEX(#REF!,'Annual Report'!AO52)),"")</f>
        <v/>
      </c>
      <c r="AS52" s="6" t="str">
        <f ca="1">IFERROR(MATCH($L$115,OFFSET(#REF!,AS51,0,1000000),0)+AS51,"")</f>
        <v/>
      </c>
      <c r="AT52" s="156" t="str">
        <f ca="1">IFERROR(_xlfn.SINGLE(INDEX(#REF!,'Annual Report'!AS52)),"")</f>
        <v/>
      </c>
      <c r="AU52" s="6" t="str">
        <f ca="1">IFERROR(_xlfn.SINGLE(INDEX(#REF!,'Annual Report'!AS52)),"")</f>
        <v/>
      </c>
      <c r="BR52" s="105"/>
      <c r="BS52" s="23"/>
      <c r="BT52" s="23"/>
      <c r="BU52" s="188"/>
      <c r="BV52" s="108" t="s">
        <v>318</v>
      </c>
      <c r="BW52" s="40">
        <f>IF(BW42="","",SUM(CQ56:CQ59))</f>
        <v>0</v>
      </c>
      <c r="BX52" s="40">
        <f t="shared" ref="BX52:CH52" si="61">IF(BX42="","",SUM(CR56:CR59))</f>
        <v>0</v>
      </c>
      <c r="BY52" s="40">
        <f t="shared" si="61"/>
        <v>0</v>
      </c>
      <c r="BZ52" s="40">
        <f t="shared" si="61"/>
        <v>0</v>
      </c>
      <c r="CA52" s="40">
        <f t="shared" si="61"/>
        <v>0</v>
      </c>
      <c r="CB52" s="40">
        <f t="shared" si="61"/>
        <v>0</v>
      </c>
      <c r="CC52" s="40">
        <f t="shared" si="61"/>
        <v>0</v>
      </c>
      <c r="CD52" s="40">
        <f t="shared" si="61"/>
        <v>0</v>
      </c>
      <c r="CE52" s="40">
        <f t="shared" si="61"/>
        <v>0</v>
      </c>
      <c r="CF52" s="40">
        <f t="shared" si="61"/>
        <v>0</v>
      </c>
      <c r="CG52" s="40">
        <f t="shared" si="61"/>
        <v>0</v>
      </c>
      <c r="CH52" s="41">
        <f t="shared" si="61"/>
        <v>0</v>
      </c>
      <c r="CI52" s="42">
        <f t="shared" si="59"/>
        <v>0</v>
      </c>
      <c r="CJ52" s="23"/>
      <c r="CK52" s="130"/>
      <c r="CP52" s="6" t="s">
        <v>123</v>
      </c>
      <c r="CQ52" s="6">
        <f>SUMIFS(Table_Assembly[Specific Amount],Table_Assembly[NG Type],$CP$14,Table_Assembly[Product type],$BU$43,Table_Assembly[NG content],"Others",Table_Assembly[Month],$CP$12)</f>
        <v>0</v>
      </c>
      <c r="CR52" s="6">
        <f>SUMIFS(Table_Assembly[Specific Amount],Table_Assembly[NG Type],$CP$14,Table_Assembly[Product type],$BU$43,Table_Assembly[NG content],"Others",Table_Assembly[Month],$CQ$12)</f>
        <v>0</v>
      </c>
      <c r="CS52" s="6">
        <f>SUMIFS(Table_Assembly[Specific Amount],Table_Assembly[NG Type],$CP$14,Table_Assembly[Product type],$BU$43,Table_Assembly[NG content],"Others",Table_Assembly[Month],$CR$12)</f>
        <v>0</v>
      </c>
      <c r="CT52" s="6">
        <f>SUMIFS(Table_Assembly[Specific Amount],Table_Assembly[NG Type],$CP$14,Table_Assembly[Product type],$BU$43,Table_Assembly[NG content],"Others",Table_Assembly[Month],$CS$12)</f>
        <v>0</v>
      </c>
      <c r="CU52" s="6">
        <f>SUMIFS(Table_Assembly[Specific Amount],Table_Assembly[NG Type],$CP$14,Table_Assembly[Product type],$BU$43,Table_Assembly[NG content],"Others",Table_Assembly[Month],$CT$12)</f>
        <v>1032</v>
      </c>
      <c r="CV52" s="6">
        <f>SUMIFS(Table_Assembly[Specific Amount],Table_Assembly[NG Type],$CP$14,Table_Assembly[Product type],$BU$43,Table_Assembly[NG content],"Others",Table_Assembly[Month],$CU$12)</f>
        <v>18</v>
      </c>
      <c r="CW52" s="6">
        <f>SUMIFS(Table_Assembly[Specific Amount],Table_Assembly[NG Type],$CP$14,Table_Assembly[Product type],$BU$43,Table_Assembly[NG content],"Others",Table_Assembly[Month],$CV$12)</f>
        <v>0</v>
      </c>
      <c r="CX52" s="6">
        <f>SUMIFS(Table_Assembly[Specific Amount],Table_Assembly[NG Type],$CP$14,Table_Assembly[Product type],$BU$43,Table_Assembly[NG content],"Others",Table_Assembly[Month],$CW$12)</f>
        <v>0</v>
      </c>
      <c r="CY52" s="6">
        <f>SUMIFS(Table_Assembly[Specific Amount],Table_Assembly[NG Type],$CP$14,Table_Assembly[Product type],$BU$43,Table_Assembly[NG content],"Others",Table_Assembly[Month],$CX$12)</f>
        <v>0</v>
      </c>
      <c r="CZ52" s="6">
        <f>SUMIFS(Table_Assembly[Specific Amount],Table_Assembly[NG Type],$CP$14,Table_Assembly[Product type],$BU$43,Table_Assembly[NG content],"Others",Table_Assembly[Month],$CY$12)</f>
        <v>0</v>
      </c>
      <c r="DA52" s="6">
        <f>SUMIFS(Table_Assembly[Specific Amount],Table_Assembly[NG Type],$CP$14,Table_Assembly[Product type],$BU$43,Table_Assembly[NG content],"Others",Table_Assembly[Month],$CZ$12)</f>
        <v>0</v>
      </c>
      <c r="DB52" s="6">
        <f>SUMIFS(Table_Assembly[Total NG from material],Table_Assembly[Comp.],$CP$14,Table_Assembly[Total Produce],$BU$43,Table_Assembly[Reson for Others],"Others",Table_Assembly[Day],$DA$12)</f>
        <v>0</v>
      </c>
    </row>
    <row r="53" spans="1:106">
      <c r="A53" s="1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119"/>
      <c r="W53" s="149">
        <f>IFERROR(INDEX($AL$28:$AL$58-1,MATCH(RIGHT(Y52,2)*1+1,$AJ$28:$AJ$58,0)),$AG$7)</f>
        <v>45039</v>
      </c>
      <c r="X53" s="6">
        <f t="shared" ref="X53:X58" ca="1" si="62">IFERROR(MATCH($Y$52,OFFSET($AH$28:$AH$58,X52,0,1000000),0)+X52,"")</f>
        <v>18</v>
      </c>
      <c r="Z53" s="155">
        <f t="shared" ref="Z53:Z58" ca="1" si="63">IFERROR(INDEX($AL$28:$AL$58,X53),"")</f>
        <v>45034</v>
      </c>
      <c r="AD53" s="149">
        <f t="shared" si="30"/>
        <v>45042</v>
      </c>
      <c r="AE53" s="6" t="str">
        <f t="shared" ca="1" si="31"/>
        <v/>
      </c>
      <c r="AF53" s="6" t="str">
        <f t="shared" si="32"/>
        <v/>
      </c>
      <c r="AG53" s="150" t="str">
        <f t="shared" si="33"/>
        <v/>
      </c>
      <c r="AH53" s="150" t="str">
        <f t="shared" si="25"/>
        <v>Week 5</v>
      </c>
      <c r="AI53" s="150"/>
      <c r="AJ53" s="150">
        <f t="shared" si="34"/>
        <v>5</v>
      </c>
      <c r="AK53" s="150" t="str">
        <f t="shared" si="35"/>
        <v>Wednesday</v>
      </c>
      <c r="AL53" s="155">
        <f t="shared" si="36"/>
        <v>45042</v>
      </c>
      <c r="AM53" s="6" t="b">
        <f t="shared" si="37"/>
        <v>0</v>
      </c>
      <c r="AO53" s="6" t="str">
        <f ca="1">IFERROR(MATCH($B$114,OFFSET(#REF!,AO52,0,1000000),0)+AO52,"")</f>
        <v/>
      </c>
      <c r="AP53" s="156" t="str">
        <f ca="1">IFERROR(_xlfn.SINGLE(INDEX(#REF!,'Annual Report'!AO53)),"")</f>
        <v/>
      </c>
      <c r="AQ53" s="6" t="str">
        <f ca="1">IFERROR(_xlfn.SINGLE(INDEX(#REF!,'Annual Report'!AO53)),"")</f>
        <v/>
      </c>
      <c r="AS53" s="6" t="str">
        <f ca="1">IFERROR(MATCH($L$115,OFFSET(#REF!,AS52,0,1000000),0)+AS52,"")</f>
        <v/>
      </c>
      <c r="AT53" s="156" t="str">
        <f ca="1">IFERROR(_xlfn.SINGLE(INDEX(#REF!,'Annual Report'!AS53)),"")</f>
        <v/>
      </c>
      <c r="AU53" s="6" t="str">
        <f ca="1">IFERROR(_xlfn.SINGLE(INDEX(#REF!,'Annual Report'!AS53)),"")</f>
        <v/>
      </c>
      <c r="BR53" s="105"/>
      <c r="BS53" s="23"/>
      <c r="BT53" s="23"/>
      <c r="BU53" s="188"/>
      <c r="BV53" s="108" t="s">
        <v>135</v>
      </c>
      <c r="BW53" s="40">
        <f>IF(BW42="","",SUM(CQ61:CQ64))</f>
        <v>0</v>
      </c>
      <c r="BX53" s="40">
        <f t="shared" ref="BX53:CH53" si="64">IF(BX42="","",SUM(CR61:CR64))</f>
        <v>0</v>
      </c>
      <c r="BY53" s="40">
        <f t="shared" si="64"/>
        <v>0</v>
      </c>
      <c r="BZ53" s="40">
        <f t="shared" si="64"/>
        <v>0</v>
      </c>
      <c r="CA53" s="40">
        <f t="shared" si="64"/>
        <v>27</v>
      </c>
      <c r="CB53" s="40">
        <f t="shared" si="64"/>
        <v>13</v>
      </c>
      <c r="CC53" s="40">
        <f t="shared" si="64"/>
        <v>0</v>
      </c>
      <c r="CD53" s="40">
        <f t="shared" si="64"/>
        <v>0</v>
      </c>
      <c r="CE53" s="40">
        <f t="shared" si="64"/>
        <v>0</v>
      </c>
      <c r="CF53" s="40">
        <f t="shared" si="64"/>
        <v>0</v>
      </c>
      <c r="CG53" s="40">
        <f t="shared" si="64"/>
        <v>0</v>
      </c>
      <c r="CH53" s="41">
        <f t="shared" si="64"/>
        <v>0</v>
      </c>
      <c r="CI53" s="42">
        <f t="shared" si="59"/>
        <v>40</v>
      </c>
      <c r="CJ53" s="23"/>
      <c r="CK53" s="130"/>
    </row>
    <row r="54" spans="1:106">
      <c r="A54" s="1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119"/>
      <c r="W54" s="149"/>
      <c r="X54" s="6">
        <f t="shared" ca="1" si="62"/>
        <v>19</v>
      </c>
      <c r="Z54" s="155">
        <f t="shared" ca="1" si="63"/>
        <v>45035</v>
      </c>
      <c r="AD54" s="149">
        <f t="shared" si="30"/>
        <v>45043</v>
      </c>
      <c r="AE54" s="6" t="str">
        <f t="shared" ca="1" si="31"/>
        <v/>
      </c>
      <c r="AF54" s="6" t="str">
        <f t="shared" si="32"/>
        <v/>
      </c>
      <c r="AG54" s="150" t="str">
        <f t="shared" si="33"/>
        <v/>
      </c>
      <c r="AH54" s="150" t="str">
        <f t="shared" si="25"/>
        <v>Week 5</v>
      </c>
      <c r="AI54" s="150"/>
      <c r="AJ54" s="150">
        <f t="shared" si="34"/>
        <v>5</v>
      </c>
      <c r="AK54" s="150" t="str">
        <f t="shared" si="35"/>
        <v>Thursday</v>
      </c>
      <c r="AL54" s="155">
        <f t="shared" si="36"/>
        <v>45043</v>
      </c>
      <c r="AM54" s="6" t="b">
        <f t="shared" si="37"/>
        <v>0</v>
      </c>
      <c r="AO54" s="6" t="str">
        <f ca="1">IFERROR(MATCH($B$114,OFFSET(#REF!,AO53,0,1000000),0)+AO53,"")</f>
        <v/>
      </c>
      <c r="AP54" s="156" t="str">
        <f ca="1">IFERROR(_xlfn.SINGLE(INDEX(#REF!,'Annual Report'!AO54)),"")</f>
        <v/>
      </c>
      <c r="AQ54" s="6" t="str">
        <f ca="1">IFERROR(_xlfn.SINGLE(INDEX(#REF!,'Annual Report'!AO54)),"")</f>
        <v/>
      </c>
      <c r="AS54" s="6" t="str">
        <f ca="1">IFERROR(MATCH($L$115,OFFSET(#REF!,AS53,0,1000000),0)+AS53,"")</f>
        <v/>
      </c>
      <c r="AT54" s="156" t="str">
        <f ca="1">IFERROR(_xlfn.SINGLE(INDEX(#REF!,'Annual Report'!AS54)),"")</f>
        <v/>
      </c>
      <c r="AU54" s="6" t="str">
        <f ca="1">IFERROR(_xlfn.SINGLE(INDEX(#REF!,'Annual Report'!AS54)),"")</f>
        <v/>
      </c>
      <c r="BR54" s="105"/>
      <c r="BS54" s="23"/>
      <c r="BT54" s="23"/>
      <c r="BU54" s="188"/>
      <c r="BV54" s="108" t="s">
        <v>197</v>
      </c>
      <c r="BW54" s="40">
        <f>IF(BW42="","",SUM(CQ60,CQ70))</f>
        <v>0</v>
      </c>
      <c r="BX54" s="40">
        <f t="shared" ref="BX54:CH54" si="65">IF(BX42="","",SUM(CR60,CR70))</f>
        <v>0</v>
      </c>
      <c r="BY54" s="40">
        <f t="shared" si="65"/>
        <v>0</v>
      </c>
      <c r="BZ54" s="40">
        <f t="shared" si="65"/>
        <v>0</v>
      </c>
      <c r="CA54" s="40">
        <f t="shared" si="65"/>
        <v>0</v>
      </c>
      <c r="CB54" s="40">
        <f t="shared" si="65"/>
        <v>0</v>
      </c>
      <c r="CC54" s="40">
        <f t="shared" si="65"/>
        <v>0</v>
      </c>
      <c r="CD54" s="40">
        <f t="shared" si="65"/>
        <v>0</v>
      </c>
      <c r="CE54" s="40">
        <f t="shared" si="65"/>
        <v>0</v>
      </c>
      <c r="CF54" s="40">
        <f t="shared" si="65"/>
        <v>0</v>
      </c>
      <c r="CG54" s="40">
        <f t="shared" si="65"/>
        <v>0</v>
      </c>
      <c r="CH54" s="41">
        <f t="shared" si="65"/>
        <v>0</v>
      </c>
      <c r="CI54" s="42">
        <f t="shared" si="59"/>
        <v>0</v>
      </c>
      <c r="CJ54" s="23"/>
      <c r="CK54" s="130"/>
      <c r="CP54" s="6" t="s">
        <v>172</v>
      </c>
      <c r="CQ54" s="6">
        <f>SUMIFS(Table_Assembly[Specific Amount],Table_Assembly[NG Type],$CP$14,Table_Assembly[Product type],$BU$50,Table_Assembly[NG content],CP54,Table_Assembly[Month],$CP$12)</f>
        <v>0</v>
      </c>
      <c r="CR54" s="6">
        <f>SUMIFS(Table_Assembly[Specific Amount],Table_Assembly[NG Type],$CP$14,Table_Assembly[Product type],$BU$50,Table_Assembly[NG content],CP54,Table_Assembly[Month],$CQ$12)</f>
        <v>0</v>
      </c>
      <c r="CS54" s="6">
        <f>SUMIFS(Table_Assembly[Specific Amount],Table_Assembly[NG Type],$CP$14,Table_Assembly[Product type],$BU$50,Table_Assembly[NG content],CP54,Table_Assembly[Month],$CR$12)</f>
        <v>0</v>
      </c>
      <c r="CT54" s="6">
        <f>SUMIFS(Table_Assembly[Specific Amount],Table_Assembly[NG Type],$CP$14,Table_Assembly[Product type],$BU$50,Table_Assembly[NG content],CP54,Table_Assembly[Month],$CS$12)</f>
        <v>0</v>
      </c>
      <c r="CU54" s="6">
        <f>SUMIFS(Table_Assembly[Specific Amount],Table_Assembly[NG Type],$CP$14,Table_Assembly[Product type],$BU$50,Table_Assembly[NG content],CP54,Table_Assembly[Month],$CT$12)</f>
        <v>0</v>
      </c>
      <c r="CV54" s="6">
        <f>SUMIFS(Table_Assembly[Specific Amount],Table_Assembly[NG Type],$CP$14,Table_Assembly[Product type],$BU$50,Table_Assembly[NG content],CP54,Table_Assembly[Month],$CU$12)</f>
        <v>0</v>
      </c>
      <c r="CW54" s="6">
        <f>SUMIFS(Table_Assembly[Specific Amount],Table_Assembly[NG Type],$CP$14,Table_Assembly[Product type],$BU$50,Table_Assembly[NG content],CP54,Table_Assembly[Month],$CV$12)</f>
        <v>0</v>
      </c>
      <c r="CX54" s="6">
        <f>SUMIFS(Table_Assembly[Specific Amount],Table_Assembly[NG Type],$CP$14,Table_Assembly[Product type],$BU$50,Table_Assembly[NG content],CP54,Table_Assembly[Month],$CW$12)</f>
        <v>0</v>
      </c>
      <c r="CY54" s="6">
        <f>SUMIFS(Table_Assembly[Specific Amount],Table_Assembly[NG Type],$CP$14,Table_Assembly[Product type],$BU$50,Table_Assembly[NG content],CP54,Table_Assembly[Month],$CX$12)</f>
        <v>0</v>
      </c>
      <c r="CZ54" s="6">
        <f>SUMIFS(Table_Assembly[Specific Amount],Table_Assembly[NG Type],$CP$14,Table_Assembly[Product type],$BU$50,Table_Assembly[NG content],CP54,Table_Assembly[Month],$CY$12)</f>
        <v>0</v>
      </c>
      <c r="DA54" s="6">
        <f>SUMIFS(Table_Assembly[Specific Amount],Table_Assembly[NG Type],$CP$14,Table_Assembly[Product type],$BU$50,Table_Assembly[NG content],CP54,Table_Assembly[Month],$CZ$12)</f>
        <v>0</v>
      </c>
      <c r="DB54" s="6">
        <f>SUMIFS(Table_Assembly[Total NG from material],Table_Assembly[Comp.],$CP$14,Table_Assembly[Total Produce],$BU$50,Table_Assembly[Reson for Others],CP54,Table_Assembly[Day],$DA$12)</f>
        <v>0</v>
      </c>
    </row>
    <row r="55" spans="1:106">
      <c r="A55" s="1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119"/>
      <c r="W55" s="149"/>
      <c r="X55" s="6">
        <f t="shared" ca="1" si="62"/>
        <v>20</v>
      </c>
      <c r="Z55" s="155">
        <f t="shared" ca="1" si="63"/>
        <v>45036</v>
      </c>
      <c r="AD55" s="149">
        <f t="shared" si="30"/>
        <v>45044</v>
      </c>
      <c r="AE55" s="6" t="str">
        <f t="shared" ca="1" si="31"/>
        <v/>
      </c>
      <c r="AF55" s="6" t="str">
        <f t="shared" si="32"/>
        <v/>
      </c>
      <c r="AG55" s="150" t="str">
        <f t="shared" si="33"/>
        <v/>
      </c>
      <c r="AH55" s="150" t="str">
        <f t="shared" si="25"/>
        <v>Week 5</v>
      </c>
      <c r="AI55" s="150"/>
      <c r="AJ55" s="150">
        <f t="shared" si="34"/>
        <v>5</v>
      </c>
      <c r="AK55" s="150" t="str">
        <f t="shared" si="35"/>
        <v>Friday</v>
      </c>
      <c r="AL55" s="155">
        <f t="shared" si="36"/>
        <v>45044</v>
      </c>
      <c r="AM55" s="6" t="b">
        <f t="shared" si="37"/>
        <v>0</v>
      </c>
      <c r="AO55" s="6" t="str">
        <f ca="1">IFERROR(MATCH($B$114,OFFSET(#REF!,AO54,0,1000000),0)+AO54,"")</f>
        <v/>
      </c>
      <c r="AP55" s="156" t="str">
        <f ca="1">IFERROR(_xlfn.SINGLE(INDEX(#REF!,'Annual Report'!AO55)),"")</f>
        <v/>
      </c>
      <c r="AQ55" s="6" t="str">
        <f ca="1">IFERROR(_xlfn.SINGLE(INDEX(#REF!,'Annual Report'!AO55)),"")</f>
        <v/>
      </c>
      <c r="AS55" s="6" t="str">
        <f ca="1">IFERROR(MATCH($L$115,OFFSET(#REF!,AS54,0,1000000),0)+AS54,"")</f>
        <v/>
      </c>
      <c r="AT55" s="156" t="str">
        <f ca="1">IFERROR(_xlfn.SINGLE(INDEX(#REF!,'Annual Report'!AS55)),"")</f>
        <v/>
      </c>
      <c r="AU55" s="6" t="str">
        <f ca="1">IFERROR(_xlfn.SINGLE(INDEX(#REF!,'Annual Report'!AS55)),"")</f>
        <v/>
      </c>
      <c r="BR55" s="105"/>
      <c r="BS55" s="23"/>
      <c r="BT55" s="23"/>
      <c r="BU55" s="188"/>
      <c r="BV55" s="108" t="s">
        <v>319</v>
      </c>
      <c r="BW55" s="40">
        <f>IF(BW42="","",SUM(CQ65:CQ69,CQ71:CQ85))</f>
        <v>0</v>
      </c>
      <c r="BX55" s="40">
        <f t="shared" ref="BX55:CH55" si="66">IF(BX42="","",SUM(CR65:CR69,CR71:CR85))</f>
        <v>0</v>
      </c>
      <c r="BY55" s="40">
        <f t="shared" si="66"/>
        <v>0</v>
      </c>
      <c r="BZ55" s="40">
        <f t="shared" si="66"/>
        <v>2</v>
      </c>
      <c r="CA55" s="40">
        <f t="shared" si="66"/>
        <v>60</v>
      </c>
      <c r="CB55" s="40">
        <f t="shared" si="66"/>
        <v>62</v>
      </c>
      <c r="CC55" s="40">
        <f t="shared" si="66"/>
        <v>0</v>
      </c>
      <c r="CD55" s="40">
        <f t="shared" si="66"/>
        <v>0</v>
      </c>
      <c r="CE55" s="40">
        <f t="shared" si="66"/>
        <v>0</v>
      </c>
      <c r="CF55" s="40">
        <f t="shared" si="66"/>
        <v>0</v>
      </c>
      <c r="CG55" s="40">
        <f t="shared" si="66"/>
        <v>0</v>
      </c>
      <c r="CH55" s="41">
        <f t="shared" si="66"/>
        <v>0</v>
      </c>
      <c r="CI55" s="42">
        <f t="shared" si="59"/>
        <v>124</v>
      </c>
      <c r="CJ55" s="23"/>
      <c r="CK55" s="130"/>
      <c r="CP55" s="6" t="s">
        <v>173</v>
      </c>
      <c r="CQ55" s="6">
        <f>SUMIFS(Table_Assembly[Specific Amount],Table_Assembly[NG Type],$CP$14,Table_Assembly[Product type],$BU$50,Table_Assembly[NG content],CP55,Table_Assembly[Month],$CP$12)</f>
        <v>0</v>
      </c>
      <c r="CR55" s="6">
        <f>SUMIFS(Table_Assembly[Specific Amount],Table_Assembly[NG Type],$CP$14,Table_Assembly[Product type],$BU$50,Table_Assembly[NG content],CP55,Table_Assembly[Month],$CQ$12)</f>
        <v>0</v>
      </c>
      <c r="CS55" s="6">
        <f>SUMIFS(Table_Assembly[Specific Amount],Table_Assembly[NG Type],$CP$14,Table_Assembly[Product type],$BU$50,Table_Assembly[NG content],CP55,Table_Assembly[Month],$CR$12)</f>
        <v>0</v>
      </c>
      <c r="CT55" s="6">
        <f>SUMIFS(Table_Assembly[Specific Amount],Table_Assembly[NG Type],$CP$14,Table_Assembly[Product type],$BU$50,Table_Assembly[NG content],CP55,Table_Assembly[Month],$CS$12)</f>
        <v>0</v>
      </c>
      <c r="CU55" s="6">
        <f>SUMIFS(Table_Assembly[Specific Amount],Table_Assembly[NG Type],$CP$14,Table_Assembly[Product type],$BU$50,Table_Assembly[NG content],CP55,Table_Assembly[Month],$CT$12)</f>
        <v>0</v>
      </c>
      <c r="CV55" s="6">
        <f>SUMIFS(Table_Assembly[Specific Amount],Table_Assembly[NG Type],$CP$14,Table_Assembly[Product type],$BU$50,Table_Assembly[NG content],CP55,Table_Assembly[Month],$CU$12)</f>
        <v>0</v>
      </c>
      <c r="CW55" s="6">
        <f>SUMIFS(Table_Assembly[Specific Amount],Table_Assembly[NG Type],$CP$14,Table_Assembly[Product type],$BU$50,Table_Assembly[NG content],CP55,Table_Assembly[Month],$CV$12)</f>
        <v>0</v>
      </c>
      <c r="CX55" s="6">
        <f>SUMIFS(Table_Assembly[Specific Amount],Table_Assembly[NG Type],$CP$14,Table_Assembly[Product type],$BU$50,Table_Assembly[NG content],CP55,Table_Assembly[Month],$CW$12)</f>
        <v>0</v>
      </c>
      <c r="CY55" s="6">
        <f>SUMIFS(Table_Assembly[Specific Amount],Table_Assembly[NG Type],$CP$14,Table_Assembly[Product type],$BU$50,Table_Assembly[NG content],CP55,Table_Assembly[Month],$CX$12)</f>
        <v>0</v>
      </c>
      <c r="CZ55" s="6">
        <f>SUMIFS(Table_Assembly[Specific Amount],Table_Assembly[NG Type],$CP$14,Table_Assembly[Product type],$BU$50,Table_Assembly[NG content],CP55,Table_Assembly[Month],$CY$12)</f>
        <v>0</v>
      </c>
      <c r="DA55" s="6">
        <f>SUMIFS(Table_Assembly[Specific Amount],Table_Assembly[NG Type],$CP$14,Table_Assembly[Product type],$BU$50,Table_Assembly[NG content],CP55,Table_Assembly[Month],$CZ$12)</f>
        <v>0</v>
      </c>
      <c r="DB55" s="6">
        <f>SUMIFS(Table_Assembly[Total NG from material],Table_Assembly[Comp.],$CP$14,Table_Assembly[Total Produce],$BU$50,Table_Assembly[Reson for Others],CP55,Table_Assembly[Day],$DA$12)</f>
        <v>0</v>
      </c>
    </row>
    <row r="56" spans="1:106" ht="15.5" thickBot="1">
      <c r="A56" s="1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119"/>
      <c r="W56" s="149"/>
      <c r="X56" s="6">
        <f t="shared" ca="1" si="62"/>
        <v>21</v>
      </c>
      <c r="Z56" s="155">
        <f t="shared" ca="1" si="63"/>
        <v>45037</v>
      </c>
      <c r="AD56" s="149">
        <f t="shared" si="30"/>
        <v>45045</v>
      </c>
      <c r="AE56" s="6" t="str">
        <f t="shared" ca="1" si="31"/>
        <v/>
      </c>
      <c r="AF56" s="6" t="str">
        <f t="shared" si="32"/>
        <v/>
      </c>
      <c r="AG56" s="150" t="str">
        <f t="shared" si="33"/>
        <v/>
      </c>
      <c r="AH56" s="150" t="str">
        <f t="shared" si="25"/>
        <v>Week 5</v>
      </c>
      <c r="AI56" s="150"/>
      <c r="AJ56" s="150">
        <f t="shared" si="34"/>
        <v>5</v>
      </c>
      <c r="AK56" s="150" t="str">
        <f t="shared" si="35"/>
        <v>Saturday</v>
      </c>
      <c r="AL56" s="155">
        <f t="shared" si="36"/>
        <v>45045</v>
      </c>
      <c r="AM56" s="6" t="b">
        <f t="shared" si="37"/>
        <v>0</v>
      </c>
      <c r="AO56" s="6" t="str">
        <f ca="1">IFERROR(MATCH($B$114,OFFSET(#REF!,AO55,0,1000000),0)+AO55,"")</f>
        <v/>
      </c>
      <c r="AP56" s="156" t="str">
        <f ca="1">IFERROR(_xlfn.SINGLE(INDEX(#REF!,'Annual Report'!AO56)),"")</f>
        <v/>
      </c>
      <c r="AQ56" s="6" t="str">
        <f ca="1">IFERROR(_xlfn.SINGLE(INDEX(#REF!,'Annual Report'!AO56)),"")</f>
        <v/>
      </c>
      <c r="AS56" s="6" t="str">
        <f ca="1">IFERROR(MATCH($L$115,OFFSET(#REF!,AS55,0,1000000),0)+AS55,"")</f>
        <v/>
      </c>
      <c r="AT56" s="156" t="str">
        <f ca="1">IFERROR(_xlfn.SINGLE(INDEX(#REF!,'Annual Report'!AS56)),"")</f>
        <v/>
      </c>
      <c r="AU56" s="6" t="str">
        <f ca="1">IFERROR(_xlfn.SINGLE(INDEX(#REF!,'Annual Report'!AS56)),"")</f>
        <v/>
      </c>
      <c r="BR56" s="105"/>
      <c r="BS56" s="23"/>
      <c r="BT56" s="23"/>
      <c r="BU56" s="189"/>
      <c r="BV56" s="110" t="s">
        <v>136</v>
      </c>
      <c r="BW56" s="44">
        <f>IF(BW42="","",SUM(CQ89:CQ90))</f>
        <v>0</v>
      </c>
      <c r="BX56" s="44">
        <f t="shared" ref="BX56:CH56" si="67">IF(BX42="","",SUM(CR89:CR90))</f>
        <v>0</v>
      </c>
      <c r="BY56" s="44">
        <f t="shared" si="67"/>
        <v>0</v>
      </c>
      <c r="BZ56" s="44">
        <f t="shared" si="67"/>
        <v>1</v>
      </c>
      <c r="CA56" s="44">
        <f t="shared" si="67"/>
        <v>0</v>
      </c>
      <c r="CB56" s="44">
        <f t="shared" si="67"/>
        <v>2</v>
      </c>
      <c r="CC56" s="44">
        <f t="shared" si="67"/>
        <v>0</v>
      </c>
      <c r="CD56" s="44">
        <f t="shared" si="67"/>
        <v>0</v>
      </c>
      <c r="CE56" s="44">
        <f t="shared" si="67"/>
        <v>0</v>
      </c>
      <c r="CF56" s="44">
        <f t="shared" si="67"/>
        <v>0</v>
      </c>
      <c r="CG56" s="44">
        <f t="shared" si="67"/>
        <v>0</v>
      </c>
      <c r="CH56" s="45">
        <f t="shared" si="67"/>
        <v>0</v>
      </c>
      <c r="CI56" s="46">
        <f t="shared" si="59"/>
        <v>3</v>
      </c>
      <c r="CJ56" s="23"/>
      <c r="CK56" s="130"/>
      <c r="CP56" s="6" t="s">
        <v>230</v>
      </c>
      <c r="CQ56" s="6">
        <f>SUMIFS(Table_Assembly[Specific Amount],Table_Assembly[NG Type],$CP$14,Table_Assembly[Product type],$BU$50,Table_Assembly[NG content],CP56,Table_Assembly[Month],$CP$12)</f>
        <v>0</v>
      </c>
      <c r="CR56" s="6">
        <f>SUMIFS(Table_Assembly[Specific Amount],Table_Assembly[NG Type],$CP$14,Table_Assembly[Product type],$BU$50,Table_Assembly[NG content],CP56,Table_Assembly[Month],$CQ$12)</f>
        <v>0</v>
      </c>
      <c r="CS56" s="6">
        <f>SUMIFS(Table_Assembly[Specific Amount],Table_Assembly[NG Type],$CP$14,Table_Assembly[Product type],$BU$50,Table_Assembly[NG content],CP56,Table_Assembly[Month],$CR$12)</f>
        <v>0</v>
      </c>
      <c r="CT56" s="6">
        <f>SUMIFS(Table_Assembly[Specific Amount],Table_Assembly[NG Type],$CP$14,Table_Assembly[Product type],$BU$50,Table_Assembly[NG content],CP56,Table_Assembly[Month],$CS$12)</f>
        <v>0</v>
      </c>
      <c r="CU56" s="6">
        <f>SUMIFS(Table_Assembly[Specific Amount],Table_Assembly[NG Type],$CP$14,Table_Assembly[Product type],$BU$50,Table_Assembly[NG content],CP56,Table_Assembly[Month],$CT$12)</f>
        <v>0</v>
      </c>
      <c r="CV56" s="6">
        <f>SUMIFS(Table_Assembly[Specific Amount],Table_Assembly[NG Type],$CP$14,Table_Assembly[Product type],$BU$50,Table_Assembly[NG content],CP56,Table_Assembly[Month],$CU$12)</f>
        <v>0</v>
      </c>
      <c r="CW56" s="6">
        <f>SUMIFS(Table_Assembly[Specific Amount],Table_Assembly[NG Type],$CP$14,Table_Assembly[Product type],$BU$50,Table_Assembly[NG content],CP56,Table_Assembly[Month],$CV$12)</f>
        <v>0</v>
      </c>
      <c r="CX56" s="6">
        <f>SUMIFS(Table_Assembly[Specific Amount],Table_Assembly[NG Type],$CP$14,Table_Assembly[Product type],$BU$50,Table_Assembly[NG content],CP56,Table_Assembly[Month],$CW$12)</f>
        <v>0</v>
      </c>
      <c r="CY56" s="6">
        <f>SUMIFS(Table_Assembly[Specific Amount],Table_Assembly[NG Type],$CP$14,Table_Assembly[Product type],$BU$50,Table_Assembly[NG content],CP56,Table_Assembly[Month],$CX$12)</f>
        <v>0</v>
      </c>
      <c r="CZ56" s="6">
        <f>SUMIFS(Table_Assembly[Specific Amount],Table_Assembly[NG Type],$CP$14,Table_Assembly[Product type],$BU$50,Table_Assembly[NG content],CP56,Table_Assembly[Month],$CY$12)</f>
        <v>0</v>
      </c>
      <c r="DA56" s="6">
        <f>SUMIFS(Table_Assembly[Specific Amount],Table_Assembly[NG Type],$CP$14,Table_Assembly[Product type],$BU$50,Table_Assembly[NG content],CP56,Table_Assembly[Month],$CZ$12)</f>
        <v>0</v>
      </c>
      <c r="DB56" s="6">
        <f>SUMIFS(Table_Assembly[Total NG from material],Table_Assembly[Comp.],$CP$14,Table_Assembly[Total Produce],$BU$50,Table_Assembly[Reson for Others],CP56,Table_Assembly[Day],$DA$12)</f>
        <v>0</v>
      </c>
    </row>
    <row r="57" spans="1:106">
      <c r="A57" s="1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119"/>
      <c r="W57" s="149"/>
      <c r="X57" s="6">
        <f t="shared" ca="1" si="62"/>
        <v>22</v>
      </c>
      <c r="Z57" s="155">
        <f t="shared" ca="1" si="63"/>
        <v>45038</v>
      </c>
      <c r="AD57" s="149">
        <f t="shared" si="30"/>
        <v>45046</v>
      </c>
      <c r="AE57" s="6" t="str">
        <f t="shared" ca="1" si="31"/>
        <v/>
      </c>
      <c r="AF57" s="6" t="str">
        <f t="shared" si="32"/>
        <v/>
      </c>
      <c r="AG57" s="150" t="str">
        <f t="shared" si="33"/>
        <v/>
      </c>
      <c r="AH57" s="150" t="str">
        <f t="shared" si="25"/>
        <v>Week 5</v>
      </c>
      <c r="AI57" s="150"/>
      <c r="AJ57" s="150">
        <f t="shared" si="34"/>
        <v>5</v>
      </c>
      <c r="AK57" s="150" t="str">
        <f t="shared" si="35"/>
        <v>Sunday</v>
      </c>
      <c r="AL57" s="155">
        <f t="shared" si="36"/>
        <v>45046</v>
      </c>
      <c r="AM57" s="6" t="b">
        <f t="shared" si="37"/>
        <v>0</v>
      </c>
      <c r="AO57" s="6" t="str">
        <f ca="1">IFERROR(MATCH($B$114,OFFSET(#REF!,AO56,0,1000000),0)+AO56,"")</f>
        <v/>
      </c>
      <c r="AP57" s="156" t="str">
        <f ca="1">IFERROR(_xlfn.SINGLE(INDEX(#REF!,'Annual Report'!AO57)),"")</f>
        <v/>
      </c>
      <c r="AQ57" s="6" t="str">
        <f ca="1">IFERROR(_xlfn.SINGLE(INDEX(#REF!,'Annual Report'!AO57)),"")</f>
        <v/>
      </c>
      <c r="AS57" s="6" t="str">
        <f ca="1">IFERROR(MATCH($L$115,OFFSET(#REF!,AS56,0,1000000),0)+AS56,"")</f>
        <v/>
      </c>
      <c r="AT57" s="156" t="str">
        <f ca="1">IFERROR(_xlfn.SINGLE(INDEX(#REF!,'Annual Report'!AS57)),"")</f>
        <v/>
      </c>
      <c r="AU57" s="6" t="str">
        <f ca="1">IFERROR(_xlfn.SINGLE(INDEX(#REF!,'Annual Report'!AS57)),"")</f>
        <v/>
      </c>
      <c r="BR57" s="105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130"/>
      <c r="CP57" s="6" t="s">
        <v>174</v>
      </c>
      <c r="CQ57" s="6">
        <f>SUMIFS(Table_Assembly[Specific Amount],Table_Assembly[NG Type],$CP$14,Table_Assembly[Product type],$BU$50,Table_Assembly[NG content],CP57,Table_Assembly[Month],$CP$12)</f>
        <v>0</v>
      </c>
      <c r="CR57" s="6">
        <f>SUMIFS(Table_Assembly[Specific Amount],Table_Assembly[NG Type],$CP$14,Table_Assembly[Product type],$BU$50,Table_Assembly[NG content],CP57,Table_Assembly[Month],$CQ$12)</f>
        <v>0</v>
      </c>
      <c r="CS57" s="6">
        <f>SUMIFS(Table_Assembly[Specific Amount],Table_Assembly[NG Type],$CP$14,Table_Assembly[Product type],$BU$50,Table_Assembly[NG content],CP57,Table_Assembly[Month],$CR$12)</f>
        <v>0</v>
      </c>
      <c r="CT57" s="6">
        <f>SUMIFS(Table_Assembly[Specific Amount],Table_Assembly[NG Type],$CP$14,Table_Assembly[Product type],$BU$50,Table_Assembly[NG content],CP57,Table_Assembly[Month],$CS$12)</f>
        <v>0</v>
      </c>
      <c r="CU57" s="6">
        <f>SUMIFS(Table_Assembly[Specific Amount],Table_Assembly[NG Type],$CP$14,Table_Assembly[Product type],$BU$50,Table_Assembly[NG content],CP57,Table_Assembly[Month],$CT$12)</f>
        <v>0</v>
      </c>
      <c r="CV57" s="6">
        <f>SUMIFS(Table_Assembly[Specific Amount],Table_Assembly[NG Type],$CP$14,Table_Assembly[Product type],$BU$50,Table_Assembly[NG content],CP57,Table_Assembly[Month],$CU$12)</f>
        <v>0</v>
      </c>
      <c r="CW57" s="6">
        <f>SUMIFS(Table_Assembly[Specific Amount],Table_Assembly[NG Type],$CP$14,Table_Assembly[Product type],$BU$50,Table_Assembly[NG content],CP57,Table_Assembly[Month],$CV$12)</f>
        <v>0</v>
      </c>
      <c r="CX57" s="6">
        <f>SUMIFS(Table_Assembly[Specific Amount],Table_Assembly[NG Type],$CP$14,Table_Assembly[Product type],$BU$50,Table_Assembly[NG content],CP57,Table_Assembly[Month],$CW$12)</f>
        <v>0</v>
      </c>
      <c r="CY57" s="6">
        <f>SUMIFS(Table_Assembly[Specific Amount],Table_Assembly[NG Type],$CP$14,Table_Assembly[Product type],$BU$50,Table_Assembly[NG content],CP57,Table_Assembly[Month],$CX$12)</f>
        <v>0</v>
      </c>
      <c r="CZ57" s="6">
        <f>SUMIFS(Table_Assembly[Specific Amount],Table_Assembly[NG Type],$CP$14,Table_Assembly[Product type],$BU$50,Table_Assembly[NG content],CP57,Table_Assembly[Month],$CY$12)</f>
        <v>0</v>
      </c>
      <c r="DA57" s="6">
        <f>SUMIFS(Table_Assembly[Specific Amount],Table_Assembly[NG Type],$CP$14,Table_Assembly[Product type],$BU$50,Table_Assembly[NG content],CP57,Table_Assembly[Month],$CZ$12)</f>
        <v>0</v>
      </c>
      <c r="DB57" s="6">
        <f>SUMIFS(Table_Assembly[Total NG from material],Table_Assembly[Comp.],$CP$14,Table_Assembly[Total Produce],$BU$50,Table_Assembly[Reson for Others],CP57,Table_Assembly[Day],$DA$12)</f>
        <v>0</v>
      </c>
    </row>
    <row r="58" spans="1:106">
      <c r="A58" s="1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119"/>
      <c r="W58" s="149"/>
      <c r="X58" s="6">
        <f t="shared" ca="1" si="62"/>
        <v>23</v>
      </c>
      <c r="Z58" s="155">
        <f t="shared" ca="1" si="63"/>
        <v>45039</v>
      </c>
      <c r="AD58" s="149" t="str">
        <f t="shared" si="30"/>
        <v/>
      </c>
      <c r="AE58" s="6" t="str">
        <f t="shared" ca="1" si="31"/>
        <v/>
      </c>
      <c r="AF58" s="6" t="str">
        <f t="shared" si="32"/>
        <v/>
      </c>
      <c r="AG58" s="150" t="str">
        <f t="shared" si="33"/>
        <v/>
      </c>
      <c r="AH58" s="150" t="str">
        <f t="shared" si="25"/>
        <v/>
      </c>
      <c r="AI58" s="150"/>
      <c r="AJ58" s="150" t="str">
        <f t="shared" si="34"/>
        <v/>
      </c>
      <c r="AK58" s="150" t="str">
        <f t="shared" si="35"/>
        <v/>
      </c>
      <c r="AL58" s="155" t="str">
        <f t="shared" si="36"/>
        <v/>
      </c>
      <c r="AM58" s="6" t="b">
        <f t="shared" si="37"/>
        <v>1</v>
      </c>
      <c r="AO58" s="6" t="str">
        <f ca="1">IFERROR(MATCH($B$114,OFFSET(#REF!,AO57,0,1000000),0)+AO57,"")</f>
        <v/>
      </c>
      <c r="AP58" s="156" t="str">
        <f ca="1">IFERROR(_xlfn.SINGLE(INDEX(#REF!,'Annual Report'!AO58)),"")</f>
        <v/>
      </c>
      <c r="AQ58" s="6" t="str">
        <f ca="1">IFERROR(_xlfn.SINGLE(INDEX(#REF!,'Annual Report'!AO58)),"")</f>
        <v/>
      </c>
      <c r="AS58" s="6" t="str">
        <f ca="1">IFERROR(MATCH($L$115,OFFSET(#REF!,AS57,0,1000000),0)+AS57,"")</f>
        <v/>
      </c>
      <c r="AT58" s="156" t="str">
        <f ca="1">IFERROR(_xlfn.SINGLE(INDEX(#REF!,'Annual Report'!AS58)),"")</f>
        <v/>
      </c>
      <c r="AU58" s="6" t="str">
        <f ca="1">IFERROR(_xlfn.SINGLE(INDEX(#REF!,'Annual Report'!AS58)),"")</f>
        <v/>
      </c>
      <c r="BR58" s="105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130"/>
      <c r="CP58" s="6" t="s">
        <v>231</v>
      </c>
      <c r="CQ58" s="6">
        <f>SUMIFS(Table_Assembly[Specific Amount],Table_Assembly[NG Type],$CP$14,Table_Assembly[Product type],$BU$50,Table_Assembly[NG content],CP58,Table_Assembly[Month],$CP$12)</f>
        <v>0</v>
      </c>
      <c r="CR58" s="6">
        <f>SUMIFS(Table_Assembly[Specific Amount],Table_Assembly[NG Type],$CP$14,Table_Assembly[Product type],$BU$50,Table_Assembly[NG content],CP58,Table_Assembly[Month],$CQ$12)</f>
        <v>0</v>
      </c>
      <c r="CS58" s="6">
        <f>SUMIFS(Table_Assembly[Specific Amount],Table_Assembly[NG Type],$CP$14,Table_Assembly[Product type],$BU$50,Table_Assembly[NG content],CP58,Table_Assembly[Month],$CR$12)</f>
        <v>0</v>
      </c>
      <c r="CT58" s="6">
        <f>SUMIFS(Table_Assembly[Specific Amount],Table_Assembly[NG Type],$CP$14,Table_Assembly[Product type],$BU$50,Table_Assembly[NG content],CP58,Table_Assembly[Month],$CS$12)</f>
        <v>0</v>
      </c>
      <c r="CU58" s="6">
        <f>SUMIFS(Table_Assembly[Specific Amount],Table_Assembly[NG Type],$CP$14,Table_Assembly[Product type],$BU$50,Table_Assembly[NG content],CP58,Table_Assembly[Month],$CT$12)</f>
        <v>0</v>
      </c>
      <c r="CV58" s="6">
        <f>SUMIFS(Table_Assembly[Specific Amount],Table_Assembly[NG Type],$CP$14,Table_Assembly[Product type],$BU$50,Table_Assembly[NG content],CP58,Table_Assembly[Month],$CU$12)</f>
        <v>0</v>
      </c>
      <c r="CW58" s="6">
        <f>SUMIFS(Table_Assembly[Specific Amount],Table_Assembly[NG Type],$CP$14,Table_Assembly[Product type],$BU$50,Table_Assembly[NG content],CP58,Table_Assembly[Month],$CV$12)</f>
        <v>0</v>
      </c>
      <c r="CX58" s="6">
        <f>SUMIFS(Table_Assembly[Specific Amount],Table_Assembly[NG Type],$CP$14,Table_Assembly[Product type],$BU$50,Table_Assembly[NG content],CP58,Table_Assembly[Month],$CW$12)</f>
        <v>0</v>
      </c>
      <c r="CY58" s="6">
        <f>SUMIFS(Table_Assembly[Specific Amount],Table_Assembly[NG Type],$CP$14,Table_Assembly[Product type],$BU$50,Table_Assembly[NG content],CP58,Table_Assembly[Month],$CX$12)</f>
        <v>0</v>
      </c>
      <c r="CZ58" s="6">
        <f>SUMIFS(Table_Assembly[Specific Amount],Table_Assembly[NG Type],$CP$14,Table_Assembly[Product type],$BU$50,Table_Assembly[NG content],CP58,Table_Assembly[Month],$CY$12)</f>
        <v>0</v>
      </c>
      <c r="DA58" s="6">
        <f>SUMIFS(Table_Assembly[Specific Amount],Table_Assembly[NG Type],$CP$14,Table_Assembly[Product type],$BU$50,Table_Assembly[NG content],CP58,Table_Assembly[Month],$CZ$12)</f>
        <v>0</v>
      </c>
      <c r="DB58" s="6">
        <f>SUMIFS(Table_Assembly[Total NG from material],Table_Assembly[Comp.],$CP$14,Table_Assembly[Total Produce],$BU$50,Table_Assembly[Reson for Others],CP58,Table_Assembly[Day],$DA$12)</f>
        <v>0</v>
      </c>
    </row>
    <row r="59" spans="1:106">
      <c r="A59" s="1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119"/>
      <c r="W59" s="149"/>
      <c r="AO59" s="6" t="str">
        <f ca="1">IFERROR(MATCH($B$114,OFFSET(#REF!,AO58,0,1000000),0)+AO58,"")</f>
        <v/>
      </c>
      <c r="AP59" s="156" t="str">
        <f ca="1">IFERROR(_xlfn.SINGLE(INDEX(#REF!,'Annual Report'!AO59)),"")</f>
        <v/>
      </c>
      <c r="AQ59" s="6" t="str">
        <f ca="1">IFERROR(_xlfn.SINGLE(INDEX(#REF!,'Annual Report'!AO59)),"")</f>
        <v/>
      </c>
      <c r="AS59" s="6" t="str">
        <f ca="1">IFERROR(MATCH($L$115,OFFSET(#REF!,AS58,0,1000000),0)+AS58,"")</f>
        <v/>
      </c>
      <c r="AT59" s="156" t="str">
        <f ca="1">IFERROR(_xlfn.SINGLE(INDEX(#REF!,'Annual Report'!AS59)),"")</f>
        <v/>
      </c>
      <c r="AU59" s="6" t="str">
        <f ca="1">IFERROR(_xlfn.SINGLE(INDEX(#REF!,'Annual Report'!AS59)),"")</f>
        <v/>
      </c>
      <c r="BR59" s="105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130"/>
      <c r="CP59" s="6" t="s">
        <v>175</v>
      </c>
      <c r="CQ59" s="6">
        <f>SUMIFS(Table_Assembly[Specific Amount],Table_Assembly[NG Type],$CP$14,Table_Assembly[Product type],$BU$50,Table_Assembly[NG content],CP59,Table_Assembly[Month],$CP$12)</f>
        <v>0</v>
      </c>
      <c r="CR59" s="6">
        <f>SUMIFS(Table_Assembly[Specific Amount],Table_Assembly[NG Type],$CP$14,Table_Assembly[Product type],$BU$50,Table_Assembly[NG content],CP59,Table_Assembly[Month],$CQ$12)</f>
        <v>0</v>
      </c>
      <c r="CS59" s="6">
        <f>SUMIFS(Table_Assembly[Specific Amount],Table_Assembly[NG Type],$CP$14,Table_Assembly[Product type],$BU$50,Table_Assembly[NG content],CP59,Table_Assembly[Month],$CR$12)</f>
        <v>0</v>
      </c>
      <c r="CT59" s="6">
        <f>SUMIFS(Table_Assembly[Specific Amount],Table_Assembly[NG Type],$CP$14,Table_Assembly[Product type],$BU$50,Table_Assembly[NG content],CP59,Table_Assembly[Month],$CS$12)</f>
        <v>0</v>
      </c>
      <c r="CU59" s="6">
        <f>SUMIFS(Table_Assembly[Specific Amount],Table_Assembly[NG Type],$CP$14,Table_Assembly[Product type],$BU$50,Table_Assembly[NG content],CP59,Table_Assembly[Month],$CT$12)</f>
        <v>0</v>
      </c>
      <c r="CV59" s="6">
        <f>SUMIFS(Table_Assembly[Specific Amount],Table_Assembly[NG Type],$CP$14,Table_Assembly[Product type],$BU$50,Table_Assembly[NG content],CP59,Table_Assembly[Month],$CU$12)</f>
        <v>0</v>
      </c>
      <c r="CW59" s="6">
        <f>SUMIFS(Table_Assembly[Specific Amount],Table_Assembly[NG Type],$CP$14,Table_Assembly[Product type],$BU$50,Table_Assembly[NG content],CP59,Table_Assembly[Month],$CV$12)</f>
        <v>0</v>
      </c>
      <c r="CX59" s="6">
        <f>SUMIFS(Table_Assembly[Specific Amount],Table_Assembly[NG Type],$CP$14,Table_Assembly[Product type],$BU$50,Table_Assembly[NG content],CP59,Table_Assembly[Month],$CW$12)</f>
        <v>0</v>
      </c>
      <c r="CY59" s="6">
        <f>SUMIFS(Table_Assembly[Specific Amount],Table_Assembly[NG Type],$CP$14,Table_Assembly[Product type],$BU$50,Table_Assembly[NG content],CP59,Table_Assembly[Month],$CX$12)</f>
        <v>0</v>
      </c>
      <c r="CZ59" s="6">
        <f>SUMIFS(Table_Assembly[Specific Amount],Table_Assembly[NG Type],$CP$14,Table_Assembly[Product type],$BU$50,Table_Assembly[NG content],CP59,Table_Assembly[Month],$CY$12)</f>
        <v>0</v>
      </c>
      <c r="DA59" s="6">
        <f>SUMIFS(Table_Assembly[Specific Amount],Table_Assembly[NG Type],$CP$14,Table_Assembly[Product type],$BU$50,Table_Assembly[NG content],CP59,Table_Assembly[Month],$CZ$12)</f>
        <v>0</v>
      </c>
      <c r="DB59" s="6">
        <f>SUMIFS(Table_Assembly[Total NG from material],Table_Assembly[Comp.],$CP$14,Table_Assembly[Total Produce],$BU$50,Table_Assembly[Reson for Others],CP59,Table_Assembly[Day],$DA$12)</f>
        <v>0</v>
      </c>
    </row>
    <row r="60" spans="1:106">
      <c r="A60" s="1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119"/>
      <c r="W60" s="149">
        <f>IFERROR(INDEX($AL$28:$AL$58,MATCH(Y60,$AG$28:$AG$58,0)),"")</f>
        <v>45040</v>
      </c>
      <c r="X60" s="6">
        <f ca="1">IFERROR(MATCH($Y$60,OFFSET($AH$28:$AH$58,X59,0,1000000),0)+X59,"")</f>
        <v>24</v>
      </c>
      <c r="Y60" s="6" t="s">
        <v>112</v>
      </c>
      <c r="Z60" s="155">
        <f ca="1">IFERROR(INDEX($AL$28:$AL$58,X60),"")</f>
        <v>45040</v>
      </c>
      <c r="AO60" s="6" t="str">
        <f ca="1">IFERROR(MATCH($B$114,OFFSET(#REF!,AO59,0,1000000),0)+AO59,"")</f>
        <v/>
      </c>
      <c r="AP60" s="156" t="str">
        <f ca="1">IFERROR(_xlfn.SINGLE(INDEX(#REF!,'Annual Report'!AO60)),"")</f>
        <v/>
      </c>
      <c r="AQ60" s="6" t="str">
        <f ca="1">IFERROR(_xlfn.SINGLE(INDEX(#REF!,'Annual Report'!AO60)),"")</f>
        <v/>
      </c>
      <c r="AS60" s="6" t="str">
        <f ca="1">IFERROR(MATCH($L$115,OFFSET(#REF!,AS59,0,1000000),0)+AS59,"")</f>
        <v/>
      </c>
      <c r="AT60" s="156" t="str">
        <f ca="1">IFERROR(_xlfn.SINGLE(INDEX(#REF!,'Annual Report'!AS60)),"")</f>
        <v/>
      </c>
      <c r="AU60" s="6" t="str">
        <f ca="1">IFERROR(_xlfn.SINGLE(INDEX(#REF!,'Annual Report'!AS60)),"")</f>
        <v/>
      </c>
      <c r="BR60" s="105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130"/>
      <c r="CP60" s="6" t="s">
        <v>232</v>
      </c>
      <c r="CQ60" s="6">
        <f>SUMIFS(Table_Assembly[Specific Amount],Table_Assembly[NG Type],$CP$14,Table_Assembly[Product type],$BU$50,Table_Assembly[NG content],CP60,Table_Assembly[Month],$CP$12)</f>
        <v>0</v>
      </c>
      <c r="CR60" s="6">
        <f>SUMIFS(Table_Assembly[Specific Amount],Table_Assembly[NG Type],$CP$14,Table_Assembly[Product type],$BU$50,Table_Assembly[NG content],CP60,Table_Assembly[Month],$CQ$12)</f>
        <v>0</v>
      </c>
      <c r="CS60" s="6">
        <f>SUMIFS(Table_Assembly[Specific Amount],Table_Assembly[NG Type],$CP$14,Table_Assembly[Product type],$BU$50,Table_Assembly[NG content],CP60,Table_Assembly[Month],$CR$12)</f>
        <v>0</v>
      </c>
      <c r="CT60" s="6">
        <f>SUMIFS(Table_Assembly[Specific Amount],Table_Assembly[NG Type],$CP$14,Table_Assembly[Product type],$BU$50,Table_Assembly[NG content],CP60,Table_Assembly[Month],$CS$12)</f>
        <v>0</v>
      </c>
      <c r="CU60" s="6">
        <f>SUMIFS(Table_Assembly[Specific Amount],Table_Assembly[NG Type],$CP$14,Table_Assembly[Product type],$BU$50,Table_Assembly[NG content],CP60,Table_Assembly[Month],$CT$12)</f>
        <v>0</v>
      </c>
      <c r="CV60" s="6">
        <f>SUMIFS(Table_Assembly[Specific Amount],Table_Assembly[NG Type],$CP$14,Table_Assembly[Product type],$BU$50,Table_Assembly[NG content],CP60,Table_Assembly[Month],$CU$12)</f>
        <v>0</v>
      </c>
      <c r="CW60" s="6">
        <f>SUMIFS(Table_Assembly[Specific Amount],Table_Assembly[NG Type],$CP$14,Table_Assembly[Product type],$BU$50,Table_Assembly[NG content],CP60,Table_Assembly[Month],$CV$12)</f>
        <v>0</v>
      </c>
      <c r="CX60" s="6">
        <f>SUMIFS(Table_Assembly[Specific Amount],Table_Assembly[NG Type],$CP$14,Table_Assembly[Product type],$BU$50,Table_Assembly[NG content],CP60,Table_Assembly[Month],$CW$12)</f>
        <v>0</v>
      </c>
      <c r="CY60" s="6">
        <f>SUMIFS(Table_Assembly[Specific Amount],Table_Assembly[NG Type],$CP$14,Table_Assembly[Product type],$BU$50,Table_Assembly[NG content],CP60,Table_Assembly[Month],$CX$12)</f>
        <v>0</v>
      </c>
      <c r="CZ60" s="6">
        <f>SUMIFS(Table_Assembly[Specific Amount],Table_Assembly[NG Type],$CP$14,Table_Assembly[Product type],$BU$50,Table_Assembly[NG content],CP60,Table_Assembly[Month],$CY$12)</f>
        <v>0</v>
      </c>
      <c r="DA60" s="6">
        <f>SUMIFS(Table_Assembly[Specific Amount],Table_Assembly[NG Type],$CP$14,Table_Assembly[Product type],$BU$50,Table_Assembly[NG content],CP60,Table_Assembly[Month],$CZ$12)</f>
        <v>0</v>
      </c>
      <c r="DB60" s="6">
        <f>SUMIFS(Table_Assembly[Total NG from material],Table_Assembly[Comp.],$CP$14,Table_Assembly[Total Produce],$BU$50,Table_Assembly[Reson for Others],CP60,Table_Assembly[Day],$DA$12)</f>
        <v>0</v>
      </c>
    </row>
    <row r="61" spans="1:106">
      <c r="A61" s="1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119"/>
      <c r="W61" s="149">
        <f>IFERROR(INDEX($AL$28:$AL$58-1,MATCH(RIGHT(Y60,2)*1+1,$AJ$28:$AJ$58,0)),$AG$7)</f>
        <v>45046</v>
      </c>
      <c r="X61" s="6">
        <f t="shared" ref="X61:X66" ca="1" si="68">IFERROR(MATCH($Y$60,OFFSET($AH$28:$AH$58,X60,0,1000000),0)+X60,"")</f>
        <v>25</v>
      </c>
      <c r="Z61" s="155">
        <f t="shared" ref="Z61:Z66" ca="1" si="69">IFERROR(INDEX($AL$28:$AL$58,X61),"")</f>
        <v>45041</v>
      </c>
      <c r="AO61" s="6" t="str">
        <f ca="1">IFERROR(MATCH($B$114,OFFSET(#REF!,AO60,0,1000000),0)+AO60,"")</f>
        <v/>
      </c>
      <c r="AP61" s="156" t="str">
        <f ca="1">IFERROR(_xlfn.SINGLE(INDEX(#REF!,'Annual Report'!AO61)),"")</f>
        <v/>
      </c>
      <c r="AQ61" s="6" t="str">
        <f ca="1">IFERROR(_xlfn.SINGLE(INDEX(#REF!,'Annual Report'!AO61)),"")</f>
        <v/>
      </c>
      <c r="AS61" s="6" t="str">
        <f ca="1">IFERROR(MATCH($L$115,OFFSET(#REF!,AS60,0,1000000),0)+AS60,"")</f>
        <v/>
      </c>
      <c r="AT61" s="156" t="str">
        <f ca="1">IFERROR(_xlfn.SINGLE(INDEX(#REF!,'Annual Report'!AS61)),"")</f>
        <v/>
      </c>
      <c r="AU61" s="6" t="str">
        <f ca="1">IFERROR(_xlfn.SINGLE(INDEX(#REF!,'Annual Report'!AS61)),"")</f>
        <v/>
      </c>
      <c r="BR61" s="105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130"/>
      <c r="CP61" s="6" t="s">
        <v>176</v>
      </c>
      <c r="CQ61" s="6">
        <f>SUMIFS(Table_Assembly[Specific Amount],Table_Assembly[NG Type],$CP$14,Table_Assembly[Product type],$BU$50,Table_Assembly[NG content],CP61,Table_Assembly[Month],$CP$12)</f>
        <v>0</v>
      </c>
      <c r="CR61" s="6">
        <f>SUMIFS(Table_Assembly[Specific Amount],Table_Assembly[NG Type],$CP$14,Table_Assembly[Product type],$BU$50,Table_Assembly[NG content],CP61,Table_Assembly[Month],$CQ$12)</f>
        <v>0</v>
      </c>
      <c r="CS61" s="6">
        <f>SUMIFS(Table_Assembly[Specific Amount],Table_Assembly[NG Type],$CP$14,Table_Assembly[Product type],$BU$50,Table_Assembly[NG content],CP61,Table_Assembly[Month],$CR$12)</f>
        <v>0</v>
      </c>
      <c r="CT61" s="6">
        <f>SUMIFS(Table_Assembly[Specific Amount],Table_Assembly[NG Type],$CP$14,Table_Assembly[Product type],$BU$50,Table_Assembly[NG content],CP61,Table_Assembly[Month],$CS$12)</f>
        <v>0</v>
      </c>
      <c r="CU61" s="6">
        <f>SUMIFS(Table_Assembly[Specific Amount],Table_Assembly[NG Type],$CP$14,Table_Assembly[Product type],$BU$50,Table_Assembly[NG content],CP61,Table_Assembly[Month],$CT$12)</f>
        <v>0</v>
      </c>
      <c r="CV61" s="6">
        <f>SUMIFS(Table_Assembly[Specific Amount],Table_Assembly[NG Type],$CP$14,Table_Assembly[Product type],$BU$50,Table_Assembly[NG content],CP61,Table_Assembly[Month],$CU$12)</f>
        <v>0</v>
      </c>
      <c r="CW61" s="6">
        <f>SUMIFS(Table_Assembly[Specific Amount],Table_Assembly[NG Type],$CP$14,Table_Assembly[Product type],$BU$50,Table_Assembly[NG content],CP61,Table_Assembly[Month],$CV$12)</f>
        <v>0</v>
      </c>
      <c r="CX61" s="6">
        <f>SUMIFS(Table_Assembly[Specific Amount],Table_Assembly[NG Type],$CP$14,Table_Assembly[Product type],$BU$50,Table_Assembly[NG content],CP61,Table_Assembly[Month],$CW$12)</f>
        <v>0</v>
      </c>
      <c r="CY61" s="6">
        <f>SUMIFS(Table_Assembly[Specific Amount],Table_Assembly[NG Type],$CP$14,Table_Assembly[Product type],$BU$50,Table_Assembly[NG content],CP61,Table_Assembly[Month],$CX$12)</f>
        <v>0</v>
      </c>
      <c r="CZ61" s="6">
        <f>SUMIFS(Table_Assembly[Specific Amount],Table_Assembly[NG Type],$CP$14,Table_Assembly[Product type],$BU$50,Table_Assembly[NG content],CP61,Table_Assembly[Month],$CY$12)</f>
        <v>0</v>
      </c>
      <c r="DA61" s="6">
        <f>SUMIFS(Table_Assembly[Specific Amount],Table_Assembly[NG Type],$CP$14,Table_Assembly[Product type],$BU$50,Table_Assembly[NG content],CP61,Table_Assembly[Month],$CZ$12)</f>
        <v>0</v>
      </c>
      <c r="DB61" s="6">
        <f>SUMIFS(Table_Assembly[Total NG from material],Table_Assembly[Comp.],$CP$14,Table_Assembly[Total Produce],$BU$50,Table_Assembly[Reson for Others],CP61,Table_Assembly[Day],$DA$12)</f>
        <v>0</v>
      </c>
    </row>
    <row r="62" spans="1:106">
      <c r="A62" s="1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119"/>
      <c r="W62" s="149"/>
      <c r="X62" s="6">
        <f t="shared" ca="1" si="68"/>
        <v>26</v>
      </c>
      <c r="Z62" s="155">
        <f t="shared" ca="1" si="69"/>
        <v>45042</v>
      </c>
      <c r="AO62" s="6" t="str">
        <f ca="1">IFERROR(MATCH($B$114,OFFSET(#REF!,AO61,0,1000000),0)+AO61,"")</f>
        <v/>
      </c>
      <c r="AP62" s="156" t="str">
        <f ca="1">IFERROR(_xlfn.SINGLE(INDEX(#REF!,'Annual Report'!AO62)),"")</f>
        <v/>
      </c>
      <c r="AQ62" s="6" t="str">
        <f ca="1">IFERROR(_xlfn.SINGLE(INDEX(#REF!,'Annual Report'!AO62)),"")</f>
        <v/>
      </c>
      <c r="AS62" s="6" t="str">
        <f ca="1">IFERROR(MATCH($L$115,OFFSET(#REF!,AS61,0,1000000),0)+AS61,"")</f>
        <v/>
      </c>
      <c r="AT62" s="156" t="str">
        <f ca="1">IFERROR(_xlfn.SINGLE(INDEX(#REF!,'Annual Report'!AS62)),"")</f>
        <v/>
      </c>
      <c r="AU62" s="6" t="str">
        <f ca="1">IFERROR(_xlfn.SINGLE(INDEX(#REF!,'Annual Report'!AS62)),"")</f>
        <v/>
      </c>
      <c r="BR62" s="105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130"/>
      <c r="CP62" s="6" t="s">
        <v>177</v>
      </c>
      <c r="CQ62" s="6">
        <f>SUMIFS(Table_Assembly[Specific Amount],Table_Assembly[NG Type],$CP$14,Table_Assembly[Product type],$BU$50,Table_Assembly[NG content],CP62,Table_Assembly[Month],$CP$12)</f>
        <v>0</v>
      </c>
      <c r="CR62" s="6">
        <f>SUMIFS(Table_Assembly[Specific Amount],Table_Assembly[NG Type],$CP$14,Table_Assembly[Product type],$BU$50,Table_Assembly[NG content],CP62,Table_Assembly[Month],$CQ$12)</f>
        <v>0</v>
      </c>
      <c r="CS62" s="6">
        <f>SUMIFS(Table_Assembly[Specific Amount],Table_Assembly[NG Type],$CP$14,Table_Assembly[Product type],$BU$50,Table_Assembly[NG content],CP62,Table_Assembly[Month],$CR$12)</f>
        <v>0</v>
      </c>
      <c r="CT62" s="6">
        <f>SUMIFS(Table_Assembly[Specific Amount],Table_Assembly[NG Type],$CP$14,Table_Assembly[Product type],$BU$50,Table_Assembly[NG content],CP62,Table_Assembly[Month],$CS$12)</f>
        <v>0</v>
      </c>
      <c r="CU62" s="6">
        <f>SUMIFS(Table_Assembly[Specific Amount],Table_Assembly[NG Type],$CP$14,Table_Assembly[Product type],$BU$50,Table_Assembly[NG content],CP62,Table_Assembly[Month],$CT$12)</f>
        <v>0</v>
      </c>
      <c r="CV62" s="6">
        <f>SUMIFS(Table_Assembly[Specific Amount],Table_Assembly[NG Type],$CP$14,Table_Assembly[Product type],$BU$50,Table_Assembly[NG content],CP62,Table_Assembly[Month],$CU$12)</f>
        <v>0</v>
      </c>
      <c r="CW62" s="6">
        <f>SUMIFS(Table_Assembly[Specific Amount],Table_Assembly[NG Type],$CP$14,Table_Assembly[Product type],$BU$50,Table_Assembly[NG content],CP62,Table_Assembly[Month],$CV$12)</f>
        <v>0</v>
      </c>
      <c r="CX62" s="6">
        <f>SUMIFS(Table_Assembly[Specific Amount],Table_Assembly[NG Type],$CP$14,Table_Assembly[Product type],$BU$50,Table_Assembly[NG content],CP62,Table_Assembly[Month],$CW$12)</f>
        <v>0</v>
      </c>
      <c r="CY62" s="6">
        <f>SUMIFS(Table_Assembly[Specific Amount],Table_Assembly[NG Type],$CP$14,Table_Assembly[Product type],$BU$50,Table_Assembly[NG content],CP62,Table_Assembly[Month],$CX$12)</f>
        <v>0</v>
      </c>
      <c r="CZ62" s="6">
        <f>SUMIFS(Table_Assembly[Specific Amount],Table_Assembly[NG Type],$CP$14,Table_Assembly[Product type],$BU$50,Table_Assembly[NG content],CP62,Table_Assembly[Month],$CY$12)</f>
        <v>0</v>
      </c>
      <c r="DA62" s="6">
        <f>SUMIFS(Table_Assembly[Specific Amount],Table_Assembly[NG Type],$CP$14,Table_Assembly[Product type],$BU$50,Table_Assembly[NG content],CP62,Table_Assembly[Month],$CZ$12)</f>
        <v>0</v>
      </c>
      <c r="DB62" s="6">
        <f>SUMIFS(Table_Assembly[Total NG from material],Table_Assembly[Comp.],$CP$14,Table_Assembly[Total Produce],$BU$50,Table_Assembly[Reson for Others],CP62,Table_Assembly[Day],$DA$12)</f>
        <v>0</v>
      </c>
    </row>
    <row r="63" spans="1:106">
      <c r="A63" s="1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119"/>
      <c r="W63" s="149"/>
      <c r="X63" s="6">
        <f t="shared" ca="1" si="68"/>
        <v>27</v>
      </c>
      <c r="Z63" s="155">
        <f t="shared" ca="1" si="69"/>
        <v>45043</v>
      </c>
      <c r="AO63" s="6" t="str">
        <f ca="1">IFERROR(MATCH($B$114,OFFSET(#REF!,AO62,0,1000000),0)+AO62,"")</f>
        <v/>
      </c>
      <c r="AP63" s="156" t="str">
        <f ca="1">IFERROR(_xlfn.SINGLE(INDEX(#REF!,'Annual Report'!AO63)),"")</f>
        <v/>
      </c>
      <c r="AQ63" s="6" t="str">
        <f ca="1">IFERROR(_xlfn.SINGLE(INDEX(#REF!,'Annual Report'!AO63)),"")</f>
        <v/>
      </c>
      <c r="AS63" s="6" t="str">
        <f ca="1">IFERROR(MATCH($L$115,OFFSET(#REF!,AS62,0,1000000),0)+AS62,"")</f>
        <v/>
      </c>
      <c r="AT63" s="156" t="str">
        <f ca="1">IFERROR(_xlfn.SINGLE(INDEX(#REF!,'Annual Report'!AS63)),"")</f>
        <v/>
      </c>
      <c r="AU63" s="6" t="str">
        <f ca="1">IFERROR(_xlfn.SINGLE(INDEX(#REF!,'Annual Report'!AS63)),"")</f>
        <v/>
      </c>
      <c r="BR63" s="105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130"/>
      <c r="CP63" s="6" t="s">
        <v>178</v>
      </c>
      <c r="CQ63" s="6">
        <f>SUMIFS(Table_Assembly[Specific Amount],Table_Assembly[NG Type],$CP$14,Table_Assembly[Product type],$BU$50,Table_Assembly[NG content],CP63,Table_Assembly[Month],$CP$12)</f>
        <v>0</v>
      </c>
      <c r="CR63" s="6">
        <f>SUMIFS(Table_Assembly[Specific Amount],Table_Assembly[NG Type],$CP$14,Table_Assembly[Product type],$BU$50,Table_Assembly[NG content],CP63,Table_Assembly[Month],$CQ$12)</f>
        <v>0</v>
      </c>
      <c r="CS63" s="6">
        <f>SUMIFS(Table_Assembly[Specific Amount],Table_Assembly[NG Type],$CP$14,Table_Assembly[Product type],$BU$50,Table_Assembly[NG content],CP63,Table_Assembly[Month],$CR$12)</f>
        <v>0</v>
      </c>
      <c r="CT63" s="6">
        <f>SUMIFS(Table_Assembly[Specific Amount],Table_Assembly[NG Type],$CP$14,Table_Assembly[Product type],$BU$50,Table_Assembly[NG content],CP63,Table_Assembly[Month],$CS$12)</f>
        <v>0</v>
      </c>
      <c r="CU63" s="6">
        <f>SUMIFS(Table_Assembly[Specific Amount],Table_Assembly[NG Type],$CP$14,Table_Assembly[Product type],$BU$50,Table_Assembly[NG content],CP63,Table_Assembly[Month],$CT$12)</f>
        <v>0</v>
      </c>
      <c r="CV63" s="6">
        <f>SUMIFS(Table_Assembly[Specific Amount],Table_Assembly[NG Type],$CP$14,Table_Assembly[Product type],$BU$50,Table_Assembly[NG content],CP63,Table_Assembly[Month],$CU$12)</f>
        <v>0</v>
      </c>
      <c r="CW63" s="6">
        <f>SUMIFS(Table_Assembly[Specific Amount],Table_Assembly[NG Type],$CP$14,Table_Assembly[Product type],$BU$50,Table_Assembly[NG content],CP63,Table_Assembly[Month],$CV$12)</f>
        <v>0</v>
      </c>
      <c r="CX63" s="6">
        <f>SUMIFS(Table_Assembly[Specific Amount],Table_Assembly[NG Type],$CP$14,Table_Assembly[Product type],$BU$50,Table_Assembly[NG content],CP63,Table_Assembly[Month],$CW$12)</f>
        <v>0</v>
      </c>
      <c r="CY63" s="6">
        <f>SUMIFS(Table_Assembly[Specific Amount],Table_Assembly[NG Type],$CP$14,Table_Assembly[Product type],$BU$50,Table_Assembly[NG content],CP63,Table_Assembly[Month],$CX$12)</f>
        <v>0</v>
      </c>
      <c r="CZ63" s="6">
        <f>SUMIFS(Table_Assembly[Specific Amount],Table_Assembly[NG Type],$CP$14,Table_Assembly[Product type],$BU$50,Table_Assembly[NG content],CP63,Table_Assembly[Month],$CY$12)</f>
        <v>0</v>
      </c>
      <c r="DA63" s="6">
        <f>SUMIFS(Table_Assembly[Specific Amount],Table_Assembly[NG Type],$CP$14,Table_Assembly[Product type],$BU$50,Table_Assembly[NG content],CP63,Table_Assembly[Month],$CZ$12)</f>
        <v>0</v>
      </c>
      <c r="DB63" s="6">
        <f>SUMIFS(Table_Assembly[Total NG from material],Table_Assembly[Comp.],$CP$14,Table_Assembly[Total Produce],$BU$50,Table_Assembly[Reson for Others],CP63,Table_Assembly[Day],$DA$12)</f>
        <v>0</v>
      </c>
    </row>
    <row r="64" spans="1:106">
      <c r="A64" s="1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119"/>
      <c r="W64" s="149"/>
      <c r="X64" s="6">
        <f t="shared" ca="1" si="68"/>
        <v>28</v>
      </c>
      <c r="Z64" s="155">
        <f t="shared" ca="1" si="69"/>
        <v>45044</v>
      </c>
      <c r="AO64" s="6" t="str">
        <f ca="1">IFERROR(MATCH($B$114,OFFSET(#REF!,AO63,0,1000000),0)+AO63,"")</f>
        <v/>
      </c>
      <c r="AP64" s="156" t="str">
        <f ca="1">IFERROR(_xlfn.SINGLE(INDEX(#REF!,'Annual Report'!AO64)),"")</f>
        <v/>
      </c>
      <c r="AQ64" s="6" t="str">
        <f ca="1">IFERROR(_xlfn.SINGLE(INDEX(#REF!,'Annual Report'!AO64)),"")</f>
        <v/>
      </c>
      <c r="AS64" s="6" t="str">
        <f ca="1">IFERROR(MATCH($L$115,OFFSET(#REF!,AS63,0,1000000),0)+AS63,"")</f>
        <v/>
      </c>
      <c r="AT64" s="156" t="str">
        <f ca="1">IFERROR(_xlfn.SINGLE(INDEX(#REF!,'Annual Report'!AS64)),"")</f>
        <v/>
      </c>
      <c r="AU64" s="6" t="str">
        <f ca="1">IFERROR(_xlfn.SINGLE(INDEX(#REF!,'Annual Report'!AS64)),"")</f>
        <v/>
      </c>
      <c r="BR64" s="105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130"/>
      <c r="CP64" s="6" t="s">
        <v>233</v>
      </c>
      <c r="CQ64" s="6">
        <f>SUMIFS(Table_Assembly[Specific Amount],Table_Assembly[NG Type],$CP$14,Table_Assembly[Product type],$BU$50,Table_Assembly[NG content],CP64,Table_Assembly[Month],$CP$12)</f>
        <v>0</v>
      </c>
      <c r="CR64" s="6">
        <f>SUMIFS(Table_Assembly[Specific Amount],Table_Assembly[NG Type],$CP$14,Table_Assembly[Product type],$BU$50,Table_Assembly[NG content],CP64,Table_Assembly[Month],$CQ$12)</f>
        <v>0</v>
      </c>
      <c r="CS64" s="6">
        <f>SUMIFS(Table_Assembly[Specific Amount],Table_Assembly[NG Type],$CP$14,Table_Assembly[Product type],$BU$50,Table_Assembly[NG content],CP64,Table_Assembly[Month],$CR$12)</f>
        <v>0</v>
      </c>
      <c r="CT64" s="6">
        <f>SUMIFS(Table_Assembly[Specific Amount],Table_Assembly[NG Type],$CP$14,Table_Assembly[Product type],$BU$50,Table_Assembly[NG content],CP64,Table_Assembly[Month],$CS$12)</f>
        <v>0</v>
      </c>
      <c r="CU64" s="6">
        <f>SUMIFS(Table_Assembly[Specific Amount],Table_Assembly[NG Type],$CP$14,Table_Assembly[Product type],$BU$50,Table_Assembly[NG content],CP64,Table_Assembly[Month],$CT$12)</f>
        <v>27</v>
      </c>
      <c r="CV64" s="6">
        <f>SUMIFS(Table_Assembly[Specific Amount],Table_Assembly[NG Type],$CP$14,Table_Assembly[Product type],$BU$50,Table_Assembly[NG content],CP64,Table_Assembly[Month],$CU$12)</f>
        <v>13</v>
      </c>
      <c r="CW64" s="6">
        <f>SUMIFS(Table_Assembly[Specific Amount],Table_Assembly[NG Type],$CP$14,Table_Assembly[Product type],$BU$50,Table_Assembly[NG content],CP64,Table_Assembly[Month],$CV$12)</f>
        <v>0</v>
      </c>
      <c r="CX64" s="6">
        <f>SUMIFS(Table_Assembly[Specific Amount],Table_Assembly[NG Type],$CP$14,Table_Assembly[Product type],$BU$50,Table_Assembly[NG content],CP64,Table_Assembly[Month],$CW$12)</f>
        <v>0</v>
      </c>
      <c r="CY64" s="6">
        <f>SUMIFS(Table_Assembly[Specific Amount],Table_Assembly[NG Type],$CP$14,Table_Assembly[Product type],$BU$50,Table_Assembly[NG content],CP64,Table_Assembly[Month],$CX$12)</f>
        <v>0</v>
      </c>
      <c r="CZ64" s="6">
        <f>SUMIFS(Table_Assembly[Specific Amount],Table_Assembly[NG Type],$CP$14,Table_Assembly[Product type],$BU$50,Table_Assembly[NG content],CP64,Table_Assembly[Month],$CY$12)</f>
        <v>0</v>
      </c>
      <c r="DA64" s="6">
        <f>SUMIFS(Table_Assembly[Specific Amount],Table_Assembly[NG Type],$CP$14,Table_Assembly[Product type],$BU$50,Table_Assembly[NG content],CP64,Table_Assembly[Month],$CZ$12)</f>
        <v>0</v>
      </c>
      <c r="DB64" s="6">
        <f>SUMIFS(Table_Assembly[Total NG from material],Table_Assembly[Comp.],$CP$14,Table_Assembly[Total Produce],$BU$50,Table_Assembly[Reson for Others],CP64,Table_Assembly[Day],$DA$12)</f>
        <v>0</v>
      </c>
    </row>
    <row r="65" spans="1:106">
      <c r="A65" s="1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119"/>
      <c r="W65" s="149"/>
      <c r="X65" s="6">
        <f t="shared" ca="1" si="68"/>
        <v>29</v>
      </c>
      <c r="Z65" s="155">
        <f t="shared" ca="1" si="69"/>
        <v>45045</v>
      </c>
      <c r="AO65" s="6" t="str">
        <f ca="1">IFERROR(MATCH($B$114,OFFSET(#REF!,AO64,0,1000000),0)+AO64,"")</f>
        <v/>
      </c>
      <c r="AP65" s="156" t="str">
        <f ca="1">IFERROR(_xlfn.SINGLE(INDEX(#REF!,'Annual Report'!AO65)),"")</f>
        <v/>
      </c>
      <c r="AQ65" s="6" t="str">
        <f ca="1">IFERROR(_xlfn.SINGLE(INDEX(#REF!,'Annual Report'!AO65)),"")</f>
        <v/>
      </c>
      <c r="AS65" s="6" t="str">
        <f ca="1">IFERROR(MATCH($L$115,OFFSET(#REF!,AS64,0,1000000),0)+AS64,"")</f>
        <v/>
      </c>
      <c r="AT65" s="156" t="str">
        <f ca="1">IFERROR(_xlfn.SINGLE(INDEX(#REF!,'Annual Report'!AS65)),"")</f>
        <v/>
      </c>
      <c r="AU65" s="6" t="str">
        <f ca="1">IFERROR(_xlfn.SINGLE(INDEX(#REF!,'Annual Report'!AS65)),"")</f>
        <v/>
      </c>
      <c r="BR65" s="105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130"/>
      <c r="CP65" s="6" t="s">
        <v>179</v>
      </c>
      <c r="CQ65" s="6">
        <f>SUMIFS(Table_Assembly[Specific Amount],Table_Assembly[NG Type],$CP$14,Table_Assembly[Product type],$BU$50,Table_Assembly[NG content],CP65,Table_Assembly[Month],$CP$12)</f>
        <v>0</v>
      </c>
      <c r="CR65" s="6">
        <f>SUMIFS(Table_Assembly[Specific Amount],Table_Assembly[NG Type],$CP$14,Table_Assembly[Product type],$BU$50,Table_Assembly[NG content],CP65,Table_Assembly[Month],$CQ$12)</f>
        <v>0</v>
      </c>
      <c r="CS65" s="6">
        <f>SUMIFS(Table_Assembly[Specific Amount],Table_Assembly[NG Type],$CP$14,Table_Assembly[Product type],$BU$50,Table_Assembly[NG content],CP65,Table_Assembly[Month],$CR$12)</f>
        <v>0</v>
      </c>
      <c r="CT65" s="6">
        <f>SUMIFS(Table_Assembly[Specific Amount],Table_Assembly[NG Type],$CP$14,Table_Assembly[Product type],$BU$50,Table_Assembly[NG content],CP65,Table_Assembly[Month],$CS$12)</f>
        <v>0</v>
      </c>
      <c r="CU65" s="6">
        <f>SUMIFS(Table_Assembly[Specific Amount],Table_Assembly[NG Type],$CP$14,Table_Assembly[Product type],$BU$50,Table_Assembly[NG content],CP65,Table_Assembly[Month],$CT$12)</f>
        <v>0</v>
      </c>
      <c r="CV65" s="6">
        <f>SUMIFS(Table_Assembly[Specific Amount],Table_Assembly[NG Type],$CP$14,Table_Assembly[Product type],$BU$50,Table_Assembly[NG content],CP65,Table_Assembly[Month],$CU$12)</f>
        <v>0</v>
      </c>
      <c r="CW65" s="6">
        <f>SUMIFS(Table_Assembly[Specific Amount],Table_Assembly[NG Type],$CP$14,Table_Assembly[Product type],$BU$50,Table_Assembly[NG content],CP65,Table_Assembly[Month],$CV$12)</f>
        <v>0</v>
      </c>
      <c r="CX65" s="6">
        <f>SUMIFS(Table_Assembly[Specific Amount],Table_Assembly[NG Type],$CP$14,Table_Assembly[Product type],$BU$50,Table_Assembly[NG content],CP65,Table_Assembly[Month],$CW$12)</f>
        <v>0</v>
      </c>
      <c r="CY65" s="6">
        <f>SUMIFS(Table_Assembly[Specific Amount],Table_Assembly[NG Type],$CP$14,Table_Assembly[Product type],$BU$50,Table_Assembly[NG content],CP65,Table_Assembly[Month],$CX$12)</f>
        <v>0</v>
      </c>
      <c r="CZ65" s="6">
        <f>SUMIFS(Table_Assembly[Specific Amount],Table_Assembly[NG Type],$CP$14,Table_Assembly[Product type],$BU$50,Table_Assembly[NG content],CP65,Table_Assembly[Month],$CY$12)</f>
        <v>0</v>
      </c>
      <c r="DA65" s="6">
        <f>SUMIFS(Table_Assembly[Specific Amount],Table_Assembly[NG Type],$CP$14,Table_Assembly[Product type],$BU$50,Table_Assembly[NG content],CP65,Table_Assembly[Month],$CZ$12)</f>
        <v>0</v>
      </c>
      <c r="DB65" s="6">
        <f>SUMIFS(Table_Assembly[Total NG from material],Table_Assembly[Comp.],$CP$14,Table_Assembly[Total Produce],$BU$50,Table_Assembly[Reson for Others],CP65,Table_Assembly[Day],$DA$12)</f>
        <v>0</v>
      </c>
    </row>
    <row r="66" spans="1:106">
      <c r="A66" s="1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119"/>
      <c r="W66" s="149"/>
      <c r="X66" s="6">
        <f t="shared" ca="1" si="68"/>
        <v>30</v>
      </c>
      <c r="Z66" s="155">
        <f t="shared" ca="1" si="69"/>
        <v>45046</v>
      </c>
      <c r="AO66" s="6" t="str">
        <f ca="1">IFERROR(MATCH($B$114,OFFSET(#REF!,AO65,0,1000000),0)+AO65,"")</f>
        <v/>
      </c>
      <c r="AP66" s="156" t="str">
        <f ca="1">IFERROR(_xlfn.SINGLE(INDEX(#REF!,'Annual Report'!AO66)),"")</f>
        <v/>
      </c>
      <c r="AQ66" s="6" t="str">
        <f ca="1">IFERROR(_xlfn.SINGLE(INDEX(#REF!,'Annual Report'!AO66)),"")</f>
        <v/>
      </c>
      <c r="AS66" s="6" t="str">
        <f ca="1">IFERROR(MATCH($L$115,OFFSET(#REF!,AS65,0,1000000),0)+AS65,"")</f>
        <v/>
      </c>
      <c r="AT66" s="156" t="str">
        <f ca="1">IFERROR(_xlfn.SINGLE(INDEX(#REF!,'Annual Report'!AS66)),"")</f>
        <v/>
      </c>
      <c r="AU66" s="6" t="str">
        <f ca="1">IFERROR(_xlfn.SINGLE(INDEX(#REF!,'Annual Report'!AS66)),"")</f>
        <v/>
      </c>
      <c r="BR66" s="105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130"/>
      <c r="CP66" s="6" t="s">
        <v>180</v>
      </c>
      <c r="CQ66" s="6">
        <f>SUMIFS(Table_Assembly[Specific Amount],Table_Assembly[NG Type],$CP$14,Table_Assembly[Product type],$BU$50,Table_Assembly[NG content],CP66,Table_Assembly[Month],$CP$12)</f>
        <v>0</v>
      </c>
      <c r="CR66" s="6">
        <f>SUMIFS(Table_Assembly[Specific Amount],Table_Assembly[NG Type],$CP$14,Table_Assembly[Product type],$BU$50,Table_Assembly[NG content],CP66,Table_Assembly[Month],$CQ$12)</f>
        <v>0</v>
      </c>
      <c r="CS66" s="6">
        <f>SUMIFS(Table_Assembly[Specific Amount],Table_Assembly[NG Type],$CP$14,Table_Assembly[Product type],$BU$50,Table_Assembly[NG content],CP66,Table_Assembly[Month],$CR$12)</f>
        <v>0</v>
      </c>
      <c r="CT66" s="6">
        <f>SUMIFS(Table_Assembly[Specific Amount],Table_Assembly[NG Type],$CP$14,Table_Assembly[Product type],$BU$50,Table_Assembly[NG content],CP66,Table_Assembly[Month],$CS$12)</f>
        <v>0</v>
      </c>
      <c r="CU66" s="6">
        <f>SUMIFS(Table_Assembly[Specific Amount],Table_Assembly[NG Type],$CP$14,Table_Assembly[Product type],$BU$50,Table_Assembly[NG content],CP66,Table_Assembly[Month],$CT$12)</f>
        <v>0</v>
      </c>
      <c r="CV66" s="6">
        <f>SUMIFS(Table_Assembly[Specific Amount],Table_Assembly[NG Type],$CP$14,Table_Assembly[Product type],$BU$50,Table_Assembly[NG content],CP66,Table_Assembly[Month],$CU$12)</f>
        <v>1</v>
      </c>
      <c r="CW66" s="6">
        <f>SUMIFS(Table_Assembly[Specific Amount],Table_Assembly[NG Type],$CP$14,Table_Assembly[Product type],$BU$50,Table_Assembly[NG content],CP66,Table_Assembly[Month],$CV$12)</f>
        <v>0</v>
      </c>
      <c r="CX66" s="6">
        <f>SUMIFS(Table_Assembly[Specific Amount],Table_Assembly[NG Type],$CP$14,Table_Assembly[Product type],$BU$50,Table_Assembly[NG content],CP66,Table_Assembly[Month],$CW$12)</f>
        <v>0</v>
      </c>
      <c r="CY66" s="6">
        <f>SUMIFS(Table_Assembly[Specific Amount],Table_Assembly[NG Type],$CP$14,Table_Assembly[Product type],$BU$50,Table_Assembly[NG content],CP66,Table_Assembly[Month],$CX$12)</f>
        <v>0</v>
      </c>
      <c r="CZ66" s="6">
        <f>SUMIFS(Table_Assembly[Specific Amount],Table_Assembly[NG Type],$CP$14,Table_Assembly[Product type],$BU$50,Table_Assembly[NG content],CP66,Table_Assembly[Month],$CY$12)</f>
        <v>0</v>
      </c>
      <c r="DA66" s="6">
        <f>SUMIFS(Table_Assembly[Specific Amount],Table_Assembly[NG Type],$CP$14,Table_Assembly[Product type],$BU$50,Table_Assembly[NG content],CP66,Table_Assembly[Month],$CZ$12)</f>
        <v>0</v>
      </c>
      <c r="DB66" s="6">
        <f>SUMIFS(Table_Assembly[Total NG from material],Table_Assembly[Comp.],$CP$14,Table_Assembly[Total Produce],$BU$50,Table_Assembly[Reson for Others],CP66,Table_Assembly[Day],$DA$12)</f>
        <v>0</v>
      </c>
    </row>
    <row r="67" spans="1:106">
      <c r="A67" s="122"/>
      <c r="B67" s="23"/>
      <c r="C67" s="23"/>
      <c r="D67" s="23"/>
      <c r="E67" s="32" t="s">
        <v>56</v>
      </c>
      <c r="F67" s="32"/>
      <c r="G67" s="32"/>
      <c r="H67" s="32"/>
      <c r="I67" s="23"/>
      <c r="J67" s="32" t="s">
        <v>52</v>
      </c>
      <c r="K67" s="32"/>
      <c r="L67" s="32"/>
      <c r="M67" s="32"/>
      <c r="N67" s="23"/>
      <c r="O67" s="158"/>
      <c r="P67" s="158"/>
      <c r="Q67" s="158"/>
      <c r="R67" s="158"/>
      <c r="S67" s="23"/>
      <c r="T67" s="119"/>
      <c r="W67" s="149"/>
      <c r="AO67" s="6" t="str">
        <f ca="1">IFERROR(MATCH($B$114,OFFSET(#REF!,AO66,0,1000000),0)+AO66,"")</f>
        <v/>
      </c>
      <c r="AP67" s="156" t="str">
        <f ca="1">IFERROR(_xlfn.SINGLE(INDEX(#REF!,'Annual Report'!AO67)),"")</f>
        <v/>
      </c>
      <c r="AQ67" s="6" t="str">
        <f ca="1">IFERROR(_xlfn.SINGLE(INDEX(#REF!,'Annual Report'!AO67)),"")</f>
        <v/>
      </c>
      <c r="AS67" s="6" t="str">
        <f ca="1">IFERROR(MATCH($L$115,OFFSET(#REF!,AS66,0,1000000),0)+AS66,"")</f>
        <v/>
      </c>
      <c r="AT67" s="156" t="str">
        <f ca="1">IFERROR(_xlfn.SINGLE(INDEX(#REF!,'Annual Report'!AS67)),"")</f>
        <v/>
      </c>
      <c r="AU67" s="6" t="str">
        <f ca="1">IFERROR(_xlfn.SINGLE(INDEX(#REF!,'Annual Report'!AS67)),"")</f>
        <v/>
      </c>
      <c r="BR67" s="105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130"/>
      <c r="CP67" s="6" t="s">
        <v>181</v>
      </c>
      <c r="CQ67" s="6">
        <f>SUMIFS(Table_Assembly[Specific Amount],Table_Assembly[NG Type],$CP$14,Table_Assembly[Product type],$BU$50,Table_Assembly[NG content],CP67,Table_Assembly[Month],$CP$12)</f>
        <v>0</v>
      </c>
      <c r="CR67" s="6">
        <f>SUMIFS(Table_Assembly[Specific Amount],Table_Assembly[NG Type],$CP$14,Table_Assembly[Product type],$BU$50,Table_Assembly[NG content],CP67,Table_Assembly[Month],$CQ$12)</f>
        <v>0</v>
      </c>
      <c r="CS67" s="6">
        <f>SUMIFS(Table_Assembly[Specific Amount],Table_Assembly[NG Type],$CP$14,Table_Assembly[Product type],$BU$50,Table_Assembly[NG content],CP67,Table_Assembly[Month],$CR$12)</f>
        <v>0</v>
      </c>
      <c r="CT67" s="6">
        <f>SUMIFS(Table_Assembly[Specific Amount],Table_Assembly[NG Type],$CP$14,Table_Assembly[Product type],$BU$50,Table_Assembly[NG content],CP67,Table_Assembly[Month],$CS$12)</f>
        <v>0</v>
      </c>
      <c r="CU67" s="6">
        <f>SUMIFS(Table_Assembly[Specific Amount],Table_Assembly[NG Type],$CP$14,Table_Assembly[Product type],$BU$50,Table_Assembly[NG content],CP67,Table_Assembly[Month],$CT$12)</f>
        <v>0</v>
      </c>
      <c r="CV67" s="6">
        <f>SUMIFS(Table_Assembly[Specific Amount],Table_Assembly[NG Type],$CP$14,Table_Assembly[Product type],$BU$50,Table_Assembly[NG content],CP67,Table_Assembly[Month],$CU$12)</f>
        <v>0</v>
      </c>
      <c r="CW67" s="6">
        <f>SUMIFS(Table_Assembly[Specific Amount],Table_Assembly[NG Type],$CP$14,Table_Assembly[Product type],$BU$50,Table_Assembly[NG content],CP67,Table_Assembly[Month],$CV$12)</f>
        <v>0</v>
      </c>
      <c r="CX67" s="6">
        <f>SUMIFS(Table_Assembly[Specific Amount],Table_Assembly[NG Type],$CP$14,Table_Assembly[Product type],$BU$50,Table_Assembly[NG content],CP67,Table_Assembly[Month],$CW$12)</f>
        <v>0</v>
      </c>
      <c r="CY67" s="6">
        <f>SUMIFS(Table_Assembly[Specific Amount],Table_Assembly[NG Type],$CP$14,Table_Assembly[Product type],$BU$50,Table_Assembly[NG content],CP67,Table_Assembly[Month],$CX$12)</f>
        <v>0</v>
      </c>
      <c r="CZ67" s="6">
        <f>SUMIFS(Table_Assembly[Specific Amount],Table_Assembly[NG Type],$CP$14,Table_Assembly[Product type],$BU$50,Table_Assembly[NG content],CP67,Table_Assembly[Month],$CY$12)</f>
        <v>0</v>
      </c>
      <c r="DA67" s="6">
        <f>SUMIFS(Table_Assembly[Specific Amount],Table_Assembly[NG Type],$CP$14,Table_Assembly[Product type],$BU$50,Table_Assembly[NG content],CP67,Table_Assembly[Month],$CZ$12)</f>
        <v>0</v>
      </c>
      <c r="DB67" s="6">
        <f>SUMIFS(Table_Assembly[Total NG from material],Table_Assembly[Comp.],$CP$14,Table_Assembly[Total Produce],$BU$50,Table_Assembly[Reson for Others],CP67,Table_Assembly[Day],$DA$12)</f>
        <v>0</v>
      </c>
    </row>
    <row r="68" spans="1:106">
      <c r="A68" s="122"/>
      <c r="B68" s="23"/>
      <c r="C68" s="23"/>
      <c r="D68" s="23"/>
      <c r="E68" s="33" t="s">
        <v>107</v>
      </c>
      <c r="F68" s="33" t="s">
        <v>29</v>
      </c>
      <c r="G68" s="33" t="s">
        <v>108</v>
      </c>
      <c r="H68" s="33" t="s">
        <v>110</v>
      </c>
      <c r="I68" s="23"/>
      <c r="J68" s="33" t="s">
        <v>107</v>
      </c>
      <c r="K68" s="33" t="s">
        <v>29</v>
      </c>
      <c r="L68" s="33" t="s">
        <v>108</v>
      </c>
      <c r="M68" s="33" t="s">
        <v>110</v>
      </c>
      <c r="N68" s="23"/>
      <c r="O68" s="159"/>
      <c r="P68" s="159"/>
      <c r="Q68" s="159"/>
      <c r="R68" s="159"/>
      <c r="S68" s="23"/>
      <c r="T68" s="119"/>
      <c r="W68" s="149" t="str">
        <f>IFERROR(INDEX($AL$28:$AL$58,MATCH(Y68,$AG$28:$AG$58,0)),"")</f>
        <v/>
      </c>
      <c r="X68" s="6" t="str">
        <f ca="1">IFERROR(MATCH($Y$68,OFFSET($AH$28:$AH$58,X67,0,1000000),0)+X67,"")</f>
        <v/>
      </c>
      <c r="Y68" s="6" t="s">
        <v>113</v>
      </c>
      <c r="Z68" s="155" t="str">
        <f ca="1">IFERROR(INDEX($AL$28:$AL$58,X68),"")</f>
        <v/>
      </c>
      <c r="AO68" s="6" t="str">
        <f ca="1">IFERROR(MATCH($B$114,OFFSET(#REF!,AO67,0,1000000),0)+AO67,"")</f>
        <v/>
      </c>
      <c r="AP68" s="156" t="str">
        <f ca="1">IFERROR(_xlfn.SINGLE(INDEX(#REF!,'Annual Report'!AO68)),"")</f>
        <v/>
      </c>
      <c r="AQ68" s="6" t="str">
        <f ca="1">IFERROR(_xlfn.SINGLE(INDEX(#REF!,'Annual Report'!AO68)),"")</f>
        <v/>
      </c>
      <c r="AS68" s="6" t="str">
        <f ca="1">IFERROR(MATCH($L$115,OFFSET(#REF!,AS67,0,1000000),0)+AS67,"")</f>
        <v/>
      </c>
      <c r="AT68" s="156" t="str">
        <f ca="1">IFERROR(_xlfn.SINGLE(INDEX(#REF!,'Annual Report'!AS68)),"")</f>
        <v/>
      </c>
      <c r="AU68" s="6" t="str">
        <f ca="1">IFERROR(_xlfn.SINGLE(INDEX(#REF!,'Annual Report'!AS68)),"")</f>
        <v/>
      </c>
      <c r="BR68" s="105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130"/>
      <c r="CP68" s="6" t="s">
        <v>182</v>
      </c>
      <c r="CQ68" s="6">
        <f>SUMIFS(Table_Assembly[Specific Amount],Table_Assembly[NG Type],$CP$14,Table_Assembly[Product type],$BU$50,Table_Assembly[NG content],CP68,Table_Assembly[Month],$CP$12)</f>
        <v>0</v>
      </c>
      <c r="CR68" s="6">
        <f>SUMIFS(Table_Assembly[Specific Amount],Table_Assembly[NG Type],$CP$14,Table_Assembly[Product type],$BU$50,Table_Assembly[NG content],CP68,Table_Assembly[Month],$CQ$12)</f>
        <v>0</v>
      </c>
      <c r="CS68" s="6">
        <f>SUMIFS(Table_Assembly[Specific Amount],Table_Assembly[NG Type],$CP$14,Table_Assembly[Product type],$BU$50,Table_Assembly[NG content],CP68,Table_Assembly[Month],$CR$12)</f>
        <v>0</v>
      </c>
      <c r="CT68" s="6">
        <f>SUMIFS(Table_Assembly[Specific Amount],Table_Assembly[NG Type],$CP$14,Table_Assembly[Product type],$BU$50,Table_Assembly[NG content],CP68,Table_Assembly[Month],$CS$12)</f>
        <v>0</v>
      </c>
      <c r="CU68" s="6">
        <f>SUMIFS(Table_Assembly[Specific Amount],Table_Assembly[NG Type],$CP$14,Table_Assembly[Product type],$BU$50,Table_Assembly[NG content],CP68,Table_Assembly[Month],$CT$12)</f>
        <v>0</v>
      </c>
      <c r="CV68" s="6">
        <f>SUMIFS(Table_Assembly[Specific Amount],Table_Assembly[NG Type],$CP$14,Table_Assembly[Product type],$BU$50,Table_Assembly[NG content],CP68,Table_Assembly[Month],$CU$12)</f>
        <v>0</v>
      </c>
      <c r="CW68" s="6">
        <f>SUMIFS(Table_Assembly[Specific Amount],Table_Assembly[NG Type],$CP$14,Table_Assembly[Product type],$BU$50,Table_Assembly[NG content],CP68,Table_Assembly[Month],$CV$12)</f>
        <v>0</v>
      </c>
      <c r="CX68" s="6">
        <f>SUMIFS(Table_Assembly[Specific Amount],Table_Assembly[NG Type],$CP$14,Table_Assembly[Product type],$BU$50,Table_Assembly[NG content],CP68,Table_Assembly[Month],$CW$12)</f>
        <v>0</v>
      </c>
      <c r="CY68" s="6">
        <f>SUMIFS(Table_Assembly[Specific Amount],Table_Assembly[NG Type],$CP$14,Table_Assembly[Product type],$BU$50,Table_Assembly[NG content],CP68,Table_Assembly[Month],$CX$12)</f>
        <v>0</v>
      </c>
      <c r="CZ68" s="6">
        <f>SUMIFS(Table_Assembly[Specific Amount],Table_Assembly[NG Type],$CP$14,Table_Assembly[Product type],$BU$50,Table_Assembly[NG content],CP68,Table_Assembly[Month],$CY$12)</f>
        <v>0</v>
      </c>
      <c r="DA68" s="6">
        <f>SUMIFS(Table_Assembly[Specific Amount],Table_Assembly[NG Type],$CP$14,Table_Assembly[Product type],$BU$50,Table_Assembly[NG content],CP68,Table_Assembly[Month],$CZ$12)</f>
        <v>0</v>
      </c>
      <c r="DB68" s="6">
        <f>SUMIFS(Table_Assembly[Total NG from material],Table_Assembly[Comp.],$CP$14,Table_Assembly[Total Produce],$BU$50,Table_Assembly[Reson for Others],CP68,Table_Assembly[Day],$DA$12)</f>
        <v>0</v>
      </c>
    </row>
    <row r="69" spans="1:106">
      <c r="A69" s="122"/>
      <c r="B69" s="23"/>
      <c r="C69" s="23"/>
      <c r="D69" s="23"/>
      <c r="E69" s="67" t="str">
        <f>Pareto!AH57</f>
        <v>Others for Processing</v>
      </c>
      <c r="F69" s="68">
        <f>Pareto!AI57</f>
        <v>1050</v>
      </c>
      <c r="G69" s="69">
        <f>Pareto!AJ57</f>
        <v>73.119777158774369</v>
      </c>
      <c r="H69" s="69">
        <f>G69</f>
        <v>73.119777158774369</v>
      </c>
      <c r="I69" s="23"/>
      <c r="J69" s="67" t="str">
        <f>Pareto!AN57</f>
        <v>NG, dính dơ, dị vật do NL</v>
      </c>
      <c r="K69" s="68">
        <f>Pareto!AO57</f>
        <v>117</v>
      </c>
      <c r="L69" s="69">
        <f>Pareto!AP57</f>
        <v>36.677115987460816</v>
      </c>
      <c r="M69" s="69">
        <f>L69</f>
        <v>36.677115987460816</v>
      </c>
      <c r="N69" s="23"/>
      <c r="O69" s="24"/>
      <c r="P69" s="159"/>
      <c r="Q69" s="160"/>
      <c r="R69" s="159"/>
      <c r="S69" s="23"/>
      <c r="T69" s="119"/>
      <c r="W69" s="149">
        <f>IFERROR(INDEX($AL$28:$AL$58-1,MATCH(RIGHT(Y68,2)*1+1,$AJ$28:$AJ$58,0)),$AG$7)</f>
        <v>45046</v>
      </c>
      <c r="X69" s="6" t="str">
        <f t="shared" ref="X69:X74" ca="1" si="70">IFERROR(MATCH($Y$68,OFFSET($AH$28:$AH$58,X68,0,1000000),0)+X68,"")</f>
        <v/>
      </c>
      <c r="Z69" s="155" t="str">
        <f t="shared" ref="Z69:Z74" ca="1" si="71">IFERROR(INDEX($AL$28:$AL$58,X69),"")</f>
        <v/>
      </c>
      <c r="AO69" s="6" t="str">
        <f ca="1">IFERROR(MATCH($B$114,OFFSET(#REF!,AO68,0,1000000),0)+AO68,"")</f>
        <v/>
      </c>
      <c r="AP69" s="156" t="str">
        <f ca="1">IFERROR(_xlfn.SINGLE(INDEX(#REF!,'Annual Report'!AO69)),"")</f>
        <v/>
      </c>
      <c r="AQ69" s="6" t="str">
        <f ca="1">IFERROR(_xlfn.SINGLE(INDEX(#REF!,'Annual Report'!AO69)),"")</f>
        <v/>
      </c>
      <c r="AS69" s="6" t="str">
        <f ca="1">IFERROR(MATCH($L$115,OFFSET(#REF!,AS68,0,1000000),0)+AS68,"")</f>
        <v/>
      </c>
      <c r="AT69" s="156" t="str">
        <f ca="1">IFERROR(_xlfn.SINGLE(INDEX(#REF!,'Annual Report'!AS69)),"")</f>
        <v/>
      </c>
      <c r="AU69" s="6" t="str">
        <f ca="1">IFERROR(_xlfn.SINGLE(INDEX(#REF!,'Annual Report'!AS69)),"")</f>
        <v/>
      </c>
      <c r="BR69" s="105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130"/>
      <c r="CP69" s="6" t="s">
        <v>183</v>
      </c>
      <c r="CQ69" s="6">
        <f>SUMIFS(Table_Assembly[Specific Amount],Table_Assembly[NG Type],$CP$14,Table_Assembly[Product type],$BU$50,Table_Assembly[NG content],CP69,Table_Assembly[Month],$CP$12)</f>
        <v>0</v>
      </c>
      <c r="CR69" s="6">
        <f>SUMIFS(Table_Assembly[Specific Amount],Table_Assembly[NG Type],$CP$14,Table_Assembly[Product type],$BU$50,Table_Assembly[NG content],CP69,Table_Assembly[Month],$CQ$12)</f>
        <v>0</v>
      </c>
      <c r="CS69" s="6">
        <f>SUMIFS(Table_Assembly[Specific Amount],Table_Assembly[NG Type],$CP$14,Table_Assembly[Product type],$BU$50,Table_Assembly[NG content],CP69,Table_Assembly[Month],$CR$12)</f>
        <v>0</v>
      </c>
      <c r="CT69" s="6">
        <f>SUMIFS(Table_Assembly[Specific Amount],Table_Assembly[NG Type],$CP$14,Table_Assembly[Product type],$BU$50,Table_Assembly[NG content],CP69,Table_Assembly[Month],$CS$12)</f>
        <v>0</v>
      </c>
      <c r="CU69" s="6">
        <f>SUMIFS(Table_Assembly[Specific Amount],Table_Assembly[NG Type],$CP$14,Table_Assembly[Product type],$BU$50,Table_Assembly[NG content],CP69,Table_Assembly[Month],$CT$12)</f>
        <v>0</v>
      </c>
      <c r="CV69" s="6">
        <f>SUMIFS(Table_Assembly[Specific Amount],Table_Assembly[NG Type],$CP$14,Table_Assembly[Product type],$BU$50,Table_Assembly[NG content],CP69,Table_Assembly[Month],$CU$12)</f>
        <v>0</v>
      </c>
      <c r="CW69" s="6">
        <f>SUMIFS(Table_Assembly[Specific Amount],Table_Assembly[NG Type],$CP$14,Table_Assembly[Product type],$BU$50,Table_Assembly[NG content],CP69,Table_Assembly[Month],$CV$12)</f>
        <v>0</v>
      </c>
      <c r="CX69" s="6">
        <f>SUMIFS(Table_Assembly[Specific Amount],Table_Assembly[NG Type],$CP$14,Table_Assembly[Product type],$BU$50,Table_Assembly[NG content],CP69,Table_Assembly[Month],$CW$12)</f>
        <v>0</v>
      </c>
      <c r="CY69" s="6">
        <f>SUMIFS(Table_Assembly[Specific Amount],Table_Assembly[NG Type],$CP$14,Table_Assembly[Product type],$BU$50,Table_Assembly[NG content],CP69,Table_Assembly[Month],$CX$12)</f>
        <v>0</v>
      </c>
      <c r="CZ69" s="6">
        <f>SUMIFS(Table_Assembly[Specific Amount],Table_Assembly[NG Type],$CP$14,Table_Assembly[Product type],$BU$50,Table_Assembly[NG content],CP69,Table_Assembly[Month],$CY$12)</f>
        <v>0</v>
      </c>
      <c r="DA69" s="6">
        <f>SUMIFS(Table_Assembly[Specific Amount],Table_Assembly[NG Type],$CP$14,Table_Assembly[Product type],$BU$50,Table_Assembly[NG content],CP69,Table_Assembly[Month],$CZ$12)</f>
        <v>0</v>
      </c>
      <c r="DB69" s="6">
        <f>SUMIFS(Table_Assembly[Total NG from material],Table_Assembly[Comp.],$CP$14,Table_Assembly[Total Produce],$BU$50,Table_Assembly[Reson for Others],CP69,Table_Assembly[Day],$DA$12)</f>
        <v>0</v>
      </c>
    </row>
    <row r="70" spans="1:106">
      <c r="A70" s="122"/>
      <c r="B70" s="23"/>
      <c r="C70" s="23"/>
      <c r="D70" s="23"/>
      <c r="E70" s="70" t="str">
        <f>Pareto!AH58</f>
        <v>Oxi hóa</v>
      </c>
      <c r="F70" s="71">
        <f>Pareto!AI58</f>
        <v>66</v>
      </c>
      <c r="G70" s="72">
        <f>Pareto!AJ58</f>
        <v>4.5961002785515319</v>
      </c>
      <c r="H70" s="72">
        <f>H69+G70</f>
        <v>77.715877437325901</v>
      </c>
      <c r="I70" s="23"/>
      <c r="J70" s="70" t="str">
        <f>Pareto!AN58</f>
        <v>Cháy dây</v>
      </c>
      <c r="K70" s="71">
        <f>Pareto!AO58</f>
        <v>102</v>
      </c>
      <c r="L70" s="72">
        <f>Pareto!AP58</f>
        <v>31.974921630094045</v>
      </c>
      <c r="M70" s="72">
        <f>M69+L70</f>
        <v>68.652037617554868</v>
      </c>
      <c r="N70" s="23"/>
      <c r="O70" s="24"/>
      <c r="P70" s="159"/>
      <c r="Q70" s="160"/>
      <c r="R70" s="159"/>
      <c r="S70" s="23"/>
      <c r="T70" s="119"/>
      <c r="W70" s="149"/>
      <c r="X70" s="6" t="str">
        <f t="shared" ca="1" si="70"/>
        <v/>
      </c>
      <c r="Z70" s="155" t="str">
        <f t="shared" ca="1" si="71"/>
        <v/>
      </c>
      <c r="AO70" s="6" t="str">
        <f ca="1">IFERROR(MATCH($B$114,OFFSET(#REF!,AO69,0,1000000),0)+AO69,"")</f>
        <v/>
      </c>
      <c r="AP70" s="156" t="str">
        <f ca="1">IFERROR(_xlfn.SINGLE(INDEX(#REF!,'Annual Report'!AO70)),"")</f>
        <v/>
      </c>
      <c r="AQ70" s="6" t="str">
        <f ca="1">IFERROR(_xlfn.SINGLE(INDEX(#REF!,'Annual Report'!AO70)),"")</f>
        <v/>
      </c>
      <c r="AS70" s="6" t="str">
        <f ca="1">IFERROR(MATCH($L$115,OFFSET(#REF!,AS69,0,1000000),0)+AS69,"")</f>
        <v/>
      </c>
      <c r="AT70" s="156" t="str">
        <f ca="1">IFERROR(_xlfn.SINGLE(INDEX(#REF!,'Annual Report'!AS70)),"")</f>
        <v/>
      </c>
      <c r="AU70" s="6" t="str">
        <f ca="1">IFERROR(_xlfn.SINGLE(INDEX(#REF!,'Annual Report'!AS70)),"")</f>
        <v/>
      </c>
      <c r="BR70" s="105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130"/>
      <c r="CP70" s="6" t="s">
        <v>234</v>
      </c>
      <c r="CQ70" s="6">
        <f>SUMIFS(Table_Assembly[Specific Amount],Table_Assembly[NG Type],$CP$14,Table_Assembly[Product type],$BU$50,Table_Assembly[NG content],CP70,Table_Assembly[Month],$CP$12)</f>
        <v>0</v>
      </c>
      <c r="CR70" s="6">
        <f>SUMIFS(Table_Assembly[Specific Amount],Table_Assembly[NG Type],$CP$14,Table_Assembly[Product type],$BU$50,Table_Assembly[NG content],CP70,Table_Assembly[Month],$CQ$12)</f>
        <v>0</v>
      </c>
      <c r="CS70" s="6">
        <f>SUMIFS(Table_Assembly[Specific Amount],Table_Assembly[NG Type],$CP$14,Table_Assembly[Product type],$BU$50,Table_Assembly[NG content],CP70,Table_Assembly[Month],$CR$12)</f>
        <v>0</v>
      </c>
      <c r="CT70" s="6">
        <f>SUMIFS(Table_Assembly[Specific Amount],Table_Assembly[NG Type],$CP$14,Table_Assembly[Product type],$BU$50,Table_Assembly[NG content],CP70,Table_Assembly[Month],$CS$12)</f>
        <v>0</v>
      </c>
      <c r="CU70" s="6">
        <f>SUMIFS(Table_Assembly[Specific Amount],Table_Assembly[NG Type],$CP$14,Table_Assembly[Product type],$BU$50,Table_Assembly[NG content],CP70,Table_Assembly[Month],$CT$12)</f>
        <v>0</v>
      </c>
      <c r="CV70" s="6">
        <f>SUMIFS(Table_Assembly[Specific Amount],Table_Assembly[NG Type],$CP$14,Table_Assembly[Product type],$BU$50,Table_Assembly[NG content],CP70,Table_Assembly[Month],$CU$12)</f>
        <v>0</v>
      </c>
      <c r="CW70" s="6">
        <f>SUMIFS(Table_Assembly[Specific Amount],Table_Assembly[NG Type],$CP$14,Table_Assembly[Product type],$BU$50,Table_Assembly[NG content],CP70,Table_Assembly[Month],$CV$12)</f>
        <v>0</v>
      </c>
      <c r="CX70" s="6">
        <f>SUMIFS(Table_Assembly[Specific Amount],Table_Assembly[NG Type],$CP$14,Table_Assembly[Product type],$BU$50,Table_Assembly[NG content],CP70,Table_Assembly[Month],$CW$12)</f>
        <v>0</v>
      </c>
      <c r="CY70" s="6">
        <f>SUMIFS(Table_Assembly[Specific Amount],Table_Assembly[NG Type],$CP$14,Table_Assembly[Product type],$BU$50,Table_Assembly[NG content],CP70,Table_Assembly[Month],$CX$12)</f>
        <v>0</v>
      </c>
      <c r="CZ70" s="6">
        <f>SUMIFS(Table_Assembly[Specific Amount],Table_Assembly[NG Type],$CP$14,Table_Assembly[Product type],$BU$50,Table_Assembly[NG content],CP70,Table_Assembly[Month],$CY$12)</f>
        <v>0</v>
      </c>
      <c r="DA70" s="6">
        <f>SUMIFS(Table_Assembly[Specific Amount],Table_Assembly[NG Type],$CP$14,Table_Assembly[Product type],$BU$50,Table_Assembly[NG content],CP70,Table_Assembly[Month],$CZ$12)</f>
        <v>0</v>
      </c>
      <c r="DB70" s="6">
        <f>SUMIFS(Table_Assembly[Total NG from material],Table_Assembly[Comp.],$CP$14,Table_Assembly[Total Produce],$BU$50,Table_Assembly[Reson for Others],CP70,Table_Assembly[Day],$DA$12)</f>
        <v>0</v>
      </c>
    </row>
    <row r="71" spans="1:106">
      <c r="A71" s="122"/>
      <c r="B71" s="23"/>
      <c r="C71" s="23"/>
      <c r="D71" s="23"/>
      <c r="E71" s="70" t="str">
        <f>Pareto!AH59</f>
        <v>Sai phối màu 誤配色</v>
      </c>
      <c r="F71" s="71">
        <f>Pareto!AI59</f>
        <v>63</v>
      </c>
      <c r="G71" s="72">
        <f>Pareto!AJ59</f>
        <v>4.3871866295264619</v>
      </c>
      <c r="H71" s="72">
        <f t="shared" ref="H71:H113" si="72">H70+G71</f>
        <v>82.103064066852369</v>
      </c>
      <c r="I71" s="23"/>
      <c r="J71" s="70" t="str">
        <f>Pareto!AN59</f>
        <v>Dây ngắn/dài</v>
      </c>
      <c r="K71" s="71">
        <f>Pareto!AO59</f>
        <v>40</v>
      </c>
      <c r="L71" s="72">
        <f>Pareto!AP59</f>
        <v>12.539184952978054</v>
      </c>
      <c r="M71" s="72">
        <f t="shared" ref="M71:M113" si="73">M70+L71</f>
        <v>81.191222570532915</v>
      </c>
      <c r="N71" s="23"/>
      <c r="O71" s="24"/>
      <c r="P71" s="159"/>
      <c r="Q71" s="160"/>
      <c r="R71" s="159"/>
      <c r="S71" s="23"/>
      <c r="T71" s="119"/>
      <c r="W71" s="149"/>
      <c r="X71" s="6" t="str">
        <f t="shared" ca="1" si="70"/>
        <v/>
      </c>
      <c r="Z71" s="155" t="str">
        <f t="shared" ca="1" si="71"/>
        <v/>
      </c>
      <c r="AO71" s="6" t="str">
        <f ca="1">IFERROR(MATCH($B$114,OFFSET(#REF!,AO70,0,1000000),0)+AO70,"")</f>
        <v/>
      </c>
      <c r="AP71" s="156" t="str">
        <f ca="1">IFERROR(_xlfn.SINGLE(INDEX(#REF!,'Annual Report'!AO71)),"")</f>
        <v/>
      </c>
      <c r="AQ71" s="6" t="str">
        <f ca="1">IFERROR(_xlfn.SINGLE(INDEX(#REF!,'Annual Report'!AO71)),"")</f>
        <v/>
      </c>
      <c r="AS71" s="6" t="str">
        <f ca="1">IFERROR(MATCH($L$115,OFFSET(#REF!,AS70,0,1000000),0)+AS70,"")</f>
        <v/>
      </c>
      <c r="AT71" s="156" t="str">
        <f ca="1">IFERROR(_xlfn.SINGLE(INDEX(#REF!,'Annual Report'!AS71)),"")</f>
        <v/>
      </c>
      <c r="AU71" s="6" t="str">
        <f ca="1">IFERROR(_xlfn.SINGLE(INDEX(#REF!,'Annual Report'!AS71)),"")</f>
        <v/>
      </c>
      <c r="BR71" s="105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130"/>
      <c r="CP71" s="6" t="s">
        <v>184</v>
      </c>
      <c r="CQ71" s="6">
        <f>SUMIFS(Table_Assembly[Specific Amount],Table_Assembly[NG Type],$CP$14,Table_Assembly[Product type],$BU$50,Table_Assembly[NG content],CP71,Table_Assembly[Month],$CP$12)</f>
        <v>0</v>
      </c>
      <c r="CR71" s="6">
        <f>SUMIFS(Table_Assembly[Specific Amount],Table_Assembly[NG Type],$CP$14,Table_Assembly[Product type],$BU$50,Table_Assembly[NG content],CP71,Table_Assembly[Month],$CQ$12)</f>
        <v>0</v>
      </c>
      <c r="CS71" s="6">
        <f>SUMIFS(Table_Assembly[Specific Amount],Table_Assembly[NG Type],$CP$14,Table_Assembly[Product type],$BU$50,Table_Assembly[NG content],CP71,Table_Assembly[Month],$CR$12)</f>
        <v>0</v>
      </c>
      <c r="CT71" s="6">
        <f>SUMIFS(Table_Assembly[Specific Amount],Table_Assembly[NG Type],$CP$14,Table_Assembly[Product type],$BU$50,Table_Assembly[NG content],CP71,Table_Assembly[Month],$CS$12)</f>
        <v>0</v>
      </c>
      <c r="CU71" s="6">
        <f>SUMIFS(Table_Assembly[Specific Amount],Table_Assembly[NG Type],$CP$14,Table_Assembly[Product type],$BU$50,Table_Assembly[NG content],CP71,Table_Assembly[Month],$CT$12)</f>
        <v>0</v>
      </c>
      <c r="CV71" s="6">
        <f>SUMIFS(Table_Assembly[Specific Amount],Table_Assembly[NG Type],$CP$14,Table_Assembly[Product type],$BU$50,Table_Assembly[NG content],CP71,Table_Assembly[Month],$CU$12)</f>
        <v>0</v>
      </c>
      <c r="CW71" s="6">
        <f>SUMIFS(Table_Assembly[Specific Amount],Table_Assembly[NG Type],$CP$14,Table_Assembly[Product type],$BU$50,Table_Assembly[NG content],CP71,Table_Assembly[Month],$CV$12)</f>
        <v>0</v>
      </c>
      <c r="CX71" s="6">
        <f>SUMIFS(Table_Assembly[Specific Amount],Table_Assembly[NG Type],$CP$14,Table_Assembly[Product type],$BU$50,Table_Assembly[NG content],CP71,Table_Assembly[Month],$CW$12)</f>
        <v>0</v>
      </c>
      <c r="CY71" s="6">
        <f>SUMIFS(Table_Assembly[Specific Amount],Table_Assembly[NG Type],$CP$14,Table_Assembly[Product type],$BU$50,Table_Assembly[NG content],CP71,Table_Assembly[Month],$CX$12)</f>
        <v>0</v>
      </c>
      <c r="CZ71" s="6">
        <f>SUMIFS(Table_Assembly[Specific Amount],Table_Assembly[NG Type],$CP$14,Table_Assembly[Product type],$BU$50,Table_Assembly[NG content],CP71,Table_Assembly[Month],$CY$12)</f>
        <v>0</v>
      </c>
      <c r="DA71" s="6">
        <f>SUMIFS(Table_Assembly[Specific Amount],Table_Assembly[NG Type],$CP$14,Table_Assembly[Product type],$BU$50,Table_Assembly[NG content],CP71,Table_Assembly[Month],$CZ$12)</f>
        <v>0</v>
      </c>
      <c r="DB71" s="6">
        <f>SUMIFS(Table_Assembly[Total NG from material],Table_Assembly[Comp.],$CP$14,Table_Assembly[Total Produce],$BU$50,Table_Assembly[Reson for Others],CP71,Table_Assembly[Day],$DA$12)</f>
        <v>0</v>
      </c>
    </row>
    <row r="72" spans="1:106">
      <c r="A72" s="122"/>
      <c r="B72" s="23"/>
      <c r="C72" s="23"/>
      <c r="D72" s="23"/>
      <c r="E72" s="70" t="str">
        <f>Pareto!AH60</f>
        <v>Tanshi biến dạng</v>
      </c>
      <c r="F72" s="71">
        <f>Pareto!AI60</f>
        <v>51</v>
      </c>
      <c r="G72" s="72">
        <f>Pareto!AJ60</f>
        <v>3.5515320334261835</v>
      </c>
      <c r="H72" s="72">
        <f t="shared" si="72"/>
        <v>85.654596100278553</v>
      </c>
      <c r="I72" s="23"/>
      <c r="J72" s="70" t="str">
        <f>Pareto!AN60</f>
        <v>Trầy, dơ do NL</v>
      </c>
      <c r="K72" s="71">
        <f>Pareto!AO60</f>
        <v>18</v>
      </c>
      <c r="L72" s="72">
        <f>Pareto!AP60</f>
        <v>5.6426332288401255</v>
      </c>
      <c r="M72" s="72">
        <f t="shared" si="73"/>
        <v>86.83385579937304</v>
      </c>
      <c r="N72" s="23"/>
      <c r="O72" s="24"/>
      <c r="P72" s="159"/>
      <c r="Q72" s="160"/>
      <c r="R72" s="159"/>
      <c r="S72" s="23"/>
      <c r="T72" s="119"/>
      <c r="W72" s="149"/>
      <c r="X72" s="6" t="str">
        <f t="shared" ca="1" si="70"/>
        <v/>
      </c>
      <c r="Z72" s="155" t="str">
        <f t="shared" ca="1" si="71"/>
        <v/>
      </c>
      <c r="AO72" s="6" t="str">
        <f ca="1">IFERROR(MATCH($B$114,OFFSET(#REF!,AO71,0,1000000),0)+AO71,"")</f>
        <v/>
      </c>
      <c r="AP72" s="156" t="str">
        <f ca="1">IFERROR(_xlfn.SINGLE(INDEX(#REF!,'Annual Report'!AO72)),"")</f>
        <v/>
      </c>
      <c r="AQ72" s="6" t="str">
        <f ca="1">IFERROR(_xlfn.SINGLE(INDEX(#REF!,'Annual Report'!AO72)),"")</f>
        <v/>
      </c>
      <c r="AS72" s="6" t="str">
        <f ca="1">IFERROR(MATCH($L$115,OFFSET(#REF!,AS71,0,1000000),0)+AS71,"")</f>
        <v/>
      </c>
      <c r="AT72" s="156" t="str">
        <f ca="1">IFERROR(_xlfn.SINGLE(INDEX(#REF!,'Annual Report'!AS72)),"")</f>
        <v/>
      </c>
      <c r="AU72" s="6" t="str">
        <f ca="1">IFERROR(_xlfn.SINGLE(INDEX(#REF!,'Annual Report'!AS72)),"")</f>
        <v/>
      </c>
      <c r="BR72" s="105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130"/>
      <c r="CP72" s="6" t="s">
        <v>322</v>
      </c>
      <c r="CQ72" s="6">
        <f>SUMIFS(Table_Assembly[Specific Amount],Table_Assembly[NG Type],$CP$14,Table_Assembly[Product type],$BU$50,Table_Assembly[NG content],CP72,Table_Assembly[Month],$CP$12)</f>
        <v>0</v>
      </c>
      <c r="CR72" s="6">
        <f>SUMIFS(Table_Assembly[Specific Amount],Table_Assembly[NG Type],$CP$14,Table_Assembly[Product type],$BU$50,Table_Assembly[NG content],CP72,Table_Assembly[Month],$CQ$12)</f>
        <v>0</v>
      </c>
      <c r="CS72" s="6">
        <f>SUMIFS(Table_Assembly[Specific Amount],Table_Assembly[NG Type],$CP$14,Table_Assembly[Product type],$BU$50,Table_Assembly[NG content],CP72,Table_Assembly[Month],$CR$12)</f>
        <v>0</v>
      </c>
      <c r="CT72" s="6">
        <f>SUMIFS(Table_Assembly[Specific Amount],Table_Assembly[NG Type],$CP$14,Table_Assembly[Product type],$BU$50,Table_Assembly[NG content],CP72,Table_Assembly[Month],$CS$12)</f>
        <v>0</v>
      </c>
      <c r="CU72" s="6">
        <f>SUMIFS(Table_Assembly[Specific Amount],Table_Assembly[NG Type],$CP$14,Table_Assembly[Product type],$BU$50,Table_Assembly[NG content],CP72,Table_Assembly[Month],$CT$12)</f>
        <v>0</v>
      </c>
      <c r="CV72" s="6">
        <f>SUMIFS(Table_Assembly[Specific Amount],Table_Assembly[NG Type],$CP$14,Table_Assembly[Product type],$BU$50,Table_Assembly[NG content],CP72,Table_Assembly[Month],$CU$12)</f>
        <v>0</v>
      </c>
      <c r="CW72" s="6">
        <f>SUMIFS(Table_Assembly[Specific Amount],Table_Assembly[NG Type],$CP$14,Table_Assembly[Product type],$BU$50,Table_Assembly[NG content],CP72,Table_Assembly[Month],$CV$12)</f>
        <v>0</v>
      </c>
      <c r="CX72" s="6">
        <f>SUMIFS(Table_Assembly[Specific Amount],Table_Assembly[NG Type],$CP$14,Table_Assembly[Product type],$BU$50,Table_Assembly[NG content],CP72,Table_Assembly[Month],$CW$12)</f>
        <v>0</v>
      </c>
      <c r="CY72" s="6">
        <f>SUMIFS(Table_Assembly[Specific Amount],Table_Assembly[NG Type],$CP$14,Table_Assembly[Product type],$BU$50,Table_Assembly[NG content],CP72,Table_Assembly[Month],$CX$12)</f>
        <v>0</v>
      </c>
      <c r="CZ72" s="6">
        <f>SUMIFS(Table_Assembly[Specific Amount],Table_Assembly[NG Type],$CP$14,Table_Assembly[Product type],$BU$50,Table_Assembly[NG content],CP72,Table_Assembly[Month],$CY$12)</f>
        <v>0</v>
      </c>
      <c r="DA72" s="6">
        <f>SUMIFS(Table_Assembly[Specific Amount],Table_Assembly[NG Type],$CP$14,Table_Assembly[Product type],$BU$50,Table_Assembly[NG content],CP72,Table_Assembly[Month],$CZ$12)</f>
        <v>0</v>
      </c>
      <c r="DB72" s="6">
        <f>SUMIFS(Table_Assembly[Total NG from material],Table_Assembly[Comp.],$CP$14,Table_Assembly[Total Produce],$BU$50,Table_Assembly[Reson for Others],CP72,Table_Assembly[Day],$DA$12)</f>
        <v>0</v>
      </c>
    </row>
    <row r="73" spans="1:106">
      <c r="A73" s="122"/>
      <c r="B73" s="23"/>
      <c r="C73" s="23"/>
      <c r="D73" s="23"/>
      <c r="E73" s="70" t="str">
        <f>Pareto!AH61</f>
        <v>Đội gờ HS</v>
      </c>
      <c r="F73" s="71">
        <f>Pareto!AI61</f>
        <v>49</v>
      </c>
      <c r="G73" s="72">
        <f>Pareto!AJ61</f>
        <v>3.4122562674094707</v>
      </c>
      <c r="H73" s="72">
        <f t="shared" si="72"/>
        <v>89.066852367688028</v>
      </c>
      <c r="I73" s="23"/>
      <c r="J73" s="70" t="str">
        <f>Pareto!AN61</f>
        <v>Đứt Lõi</v>
      </c>
      <c r="K73" s="71">
        <f>Pareto!AO61</f>
        <v>10</v>
      </c>
      <c r="L73" s="72">
        <f>Pareto!AP61</f>
        <v>3.1347962382445136</v>
      </c>
      <c r="M73" s="72">
        <f t="shared" si="73"/>
        <v>89.968652037617559</v>
      </c>
      <c r="N73" s="23"/>
      <c r="O73" s="24"/>
      <c r="P73" s="159"/>
      <c r="Q73" s="160"/>
      <c r="R73" s="159"/>
      <c r="S73" s="23"/>
      <c r="T73" s="119"/>
      <c r="W73" s="149"/>
      <c r="X73" s="6" t="str">
        <f t="shared" ca="1" si="70"/>
        <v/>
      </c>
      <c r="Z73" s="155" t="str">
        <f t="shared" ca="1" si="71"/>
        <v/>
      </c>
      <c r="AO73" s="6" t="str">
        <f ca="1">IFERROR(MATCH($B$114,OFFSET(#REF!,AO72,0,1000000),0)+AO72,"")</f>
        <v/>
      </c>
      <c r="AP73" s="156" t="str">
        <f ca="1">IFERROR(_xlfn.SINGLE(INDEX(#REF!,'Annual Report'!AO73)),"")</f>
        <v/>
      </c>
      <c r="AQ73" s="6" t="str">
        <f ca="1">IFERROR(_xlfn.SINGLE(INDEX(#REF!,'Annual Report'!AO73)),"")</f>
        <v/>
      </c>
      <c r="AS73" s="6" t="str">
        <f ca="1">IFERROR(MATCH($L$115,OFFSET(#REF!,AS72,0,1000000),0)+AS72,"")</f>
        <v/>
      </c>
      <c r="AT73" s="156" t="str">
        <f ca="1">IFERROR(_xlfn.SINGLE(INDEX(#REF!,'Annual Report'!AS73)),"")</f>
        <v/>
      </c>
      <c r="AU73" s="6" t="str">
        <f ca="1">IFERROR(_xlfn.SINGLE(INDEX(#REF!,'Annual Report'!AS73)),"")</f>
        <v/>
      </c>
      <c r="BR73" s="105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130"/>
      <c r="CP73" s="6" t="s">
        <v>185</v>
      </c>
      <c r="CQ73" s="6">
        <f>SUMIFS(Table_Assembly[Specific Amount],Table_Assembly[NG Type],$CP$14,Table_Assembly[Product type],$BU$50,Table_Assembly[NG content],CP73,Table_Assembly[Month],$CP$12)</f>
        <v>0</v>
      </c>
      <c r="CR73" s="6">
        <f>SUMIFS(Table_Assembly[Specific Amount],Table_Assembly[NG Type],$CP$14,Table_Assembly[Product type],$BU$50,Table_Assembly[NG content],CP73,Table_Assembly[Month],$CQ$12)</f>
        <v>0</v>
      </c>
      <c r="CS73" s="6">
        <f>SUMIFS(Table_Assembly[Specific Amount],Table_Assembly[NG Type],$CP$14,Table_Assembly[Product type],$BU$50,Table_Assembly[NG content],CP73,Table_Assembly[Month],$CR$12)</f>
        <v>0</v>
      </c>
      <c r="CT73" s="6">
        <f>SUMIFS(Table_Assembly[Specific Amount],Table_Assembly[NG Type],$CP$14,Table_Assembly[Product type],$BU$50,Table_Assembly[NG content],CP73,Table_Assembly[Month],$CS$12)</f>
        <v>0</v>
      </c>
      <c r="CU73" s="6">
        <f>SUMIFS(Table_Assembly[Specific Amount],Table_Assembly[NG Type],$CP$14,Table_Assembly[Product type],$BU$50,Table_Assembly[NG content],CP73,Table_Assembly[Month],$CT$12)</f>
        <v>0</v>
      </c>
      <c r="CV73" s="6">
        <f>SUMIFS(Table_Assembly[Specific Amount],Table_Assembly[NG Type],$CP$14,Table_Assembly[Product type],$BU$50,Table_Assembly[NG content],CP73,Table_Assembly[Month],$CU$12)</f>
        <v>0</v>
      </c>
      <c r="CW73" s="6">
        <f>SUMIFS(Table_Assembly[Specific Amount],Table_Assembly[NG Type],$CP$14,Table_Assembly[Product type],$BU$50,Table_Assembly[NG content],CP73,Table_Assembly[Month],$CV$12)</f>
        <v>0</v>
      </c>
      <c r="CX73" s="6">
        <f>SUMIFS(Table_Assembly[Specific Amount],Table_Assembly[NG Type],$CP$14,Table_Assembly[Product type],$BU$50,Table_Assembly[NG content],CP73,Table_Assembly[Month],$CW$12)</f>
        <v>0</v>
      </c>
      <c r="CY73" s="6">
        <f>SUMIFS(Table_Assembly[Specific Amount],Table_Assembly[NG Type],$CP$14,Table_Assembly[Product type],$BU$50,Table_Assembly[NG content],CP73,Table_Assembly[Month],$CX$12)</f>
        <v>0</v>
      </c>
      <c r="CZ73" s="6">
        <f>SUMIFS(Table_Assembly[Specific Amount],Table_Assembly[NG Type],$CP$14,Table_Assembly[Product type],$BU$50,Table_Assembly[NG content],CP73,Table_Assembly[Month],$CY$12)</f>
        <v>0</v>
      </c>
      <c r="DA73" s="6">
        <f>SUMIFS(Table_Assembly[Specific Amount],Table_Assembly[NG Type],$CP$14,Table_Assembly[Product type],$BU$50,Table_Assembly[NG content],CP73,Table_Assembly[Month],$CZ$12)</f>
        <v>0</v>
      </c>
      <c r="DB73" s="6">
        <f>SUMIFS(Table_Assembly[Total NG from material],Table_Assembly[Comp.],$CP$14,Table_Assembly[Total Produce],$BU$50,Table_Assembly[Reson for Others],CP73,Table_Assembly[Day],$DA$12)</f>
        <v>0</v>
      </c>
    </row>
    <row r="74" spans="1:106">
      <c r="A74" s="122"/>
      <c r="B74" s="23"/>
      <c r="C74" s="23"/>
      <c r="D74" s="23"/>
      <c r="E74" s="70" t="str">
        <f>Pareto!AH62</f>
        <v>NG, dính dơ, dị vật do NL</v>
      </c>
      <c r="F74" s="71">
        <f>Pareto!AI62</f>
        <v>36</v>
      </c>
      <c r="G74" s="72">
        <f>Pareto!AJ62</f>
        <v>2.5069637883008355</v>
      </c>
      <c r="H74" s="72">
        <f t="shared" si="72"/>
        <v>91.573816155988865</v>
      </c>
      <c r="I74" s="23"/>
      <c r="J74" s="70" t="str">
        <f>Pareto!AN62</f>
        <v>Oxi hóa</v>
      </c>
      <c r="K74" s="71">
        <f>Pareto!AO62</f>
        <v>9</v>
      </c>
      <c r="L74" s="72">
        <f>Pareto!AP62</f>
        <v>2.8213166144200628</v>
      </c>
      <c r="M74" s="72">
        <f t="shared" si="73"/>
        <v>92.789968652037629</v>
      </c>
      <c r="N74" s="23"/>
      <c r="O74" s="24"/>
      <c r="P74" s="159"/>
      <c r="Q74" s="160"/>
      <c r="R74" s="159"/>
      <c r="S74" s="23"/>
      <c r="T74" s="119"/>
      <c r="W74" s="149"/>
      <c r="X74" s="6" t="str">
        <f t="shared" ca="1" si="70"/>
        <v/>
      </c>
      <c r="Z74" s="155" t="str">
        <f t="shared" ca="1" si="71"/>
        <v/>
      </c>
      <c r="AO74" s="6" t="str">
        <f ca="1">IFERROR(MATCH($B$114,OFFSET(#REF!,AO73,0,1000000),0)+AO73,"")</f>
        <v/>
      </c>
      <c r="AP74" s="156" t="str">
        <f ca="1">IFERROR(_xlfn.SINGLE(INDEX(#REF!,'Annual Report'!AO74)),"")</f>
        <v/>
      </c>
      <c r="AQ74" s="6" t="str">
        <f ca="1">IFERROR(_xlfn.SINGLE(INDEX(#REF!,'Annual Report'!AO74)),"")</f>
        <v/>
      </c>
      <c r="AS74" s="6" t="str">
        <f ca="1">IFERROR(MATCH($L$115,OFFSET(#REF!,AS73,0,1000000),0)+AS73,"")</f>
        <v/>
      </c>
      <c r="AT74" s="156" t="str">
        <f ca="1">IFERROR(_xlfn.SINGLE(INDEX(#REF!,'Annual Report'!AS74)),"")</f>
        <v/>
      </c>
      <c r="AU74" s="6" t="str">
        <f ca="1">IFERROR(_xlfn.SINGLE(INDEX(#REF!,'Annual Report'!AS74)),"")</f>
        <v/>
      </c>
      <c r="BR74" s="105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130"/>
      <c r="CP74" s="6" t="s">
        <v>236</v>
      </c>
      <c r="CQ74" s="6">
        <f>SUMIFS(Table_Assembly[Specific Amount],Table_Assembly[NG Type],$CP$14,Table_Assembly[Product type],$BU$50,Table_Assembly[NG content],CP74,Table_Assembly[Month],$CP$12)</f>
        <v>0</v>
      </c>
      <c r="CR74" s="6">
        <f>SUMIFS(Table_Assembly[Specific Amount],Table_Assembly[NG Type],$CP$14,Table_Assembly[Product type],$BU$50,Table_Assembly[NG content],CP74,Table_Assembly[Month],$CQ$12)</f>
        <v>0</v>
      </c>
      <c r="CS74" s="6">
        <f>SUMIFS(Table_Assembly[Specific Amount],Table_Assembly[NG Type],$CP$14,Table_Assembly[Product type],$BU$50,Table_Assembly[NG content],CP74,Table_Assembly[Month],$CR$12)</f>
        <v>0</v>
      </c>
      <c r="CT74" s="6">
        <f>SUMIFS(Table_Assembly[Specific Amount],Table_Assembly[NG Type],$CP$14,Table_Assembly[Product type],$BU$50,Table_Assembly[NG content],CP74,Table_Assembly[Month],$CS$12)</f>
        <v>2</v>
      </c>
      <c r="CU74" s="6">
        <f>SUMIFS(Table_Assembly[Specific Amount],Table_Assembly[NG Type],$CP$14,Table_Assembly[Product type],$BU$50,Table_Assembly[NG content],CP74,Table_Assembly[Month],$CT$12)</f>
        <v>5</v>
      </c>
      <c r="CV74" s="6">
        <f>SUMIFS(Table_Assembly[Specific Amount],Table_Assembly[NG Type],$CP$14,Table_Assembly[Product type],$BU$50,Table_Assembly[NG content],CP74,Table_Assembly[Month],$CU$12)</f>
        <v>0</v>
      </c>
      <c r="CW74" s="6">
        <f>SUMIFS(Table_Assembly[Specific Amount],Table_Assembly[NG Type],$CP$14,Table_Assembly[Product type],$BU$50,Table_Assembly[NG content],CP74,Table_Assembly[Month],$CV$12)</f>
        <v>0</v>
      </c>
      <c r="CX74" s="6">
        <f>SUMIFS(Table_Assembly[Specific Amount],Table_Assembly[NG Type],$CP$14,Table_Assembly[Product type],$BU$50,Table_Assembly[NG content],CP74,Table_Assembly[Month],$CW$12)</f>
        <v>0</v>
      </c>
      <c r="CY74" s="6">
        <f>SUMIFS(Table_Assembly[Specific Amount],Table_Assembly[NG Type],$CP$14,Table_Assembly[Product type],$BU$50,Table_Assembly[NG content],CP74,Table_Assembly[Month],$CX$12)</f>
        <v>0</v>
      </c>
      <c r="CZ74" s="6">
        <f>SUMIFS(Table_Assembly[Specific Amount],Table_Assembly[NG Type],$CP$14,Table_Assembly[Product type],$BU$50,Table_Assembly[NG content],CP74,Table_Assembly[Month],$CY$12)</f>
        <v>0</v>
      </c>
      <c r="DA74" s="6">
        <f>SUMIFS(Table_Assembly[Specific Amount],Table_Assembly[NG Type],$CP$14,Table_Assembly[Product type],$BU$50,Table_Assembly[NG content],CP74,Table_Assembly[Month],$CZ$12)</f>
        <v>0</v>
      </c>
      <c r="DB74" s="6">
        <f>SUMIFS(Table_Assembly[Total NG from material],Table_Assembly[Comp.],$CP$14,Table_Assembly[Total Produce],$BU$50,Table_Assembly[Reson for Others],CP74,Table_Assembly[Day],$DA$12)</f>
        <v>0</v>
      </c>
    </row>
    <row r="75" spans="1:106">
      <c r="A75" s="122"/>
      <c r="B75" s="23"/>
      <c r="C75" s="23"/>
      <c r="D75" s="23"/>
      <c r="E75" s="70" t="str">
        <f>Pareto!AH63</f>
        <v>Dây ngắn/dài</v>
      </c>
      <c r="F75" s="71">
        <f>Pareto!AI63</f>
        <v>31</v>
      </c>
      <c r="G75" s="72">
        <f>Pareto!AJ63</f>
        <v>2.1587743732590527</v>
      </c>
      <c r="H75" s="72">
        <f t="shared" si="72"/>
        <v>93.732590529247915</v>
      </c>
      <c r="I75" s="23"/>
      <c r="J75" s="70" t="str">
        <f>Pareto!AN63</f>
        <v>Others for IC</v>
      </c>
      <c r="K75" s="71">
        <f>Pareto!AO63</f>
        <v>8</v>
      </c>
      <c r="L75" s="72">
        <f>Pareto!AP63</f>
        <v>2.507836990595611</v>
      </c>
      <c r="M75" s="72">
        <f t="shared" si="73"/>
        <v>95.297805642633236</v>
      </c>
      <c r="N75" s="23"/>
      <c r="O75" s="24"/>
      <c r="P75" s="159"/>
      <c r="Q75" s="160"/>
      <c r="R75" s="159"/>
      <c r="S75" s="23"/>
      <c r="T75" s="119"/>
      <c r="AO75" s="6" t="str">
        <f ca="1">IFERROR(MATCH($B$114,OFFSET(#REF!,AO74,0,1000000),0)+AO74,"")</f>
        <v/>
      </c>
      <c r="AP75" s="156" t="str">
        <f ca="1">IFERROR(_xlfn.SINGLE(INDEX(#REF!,'Annual Report'!AO75)),"")</f>
        <v/>
      </c>
      <c r="AQ75" s="6" t="str">
        <f ca="1">IFERROR(_xlfn.SINGLE(INDEX(#REF!,'Annual Report'!AO75)),"")</f>
        <v/>
      </c>
      <c r="AS75" s="6" t="str">
        <f ca="1">IFERROR(MATCH($L$115,OFFSET(#REF!,AS74,0,1000000),0)+AS74,"")</f>
        <v/>
      </c>
      <c r="AT75" s="156" t="str">
        <f ca="1">IFERROR(_xlfn.SINGLE(INDEX(#REF!,'Annual Report'!AS75)),"")</f>
        <v/>
      </c>
      <c r="AU75" s="6" t="str">
        <f ca="1">IFERROR(_xlfn.SINGLE(INDEX(#REF!,'Annual Report'!AS75)),"")</f>
        <v/>
      </c>
      <c r="BR75" s="105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130"/>
      <c r="CP75" s="6" t="s">
        <v>168</v>
      </c>
      <c r="CQ75" s="6">
        <f>SUMIFS(Table_Assembly[Specific Amount],Table_Assembly[NG Type],$CP$14,Table_Assembly[Product type],$BU$50,Table_Assembly[NG content],CP75,Table_Assembly[Month],$CP$12)</f>
        <v>0</v>
      </c>
      <c r="CR75" s="6">
        <f>SUMIFS(Table_Assembly[Specific Amount],Table_Assembly[NG Type],$CP$14,Table_Assembly[Product type],$BU$50,Table_Assembly[NG content],CP75,Table_Assembly[Month],$CQ$12)</f>
        <v>0</v>
      </c>
      <c r="CS75" s="6">
        <f>SUMIFS(Table_Assembly[Specific Amount],Table_Assembly[NG Type],$CP$14,Table_Assembly[Product type],$BU$50,Table_Assembly[NG content],CP75,Table_Assembly[Month],$CR$12)</f>
        <v>0</v>
      </c>
      <c r="CT75" s="6">
        <f>SUMIFS(Table_Assembly[Specific Amount],Table_Assembly[NG Type],$CP$14,Table_Assembly[Product type],$BU$50,Table_Assembly[NG content],CP75,Table_Assembly[Month],$CS$12)</f>
        <v>0</v>
      </c>
      <c r="CU75" s="6">
        <f>SUMIFS(Table_Assembly[Specific Amount],Table_Assembly[NG Type],$CP$14,Table_Assembly[Product type],$BU$50,Table_Assembly[NG content],CP75,Table_Assembly[Month],$CT$12)</f>
        <v>46</v>
      </c>
      <c r="CV75" s="6">
        <f>SUMIFS(Table_Assembly[Specific Amount],Table_Assembly[NG Type],$CP$14,Table_Assembly[Product type],$BU$50,Table_Assembly[NG content],CP75,Table_Assembly[Month],$CU$12)</f>
        <v>56</v>
      </c>
      <c r="CW75" s="6">
        <f>SUMIFS(Table_Assembly[Specific Amount],Table_Assembly[NG Type],$CP$14,Table_Assembly[Product type],$BU$50,Table_Assembly[NG content],CP75,Table_Assembly[Month],$CV$12)</f>
        <v>0</v>
      </c>
      <c r="CX75" s="6">
        <f>SUMIFS(Table_Assembly[Specific Amount],Table_Assembly[NG Type],$CP$14,Table_Assembly[Product type],$BU$50,Table_Assembly[NG content],CP75,Table_Assembly[Month],$CW$12)</f>
        <v>0</v>
      </c>
      <c r="CY75" s="6">
        <f>SUMIFS(Table_Assembly[Specific Amount],Table_Assembly[NG Type],$CP$14,Table_Assembly[Product type],$BU$50,Table_Assembly[NG content],CP75,Table_Assembly[Month],$CX$12)</f>
        <v>0</v>
      </c>
      <c r="CZ75" s="6">
        <f>SUMIFS(Table_Assembly[Specific Amount],Table_Assembly[NG Type],$CP$14,Table_Assembly[Product type],$BU$50,Table_Assembly[NG content],CP75,Table_Assembly[Month],$CY$12)</f>
        <v>0</v>
      </c>
      <c r="DA75" s="6">
        <f>SUMIFS(Table_Assembly[Specific Amount],Table_Assembly[NG Type],$CP$14,Table_Assembly[Product type],$BU$50,Table_Assembly[NG content],CP75,Table_Assembly[Month],$CZ$12)</f>
        <v>0</v>
      </c>
      <c r="DB75" s="6">
        <f>SUMIFS(Table_Assembly[Total NG from material],Table_Assembly[Comp.],$CP$14,Table_Assembly[Total Produce],$BU$50,Table_Assembly[Reson for Others],CP75,Table_Assembly[Day],$DA$12)</f>
        <v>0</v>
      </c>
    </row>
    <row r="76" spans="1:106">
      <c r="A76" s="122"/>
      <c r="B76" s="23"/>
      <c r="C76" s="23"/>
      <c r="D76" s="23"/>
      <c r="E76" s="70" t="str">
        <f>Pareto!AH64</f>
        <v>Mẻ, lõm, biến dạng</v>
      </c>
      <c r="F76" s="71">
        <f>Pareto!AI64</f>
        <v>21</v>
      </c>
      <c r="G76" s="72">
        <f>Pareto!AJ64</f>
        <v>1.4623955431754874</v>
      </c>
      <c r="H76" s="72">
        <f t="shared" si="72"/>
        <v>95.194986072423404</v>
      </c>
      <c r="I76" s="23"/>
      <c r="J76" s="70" t="str">
        <f>Pareto!AN64</f>
        <v>Cấn, trầy</v>
      </c>
      <c r="K76" s="71">
        <f>Pareto!AO64</f>
        <v>7</v>
      </c>
      <c r="L76" s="72">
        <f>Pareto!AP64</f>
        <v>2.1943573667711598</v>
      </c>
      <c r="M76" s="72">
        <f t="shared" si="73"/>
        <v>97.492163009404393</v>
      </c>
      <c r="N76" s="23"/>
      <c r="O76" s="24"/>
      <c r="P76" s="159"/>
      <c r="Q76" s="160"/>
      <c r="R76" s="159"/>
      <c r="S76" s="23"/>
      <c r="T76" s="119"/>
      <c r="AO76" s="6" t="str">
        <f ca="1">IFERROR(MATCH($B$114,OFFSET(#REF!,AO75,0,1000000),0)+AO75,"")</f>
        <v/>
      </c>
      <c r="AP76" s="156" t="str">
        <f ca="1">IFERROR(_xlfn.SINGLE(INDEX(#REF!,'Annual Report'!AO76)),"")</f>
        <v/>
      </c>
      <c r="AQ76" s="6" t="str">
        <f ca="1">IFERROR(_xlfn.SINGLE(INDEX(#REF!,'Annual Report'!AO76)),"")</f>
        <v/>
      </c>
      <c r="AS76" s="6" t="str">
        <f ca="1">IFERROR(MATCH($L$115,OFFSET(#REF!,AS75,0,1000000),0)+AS75,"")</f>
        <v/>
      </c>
      <c r="AT76" s="156" t="str">
        <f ca="1">IFERROR(_xlfn.SINGLE(INDEX(#REF!,'Annual Report'!AS76)),"")</f>
        <v/>
      </c>
      <c r="AU76" s="6" t="str">
        <f ca="1">IFERROR(_xlfn.SINGLE(INDEX(#REF!,'Annual Report'!AS76)),"")</f>
        <v/>
      </c>
      <c r="BR76" s="105"/>
      <c r="BS76" s="23"/>
      <c r="BT76" s="23"/>
      <c r="BU76" s="23"/>
      <c r="BV76" s="32" t="s">
        <v>56</v>
      </c>
      <c r="BW76" s="32"/>
      <c r="BX76" s="32"/>
      <c r="BY76" s="32"/>
      <c r="BZ76" s="23"/>
      <c r="CA76" s="32" t="s">
        <v>52</v>
      </c>
      <c r="CB76" s="32"/>
      <c r="CC76" s="32"/>
      <c r="CD76" s="32"/>
      <c r="CE76" s="23"/>
      <c r="CF76" s="23"/>
      <c r="CG76" s="23"/>
      <c r="CH76" s="23"/>
      <c r="CI76" s="23"/>
      <c r="CJ76" s="23"/>
      <c r="CK76" s="130"/>
      <c r="CP76" s="6" t="s">
        <v>237</v>
      </c>
      <c r="CQ76" s="6">
        <f>SUMIFS(Table_Assembly[Specific Amount],Table_Assembly[NG Type],$CP$14,Table_Assembly[Product type],$BU$50,Table_Assembly[NG content],CP76,Table_Assembly[Month],$CP$12)</f>
        <v>0</v>
      </c>
      <c r="CR76" s="6">
        <f>SUMIFS(Table_Assembly[Specific Amount],Table_Assembly[NG Type],$CP$14,Table_Assembly[Product type],$BU$50,Table_Assembly[NG content],CP76,Table_Assembly[Month],$CQ$12)</f>
        <v>0</v>
      </c>
      <c r="CS76" s="6">
        <f>SUMIFS(Table_Assembly[Specific Amount],Table_Assembly[NG Type],$CP$14,Table_Assembly[Product type],$BU$50,Table_Assembly[NG content],CP76,Table_Assembly[Month],$CR$12)</f>
        <v>0</v>
      </c>
      <c r="CT76" s="6">
        <f>SUMIFS(Table_Assembly[Specific Amount],Table_Assembly[NG Type],$CP$14,Table_Assembly[Product type],$BU$50,Table_Assembly[NG content],CP76,Table_Assembly[Month],$CS$12)</f>
        <v>0</v>
      </c>
      <c r="CU76" s="6">
        <f>SUMIFS(Table_Assembly[Specific Amount],Table_Assembly[NG Type],$CP$14,Table_Assembly[Product type],$BU$50,Table_Assembly[NG content],CP76,Table_Assembly[Month],$CT$12)</f>
        <v>0</v>
      </c>
      <c r="CV76" s="6">
        <f>SUMIFS(Table_Assembly[Specific Amount],Table_Assembly[NG Type],$CP$14,Table_Assembly[Product type],$BU$50,Table_Assembly[NG content],CP76,Table_Assembly[Month],$CU$12)</f>
        <v>4</v>
      </c>
      <c r="CW76" s="6">
        <f>SUMIFS(Table_Assembly[Specific Amount],Table_Assembly[NG Type],$CP$14,Table_Assembly[Product type],$BU$50,Table_Assembly[NG content],CP76,Table_Assembly[Month],$CV$12)</f>
        <v>0</v>
      </c>
      <c r="CX76" s="6">
        <f>SUMIFS(Table_Assembly[Specific Amount],Table_Assembly[NG Type],$CP$14,Table_Assembly[Product type],$BU$50,Table_Assembly[NG content],CP76,Table_Assembly[Month],$CW$12)</f>
        <v>0</v>
      </c>
      <c r="CY76" s="6">
        <f>SUMIFS(Table_Assembly[Specific Amount],Table_Assembly[NG Type],$CP$14,Table_Assembly[Product type],$BU$50,Table_Assembly[NG content],CP76,Table_Assembly[Month],$CX$12)</f>
        <v>0</v>
      </c>
      <c r="CZ76" s="6">
        <f>SUMIFS(Table_Assembly[Specific Amount],Table_Assembly[NG Type],$CP$14,Table_Assembly[Product type],$BU$50,Table_Assembly[NG content],CP76,Table_Assembly[Month],$CY$12)</f>
        <v>0</v>
      </c>
      <c r="DA76" s="6">
        <f>SUMIFS(Table_Assembly[Specific Amount],Table_Assembly[NG Type],$CP$14,Table_Assembly[Product type],$BU$50,Table_Assembly[NG content],CP76,Table_Assembly[Month],$CZ$12)</f>
        <v>0</v>
      </c>
      <c r="DB76" s="6">
        <f>SUMIFS(Table_Assembly[Total NG from material],Table_Assembly[Comp.],$CP$14,Table_Assembly[Total Produce],$BU$50,Table_Assembly[Reson for Others],CP76,Table_Assembly[Day],$DA$12)</f>
        <v>0</v>
      </c>
    </row>
    <row r="77" spans="1:106">
      <c r="A77" s="122"/>
      <c r="B77" s="23"/>
      <c r="C77" s="23"/>
      <c r="D77" s="23"/>
      <c r="E77" s="70" t="str">
        <f>Pareto!AH65</f>
        <v>Cấn, trầy</v>
      </c>
      <c r="F77" s="71">
        <f>Pareto!AI65</f>
        <v>14</v>
      </c>
      <c r="G77" s="72">
        <f>Pareto!AJ65</f>
        <v>0.97493036211699169</v>
      </c>
      <c r="H77" s="72">
        <f t="shared" si="72"/>
        <v>96.169916434540397</v>
      </c>
      <c r="I77" s="23"/>
      <c r="J77" s="70" t="str">
        <f>Pareto!AN65</f>
        <v>Tưa lõi</v>
      </c>
      <c r="K77" s="71">
        <f>Pareto!AO65</f>
        <v>4</v>
      </c>
      <c r="L77" s="72">
        <f>Pareto!AP65</f>
        <v>1.2539184952978055</v>
      </c>
      <c r="M77" s="72">
        <f t="shared" si="73"/>
        <v>98.746081504702204</v>
      </c>
      <c r="N77" s="23"/>
      <c r="O77" s="24"/>
      <c r="P77" s="159"/>
      <c r="Q77" s="160"/>
      <c r="R77" s="159"/>
      <c r="S77" s="23"/>
      <c r="T77" s="119"/>
      <c r="AO77" s="6" t="str">
        <f ca="1">IFERROR(MATCH($B$114,OFFSET(#REF!,AO76,0,1000000),0)+AO76,"")</f>
        <v/>
      </c>
      <c r="AP77" s="156" t="str">
        <f ca="1">IFERROR(_xlfn.SINGLE(INDEX(#REF!,'Annual Report'!AO77)),"")</f>
        <v/>
      </c>
      <c r="AQ77" s="6" t="str">
        <f ca="1">IFERROR(_xlfn.SINGLE(INDEX(#REF!,'Annual Report'!AO77)),"")</f>
        <v/>
      </c>
      <c r="AS77" s="6" t="str">
        <f ca="1">IFERROR(MATCH($L$115,OFFSET(#REF!,AS76,0,1000000),0)+AS76,"")</f>
        <v/>
      </c>
      <c r="AT77" s="156" t="str">
        <f ca="1">IFERROR(_xlfn.SINGLE(INDEX(#REF!,'Annual Report'!AS77)),"")</f>
        <v/>
      </c>
      <c r="AU77" s="6" t="str">
        <f ca="1">IFERROR(_xlfn.SINGLE(INDEX(#REF!,'Annual Report'!AS77)),"")</f>
        <v/>
      </c>
      <c r="BR77" s="105"/>
      <c r="BS77" s="23"/>
      <c r="BT77" s="23"/>
      <c r="BU77" s="23"/>
      <c r="BV77" s="33" t="s">
        <v>107</v>
      </c>
      <c r="BW77" s="33" t="s">
        <v>29</v>
      </c>
      <c r="BX77" s="33" t="s">
        <v>108</v>
      </c>
      <c r="BY77" s="33" t="s">
        <v>110</v>
      </c>
      <c r="BZ77" s="23"/>
      <c r="CA77" s="33" t="s">
        <v>107</v>
      </c>
      <c r="CB77" s="33" t="s">
        <v>29</v>
      </c>
      <c r="CC77" s="33" t="s">
        <v>108</v>
      </c>
      <c r="CD77" s="33" t="s">
        <v>110</v>
      </c>
      <c r="CE77" s="23"/>
      <c r="CF77" s="23"/>
      <c r="CG77" s="23"/>
      <c r="CH77" s="23"/>
      <c r="CI77" s="23"/>
      <c r="CJ77" s="23"/>
      <c r="CK77" s="130"/>
      <c r="CP77" s="6" t="s">
        <v>238</v>
      </c>
      <c r="CQ77" s="6">
        <f>SUMIFS(Table_Assembly[Specific Amount],Table_Assembly[NG Type],$CP$14,Table_Assembly[Product type],$BU$50,Table_Assembly[NG content],CP77,Table_Assembly[Month],$CP$12)</f>
        <v>0</v>
      </c>
      <c r="CR77" s="6">
        <f>SUMIFS(Table_Assembly[Specific Amount],Table_Assembly[NG Type],$CP$14,Table_Assembly[Product type],$BU$50,Table_Assembly[NG content],CP77,Table_Assembly[Month],$CQ$12)</f>
        <v>0</v>
      </c>
      <c r="CS77" s="6">
        <f>SUMIFS(Table_Assembly[Specific Amount],Table_Assembly[NG Type],$CP$14,Table_Assembly[Product type],$BU$50,Table_Assembly[NG content],CP77,Table_Assembly[Month],$CR$12)</f>
        <v>0</v>
      </c>
      <c r="CT77" s="6">
        <f>SUMIFS(Table_Assembly[Specific Amount],Table_Assembly[NG Type],$CP$14,Table_Assembly[Product type],$BU$50,Table_Assembly[NG content],CP77,Table_Assembly[Month],$CS$12)</f>
        <v>0</v>
      </c>
      <c r="CU77" s="6">
        <f>SUMIFS(Table_Assembly[Specific Amount],Table_Assembly[NG Type],$CP$14,Table_Assembly[Product type],$BU$50,Table_Assembly[NG content],CP77,Table_Assembly[Month],$CT$12)</f>
        <v>9</v>
      </c>
      <c r="CV77" s="6">
        <f>SUMIFS(Table_Assembly[Specific Amount],Table_Assembly[NG Type],$CP$14,Table_Assembly[Product type],$BU$50,Table_Assembly[NG content],CP77,Table_Assembly[Month],$CU$12)</f>
        <v>1</v>
      </c>
      <c r="CW77" s="6">
        <f>SUMIFS(Table_Assembly[Specific Amount],Table_Assembly[NG Type],$CP$14,Table_Assembly[Product type],$BU$50,Table_Assembly[NG content],CP77,Table_Assembly[Month],$CV$12)</f>
        <v>0</v>
      </c>
      <c r="CX77" s="6">
        <f>SUMIFS(Table_Assembly[Specific Amount],Table_Assembly[NG Type],$CP$14,Table_Assembly[Product type],$BU$50,Table_Assembly[NG content],CP77,Table_Assembly[Month],$CW$12)</f>
        <v>0</v>
      </c>
      <c r="CY77" s="6">
        <f>SUMIFS(Table_Assembly[Specific Amount],Table_Assembly[NG Type],$CP$14,Table_Assembly[Product type],$BU$50,Table_Assembly[NG content],CP77,Table_Assembly[Month],$CX$12)</f>
        <v>0</v>
      </c>
      <c r="CZ77" s="6">
        <f>SUMIFS(Table_Assembly[Specific Amount],Table_Assembly[NG Type],$CP$14,Table_Assembly[Product type],$BU$50,Table_Assembly[NG content],CP77,Table_Assembly[Month],$CY$12)</f>
        <v>0</v>
      </c>
      <c r="DA77" s="6">
        <f>SUMIFS(Table_Assembly[Specific Amount],Table_Assembly[NG Type],$CP$14,Table_Assembly[Product type],$BU$50,Table_Assembly[NG content],CP77,Table_Assembly[Month],$CZ$12)</f>
        <v>0</v>
      </c>
      <c r="DB77" s="6">
        <f>SUMIFS(Table_Assembly[Total NG from material],Table_Assembly[Comp.],$CP$14,Table_Assembly[Total Produce],$BU$50,Table_Assembly[Reson for Others],CP77,Table_Assembly[Day],$DA$12)</f>
        <v>0</v>
      </c>
    </row>
    <row r="78" spans="1:106">
      <c r="A78" s="122"/>
      <c r="B78" s="23"/>
      <c r="C78" s="23"/>
      <c r="D78" s="23"/>
      <c r="E78" s="70" t="str">
        <f>Pareto!AH66</f>
        <v>Bị trầy xước</v>
      </c>
      <c r="F78" s="71">
        <f>Pareto!AI66</f>
        <v>11</v>
      </c>
      <c r="G78" s="72">
        <f>Pareto!AJ66</f>
        <v>0.76601671309192199</v>
      </c>
      <c r="H78" s="72">
        <f t="shared" si="72"/>
        <v>96.935933147632312</v>
      </c>
      <c r="I78" s="23"/>
      <c r="J78" s="70" t="str">
        <f>Pareto!AN66</f>
        <v>Others for Processing</v>
      </c>
      <c r="K78" s="71">
        <f>Pareto!AO66</f>
        <v>3</v>
      </c>
      <c r="L78" s="72">
        <f>Pareto!AP66</f>
        <v>0.94043887147335425</v>
      </c>
      <c r="M78" s="72">
        <f t="shared" si="73"/>
        <v>99.686520376175565</v>
      </c>
      <c r="N78" s="23"/>
      <c r="O78" s="24"/>
      <c r="P78" s="159"/>
      <c r="Q78" s="160"/>
      <c r="R78" s="159"/>
      <c r="S78" s="23"/>
      <c r="T78" s="119"/>
      <c r="AO78" s="6" t="str">
        <f ca="1">IFERROR(MATCH($B$114,OFFSET(#REF!,AO77,0,1000000),0)+AO77,"")</f>
        <v/>
      </c>
      <c r="AP78" s="156" t="str">
        <f ca="1">IFERROR(_xlfn.SINGLE(INDEX(#REF!,'Annual Report'!AO78)),"")</f>
        <v/>
      </c>
      <c r="AQ78" s="6" t="str">
        <f ca="1">IFERROR(_xlfn.SINGLE(INDEX(#REF!,'Annual Report'!AO78)),"")</f>
        <v/>
      </c>
      <c r="AS78" s="6" t="str">
        <f ca="1">IFERROR(MATCH($L$115,OFFSET(#REF!,AS77,0,1000000),0)+AS77,"")</f>
        <v/>
      </c>
      <c r="AT78" s="156" t="str">
        <f ca="1">IFERROR(_xlfn.SINGLE(INDEX(#REF!,'Annual Report'!AS78)),"")</f>
        <v/>
      </c>
      <c r="AU78" s="6" t="str">
        <f ca="1">IFERROR(_xlfn.SINGLE(INDEX(#REF!,'Annual Report'!AS78)),"")</f>
        <v/>
      </c>
      <c r="BR78" s="105"/>
      <c r="BS78" s="23"/>
      <c r="BT78" s="23"/>
      <c r="BU78" s="23"/>
      <c r="BV78" s="67" t="str">
        <f>Pareto!AH154</f>
        <v>Others for Processing</v>
      </c>
      <c r="BW78" s="68">
        <f>Pareto!AI154</f>
        <v>1050</v>
      </c>
      <c r="BX78" s="69">
        <f>Pareto!AJ154</f>
        <v>84</v>
      </c>
      <c r="BY78" s="69">
        <f>BX78</f>
        <v>84</v>
      </c>
      <c r="BZ78" s="23"/>
      <c r="CA78" s="67" t="str">
        <f>Pareto!AN154</f>
        <v>Cháy dây</v>
      </c>
      <c r="CB78" s="68">
        <f>Pareto!AO154</f>
        <v>102</v>
      </c>
      <c r="CC78" s="69">
        <f>Pareto!AP154</f>
        <v>61.077844311377248</v>
      </c>
      <c r="CD78" s="69">
        <f>CC78</f>
        <v>61.077844311377248</v>
      </c>
      <c r="CE78" s="23"/>
      <c r="CF78" s="23"/>
      <c r="CG78" s="23"/>
      <c r="CH78" s="23"/>
      <c r="CI78" s="23"/>
      <c r="CJ78" s="23"/>
      <c r="CK78" s="130"/>
      <c r="CP78" s="6" t="s">
        <v>186</v>
      </c>
      <c r="CQ78" s="6">
        <f>SUMIFS(Table_Assembly[Specific Amount],Table_Assembly[NG Type],$CP$14,Table_Assembly[Product type],$BU$50,Table_Assembly[NG content],CP78,Table_Assembly[Month],$CP$12)</f>
        <v>0</v>
      </c>
      <c r="CR78" s="6">
        <f>SUMIFS(Table_Assembly[Specific Amount],Table_Assembly[NG Type],$CP$14,Table_Assembly[Product type],$BU$50,Table_Assembly[NG content],CP78,Table_Assembly[Month],$CQ$12)</f>
        <v>0</v>
      </c>
      <c r="CS78" s="6">
        <f>SUMIFS(Table_Assembly[Specific Amount],Table_Assembly[NG Type],$CP$14,Table_Assembly[Product type],$BU$50,Table_Assembly[NG content],CP78,Table_Assembly[Month],$CR$12)</f>
        <v>0</v>
      </c>
      <c r="CT78" s="6">
        <f>SUMIFS(Table_Assembly[Specific Amount],Table_Assembly[NG Type],$CP$14,Table_Assembly[Product type],$BU$50,Table_Assembly[NG content],CP78,Table_Assembly[Month],$CS$12)</f>
        <v>0</v>
      </c>
      <c r="CU78" s="6">
        <f>SUMIFS(Table_Assembly[Specific Amount],Table_Assembly[NG Type],$CP$14,Table_Assembly[Product type],$BU$50,Table_Assembly[NG content],CP78,Table_Assembly[Month],$CT$12)</f>
        <v>0</v>
      </c>
      <c r="CV78" s="6">
        <f>SUMIFS(Table_Assembly[Specific Amount],Table_Assembly[NG Type],$CP$14,Table_Assembly[Product type],$BU$50,Table_Assembly[NG content],CP78,Table_Assembly[Month],$CU$12)</f>
        <v>0</v>
      </c>
      <c r="CW78" s="6">
        <f>SUMIFS(Table_Assembly[Specific Amount],Table_Assembly[NG Type],$CP$14,Table_Assembly[Product type],$BU$50,Table_Assembly[NG content],CP78,Table_Assembly[Month],$CV$12)</f>
        <v>0</v>
      </c>
      <c r="CX78" s="6">
        <f>SUMIFS(Table_Assembly[Specific Amount],Table_Assembly[NG Type],$CP$14,Table_Assembly[Product type],$BU$50,Table_Assembly[NG content],CP78,Table_Assembly[Month],$CW$12)</f>
        <v>0</v>
      </c>
      <c r="CY78" s="6">
        <f>SUMIFS(Table_Assembly[Specific Amount],Table_Assembly[NG Type],$CP$14,Table_Assembly[Product type],$BU$50,Table_Assembly[NG content],CP78,Table_Assembly[Month],$CX$12)</f>
        <v>0</v>
      </c>
      <c r="CZ78" s="6">
        <f>SUMIFS(Table_Assembly[Specific Amount],Table_Assembly[NG Type],$CP$14,Table_Assembly[Product type],$BU$50,Table_Assembly[NG content],CP78,Table_Assembly[Month],$CY$12)</f>
        <v>0</v>
      </c>
      <c r="DA78" s="6">
        <f>SUMIFS(Table_Assembly[Specific Amount],Table_Assembly[NG Type],$CP$14,Table_Assembly[Product type],$BU$50,Table_Assembly[NG content],CP78,Table_Assembly[Month],$CZ$12)</f>
        <v>0</v>
      </c>
      <c r="DB78" s="6">
        <f>SUMIFS(Table_Assembly[Total NG from material],Table_Assembly[Comp.],$CP$14,Table_Assembly[Total Produce],$BU$50,Table_Assembly[Reson for Others],CP78,Table_Assembly[Day],$DA$12)</f>
        <v>0</v>
      </c>
    </row>
    <row r="79" spans="1:106">
      <c r="A79" s="122"/>
      <c r="B79" s="23"/>
      <c r="C79" s="23"/>
      <c r="D79" s="23"/>
      <c r="E79" s="70" t="str">
        <f>Pareto!AH67</f>
        <v>Others for IC</v>
      </c>
      <c r="F79" s="71">
        <f>Pareto!AI67</f>
        <v>10</v>
      </c>
      <c r="G79" s="72">
        <f>Pareto!AJ67</f>
        <v>0.69637883008356549</v>
      </c>
      <c r="H79" s="72">
        <f t="shared" si="72"/>
        <v>97.632311977715872</v>
      </c>
      <c r="I79" s="23"/>
      <c r="J79" s="70" t="str">
        <f>Pareto!AN67</f>
        <v>Biến dạng</v>
      </c>
      <c r="K79" s="71">
        <f>Pareto!AO67</f>
        <v>1</v>
      </c>
      <c r="L79" s="72">
        <f>Pareto!AP67</f>
        <v>0.31347962382445138</v>
      </c>
      <c r="M79" s="72">
        <f t="shared" si="73"/>
        <v>100.00000000000001</v>
      </c>
      <c r="N79" s="23"/>
      <c r="O79" s="24"/>
      <c r="P79" s="159"/>
      <c r="Q79" s="160"/>
      <c r="R79" s="159"/>
      <c r="S79" s="23"/>
      <c r="T79" s="119"/>
      <c r="AO79" s="6" t="str">
        <f ca="1">IFERROR(MATCH($B$114,OFFSET(#REF!,AO78,0,1000000),0)+AO78,"")</f>
        <v/>
      </c>
      <c r="AP79" s="156" t="str">
        <f ca="1">IFERROR(_xlfn.SINGLE(INDEX(#REF!,'Annual Report'!AO79)),"")</f>
        <v/>
      </c>
      <c r="AQ79" s="6" t="str">
        <f ca="1">IFERROR(_xlfn.SINGLE(INDEX(#REF!,'Annual Report'!AO79)),"")</f>
        <v/>
      </c>
      <c r="AS79" s="6" t="str">
        <f ca="1">IFERROR(MATCH($L$115,OFFSET(#REF!,AS78,0,1000000),0)+AS78,"")</f>
        <v/>
      </c>
      <c r="AT79" s="156" t="str">
        <f ca="1">IFERROR(_xlfn.SINGLE(INDEX(#REF!,'Annual Report'!AS79)),"")</f>
        <v/>
      </c>
      <c r="AU79" s="6" t="str">
        <f ca="1">IFERROR(_xlfn.SINGLE(INDEX(#REF!,'Annual Report'!AS79)),"")</f>
        <v/>
      </c>
      <c r="BR79" s="105"/>
      <c r="BS79" s="23"/>
      <c r="BT79" s="23"/>
      <c r="BU79" s="23"/>
      <c r="BV79" s="70" t="str">
        <f>Pareto!AH155</f>
        <v>Sai phối màu 誤配色</v>
      </c>
      <c r="BW79" s="71">
        <f>Pareto!AI155</f>
        <v>63</v>
      </c>
      <c r="BX79" s="72">
        <f>Pareto!AJ155</f>
        <v>5.04</v>
      </c>
      <c r="BY79" s="72">
        <f>BY78+BX79</f>
        <v>89.04</v>
      </c>
      <c r="BZ79" s="23"/>
      <c r="CA79" s="70" t="str">
        <f>Pareto!AN155</f>
        <v>Dây ngắn/dài</v>
      </c>
      <c r="CB79" s="71">
        <f>Pareto!AO155</f>
        <v>40</v>
      </c>
      <c r="CC79" s="72">
        <f>Pareto!AP155</f>
        <v>23.952095808383234</v>
      </c>
      <c r="CD79" s="72">
        <f>CD78+CC79</f>
        <v>85.029940119760482</v>
      </c>
      <c r="CE79" s="23"/>
      <c r="CF79" s="23"/>
      <c r="CG79" s="23"/>
      <c r="CH79" s="23"/>
      <c r="CI79" s="23"/>
      <c r="CJ79" s="23"/>
      <c r="CK79" s="130"/>
      <c r="CP79" s="6" t="s">
        <v>187</v>
      </c>
      <c r="CQ79" s="6">
        <f>SUMIFS(Table_Assembly[Specific Amount],Table_Assembly[NG Type],$CP$14,Table_Assembly[Product type],$BU$50,Table_Assembly[NG content],CP79,Table_Assembly[Month],$CP$12)</f>
        <v>0</v>
      </c>
      <c r="CR79" s="6">
        <f>SUMIFS(Table_Assembly[Specific Amount],Table_Assembly[NG Type],$CP$14,Table_Assembly[Product type],$BU$50,Table_Assembly[NG content],CP79,Table_Assembly[Month],$CQ$12)</f>
        <v>0</v>
      </c>
      <c r="CS79" s="6">
        <f>SUMIFS(Table_Assembly[Specific Amount],Table_Assembly[NG Type],$CP$14,Table_Assembly[Product type],$BU$50,Table_Assembly[NG content],CP79,Table_Assembly[Month],$CR$12)</f>
        <v>0</v>
      </c>
      <c r="CT79" s="6">
        <f>SUMIFS(Table_Assembly[Specific Amount],Table_Assembly[NG Type],$CP$14,Table_Assembly[Product type],$BU$50,Table_Assembly[NG content],CP79,Table_Assembly[Month],$CS$12)</f>
        <v>0</v>
      </c>
      <c r="CU79" s="6">
        <f>SUMIFS(Table_Assembly[Specific Amount],Table_Assembly[NG Type],$CP$14,Table_Assembly[Product type],$BU$50,Table_Assembly[NG content],CP79,Table_Assembly[Month],$CT$12)</f>
        <v>0</v>
      </c>
      <c r="CV79" s="6">
        <f>SUMIFS(Table_Assembly[Specific Amount],Table_Assembly[NG Type],$CP$14,Table_Assembly[Product type],$BU$50,Table_Assembly[NG content],CP79,Table_Assembly[Month],$CU$12)</f>
        <v>0</v>
      </c>
      <c r="CW79" s="6">
        <f>SUMIFS(Table_Assembly[Specific Amount],Table_Assembly[NG Type],$CP$14,Table_Assembly[Product type],$BU$50,Table_Assembly[NG content],CP79,Table_Assembly[Month],$CV$12)</f>
        <v>0</v>
      </c>
      <c r="CX79" s="6">
        <f>SUMIFS(Table_Assembly[Specific Amount],Table_Assembly[NG Type],$CP$14,Table_Assembly[Product type],$BU$50,Table_Assembly[NG content],CP79,Table_Assembly[Month],$CW$12)</f>
        <v>0</v>
      </c>
      <c r="CY79" s="6">
        <f>SUMIFS(Table_Assembly[Specific Amount],Table_Assembly[NG Type],$CP$14,Table_Assembly[Product type],$BU$50,Table_Assembly[NG content],CP79,Table_Assembly[Month],$CX$12)</f>
        <v>0</v>
      </c>
      <c r="CZ79" s="6">
        <f>SUMIFS(Table_Assembly[Specific Amount],Table_Assembly[NG Type],$CP$14,Table_Assembly[Product type],$BU$50,Table_Assembly[NG content],CP79,Table_Assembly[Month],$CY$12)</f>
        <v>0</v>
      </c>
      <c r="DA79" s="6">
        <f>SUMIFS(Table_Assembly[Specific Amount],Table_Assembly[NG Type],$CP$14,Table_Assembly[Product type],$BU$50,Table_Assembly[NG content],CP79,Table_Assembly[Month],$CZ$12)</f>
        <v>0</v>
      </c>
      <c r="DB79" s="6">
        <f>SUMIFS(Table_Assembly[Total NG from material],Table_Assembly[Comp.],$CP$14,Table_Assembly[Total Produce],$BU$50,Table_Assembly[Reson for Others],CP79,Table_Assembly[Day],$DA$12)</f>
        <v>0</v>
      </c>
    </row>
    <row r="80" spans="1:106">
      <c r="A80" s="122"/>
      <c r="B80" s="23"/>
      <c r="C80" s="23"/>
      <c r="D80" s="23"/>
      <c r="E80" s="70" t="str">
        <f>Pareto!AH68</f>
        <v>Dập sai</v>
      </c>
      <c r="F80" s="71">
        <f>Pareto!AI68</f>
        <v>8</v>
      </c>
      <c r="G80" s="72">
        <f>Pareto!AJ68</f>
        <v>0.55710306406685239</v>
      </c>
      <c r="H80" s="72">
        <f t="shared" si="72"/>
        <v>98.189415041782723</v>
      </c>
      <c r="I80" s="23"/>
      <c r="J80" s="70" t="str">
        <f>Pareto!AN68</f>
        <v>Không đạt do NL</v>
      </c>
      <c r="K80" s="71">
        <f>Pareto!AO68</f>
        <v>0</v>
      </c>
      <c r="L80" s="72">
        <f>Pareto!AP68</f>
        <v>0</v>
      </c>
      <c r="M80" s="72">
        <f t="shared" si="73"/>
        <v>100.00000000000001</v>
      </c>
      <c r="N80" s="23"/>
      <c r="O80" s="24"/>
      <c r="P80" s="159"/>
      <c r="Q80" s="160"/>
      <c r="R80" s="159"/>
      <c r="S80" s="23"/>
      <c r="T80" s="119"/>
      <c r="AO80" s="6" t="str">
        <f ca="1">IFERROR(MATCH($B$114,OFFSET(#REF!,AO79,0,1000000),0)+AO79,"")</f>
        <v/>
      </c>
      <c r="AP80" s="156" t="str">
        <f ca="1">IFERROR(_xlfn.SINGLE(INDEX(#REF!,'Annual Report'!AO80)),"")</f>
        <v/>
      </c>
      <c r="AQ80" s="6" t="str">
        <f ca="1">IFERROR(_xlfn.SINGLE(INDEX(#REF!,'Annual Report'!AO80)),"")</f>
        <v/>
      </c>
      <c r="AS80" s="6" t="str">
        <f ca="1">IFERROR(MATCH($L$115,OFFSET(#REF!,AS79,0,1000000),0)+AS79,"")</f>
        <v/>
      </c>
      <c r="AT80" s="156" t="str">
        <f ca="1">IFERROR(_xlfn.SINGLE(INDEX(#REF!,'Annual Report'!AS80)),"")</f>
        <v/>
      </c>
      <c r="AU80" s="6" t="str">
        <f ca="1">IFERROR(_xlfn.SINGLE(INDEX(#REF!,'Annual Report'!AS80)),"")</f>
        <v/>
      </c>
      <c r="BR80" s="105"/>
      <c r="BS80" s="23"/>
      <c r="BT80" s="23"/>
      <c r="BU80" s="23"/>
      <c r="BV80" s="70" t="str">
        <f>Pareto!AH156</f>
        <v>Tanshi biến dạng</v>
      </c>
      <c r="BW80" s="71">
        <f>Pareto!AI156</f>
        <v>51</v>
      </c>
      <c r="BX80" s="72">
        <f>Pareto!AJ156</f>
        <v>4.08</v>
      </c>
      <c r="BY80" s="72">
        <f t="shared" ref="BY80:BY114" si="74">BY79+BX80</f>
        <v>93.12</v>
      </c>
      <c r="BZ80" s="23"/>
      <c r="CA80" s="70" t="str">
        <f>Pareto!AN156</f>
        <v>Đứt Lõi</v>
      </c>
      <c r="CB80" s="71">
        <f>Pareto!AO156</f>
        <v>10</v>
      </c>
      <c r="CC80" s="72">
        <f>Pareto!AP156</f>
        <v>5.9880239520958085</v>
      </c>
      <c r="CD80" s="72">
        <f t="shared" ref="CD80:CD114" si="75">CD79+CC80</f>
        <v>91.017964071856284</v>
      </c>
      <c r="CE80" s="23"/>
      <c r="CF80" s="23"/>
      <c r="CG80" s="23"/>
      <c r="CH80" s="23"/>
      <c r="CI80" s="23"/>
      <c r="CJ80" s="23"/>
      <c r="CK80" s="130"/>
      <c r="CP80" s="6" t="s">
        <v>188</v>
      </c>
      <c r="CQ80" s="6">
        <f>SUMIFS(Table_Assembly[Specific Amount],Table_Assembly[NG Type],$CP$14,Table_Assembly[Product type],$BU$50,Table_Assembly[NG content],CP80,Table_Assembly[Month],$CP$12)</f>
        <v>0</v>
      </c>
      <c r="CR80" s="6">
        <f>SUMIFS(Table_Assembly[Specific Amount],Table_Assembly[NG Type],$CP$14,Table_Assembly[Product type],$BU$50,Table_Assembly[NG content],CP80,Table_Assembly[Month],$CQ$12)</f>
        <v>0</v>
      </c>
      <c r="CS80" s="6">
        <f>SUMIFS(Table_Assembly[Specific Amount],Table_Assembly[NG Type],$CP$14,Table_Assembly[Product type],$BU$50,Table_Assembly[NG content],CP80,Table_Assembly[Month],$CR$12)</f>
        <v>0</v>
      </c>
      <c r="CT80" s="6">
        <f>SUMIFS(Table_Assembly[Specific Amount],Table_Assembly[NG Type],$CP$14,Table_Assembly[Product type],$BU$50,Table_Assembly[NG content],CP80,Table_Assembly[Month],$CS$12)</f>
        <v>0</v>
      </c>
      <c r="CU80" s="6">
        <f>SUMIFS(Table_Assembly[Specific Amount],Table_Assembly[NG Type],$CP$14,Table_Assembly[Product type],$BU$50,Table_Assembly[NG content],CP80,Table_Assembly[Month],$CT$12)</f>
        <v>0</v>
      </c>
      <c r="CV80" s="6">
        <f>SUMIFS(Table_Assembly[Specific Amount],Table_Assembly[NG Type],$CP$14,Table_Assembly[Product type],$BU$50,Table_Assembly[NG content],CP80,Table_Assembly[Month],$CU$12)</f>
        <v>0</v>
      </c>
      <c r="CW80" s="6">
        <f>SUMIFS(Table_Assembly[Specific Amount],Table_Assembly[NG Type],$CP$14,Table_Assembly[Product type],$BU$50,Table_Assembly[NG content],CP80,Table_Assembly[Month],$CV$12)</f>
        <v>0</v>
      </c>
      <c r="CX80" s="6">
        <f>SUMIFS(Table_Assembly[Specific Amount],Table_Assembly[NG Type],$CP$14,Table_Assembly[Product type],$BU$50,Table_Assembly[NG content],CP80,Table_Assembly[Month],$CW$12)</f>
        <v>0</v>
      </c>
      <c r="CY80" s="6">
        <f>SUMIFS(Table_Assembly[Specific Amount],Table_Assembly[NG Type],$CP$14,Table_Assembly[Product type],$BU$50,Table_Assembly[NG content],CP80,Table_Assembly[Month],$CX$12)</f>
        <v>0</v>
      </c>
      <c r="CZ80" s="6">
        <f>SUMIFS(Table_Assembly[Specific Amount],Table_Assembly[NG Type],$CP$14,Table_Assembly[Product type],$BU$50,Table_Assembly[NG content],CP80,Table_Assembly[Month],$CY$12)</f>
        <v>0</v>
      </c>
      <c r="DA80" s="6">
        <f>SUMIFS(Table_Assembly[Specific Amount],Table_Assembly[NG Type],$CP$14,Table_Assembly[Product type],$BU$50,Table_Assembly[NG content],CP80,Table_Assembly[Month],$CZ$12)</f>
        <v>0</v>
      </c>
      <c r="DB80" s="6">
        <f>SUMIFS(Table_Assembly[Total NG from material],Table_Assembly[Comp.],$CP$14,Table_Assembly[Total Produce],$BU$50,Table_Assembly[Reson for Others],CP80,Table_Assembly[Day],$DA$12)</f>
        <v>0</v>
      </c>
    </row>
    <row r="81" spans="1:106">
      <c r="A81" s="122"/>
      <c r="B81" s="23"/>
      <c r="C81" s="23"/>
      <c r="D81" s="23"/>
      <c r="E81" s="70" t="str">
        <f>Pareto!AH69</f>
        <v>Dính dị vật 端子が異物付き</v>
      </c>
      <c r="F81" s="71">
        <f>Pareto!AI69</f>
        <v>8</v>
      </c>
      <c r="G81" s="72">
        <f>Pareto!AJ69</f>
        <v>0.55710306406685239</v>
      </c>
      <c r="H81" s="72">
        <f t="shared" si="72"/>
        <v>98.746518105849574</v>
      </c>
      <c r="I81" s="23"/>
      <c r="J81" s="70" t="str">
        <f>Pareto!AN69</f>
        <v>Mẻ, lõm, biến dạng</v>
      </c>
      <c r="K81" s="71">
        <f>Pareto!AO69</f>
        <v>0</v>
      </c>
      <c r="L81" s="72">
        <f>Pareto!AP69</f>
        <v>0</v>
      </c>
      <c r="M81" s="72">
        <f t="shared" si="73"/>
        <v>100.00000000000001</v>
      </c>
      <c r="N81" s="23"/>
      <c r="O81" s="24"/>
      <c r="P81" s="159"/>
      <c r="Q81" s="160"/>
      <c r="R81" s="159"/>
      <c r="S81" s="23"/>
      <c r="T81" s="119"/>
      <c r="AO81" s="6" t="str">
        <f ca="1">IFERROR(MATCH($B$114,OFFSET(#REF!,AO80,0,1000000),0)+AO80,"")</f>
        <v/>
      </c>
      <c r="AP81" s="156" t="str">
        <f ca="1">IFERROR(_xlfn.SINGLE(INDEX(#REF!,'Annual Report'!AO81)),"")</f>
        <v/>
      </c>
      <c r="AQ81" s="6" t="str">
        <f ca="1">IFERROR(_xlfn.SINGLE(INDEX(#REF!,'Annual Report'!AO81)),"")</f>
        <v/>
      </c>
      <c r="AS81" s="6" t="str">
        <f ca="1">IFERROR(MATCH($L$115,OFFSET(#REF!,AS80,0,1000000),0)+AS80,"")</f>
        <v/>
      </c>
      <c r="AT81" s="156" t="str">
        <f ca="1">IFERROR(_xlfn.SINGLE(INDEX(#REF!,'Annual Report'!AS81)),"")</f>
        <v/>
      </c>
      <c r="AU81" s="6" t="str">
        <f ca="1">IFERROR(_xlfn.SINGLE(INDEX(#REF!,'Annual Report'!AS81)),"")</f>
        <v/>
      </c>
      <c r="BR81" s="105"/>
      <c r="BS81" s="23"/>
      <c r="BT81" s="23"/>
      <c r="BU81" s="23"/>
      <c r="BV81" s="70" t="str">
        <f>Pareto!AH157</f>
        <v>Dây ngắn/dài</v>
      </c>
      <c r="BW81" s="71">
        <f>Pareto!AI157</f>
        <v>31</v>
      </c>
      <c r="BX81" s="72">
        <f>Pareto!AJ157</f>
        <v>2.48</v>
      </c>
      <c r="BY81" s="72">
        <f t="shared" si="74"/>
        <v>95.600000000000009</v>
      </c>
      <c r="BZ81" s="23"/>
      <c r="CA81" s="70" t="str">
        <f>Pareto!AN157</f>
        <v>Cấn, trầy</v>
      </c>
      <c r="CB81" s="71">
        <f>Pareto!AO157</f>
        <v>7</v>
      </c>
      <c r="CC81" s="72">
        <f>Pareto!AP157</f>
        <v>4.1916167664670656</v>
      </c>
      <c r="CD81" s="72">
        <f t="shared" si="75"/>
        <v>95.209580838323348</v>
      </c>
      <c r="CE81" s="23"/>
      <c r="CF81" s="23"/>
      <c r="CG81" s="23"/>
      <c r="CH81" s="23"/>
      <c r="CI81" s="23"/>
      <c r="CJ81" s="23"/>
      <c r="CK81" s="130"/>
      <c r="CP81" s="6" t="s">
        <v>189</v>
      </c>
      <c r="CQ81" s="6">
        <f>SUMIFS(Table_Assembly[Specific Amount],Table_Assembly[NG Type],$CP$14,Table_Assembly[Product type],$BU$50,Table_Assembly[NG content],CP81,Table_Assembly[Month],$CP$12)</f>
        <v>0</v>
      </c>
      <c r="CR81" s="6">
        <f>SUMIFS(Table_Assembly[Specific Amount],Table_Assembly[NG Type],$CP$14,Table_Assembly[Product type],$BU$50,Table_Assembly[NG content],CP81,Table_Assembly[Month],$CQ$12)</f>
        <v>0</v>
      </c>
      <c r="CS81" s="6">
        <f>SUMIFS(Table_Assembly[Specific Amount],Table_Assembly[NG Type],$CP$14,Table_Assembly[Product type],$BU$50,Table_Assembly[NG content],CP81,Table_Assembly[Month],$CR$12)</f>
        <v>0</v>
      </c>
      <c r="CT81" s="6">
        <f>SUMIFS(Table_Assembly[Specific Amount],Table_Assembly[NG Type],$CP$14,Table_Assembly[Product type],$BU$50,Table_Assembly[NG content],CP81,Table_Assembly[Month],$CS$12)</f>
        <v>0</v>
      </c>
      <c r="CU81" s="6">
        <f>SUMIFS(Table_Assembly[Specific Amount],Table_Assembly[NG Type],$CP$14,Table_Assembly[Product type],$BU$50,Table_Assembly[NG content],CP81,Table_Assembly[Month],$CT$12)</f>
        <v>0</v>
      </c>
      <c r="CV81" s="6">
        <f>SUMIFS(Table_Assembly[Specific Amount],Table_Assembly[NG Type],$CP$14,Table_Assembly[Product type],$BU$50,Table_Assembly[NG content],CP81,Table_Assembly[Month],$CU$12)</f>
        <v>0</v>
      </c>
      <c r="CW81" s="6">
        <f>SUMIFS(Table_Assembly[Specific Amount],Table_Assembly[NG Type],$CP$14,Table_Assembly[Product type],$BU$50,Table_Assembly[NG content],CP81,Table_Assembly[Month],$CV$12)</f>
        <v>0</v>
      </c>
      <c r="CX81" s="6">
        <f>SUMIFS(Table_Assembly[Specific Amount],Table_Assembly[NG Type],$CP$14,Table_Assembly[Product type],$BU$50,Table_Assembly[NG content],CP81,Table_Assembly[Month],$CW$12)</f>
        <v>0</v>
      </c>
      <c r="CY81" s="6">
        <f>SUMIFS(Table_Assembly[Specific Amount],Table_Assembly[NG Type],$CP$14,Table_Assembly[Product type],$BU$50,Table_Assembly[NG content],CP81,Table_Assembly[Month],$CX$12)</f>
        <v>0</v>
      </c>
      <c r="CZ81" s="6">
        <f>SUMIFS(Table_Assembly[Specific Amount],Table_Assembly[NG Type],$CP$14,Table_Assembly[Product type],$BU$50,Table_Assembly[NG content],CP81,Table_Assembly[Month],$CY$12)</f>
        <v>0</v>
      </c>
      <c r="DA81" s="6">
        <f>SUMIFS(Table_Assembly[Specific Amount],Table_Assembly[NG Type],$CP$14,Table_Assembly[Product type],$BU$50,Table_Assembly[NG content],CP81,Table_Assembly[Month],$CZ$12)</f>
        <v>0</v>
      </c>
      <c r="DB81" s="6">
        <f>SUMIFS(Table_Assembly[Total NG from material],Table_Assembly[Comp.],$CP$14,Table_Assembly[Total Produce],$BU$50,Table_Assembly[Reson for Others],CP81,Table_Assembly[Day],$DA$12)</f>
        <v>0</v>
      </c>
    </row>
    <row r="82" spans="1:106">
      <c r="A82" s="122"/>
      <c r="B82" s="23"/>
      <c r="C82" s="23"/>
      <c r="D82" s="23"/>
      <c r="E82" s="70" t="str">
        <f>Pareto!AH70</f>
        <v>Ngắn, dài</v>
      </c>
      <c r="F82" s="71">
        <f>Pareto!AI70</f>
        <v>4</v>
      </c>
      <c r="G82" s="72">
        <f>Pareto!AJ70</f>
        <v>0.2785515320334262</v>
      </c>
      <c r="H82" s="72">
        <f t="shared" si="72"/>
        <v>99.025069637883007</v>
      </c>
      <c r="I82" s="23"/>
      <c r="J82" s="70" t="str">
        <f>Pareto!AN70</f>
        <v>Đội gờ HS</v>
      </c>
      <c r="K82" s="71">
        <f>Pareto!AO70</f>
        <v>0</v>
      </c>
      <c r="L82" s="72">
        <f>Pareto!AP70</f>
        <v>0</v>
      </c>
      <c r="M82" s="72">
        <f t="shared" si="73"/>
        <v>100.00000000000001</v>
      </c>
      <c r="N82" s="23"/>
      <c r="O82" s="24"/>
      <c r="P82" s="159"/>
      <c r="Q82" s="160"/>
      <c r="R82" s="159"/>
      <c r="S82" s="23"/>
      <c r="T82" s="119"/>
      <c r="AO82" s="6" t="str">
        <f ca="1">IFERROR(MATCH($B$114,OFFSET(#REF!,AO81,0,1000000),0)+AO81,"")</f>
        <v/>
      </c>
      <c r="AP82" s="156" t="str">
        <f ca="1">IFERROR(_xlfn.SINGLE(INDEX(#REF!,'Annual Report'!AO82)),"")</f>
        <v/>
      </c>
      <c r="AQ82" s="6" t="str">
        <f ca="1">IFERROR(_xlfn.SINGLE(INDEX(#REF!,'Annual Report'!AO82)),"")</f>
        <v/>
      </c>
      <c r="AS82" s="6" t="str">
        <f ca="1">IFERROR(MATCH($L$115,OFFSET(#REF!,AS81,0,1000000),0)+AS81,"")</f>
        <v/>
      </c>
      <c r="AT82" s="156" t="str">
        <f ca="1">IFERROR(_xlfn.SINGLE(INDEX(#REF!,'Annual Report'!AS82)),"")</f>
        <v/>
      </c>
      <c r="AU82" s="6" t="str">
        <f ca="1">IFERROR(_xlfn.SINGLE(INDEX(#REF!,'Annual Report'!AS82)),"")</f>
        <v/>
      </c>
      <c r="BR82" s="105"/>
      <c r="BS82" s="23"/>
      <c r="BT82" s="23"/>
      <c r="BU82" s="23"/>
      <c r="BV82" s="70" t="str">
        <f>Pareto!AH158</f>
        <v>Cấn, trầy</v>
      </c>
      <c r="BW82" s="71">
        <f>Pareto!AI158</f>
        <v>14</v>
      </c>
      <c r="BX82" s="72">
        <f>Pareto!AJ158</f>
        <v>1.1199999999999999</v>
      </c>
      <c r="BY82" s="72">
        <f t="shared" si="74"/>
        <v>96.720000000000013</v>
      </c>
      <c r="BZ82" s="23"/>
      <c r="CA82" s="70" t="str">
        <f>Pareto!AN158</f>
        <v>Tưa lõi</v>
      </c>
      <c r="CB82" s="71">
        <f>Pareto!AO158</f>
        <v>4</v>
      </c>
      <c r="CC82" s="72">
        <f>Pareto!AP158</f>
        <v>2.3952095808383236</v>
      </c>
      <c r="CD82" s="72">
        <f t="shared" si="75"/>
        <v>97.604790419161674</v>
      </c>
      <c r="CE82" s="23"/>
      <c r="CF82" s="23"/>
      <c r="CG82" s="23"/>
      <c r="CH82" s="23"/>
      <c r="CI82" s="23"/>
      <c r="CJ82" s="23"/>
      <c r="CK82" s="130"/>
      <c r="CP82" s="6" t="s">
        <v>190</v>
      </c>
      <c r="CQ82" s="6">
        <f>SUMIFS(Table_Assembly[Specific Amount],Table_Assembly[NG Type],$CP$14,Table_Assembly[Product type],$BU$50,Table_Assembly[NG content],CP82,Table_Assembly[Month],$CP$12)</f>
        <v>0</v>
      </c>
      <c r="CR82" s="6">
        <f>SUMIFS(Table_Assembly[Specific Amount],Table_Assembly[NG Type],$CP$14,Table_Assembly[Product type],$BU$50,Table_Assembly[NG content],CP82,Table_Assembly[Month],$CQ$12)</f>
        <v>0</v>
      </c>
      <c r="CS82" s="6">
        <f>SUMIFS(Table_Assembly[Specific Amount],Table_Assembly[NG Type],$CP$14,Table_Assembly[Product type],$BU$50,Table_Assembly[NG content],CP82,Table_Assembly[Month],$CR$12)</f>
        <v>0</v>
      </c>
      <c r="CT82" s="6">
        <f>SUMIFS(Table_Assembly[Specific Amount],Table_Assembly[NG Type],$CP$14,Table_Assembly[Product type],$BU$50,Table_Assembly[NG content],CP82,Table_Assembly[Month],$CS$12)</f>
        <v>0</v>
      </c>
      <c r="CU82" s="6">
        <f>SUMIFS(Table_Assembly[Specific Amount],Table_Assembly[NG Type],$CP$14,Table_Assembly[Product type],$BU$50,Table_Assembly[NG content],CP82,Table_Assembly[Month],$CT$12)</f>
        <v>0</v>
      </c>
      <c r="CV82" s="6">
        <f>SUMIFS(Table_Assembly[Specific Amount],Table_Assembly[NG Type],$CP$14,Table_Assembly[Product type],$BU$50,Table_Assembly[NG content],CP82,Table_Assembly[Month],$CU$12)</f>
        <v>0</v>
      </c>
      <c r="CW82" s="6">
        <f>SUMIFS(Table_Assembly[Specific Amount],Table_Assembly[NG Type],$CP$14,Table_Assembly[Product type],$BU$50,Table_Assembly[NG content],CP82,Table_Assembly[Month],$CV$12)</f>
        <v>0</v>
      </c>
      <c r="CX82" s="6">
        <f>SUMIFS(Table_Assembly[Specific Amount],Table_Assembly[NG Type],$CP$14,Table_Assembly[Product type],$BU$50,Table_Assembly[NG content],CP82,Table_Assembly[Month],$CW$12)</f>
        <v>0</v>
      </c>
      <c r="CY82" s="6">
        <f>SUMIFS(Table_Assembly[Specific Amount],Table_Assembly[NG Type],$CP$14,Table_Assembly[Product type],$BU$50,Table_Assembly[NG content],CP82,Table_Assembly[Month],$CX$12)</f>
        <v>0</v>
      </c>
      <c r="CZ82" s="6">
        <f>SUMIFS(Table_Assembly[Specific Amount],Table_Assembly[NG Type],$CP$14,Table_Assembly[Product type],$BU$50,Table_Assembly[NG content],CP82,Table_Assembly[Month],$CY$12)</f>
        <v>0</v>
      </c>
      <c r="DA82" s="6">
        <f>SUMIFS(Table_Assembly[Specific Amount],Table_Assembly[NG Type],$CP$14,Table_Assembly[Product type],$BU$50,Table_Assembly[NG content],CP82,Table_Assembly[Month],$CZ$12)</f>
        <v>0</v>
      </c>
      <c r="DB82" s="6">
        <f>SUMIFS(Table_Assembly[Total NG from material],Table_Assembly[Comp.],$CP$14,Table_Assembly[Total Produce],$BU$50,Table_Assembly[Reson for Others],CP82,Table_Assembly[Day],$DA$12)</f>
        <v>0</v>
      </c>
    </row>
    <row r="83" spans="1:106">
      <c r="A83" s="122"/>
      <c r="B83" s="23"/>
      <c r="C83" s="23"/>
      <c r="D83" s="23"/>
      <c r="E83" s="70" t="str">
        <f>Pareto!AH71</f>
        <v>Trầy, dơ do NL</v>
      </c>
      <c r="F83" s="71">
        <f>Pareto!AI71</f>
        <v>3</v>
      </c>
      <c r="G83" s="72">
        <f>Pareto!AJ71</f>
        <v>0.20891364902506965</v>
      </c>
      <c r="H83" s="72">
        <f t="shared" si="72"/>
        <v>99.233983286908071</v>
      </c>
      <c r="I83" s="23"/>
      <c r="J83" s="70" t="str">
        <f>Pareto!AN71</f>
        <v>MTD</v>
      </c>
      <c r="K83" s="71">
        <f>Pareto!AO71</f>
        <v>0</v>
      </c>
      <c r="L83" s="72">
        <f>Pareto!AP71</f>
        <v>0</v>
      </c>
      <c r="M83" s="72">
        <f t="shared" si="73"/>
        <v>100.00000000000001</v>
      </c>
      <c r="N83" s="23"/>
      <c r="O83" s="24"/>
      <c r="P83" s="159"/>
      <c r="Q83" s="160"/>
      <c r="R83" s="159"/>
      <c r="S83" s="23"/>
      <c r="T83" s="119"/>
      <c r="AO83" s="6" t="str">
        <f ca="1">IFERROR(MATCH($B$114,OFFSET(#REF!,AO82,0,1000000),0)+AO82,"")</f>
        <v/>
      </c>
      <c r="AP83" s="156" t="str">
        <f ca="1">IFERROR(_xlfn.SINGLE(INDEX(#REF!,'Annual Report'!AO83)),"")</f>
        <v/>
      </c>
      <c r="AQ83" s="6" t="str">
        <f ca="1">IFERROR(_xlfn.SINGLE(INDEX(#REF!,'Annual Report'!AO83)),"")</f>
        <v/>
      </c>
      <c r="AS83" s="6" t="str">
        <f ca="1">IFERROR(MATCH($L$115,OFFSET(#REF!,AS82,0,1000000),0)+AS82,"")</f>
        <v/>
      </c>
      <c r="AT83" s="156" t="str">
        <f ca="1">IFERROR(_xlfn.SINGLE(INDEX(#REF!,'Annual Report'!AS83)),"")</f>
        <v/>
      </c>
      <c r="AU83" s="6" t="str">
        <f ca="1">IFERROR(_xlfn.SINGLE(INDEX(#REF!,'Annual Report'!AS83)),"")</f>
        <v/>
      </c>
      <c r="BR83" s="105"/>
      <c r="BS83" s="23"/>
      <c r="BT83" s="23"/>
      <c r="BU83" s="23"/>
      <c r="BV83" s="70" t="str">
        <f>Pareto!AH159</f>
        <v>Bị trầy xước</v>
      </c>
      <c r="BW83" s="71">
        <f>Pareto!AI159</f>
        <v>11</v>
      </c>
      <c r="BX83" s="72">
        <f>Pareto!AJ159</f>
        <v>0.88</v>
      </c>
      <c r="BY83" s="72">
        <f t="shared" si="74"/>
        <v>97.600000000000009</v>
      </c>
      <c r="BZ83" s="23"/>
      <c r="CA83" s="70" t="str">
        <f>Pareto!AN159</f>
        <v>Others for Processing</v>
      </c>
      <c r="CB83" s="71">
        <f>Pareto!AO159</f>
        <v>3</v>
      </c>
      <c r="CC83" s="72">
        <f>Pareto!AP159</f>
        <v>1.7964071856287425</v>
      </c>
      <c r="CD83" s="72">
        <f t="shared" si="75"/>
        <v>99.401197604790411</v>
      </c>
      <c r="CE83" s="23"/>
      <c r="CF83" s="23"/>
      <c r="CG83" s="23"/>
      <c r="CH83" s="23"/>
      <c r="CI83" s="23"/>
      <c r="CJ83" s="23"/>
      <c r="CK83" s="130"/>
      <c r="CP83" s="6" t="s">
        <v>191</v>
      </c>
      <c r="CQ83" s="6">
        <f>SUMIFS(Table_Assembly[Specific Amount],Table_Assembly[NG Type],$CP$14,Table_Assembly[Product type],$BU$50,Table_Assembly[NG content],CP83,Table_Assembly[Month],$CP$12)</f>
        <v>0</v>
      </c>
      <c r="CR83" s="6">
        <f>SUMIFS(Table_Assembly[Specific Amount],Table_Assembly[NG Type],$CP$14,Table_Assembly[Product type],$BU$50,Table_Assembly[NG content],CP83,Table_Assembly[Month],$CQ$12)</f>
        <v>0</v>
      </c>
      <c r="CS83" s="6">
        <f>SUMIFS(Table_Assembly[Specific Amount],Table_Assembly[NG Type],$CP$14,Table_Assembly[Product type],$BU$50,Table_Assembly[NG content],CP83,Table_Assembly[Month],$CR$12)</f>
        <v>0</v>
      </c>
      <c r="CT83" s="6">
        <f>SUMIFS(Table_Assembly[Specific Amount],Table_Assembly[NG Type],$CP$14,Table_Assembly[Product type],$BU$50,Table_Assembly[NG content],CP83,Table_Assembly[Month],$CS$12)</f>
        <v>0</v>
      </c>
      <c r="CU83" s="6">
        <f>SUMIFS(Table_Assembly[Specific Amount],Table_Assembly[NG Type],$CP$14,Table_Assembly[Product type],$BU$50,Table_Assembly[NG content],CP83,Table_Assembly[Month],$CT$12)</f>
        <v>0</v>
      </c>
      <c r="CV83" s="6">
        <f>SUMIFS(Table_Assembly[Specific Amount],Table_Assembly[NG Type],$CP$14,Table_Assembly[Product type],$BU$50,Table_Assembly[NG content],CP83,Table_Assembly[Month],$CU$12)</f>
        <v>0</v>
      </c>
      <c r="CW83" s="6">
        <f>SUMIFS(Table_Assembly[Specific Amount],Table_Assembly[NG Type],$CP$14,Table_Assembly[Product type],$BU$50,Table_Assembly[NG content],CP83,Table_Assembly[Month],$CV$12)</f>
        <v>0</v>
      </c>
      <c r="CX83" s="6">
        <f>SUMIFS(Table_Assembly[Specific Amount],Table_Assembly[NG Type],$CP$14,Table_Assembly[Product type],$BU$50,Table_Assembly[NG content],CP83,Table_Assembly[Month],$CW$12)</f>
        <v>0</v>
      </c>
      <c r="CY83" s="6">
        <f>SUMIFS(Table_Assembly[Specific Amount],Table_Assembly[NG Type],$CP$14,Table_Assembly[Product type],$BU$50,Table_Assembly[NG content],CP83,Table_Assembly[Month],$CX$12)</f>
        <v>0</v>
      </c>
      <c r="CZ83" s="6">
        <f>SUMIFS(Table_Assembly[Specific Amount],Table_Assembly[NG Type],$CP$14,Table_Assembly[Product type],$BU$50,Table_Assembly[NG content],CP83,Table_Assembly[Month],$CY$12)</f>
        <v>0</v>
      </c>
      <c r="DA83" s="6">
        <f>SUMIFS(Table_Assembly[Specific Amount],Table_Assembly[NG Type],$CP$14,Table_Assembly[Product type],$BU$50,Table_Assembly[NG content],CP83,Table_Assembly[Month],$CZ$12)</f>
        <v>0</v>
      </c>
      <c r="DB83" s="6">
        <f>SUMIFS(Table_Assembly[Total NG from material],Table_Assembly[Comp.],$CP$14,Table_Assembly[Total Produce],$BU$50,Table_Assembly[Reson for Others],CP83,Table_Assembly[Day],$DA$12)</f>
        <v>0</v>
      </c>
    </row>
    <row r="84" spans="1:106">
      <c r="A84" s="122"/>
      <c r="B84" s="23"/>
      <c r="C84" s="23"/>
      <c r="D84" s="23"/>
      <c r="E84" s="70" t="str">
        <f>Pareto!AH72</f>
        <v>Sai kích thước</v>
      </c>
      <c r="F84" s="71">
        <f>Pareto!AI72</f>
        <v>3</v>
      </c>
      <c r="G84" s="72">
        <f>Pareto!AJ72</f>
        <v>0.20891364902506965</v>
      </c>
      <c r="H84" s="72">
        <f t="shared" si="72"/>
        <v>99.442896935933135</v>
      </c>
      <c r="I84" s="23"/>
      <c r="J84" s="70" t="str">
        <f>Pareto!AN72</f>
        <v>Sai phối màu 誤配色</v>
      </c>
      <c r="K84" s="71">
        <f>Pareto!AO72</f>
        <v>0</v>
      </c>
      <c r="L84" s="72">
        <f>Pareto!AP72</f>
        <v>0</v>
      </c>
      <c r="M84" s="72">
        <f t="shared" si="73"/>
        <v>100.00000000000001</v>
      </c>
      <c r="N84" s="23"/>
      <c r="O84" s="24"/>
      <c r="P84" s="159"/>
      <c r="Q84" s="160"/>
      <c r="R84" s="159"/>
      <c r="S84" s="23"/>
      <c r="T84" s="119"/>
      <c r="AO84" s="6" t="str">
        <f ca="1">IFERROR(MATCH($B$114,OFFSET(#REF!,AO83,0,1000000),0)+AO83,"")</f>
        <v/>
      </c>
      <c r="AP84" s="156" t="str">
        <f ca="1">IFERROR(_xlfn.SINGLE(INDEX(#REF!,'Annual Report'!AO84)),"")</f>
        <v/>
      </c>
      <c r="AQ84" s="6" t="str">
        <f ca="1">IFERROR(_xlfn.SINGLE(INDEX(#REF!,'Annual Report'!AO84)),"")</f>
        <v/>
      </c>
      <c r="AS84" s="6" t="str">
        <f ca="1">IFERROR(MATCH($L$115,OFFSET(#REF!,AS83,0,1000000),0)+AS83,"")</f>
        <v/>
      </c>
      <c r="AT84" s="156" t="str">
        <f ca="1">IFERROR(_xlfn.SINGLE(INDEX(#REF!,'Annual Report'!AS84)),"")</f>
        <v/>
      </c>
      <c r="AU84" s="6" t="str">
        <f ca="1">IFERROR(_xlfn.SINGLE(INDEX(#REF!,'Annual Report'!AS84)),"")</f>
        <v/>
      </c>
      <c r="BR84" s="105"/>
      <c r="BS84" s="23"/>
      <c r="BT84" s="23"/>
      <c r="BU84" s="23"/>
      <c r="BV84" s="70" t="str">
        <f>Pareto!AH160</f>
        <v>Dập sai</v>
      </c>
      <c r="BW84" s="71">
        <f>Pareto!AI160</f>
        <v>8</v>
      </c>
      <c r="BX84" s="72">
        <f>Pareto!AJ160</f>
        <v>0.64</v>
      </c>
      <c r="BY84" s="72">
        <f t="shared" si="74"/>
        <v>98.240000000000009</v>
      </c>
      <c r="BZ84" s="23"/>
      <c r="CA84" s="70" t="str">
        <f>Pareto!AN160</f>
        <v>Biến dạng</v>
      </c>
      <c r="CB84" s="71">
        <f>Pareto!AO160</f>
        <v>1</v>
      </c>
      <c r="CC84" s="72">
        <f>Pareto!AP160</f>
        <v>0.5988023952095809</v>
      </c>
      <c r="CD84" s="72">
        <f t="shared" si="75"/>
        <v>99.999999999999986</v>
      </c>
      <c r="CE84" s="23"/>
      <c r="CF84" s="23"/>
      <c r="CG84" s="23"/>
      <c r="CH84" s="23"/>
      <c r="CI84" s="23"/>
      <c r="CJ84" s="23"/>
      <c r="CK84" s="130"/>
      <c r="CP84" s="6" t="s">
        <v>240</v>
      </c>
      <c r="CQ84" s="6">
        <f>SUMIFS(Table_Assembly[Specific Amount],Table_Assembly[NG Type],$CP$14,Table_Assembly[Product type],$BU$50,Table_Assembly[NG content],CP84,Table_Assembly[Month],$CP$12)</f>
        <v>0</v>
      </c>
      <c r="CR84" s="6">
        <f>SUMIFS(Table_Assembly[Specific Amount],Table_Assembly[NG Type],$CP$14,Table_Assembly[Product type],$BU$50,Table_Assembly[NG content],CP84,Table_Assembly[Month],$CQ$12)</f>
        <v>0</v>
      </c>
      <c r="CS84" s="6">
        <f>SUMIFS(Table_Assembly[Specific Amount],Table_Assembly[NG Type],$CP$14,Table_Assembly[Product type],$BU$50,Table_Assembly[NG content],CP84,Table_Assembly[Month],$CR$12)</f>
        <v>0</v>
      </c>
      <c r="CT84" s="6">
        <f>SUMIFS(Table_Assembly[Specific Amount],Table_Assembly[NG Type],$CP$14,Table_Assembly[Product type],$BU$50,Table_Assembly[NG content],CP84,Table_Assembly[Month],$CS$12)</f>
        <v>0</v>
      </c>
      <c r="CU84" s="6">
        <f>SUMIFS(Table_Assembly[Specific Amount],Table_Assembly[NG Type],$CP$14,Table_Assembly[Product type],$BU$50,Table_Assembly[NG content],CP84,Table_Assembly[Month],$CT$12)</f>
        <v>0</v>
      </c>
      <c r="CV84" s="6">
        <f>SUMIFS(Table_Assembly[Specific Amount],Table_Assembly[NG Type],$CP$14,Table_Assembly[Product type],$BU$50,Table_Assembly[NG content],CP84,Table_Assembly[Month],$CU$12)</f>
        <v>0</v>
      </c>
      <c r="CW84" s="6">
        <f>SUMIFS(Table_Assembly[Specific Amount],Table_Assembly[NG Type],$CP$14,Table_Assembly[Product type],$BU$50,Table_Assembly[NG content],CP84,Table_Assembly[Month],$CV$12)</f>
        <v>0</v>
      </c>
      <c r="CX84" s="6">
        <f>SUMIFS(Table_Assembly[Specific Amount],Table_Assembly[NG Type],$CP$14,Table_Assembly[Product type],$BU$50,Table_Assembly[NG content],CP84,Table_Assembly[Month],$CW$12)</f>
        <v>0</v>
      </c>
      <c r="CY84" s="6">
        <f>SUMIFS(Table_Assembly[Specific Amount],Table_Assembly[NG Type],$CP$14,Table_Assembly[Product type],$BU$50,Table_Assembly[NG content],CP84,Table_Assembly[Month],$CX$12)</f>
        <v>0</v>
      </c>
      <c r="CZ84" s="6">
        <f>SUMIFS(Table_Assembly[Specific Amount],Table_Assembly[NG Type],$CP$14,Table_Assembly[Product type],$BU$50,Table_Assembly[NG content],CP84,Table_Assembly[Month],$CY$12)</f>
        <v>0</v>
      </c>
      <c r="DA84" s="6">
        <f>SUMIFS(Table_Assembly[Specific Amount],Table_Assembly[NG Type],$CP$14,Table_Assembly[Product type],$BU$50,Table_Assembly[NG content],CP84,Table_Assembly[Month],$CZ$12)</f>
        <v>0</v>
      </c>
      <c r="DB84" s="6">
        <f>SUMIFS(Table_Assembly[Total NG from material],Table_Assembly[Comp.],$CP$14,Table_Assembly[Total Produce],$BU$50,Table_Assembly[Reson for Others],CP84,Table_Assembly[Day],$DA$12)</f>
        <v>0</v>
      </c>
    </row>
    <row r="85" spans="1:106">
      <c r="A85" s="122"/>
      <c r="B85" s="23"/>
      <c r="C85" s="23"/>
      <c r="D85" s="23"/>
      <c r="E85" s="70" t="str">
        <f>Pareto!AH73</f>
        <v>Bị bể, mẻ, cấn</v>
      </c>
      <c r="F85" s="71">
        <f>Pareto!AI73</f>
        <v>2</v>
      </c>
      <c r="G85" s="72">
        <f>Pareto!AJ73</f>
        <v>0.1392757660167131</v>
      </c>
      <c r="H85" s="72">
        <f t="shared" si="72"/>
        <v>99.582172701949844</v>
      </c>
      <c r="I85" s="23"/>
      <c r="J85" s="70" t="str">
        <f>Pareto!AN73</f>
        <v>Sai ống チューブ間違い</v>
      </c>
      <c r="K85" s="71">
        <f>Pareto!AO73</f>
        <v>0</v>
      </c>
      <c r="L85" s="72">
        <f>Pareto!AP73</f>
        <v>0</v>
      </c>
      <c r="M85" s="72">
        <f t="shared" si="73"/>
        <v>100.00000000000001</v>
      </c>
      <c r="N85" s="23"/>
      <c r="O85" s="24"/>
      <c r="P85" s="159"/>
      <c r="Q85" s="160"/>
      <c r="R85" s="159"/>
      <c r="S85" s="23"/>
      <c r="T85" s="119"/>
      <c r="AO85" s="6" t="str">
        <f ca="1">IFERROR(MATCH($B$114,OFFSET(#REF!,AO84,0,1000000),0)+AO84,"")</f>
        <v/>
      </c>
      <c r="AP85" s="156" t="str">
        <f ca="1">IFERROR(_xlfn.SINGLE(INDEX(#REF!,'Annual Report'!AO85)),"")</f>
        <v/>
      </c>
      <c r="AQ85" s="6" t="str">
        <f ca="1">IFERROR(_xlfn.SINGLE(INDEX(#REF!,'Annual Report'!AO85)),"")</f>
        <v/>
      </c>
      <c r="AS85" s="6" t="str">
        <f ca="1">IFERROR(MATCH($L$115,OFFSET(#REF!,AS84,0,1000000),0)+AS84,"")</f>
        <v/>
      </c>
      <c r="AT85" s="156" t="str">
        <f ca="1">IFERROR(_xlfn.SINGLE(INDEX(#REF!,'Annual Report'!AS85)),"")</f>
        <v/>
      </c>
      <c r="AU85" s="6" t="str">
        <f ca="1">IFERROR(_xlfn.SINGLE(INDEX(#REF!,'Annual Report'!AS85)),"")</f>
        <v/>
      </c>
      <c r="BR85" s="105"/>
      <c r="BS85" s="23"/>
      <c r="BT85" s="23"/>
      <c r="BU85" s="23"/>
      <c r="BV85" s="70" t="str">
        <f>Pareto!AH161</f>
        <v>Dính dị vật 端子が異物付き</v>
      </c>
      <c r="BW85" s="71">
        <f>Pareto!AI161</f>
        <v>8</v>
      </c>
      <c r="BX85" s="72">
        <f>Pareto!AJ161</f>
        <v>0.64</v>
      </c>
      <c r="BY85" s="72">
        <f t="shared" si="74"/>
        <v>98.88000000000001</v>
      </c>
      <c r="BZ85" s="23"/>
      <c r="CA85" s="70" t="str">
        <f>Pareto!AN161</f>
        <v>Sai phối màu 誤配色</v>
      </c>
      <c r="CB85" s="71">
        <f>Pareto!AO161</f>
        <v>0</v>
      </c>
      <c r="CC85" s="72">
        <f>Pareto!AP161</f>
        <v>0</v>
      </c>
      <c r="CD85" s="72">
        <f t="shared" si="75"/>
        <v>99.999999999999986</v>
      </c>
      <c r="CE85" s="23"/>
      <c r="CF85" s="23"/>
      <c r="CG85" s="23"/>
      <c r="CH85" s="23"/>
      <c r="CI85" s="23"/>
      <c r="CJ85" s="23"/>
      <c r="CK85" s="130"/>
      <c r="CP85" s="6" t="s">
        <v>192</v>
      </c>
      <c r="CQ85" s="6">
        <f>SUMIFS(Table_Assembly[Specific Amount],Table_Assembly[NG Type],$CP$14,Table_Assembly[Product type],$BU$50,Table_Assembly[NG content],CP85,Table_Assembly[Month],$CP$12)</f>
        <v>0</v>
      </c>
      <c r="CR85" s="6">
        <f>SUMIFS(Table_Assembly[Specific Amount],Table_Assembly[NG Type],$CP$14,Table_Assembly[Product type],$BU$50,Table_Assembly[NG content],CP85,Table_Assembly[Month],$CQ$12)</f>
        <v>0</v>
      </c>
      <c r="CS85" s="6">
        <f>SUMIFS(Table_Assembly[Specific Amount],Table_Assembly[NG Type],$CP$14,Table_Assembly[Product type],$BU$50,Table_Assembly[NG content],CP85,Table_Assembly[Month],$CR$12)</f>
        <v>0</v>
      </c>
      <c r="CT85" s="6">
        <f>SUMIFS(Table_Assembly[Specific Amount],Table_Assembly[NG Type],$CP$14,Table_Assembly[Product type],$BU$50,Table_Assembly[NG content],CP85,Table_Assembly[Month],$CS$12)</f>
        <v>0</v>
      </c>
      <c r="CU85" s="6">
        <f>SUMIFS(Table_Assembly[Specific Amount],Table_Assembly[NG Type],$CP$14,Table_Assembly[Product type],$BU$50,Table_Assembly[NG content],CP85,Table_Assembly[Month],$CT$12)</f>
        <v>0</v>
      </c>
      <c r="CV85" s="6">
        <f>SUMIFS(Table_Assembly[Specific Amount],Table_Assembly[NG Type],$CP$14,Table_Assembly[Product type],$BU$50,Table_Assembly[NG content],CP85,Table_Assembly[Month],$CU$12)</f>
        <v>0</v>
      </c>
      <c r="CW85" s="6">
        <f>SUMIFS(Table_Assembly[Specific Amount],Table_Assembly[NG Type],$CP$14,Table_Assembly[Product type],$BU$50,Table_Assembly[NG content],CP85,Table_Assembly[Month],$CV$12)</f>
        <v>0</v>
      </c>
      <c r="CX85" s="6">
        <f>SUMIFS(Table_Assembly[Specific Amount],Table_Assembly[NG Type],$CP$14,Table_Assembly[Product type],$BU$50,Table_Assembly[NG content],CP85,Table_Assembly[Month],$CW$12)</f>
        <v>0</v>
      </c>
      <c r="CY85" s="6">
        <f>SUMIFS(Table_Assembly[Specific Amount],Table_Assembly[NG Type],$CP$14,Table_Assembly[Product type],$BU$50,Table_Assembly[NG content],CP85,Table_Assembly[Month],$CX$12)</f>
        <v>0</v>
      </c>
      <c r="CZ85" s="6">
        <f>SUMIFS(Table_Assembly[Specific Amount],Table_Assembly[NG Type],$CP$14,Table_Assembly[Product type],$BU$50,Table_Assembly[NG content],CP85,Table_Assembly[Month],$CY$12)</f>
        <v>0</v>
      </c>
      <c r="DA85" s="6">
        <f>SUMIFS(Table_Assembly[Specific Amount],Table_Assembly[NG Type],$CP$14,Table_Assembly[Product type],$BU$50,Table_Assembly[NG content],CP85,Table_Assembly[Month],$CZ$12)</f>
        <v>0</v>
      </c>
      <c r="DB85" s="6">
        <f>SUMIFS(Table_Assembly[Total NG from material],Table_Assembly[Comp.],$CP$14,Table_Assembly[Total Produce],$BU$50,Table_Assembly[Reson for Others],CP85,Table_Assembly[Day],$DA$12)</f>
        <v>0</v>
      </c>
    </row>
    <row r="86" spans="1:106">
      <c r="A86" s="122"/>
      <c r="B86" s="23"/>
      <c r="C86" s="23"/>
      <c r="D86" s="23"/>
      <c r="E86" s="70" t="str">
        <f>Pareto!AH74</f>
        <v>MTD</v>
      </c>
      <c r="F86" s="71">
        <f>Pareto!AI74</f>
        <v>1</v>
      </c>
      <c r="G86" s="72">
        <f>Pareto!AJ74</f>
        <v>6.9637883008356549E-2</v>
      </c>
      <c r="H86" s="72">
        <f t="shared" si="72"/>
        <v>99.651810584958199</v>
      </c>
      <c r="I86" s="23"/>
      <c r="J86" s="70" t="str">
        <f>Pareto!AN74</f>
        <v>Ngược nút bọc</v>
      </c>
      <c r="K86" s="71">
        <f>Pareto!AO74</f>
        <v>0</v>
      </c>
      <c r="L86" s="72">
        <f>Pareto!AP74</f>
        <v>0</v>
      </c>
      <c r="M86" s="72">
        <f t="shared" si="73"/>
        <v>100.00000000000001</v>
      </c>
      <c r="N86" s="23"/>
      <c r="O86" s="24"/>
      <c r="P86" s="159"/>
      <c r="Q86" s="160"/>
      <c r="R86" s="159"/>
      <c r="S86" s="23"/>
      <c r="T86" s="119"/>
      <c r="AO86" s="6" t="str">
        <f ca="1">IFERROR(MATCH($B$114,OFFSET(#REF!,AO85,0,1000000),0)+AO85,"")</f>
        <v/>
      </c>
      <c r="AP86" s="156" t="str">
        <f ca="1">IFERROR(_xlfn.SINGLE(INDEX(#REF!,'Annual Report'!AO86)),"")</f>
        <v/>
      </c>
      <c r="AQ86" s="6" t="str">
        <f ca="1">IFERROR(_xlfn.SINGLE(INDEX(#REF!,'Annual Report'!AO86)),"")</f>
        <v/>
      </c>
      <c r="AS86" s="6" t="str">
        <f ca="1">IFERROR(MATCH($L$115,OFFSET(#REF!,AS85,0,1000000),0)+AS85,"")</f>
        <v/>
      </c>
      <c r="AT86" s="156" t="str">
        <f ca="1">IFERROR(_xlfn.SINGLE(INDEX(#REF!,'Annual Report'!AS86)),"")</f>
        <v/>
      </c>
      <c r="AU86" s="6" t="str">
        <f ca="1">IFERROR(_xlfn.SINGLE(INDEX(#REF!,'Annual Report'!AS86)),"")</f>
        <v/>
      </c>
      <c r="BR86" s="105"/>
      <c r="BS86" s="23"/>
      <c r="BT86" s="23"/>
      <c r="BU86" s="23"/>
      <c r="BV86" s="70" t="str">
        <f>Pareto!AH162</f>
        <v>Ngắn, dài</v>
      </c>
      <c r="BW86" s="71">
        <f>Pareto!AI162</f>
        <v>4</v>
      </c>
      <c r="BX86" s="72">
        <f>Pareto!AJ162</f>
        <v>0.32</v>
      </c>
      <c r="BY86" s="72">
        <f t="shared" si="74"/>
        <v>99.2</v>
      </c>
      <c r="BZ86" s="23"/>
      <c r="CA86" s="70" t="str">
        <f>Pareto!AN162</f>
        <v>Sai ống チューブ間違い</v>
      </c>
      <c r="CB86" s="71">
        <f>Pareto!AO162</f>
        <v>0</v>
      </c>
      <c r="CC86" s="72">
        <f>Pareto!AP162</f>
        <v>0</v>
      </c>
      <c r="CD86" s="72">
        <f t="shared" si="75"/>
        <v>99.999999999999986</v>
      </c>
      <c r="CE86" s="23"/>
      <c r="CF86" s="23"/>
      <c r="CG86" s="23"/>
      <c r="CH86" s="23"/>
      <c r="CI86" s="23"/>
      <c r="CJ86" s="23"/>
      <c r="CK86" s="130"/>
      <c r="CP86" s="6" t="s">
        <v>193</v>
      </c>
      <c r="CQ86" s="6">
        <f>SUMIFS(Table_Assembly[Specific Amount],Table_Assembly[NG Type],$CP$14,Table_Assembly[Product type],$BU$50,Table_Assembly[NG content],CP86,Table_Assembly[Month],$CP$12)</f>
        <v>0</v>
      </c>
      <c r="CR86" s="6">
        <f>SUMIFS(Table_Assembly[Specific Amount],Table_Assembly[NG Type],$CP$14,Table_Assembly[Product type],$BU$50,Table_Assembly[NG content],CP86,Table_Assembly[Month],$CQ$12)</f>
        <v>0</v>
      </c>
      <c r="CS86" s="6">
        <f>SUMIFS(Table_Assembly[Specific Amount],Table_Assembly[NG Type],$CP$14,Table_Assembly[Product type],$BU$50,Table_Assembly[NG content],CP86,Table_Assembly[Month],$CR$12)</f>
        <v>0</v>
      </c>
      <c r="CT86" s="6">
        <f>SUMIFS(Table_Assembly[Specific Amount],Table_Assembly[NG Type],$CP$14,Table_Assembly[Product type],$BU$50,Table_Assembly[NG content],CP86,Table_Assembly[Month],$CS$12)</f>
        <v>0</v>
      </c>
      <c r="CU86" s="6">
        <f>SUMIFS(Table_Assembly[Specific Amount],Table_Assembly[NG Type],$CP$14,Table_Assembly[Product type],$BU$50,Table_Assembly[NG content],CP86,Table_Assembly[Month],$CT$12)</f>
        <v>0</v>
      </c>
      <c r="CV86" s="6">
        <f>SUMIFS(Table_Assembly[Specific Amount],Table_Assembly[NG Type],$CP$14,Table_Assembly[Product type],$BU$50,Table_Assembly[NG content],CP86,Table_Assembly[Month],$CU$12)</f>
        <v>0</v>
      </c>
      <c r="CW86" s="6">
        <f>SUMIFS(Table_Assembly[Specific Amount],Table_Assembly[NG Type],$CP$14,Table_Assembly[Product type],$BU$50,Table_Assembly[NG content],CP86,Table_Assembly[Month],$CV$12)</f>
        <v>0</v>
      </c>
      <c r="CX86" s="6">
        <f>SUMIFS(Table_Assembly[Specific Amount],Table_Assembly[NG Type],$CP$14,Table_Assembly[Product type],$BU$50,Table_Assembly[NG content],CP86,Table_Assembly[Month],$CW$12)</f>
        <v>0</v>
      </c>
      <c r="CY86" s="6">
        <f>SUMIFS(Table_Assembly[Specific Amount],Table_Assembly[NG Type],$CP$14,Table_Assembly[Product type],$BU$50,Table_Assembly[NG content],CP86,Table_Assembly[Month],$CX$12)</f>
        <v>0</v>
      </c>
      <c r="CZ86" s="6">
        <f>SUMIFS(Table_Assembly[Specific Amount],Table_Assembly[NG Type],$CP$14,Table_Assembly[Product type],$BU$50,Table_Assembly[NG content],CP86,Table_Assembly[Month],$CY$12)</f>
        <v>0</v>
      </c>
      <c r="DA86" s="6">
        <f>SUMIFS(Table_Assembly[Specific Amount],Table_Assembly[NG Type],$CP$14,Table_Assembly[Product type],$BU$50,Table_Assembly[NG content],CP86,Table_Assembly[Month],$CZ$12)</f>
        <v>0</v>
      </c>
      <c r="DB86" s="6">
        <f>SUMIFS(Table_Assembly[Total NG from material],Table_Assembly[Comp.],$CP$14,Table_Assembly[Total Produce],$BU$50,Table_Assembly[Reson for Others],CP86,Table_Assembly[Day],$DA$12)</f>
        <v>0</v>
      </c>
    </row>
    <row r="87" spans="1:106">
      <c r="A87" s="122"/>
      <c r="B87" s="23"/>
      <c r="C87" s="23"/>
      <c r="D87" s="23"/>
      <c r="E87" s="70" t="str">
        <f>Pareto!AH75</f>
        <v>Sai ống チューブ間違い</v>
      </c>
      <c r="F87" s="71">
        <f>Pareto!AI75</f>
        <v>1</v>
      </c>
      <c r="G87" s="72">
        <f>Pareto!AJ75</f>
        <v>6.9637883008356549E-2</v>
      </c>
      <c r="H87" s="72">
        <f t="shared" si="72"/>
        <v>99.721448467966553</v>
      </c>
      <c r="I87" s="23"/>
      <c r="J87" s="70" t="str">
        <f>Pareto!AN75</f>
        <v>Thông dòng NG</v>
      </c>
      <c r="K87" s="71">
        <f>Pareto!AO75</f>
        <v>0</v>
      </c>
      <c r="L87" s="72">
        <f>Pareto!AP75</f>
        <v>0</v>
      </c>
      <c r="M87" s="72">
        <f t="shared" si="73"/>
        <v>100.00000000000001</v>
      </c>
      <c r="N87" s="23"/>
      <c r="O87" s="24"/>
      <c r="P87" s="159"/>
      <c r="Q87" s="160"/>
      <c r="R87" s="159"/>
      <c r="S87" s="23"/>
      <c r="T87" s="119"/>
      <c r="AO87" s="6" t="str">
        <f ca="1">IFERROR(MATCH($B$114,OFFSET(#REF!,AO86,0,1000000),0)+AO86,"")</f>
        <v/>
      </c>
      <c r="AP87" s="156" t="str">
        <f ca="1">IFERROR(_xlfn.SINGLE(INDEX(#REF!,'Annual Report'!AO87)),"")</f>
        <v/>
      </c>
      <c r="AQ87" s="6" t="str">
        <f ca="1">IFERROR(_xlfn.SINGLE(INDEX(#REF!,'Annual Report'!AO87)),"")</f>
        <v/>
      </c>
      <c r="AS87" s="6" t="str">
        <f ca="1">IFERROR(MATCH($L$115,OFFSET(#REF!,AS86,0,1000000),0)+AS86,"")</f>
        <v/>
      </c>
      <c r="AT87" s="156" t="str">
        <f ca="1">IFERROR(_xlfn.SINGLE(INDEX(#REF!,'Annual Report'!AS87)),"")</f>
        <v/>
      </c>
      <c r="AU87" s="6" t="str">
        <f ca="1">IFERROR(_xlfn.SINGLE(INDEX(#REF!,'Annual Report'!AS87)),"")</f>
        <v/>
      </c>
      <c r="BR87" s="105"/>
      <c r="BS87" s="23"/>
      <c r="BT87" s="23"/>
      <c r="BU87" s="23"/>
      <c r="BV87" s="70" t="str">
        <f>Pareto!AH163</f>
        <v>Sai kích thước</v>
      </c>
      <c r="BW87" s="71">
        <f>Pareto!AI163</f>
        <v>3</v>
      </c>
      <c r="BX87" s="72">
        <f>Pareto!AJ163</f>
        <v>0.24</v>
      </c>
      <c r="BY87" s="72">
        <f t="shared" si="74"/>
        <v>99.44</v>
      </c>
      <c r="BZ87" s="23"/>
      <c r="CA87" s="70" t="str">
        <f>Pareto!AN163</f>
        <v>Ngược nút bọc</v>
      </c>
      <c r="CB87" s="71">
        <f>Pareto!AO163</f>
        <v>0</v>
      </c>
      <c r="CC87" s="72">
        <f>Pareto!AP163</f>
        <v>0</v>
      </c>
      <c r="CD87" s="72">
        <f t="shared" si="75"/>
        <v>99.999999999999986</v>
      </c>
      <c r="CE87" s="23"/>
      <c r="CF87" s="23"/>
      <c r="CG87" s="23"/>
      <c r="CH87" s="23"/>
      <c r="CI87" s="23"/>
      <c r="CJ87" s="23"/>
      <c r="CK87" s="130"/>
      <c r="CP87" s="6" t="s">
        <v>241</v>
      </c>
      <c r="CQ87" s="6">
        <f>SUMIFS(Table_Assembly[Specific Amount],Table_Assembly[NG Type],$CP$14,Table_Assembly[Product type],$BU$50,Table_Assembly[NG content],CP87,Table_Assembly[Month],$CP$12)</f>
        <v>0</v>
      </c>
      <c r="CR87" s="6">
        <f>SUMIFS(Table_Assembly[Specific Amount],Table_Assembly[NG Type],$CP$14,Table_Assembly[Product type],$BU$50,Table_Assembly[NG content],CP87,Table_Assembly[Month],$CQ$12)</f>
        <v>0</v>
      </c>
      <c r="CS87" s="6">
        <f>SUMIFS(Table_Assembly[Specific Amount],Table_Assembly[NG Type],$CP$14,Table_Assembly[Product type],$BU$50,Table_Assembly[NG content],CP87,Table_Assembly[Month],$CR$12)</f>
        <v>0</v>
      </c>
      <c r="CT87" s="6">
        <f>SUMIFS(Table_Assembly[Specific Amount],Table_Assembly[NG Type],$CP$14,Table_Assembly[Product type],$BU$50,Table_Assembly[NG content],CP87,Table_Assembly[Month],$CS$12)</f>
        <v>0</v>
      </c>
      <c r="CU87" s="6">
        <f>SUMIFS(Table_Assembly[Specific Amount],Table_Assembly[NG Type],$CP$14,Table_Assembly[Product type],$BU$50,Table_Assembly[NG content],CP87,Table_Assembly[Month],$CT$12)</f>
        <v>0</v>
      </c>
      <c r="CV87" s="6">
        <f>SUMIFS(Table_Assembly[Specific Amount],Table_Assembly[NG Type],$CP$14,Table_Assembly[Product type],$BU$50,Table_Assembly[NG content],CP87,Table_Assembly[Month],$CU$12)</f>
        <v>0</v>
      </c>
      <c r="CW87" s="6">
        <f>SUMIFS(Table_Assembly[Specific Amount],Table_Assembly[NG Type],$CP$14,Table_Assembly[Product type],$BU$50,Table_Assembly[NG content],CP87,Table_Assembly[Month],$CV$12)</f>
        <v>0</v>
      </c>
      <c r="CX87" s="6">
        <f>SUMIFS(Table_Assembly[Specific Amount],Table_Assembly[NG Type],$CP$14,Table_Assembly[Product type],$BU$50,Table_Assembly[NG content],CP87,Table_Assembly[Month],$CW$12)</f>
        <v>0</v>
      </c>
      <c r="CY87" s="6">
        <f>SUMIFS(Table_Assembly[Specific Amount],Table_Assembly[NG Type],$CP$14,Table_Assembly[Product type],$BU$50,Table_Assembly[NG content],CP87,Table_Assembly[Month],$CX$12)</f>
        <v>0</v>
      </c>
      <c r="CZ87" s="6">
        <f>SUMIFS(Table_Assembly[Specific Amount],Table_Assembly[NG Type],$CP$14,Table_Assembly[Product type],$BU$50,Table_Assembly[NG content],CP87,Table_Assembly[Month],$CY$12)</f>
        <v>0</v>
      </c>
      <c r="DA87" s="6">
        <f>SUMIFS(Table_Assembly[Specific Amount],Table_Assembly[NG Type],$CP$14,Table_Assembly[Product type],$BU$50,Table_Assembly[NG content],CP87,Table_Assembly[Month],$CZ$12)</f>
        <v>0</v>
      </c>
      <c r="DB87" s="6">
        <f>SUMIFS(Table_Assembly[Total NG from material],Table_Assembly[Comp.],$CP$14,Table_Assembly[Total Produce],$BU$50,Table_Assembly[Reson for Others],CP87,Table_Assembly[Day],$DA$12)</f>
        <v>0</v>
      </c>
    </row>
    <row r="88" spans="1:106">
      <c r="A88" s="122"/>
      <c r="B88" s="23"/>
      <c r="C88" s="23"/>
      <c r="D88" s="23"/>
      <c r="E88" s="73" t="str">
        <f>Pareto!AH76</f>
        <v>Thông dòng NG</v>
      </c>
      <c r="F88" s="71">
        <f>Pareto!AI76</f>
        <v>1</v>
      </c>
      <c r="G88" s="72">
        <f>Pareto!AJ76</f>
        <v>6.9637883008356549E-2</v>
      </c>
      <c r="H88" s="128">
        <f t="shared" si="72"/>
        <v>99.791086350974908</v>
      </c>
      <c r="I88" s="23"/>
      <c r="J88" s="73" t="str">
        <f>Pareto!AN76</f>
        <v>Ngược Diode</v>
      </c>
      <c r="K88" s="71">
        <f>Pareto!AO76</f>
        <v>0</v>
      </c>
      <c r="L88" s="72">
        <f>Pareto!AP76</f>
        <v>0</v>
      </c>
      <c r="M88" s="128">
        <f t="shared" si="73"/>
        <v>100.00000000000001</v>
      </c>
      <c r="N88" s="23"/>
      <c r="O88" s="23"/>
      <c r="P88" s="159"/>
      <c r="Q88" s="160"/>
      <c r="R88" s="22"/>
      <c r="S88" s="23"/>
      <c r="T88" s="119"/>
      <c r="AO88" s="6" t="str">
        <f ca="1">IFERROR(MATCH($B$114,OFFSET(#REF!,AO87,0,1000000),0)+AO87,"")</f>
        <v/>
      </c>
      <c r="AP88" s="156" t="str">
        <f ca="1">IFERROR(_xlfn.SINGLE(INDEX(#REF!,'Annual Report'!AO88)),"")</f>
        <v/>
      </c>
      <c r="AQ88" s="6" t="str">
        <f ca="1">IFERROR(_xlfn.SINGLE(INDEX(#REF!,'Annual Report'!AO88)),"")</f>
        <v/>
      </c>
      <c r="AS88" s="6" t="str">
        <f ca="1">IFERROR(MATCH($L$115,OFFSET(#REF!,AS87,0,1000000),0)+AS87,"")</f>
        <v/>
      </c>
      <c r="AT88" s="156" t="str">
        <f ca="1">IFERROR(_xlfn.SINGLE(INDEX(#REF!,'Annual Report'!AS88)),"")</f>
        <v/>
      </c>
      <c r="AU88" s="6" t="str">
        <f ca="1">IFERROR(_xlfn.SINGLE(INDEX(#REF!,'Annual Report'!AS88)),"")</f>
        <v/>
      </c>
      <c r="BR88" s="105"/>
      <c r="BS88" s="23"/>
      <c r="BT88" s="23"/>
      <c r="BU88" s="23"/>
      <c r="BV88" s="70" t="str">
        <f>Pareto!AH164</f>
        <v>Bị bể, mẻ, cấn</v>
      </c>
      <c r="BW88" s="71">
        <f>Pareto!AI164</f>
        <v>2</v>
      </c>
      <c r="BX88" s="72">
        <f>Pareto!AJ164</f>
        <v>0.16</v>
      </c>
      <c r="BY88" s="72">
        <f t="shared" si="74"/>
        <v>99.6</v>
      </c>
      <c r="BZ88" s="23"/>
      <c r="CA88" s="70" t="str">
        <f>Pareto!AN164</f>
        <v>Thông dòng NG</v>
      </c>
      <c r="CB88" s="71">
        <f>Pareto!AO164</f>
        <v>0</v>
      </c>
      <c r="CC88" s="72">
        <f>Pareto!AP164</f>
        <v>0</v>
      </c>
      <c r="CD88" s="72">
        <f t="shared" si="75"/>
        <v>99.999999999999986</v>
      </c>
      <c r="CE88" s="23"/>
      <c r="CF88" s="23"/>
      <c r="CG88" s="23"/>
      <c r="CH88" s="23"/>
      <c r="CI88" s="23"/>
      <c r="CJ88" s="23"/>
      <c r="CK88" s="130"/>
      <c r="CP88" s="6" t="s">
        <v>194</v>
      </c>
      <c r="CQ88" s="6">
        <f>SUMIFS(Table_Assembly[Specific Amount],Table_Assembly[NG Type],$CP$14,Table_Assembly[Product type],$BU$50,Table_Assembly[NG content],CP88,Table_Assembly[Month],$CP$12)</f>
        <v>0</v>
      </c>
      <c r="CR88" s="6">
        <f>SUMIFS(Table_Assembly[Specific Amount],Table_Assembly[NG Type],$CP$14,Table_Assembly[Product type],$BU$50,Table_Assembly[NG content],CP88,Table_Assembly[Month],$CQ$12)</f>
        <v>0</v>
      </c>
      <c r="CS88" s="6">
        <f>SUMIFS(Table_Assembly[Specific Amount],Table_Assembly[NG Type],$CP$14,Table_Assembly[Product type],$BU$50,Table_Assembly[NG content],CP88,Table_Assembly[Month],$CR$12)</f>
        <v>0</v>
      </c>
      <c r="CT88" s="6">
        <f>SUMIFS(Table_Assembly[Specific Amount],Table_Assembly[NG Type],$CP$14,Table_Assembly[Product type],$BU$50,Table_Assembly[NG content],CP88,Table_Assembly[Month],$CS$12)</f>
        <v>0</v>
      </c>
      <c r="CU88" s="6">
        <f>SUMIFS(Table_Assembly[Specific Amount],Table_Assembly[NG Type],$CP$14,Table_Assembly[Product type],$BU$50,Table_Assembly[NG content],CP88,Table_Assembly[Month],$CT$12)</f>
        <v>0</v>
      </c>
      <c r="CV88" s="6">
        <f>SUMIFS(Table_Assembly[Specific Amount],Table_Assembly[NG Type],$CP$14,Table_Assembly[Product type],$BU$50,Table_Assembly[NG content],CP88,Table_Assembly[Month],$CU$12)</f>
        <v>0</v>
      </c>
      <c r="CW88" s="6">
        <f>SUMIFS(Table_Assembly[Specific Amount],Table_Assembly[NG Type],$CP$14,Table_Assembly[Product type],$BU$50,Table_Assembly[NG content],CP88,Table_Assembly[Month],$CV$12)</f>
        <v>0</v>
      </c>
      <c r="CX88" s="6">
        <f>SUMIFS(Table_Assembly[Specific Amount],Table_Assembly[NG Type],$CP$14,Table_Assembly[Product type],$BU$50,Table_Assembly[NG content],CP88,Table_Assembly[Month],$CW$12)</f>
        <v>0</v>
      </c>
      <c r="CY88" s="6">
        <f>SUMIFS(Table_Assembly[Specific Amount],Table_Assembly[NG Type],$CP$14,Table_Assembly[Product type],$BU$50,Table_Assembly[NG content],CP88,Table_Assembly[Month],$CX$12)</f>
        <v>0</v>
      </c>
      <c r="CZ88" s="6">
        <f>SUMIFS(Table_Assembly[Specific Amount],Table_Assembly[NG Type],$CP$14,Table_Assembly[Product type],$BU$50,Table_Assembly[NG content],CP88,Table_Assembly[Month],$CY$12)</f>
        <v>0</v>
      </c>
      <c r="DA88" s="6">
        <f>SUMIFS(Table_Assembly[Specific Amount],Table_Assembly[NG Type],$CP$14,Table_Assembly[Product type],$BU$50,Table_Assembly[NG content],CP88,Table_Assembly[Month],$CZ$12)</f>
        <v>0</v>
      </c>
      <c r="DB88" s="6">
        <f>SUMIFS(Table_Assembly[Total NG from material],Table_Assembly[Comp.],$CP$14,Table_Assembly[Total Produce],$BU$50,Table_Assembly[Reson for Others],CP88,Table_Assembly[Day],$DA$12)</f>
        <v>0</v>
      </c>
    </row>
    <row r="89" spans="1:106">
      <c r="A89" s="122"/>
      <c r="B89" s="23"/>
      <c r="C89" s="23"/>
      <c r="D89" s="23"/>
      <c r="E89" s="73" t="str">
        <f>Pareto!AH77</f>
        <v>Thiếu dây</v>
      </c>
      <c r="F89" s="71">
        <f>Pareto!AI77</f>
        <v>1</v>
      </c>
      <c r="G89" s="72">
        <f>Pareto!AJ77</f>
        <v>6.9637883008356549E-2</v>
      </c>
      <c r="H89" s="128">
        <f t="shared" si="72"/>
        <v>99.860724233983262</v>
      </c>
      <c r="I89" s="23"/>
      <c r="J89" s="73" t="str">
        <f>Pareto!AN77</f>
        <v>Dập sai</v>
      </c>
      <c r="K89" s="71">
        <f>Pareto!AO77</f>
        <v>0</v>
      </c>
      <c r="L89" s="72">
        <f>Pareto!AP77</f>
        <v>0</v>
      </c>
      <c r="M89" s="128">
        <f t="shared" si="73"/>
        <v>100.00000000000001</v>
      </c>
      <c r="N89" s="23"/>
      <c r="O89" s="23"/>
      <c r="P89" s="159"/>
      <c r="Q89" s="160"/>
      <c r="R89" s="22"/>
      <c r="S89" s="23"/>
      <c r="T89" s="119"/>
      <c r="AO89" s="6" t="str">
        <f ca="1">IFERROR(MATCH($B$114,OFFSET(#REF!,AO88,0,1000000),0)+AO88,"")</f>
        <v/>
      </c>
      <c r="AP89" s="156" t="str">
        <f ca="1">IFERROR(_xlfn.SINGLE(INDEX(#REF!,'Annual Report'!AO89)),"")</f>
        <v/>
      </c>
      <c r="AQ89" s="6" t="str">
        <f ca="1">IFERROR(_xlfn.SINGLE(INDEX(#REF!,'Annual Report'!AO89)),"")</f>
        <v/>
      </c>
      <c r="AS89" s="6" t="str">
        <f ca="1">IFERROR(MATCH($L$115,OFFSET(#REF!,AS88,0,1000000),0)+AS88,"")</f>
        <v/>
      </c>
      <c r="AT89" s="156" t="str">
        <f ca="1">IFERROR(_xlfn.SINGLE(INDEX(#REF!,'Annual Report'!AS89)),"")</f>
        <v/>
      </c>
      <c r="AU89" s="6" t="str">
        <f ca="1">IFERROR(_xlfn.SINGLE(INDEX(#REF!,'Annual Report'!AS89)),"")</f>
        <v/>
      </c>
      <c r="BR89" s="105"/>
      <c r="BS89" s="23"/>
      <c r="BT89" s="23"/>
      <c r="BU89" s="23"/>
      <c r="BV89" s="70" t="str">
        <f>Pareto!AH165</f>
        <v>Sai ống チューブ間違い</v>
      </c>
      <c r="BW89" s="71">
        <f>Pareto!AI165</f>
        <v>1</v>
      </c>
      <c r="BX89" s="72">
        <f>Pareto!AJ165</f>
        <v>0.08</v>
      </c>
      <c r="BY89" s="72">
        <f t="shared" si="74"/>
        <v>99.679999999999993</v>
      </c>
      <c r="BZ89" s="23"/>
      <c r="CA89" s="70" t="str">
        <f>Pareto!AN165</f>
        <v>Ngược Diode</v>
      </c>
      <c r="CB89" s="71">
        <f>Pareto!AO165</f>
        <v>0</v>
      </c>
      <c r="CC89" s="72">
        <f>Pareto!AP165</f>
        <v>0</v>
      </c>
      <c r="CD89" s="72">
        <f t="shared" si="75"/>
        <v>99.999999999999986</v>
      </c>
      <c r="CE89" s="23"/>
      <c r="CF89" s="23"/>
      <c r="CG89" s="23"/>
      <c r="CH89" s="23"/>
      <c r="CI89" s="23"/>
      <c r="CJ89" s="23"/>
      <c r="CK89" s="130"/>
      <c r="CP89" s="6" t="s">
        <v>195</v>
      </c>
      <c r="CQ89" s="6">
        <f>SUMIFS(Table_Assembly[Specific Amount],Table_Assembly[NG Type],$CP$14,Table_Assembly[Product type],$BU$50,Table_Assembly[NG content],CP89,Table_Assembly[Month],$CP$12)</f>
        <v>0</v>
      </c>
      <c r="CR89" s="6">
        <f>SUMIFS(Table_Assembly[Specific Amount],Table_Assembly[NG Type],$CP$14,Table_Assembly[Product type],$BU$50,Table_Assembly[NG content],CP89,Table_Assembly[Month],$CQ$12)</f>
        <v>0</v>
      </c>
      <c r="CS89" s="6">
        <f>SUMIFS(Table_Assembly[Specific Amount],Table_Assembly[NG Type],$CP$14,Table_Assembly[Product type],$BU$50,Table_Assembly[NG content],CP89,Table_Assembly[Month],$CR$12)</f>
        <v>0</v>
      </c>
      <c r="CT89" s="6">
        <f>SUMIFS(Table_Assembly[Specific Amount],Table_Assembly[NG Type],$CP$14,Table_Assembly[Product type],$BU$50,Table_Assembly[NG content],CP89,Table_Assembly[Month],$CS$12)</f>
        <v>0</v>
      </c>
      <c r="CU89" s="6">
        <f>SUMIFS(Table_Assembly[Specific Amount],Table_Assembly[NG Type],$CP$14,Table_Assembly[Product type],$BU$50,Table_Assembly[NG content],CP89,Table_Assembly[Month],$CT$12)</f>
        <v>0</v>
      </c>
      <c r="CV89" s="6">
        <f>SUMIFS(Table_Assembly[Specific Amount],Table_Assembly[NG Type],$CP$14,Table_Assembly[Product type],$BU$50,Table_Assembly[NG content],CP89,Table_Assembly[Month],$CU$12)</f>
        <v>0</v>
      </c>
      <c r="CW89" s="6">
        <f>SUMIFS(Table_Assembly[Specific Amount],Table_Assembly[NG Type],$CP$14,Table_Assembly[Product type],$BU$50,Table_Assembly[NG content],CP89,Table_Assembly[Month],$CV$12)</f>
        <v>0</v>
      </c>
      <c r="CX89" s="6">
        <f>SUMIFS(Table_Assembly[Specific Amount],Table_Assembly[NG Type],$CP$14,Table_Assembly[Product type],$BU$50,Table_Assembly[NG content],CP89,Table_Assembly[Month],$CW$12)</f>
        <v>0</v>
      </c>
      <c r="CY89" s="6">
        <f>SUMIFS(Table_Assembly[Specific Amount],Table_Assembly[NG Type],$CP$14,Table_Assembly[Product type],$BU$50,Table_Assembly[NG content],CP89,Table_Assembly[Month],$CX$12)</f>
        <v>0</v>
      </c>
      <c r="CZ89" s="6">
        <f>SUMIFS(Table_Assembly[Specific Amount],Table_Assembly[NG Type],$CP$14,Table_Assembly[Product type],$BU$50,Table_Assembly[NG content],CP89,Table_Assembly[Month],$CY$12)</f>
        <v>0</v>
      </c>
      <c r="DA89" s="6">
        <f>SUMIFS(Table_Assembly[Specific Amount],Table_Assembly[NG Type],$CP$14,Table_Assembly[Product type],$BU$50,Table_Assembly[NG content],CP89,Table_Assembly[Month],$CZ$12)</f>
        <v>0</v>
      </c>
      <c r="DB89" s="6">
        <f>SUMIFS(Table_Assembly[Total NG from material],Table_Assembly[Comp.],$CP$14,Table_Assembly[Total Produce],$BU$50,Table_Assembly[Reson for Others],CP89,Table_Assembly[Day],$DA$12)</f>
        <v>0</v>
      </c>
    </row>
    <row r="90" spans="1:106">
      <c r="A90" s="122"/>
      <c r="B90" s="23"/>
      <c r="C90" s="23"/>
      <c r="D90" s="23"/>
      <c r="E90" s="73" t="str">
        <f>Pareto!AH78</f>
        <v>Tuột mấu ôm vỏ do tán cạn 浅打ちで被覆カシメ外れ</v>
      </c>
      <c r="F90" s="71">
        <f>Pareto!AI78</f>
        <v>1</v>
      </c>
      <c r="G90" s="72">
        <f>Pareto!AJ78</f>
        <v>6.9637883008356549E-2</v>
      </c>
      <c r="H90" s="128">
        <f t="shared" si="72"/>
        <v>99.930362116991617</v>
      </c>
      <c r="I90" s="23"/>
      <c r="J90" s="73" t="str">
        <f>Pareto!AN78</f>
        <v>Thiếu dây</v>
      </c>
      <c r="K90" s="71">
        <f>Pareto!AO78</f>
        <v>0</v>
      </c>
      <c r="L90" s="72">
        <f>Pareto!AP78</f>
        <v>0</v>
      </c>
      <c r="M90" s="128">
        <f t="shared" si="73"/>
        <v>100.00000000000001</v>
      </c>
      <c r="N90" s="23"/>
      <c r="O90" s="23"/>
      <c r="P90" s="23"/>
      <c r="Q90" s="23"/>
      <c r="R90" s="23"/>
      <c r="S90" s="23"/>
      <c r="T90" s="119"/>
      <c r="AO90" s="6" t="str">
        <f ca="1">IFERROR(MATCH($B$114,OFFSET(#REF!,AO89,0,1000000),0)+AO89,"")</f>
        <v/>
      </c>
      <c r="AP90" s="156" t="str">
        <f ca="1">IFERROR(_xlfn.SINGLE(INDEX(#REF!,'Annual Report'!AO90)),"")</f>
        <v/>
      </c>
      <c r="AQ90" s="6" t="str">
        <f ca="1">IFERROR(_xlfn.SINGLE(INDEX(#REF!,'Annual Report'!AO90)),"")</f>
        <v/>
      </c>
      <c r="AS90" s="6" t="str">
        <f ca="1">IFERROR(MATCH($L$115,OFFSET(#REF!,AS89,0,1000000),0)+AS89,"")</f>
        <v/>
      </c>
      <c r="AT90" s="156" t="str">
        <f ca="1">IFERROR(_xlfn.SINGLE(INDEX(#REF!,'Annual Report'!AS90)),"")</f>
        <v/>
      </c>
      <c r="AU90" s="6" t="str">
        <f ca="1">IFERROR(_xlfn.SINGLE(INDEX(#REF!,'Annual Report'!AS90)),"")</f>
        <v/>
      </c>
      <c r="BR90" s="105"/>
      <c r="BS90" s="23"/>
      <c r="BT90" s="23"/>
      <c r="BU90" s="23"/>
      <c r="BV90" s="70" t="str">
        <f>Pareto!AH166</f>
        <v>Thông dòng NG</v>
      </c>
      <c r="BW90" s="71">
        <f>Pareto!AI166</f>
        <v>1</v>
      </c>
      <c r="BX90" s="72">
        <f>Pareto!AJ166</f>
        <v>0.08</v>
      </c>
      <c r="BY90" s="72">
        <f t="shared" si="74"/>
        <v>99.759999999999991</v>
      </c>
      <c r="BZ90" s="23"/>
      <c r="CA90" s="70" t="str">
        <f>Pareto!AN166</f>
        <v>Dập sai</v>
      </c>
      <c r="CB90" s="71">
        <f>Pareto!AO166</f>
        <v>0</v>
      </c>
      <c r="CC90" s="72">
        <f>Pareto!AP166</f>
        <v>0</v>
      </c>
      <c r="CD90" s="72">
        <f t="shared" si="75"/>
        <v>99.999999999999986</v>
      </c>
      <c r="CE90" s="23"/>
      <c r="CF90" s="23"/>
      <c r="CG90" s="23"/>
      <c r="CH90" s="23"/>
      <c r="CI90" s="23"/>
      <c r="CJ90" s="23"/>
      <c r="CK90" s="130"/>
      <c r="CP90" s="6" t="s">
        <v>123</v>
      </c>
      <c r="CQ90" s="6">
        <f>SUMIFS(Table_Assembly[Specific Amount],Table_Assembly[NG Type],$CP$14,Table_Assembly[Product type],$BU$50,Table_Assembly[NG content],"Others",Table_Assembly[Month],$CP$12)</f>
        <v>0</v>
      </c>
      <c r="CR90" s="6">
        <f>SUMIFS(Table_Assembly[Specific Amount],Table_Assembly[NG Type],$CP$14,Table_Assembly[Product type],$BU$50,Table_Assembly[NG content],"Others",Table_Assembly[Month],$CQ$12)</f>
        <v>0</v>
      </c>
      <c r="CS90" s="6">
        <f>SUMIFS(Table_Assembly[Specific Amount],Table_Assembly[NG Type],$CP$14,Table_Assembly[Product type],$BU$50,Table_Assembly[NG content],"Others",Table_Assembly[Month],$CR$12)</f>
        <v>0</v>
      </c>
      <c r="CT90" s="6">
        <f>SUMIFS(Table_Assembly[Specific Amount],Table_Assembly[NG Type],$CP$14,Table_Assembly[Product type],$BU$50,Table_Assembly[NG content],"Others",Table_Assembly[Month],$CS$12)</f>
        <v>1</v>
      </c>
      <c r="CU90" s="6">
        <f>SUMIFS(Table_Assembly[Specific Amount],Table_Assembly[NG Type],$CP$14,Table_Assembly[Product type],$BU$50,Table_Assembly[NG content],"Others",Table_Assembly[Month],$CT$12)</f>
        <v>0</v>
      </c>
      <c r="CV90" s="6">
        <f>SUMIFS(Table_Assembly[Specific Amount],Table_Assembly[NG Type],$CP$14,Table_Assembly[Product type],$BU$50,Table_Assembly[NG content],"Others",Table_Assembly[Month],$CU$12)</f>
        <v>2</v>
      </c>
      <c r="CW90" s="6">
        <f>SUMIFS(Table_Assembly[Specific Amount],Table_Assembly[NG Type],$CP$14,Table_Assembly[Product type],$BU$50,Table_Assembly[NG content],"Others",Table_Assembly[Month],$CV$12)</f>
        <v>0</v>
      </c>
      <c r="CX90" s="6">
        <f>SUMIFS(Table_Assembly[Specific Amount],Table_Assembly[NG Type],$CP$14,Table_Assembly[Product type],$BU$50,Table_Assembly[NG content],"Others",Table_Assembly[Month],$CW$12)</f>
        <v>0</v>
      </c>
      <c r="CY90" s="6">
        <f>SUMIFS(Table_Assembly[Specific Amount],Table_Assembly[NG Type],$CP$14,Table_Assembly[Product type],$BU$50,Table_Assembly[NG content],"Others",Table_Assembly[Month],$CX$12)</f>
        <v>0</v>
      </c>
      <c r="CZ90" s="6">
        <f>SUMIFS(Table_Assembly[Specific Amount],Table_Assembly[NG Type],$CP$14,Table_Assembly[Product type],$BU$50,Table_Assembly[NG content],"Others",Table_Assembly[Month],$CY$12)</f>
        <v>0</v>
      </c>
      <c r="DA90" s="6">
        <f>SUMIFS(Table_Assembly[Specific Amount],Table_Assembly[NG Type],$CP$14,Table_Assembly[Product type],$BU$50,Table_Assembly[NG content],"Others",Table_Assembly[Month],$CZ$12)</f>
        <v>0</v>
      </c>
      <c r="DB90" s="6">
        <f>SUMIFS(Table_Assembly[Total NG from material],Table_Assembly[Comp.],$CP$14,Table_Assembly[Total Produce],$BU$50,Table_Assembly[Reson for Others],"Others",Table_Assembly[Day],$DA$12)</f>
        <v>0</v>
      </c>
    </row>
    <row r="91" spans="1:106">
      <c r="A91" s="122"/>
      <c r="B91" s="23"/>
      <c r="C91" s="23"/>
      <c r="D91" s="23"/>
      <c r="E91" s="73" t="str">
        <f>Pareto!AH79</f>
        <v>Cháy dây</v>
      </c>
      <c r="F91" s="71">
        <f>Pareto!AI79</f>
        <v>1</v>
      </c>
      <c r="G91" s="72">
        <f>Pareto!AJ79</f>
        <v>6.9637883008356549E-2</v>
      </c>
      <c r="H91" s="128">
        <f t="shared" si="72"/>
        <v>99.999999999999972</v>
      </c>
      <c r="I91" s="23"/>
      <c r="J91" s="73" t="str">
        <f>Pareto!AN79</f>
        <v>Sai vị trí</v>
      </c>
      <c r="K91" s="71">
        <f>Pareto!AO79</f>
        <v>0</v>
      </c>
      <c r="L91" s="72">
        <f>Pareto!AP79</f>
        <v>0</v>
      </c>
      <c r="M91" s="128">
        <f t="shared" si="73"/>
        <v>100.00000000000001</v>
      </c>
      <c r="N91" s="23"/>
      <c r="O91" s="23"/>
      <c r="P91" s="23"/>
      <c r="Q91" s="23"/>
      <c r="R91" s="23"/>
      <c r="S91" s="23"/>
      <c r="T91" s="119"/>
      <c r="AO91" s="6" t="str">
        <f ca="1">IFERROR(MATCH($B$114,OFFSET(#REF!,AO90,0,1000000),0)+AO90,"")</f>
        <v/>
      </c>
      <c r="AP91" s="156" t="str">
        <f ca="1">IFERROR(_xlfn.SINGLE(INDEX(#REF!,'Annual Report'!AO91)),"")</f>
        <v/>
      </c>
      <c r="AQ91" s="6" t="str">
        <f ca="1">IFERROR(_xlfn.SINGLE(INDEX(#REF!,'Annual Report'!AO91)),"")</f>
        <v/>
      </c>
      <c r="AS91" s="6" t="str">
        <f ca="1">IFERROR(MATCH($L$115,OFFSET(#REF!,AS90,0,1000000),0)+AS90,"")</f>
        <v/>
      </c>
      <c r="AT91" s="156" t="str">
        <f ca="1">IFERROR(_xlfn.SINGLE(INDEX(#REF!,'Annual Report'!AS91)),"")</f>
        <v/>
      </c>
      <c r="AU91" s="6" t="str">
        <f ca="1">IFERROR(_xlfn.SINGLE(INDEX(#REF!,'Annual Report'!AS91)),"")</f>
        <v/>
      </c>
      <c r="BR91" s="105"/>
      <c r="BS91" s="23"/>
      <c r="BT91" s="23"/>
      <c r="BU91" s="23"/>
      <c r="BV91" s="70" t="str">
        <f>Pareto!AH167</f>
        <v>Thiếu dây</v>
      </c>
      <c r="BW91" s="71">
        <f>Pareto!AI167</f>
        <v>1</v>
      </c>
      <c r="BX91" s="72">
        <f>Pareto!AJ167</f>
        <v>0.08</v>
      </c>
      <c r="BY91" s="72">
        <f t="shared" si="74"/>
        <v>99.839999999999989</v>
      </c>
      <c r="BZ91" s="23"/>
      <c r="CA91" s="70" t="str">
        <f>Pareto!AN167</f>
        <v>Thiếu dây</v>
      </c>
      <c r="CB91" s="71">
        <f>Pareto!AO167</f>
        <v>0</v>
      </c>
      <c r="CC91" s="72">
        <f>Pareto!AP167</f>
        <v>0</v>
      </c>
      <c r="CD91" s="72">
        <f t="shared" si="75"/>
        <v>99.999999999999986</v>
      </c>
      <c r="CE91" s="23"/>
      <c r="CF91" s="23"/>
      <c r="CG91" s="23"/>
      <c r="CH91" s="23"/>
      <c r="CI91" s="23"/>
      <c r="CJ91" s="23"/>
      <c r="CK91" s="130"/>
    </row>
    <row r="92" spans="1:106">
      <c r="A92" s="122"/>
      <c r="B92" s="23"/>
      <c r="C92" s="23"/>
      <c r="D92" s="23"/>
      <c r="E92" s="73" t="str">
        <f>Pareto!AH80</f>
        <v>Không đạt do NL</v>
      </c>
      <c r="F92" s="71">
        <f>Pareto!AI80</f>
        <v>0</v>
      </c>
      <c r="G92" s="72">
        <f>Pareto!AJ80</f>
        <v>0</v>
      </c>
      <c r="H92" s="128">
        <f t="shared" si="72"/>
        <v>99.999999999999972</v>
      </c>
      <c r="I92" s="23"/>
      <c r="J92" s="73" t="str">
        <f>Pareto!AN80</f>
        <v>Sai kích thước</v>
      </c>
      <c r="K92" s="71">
        <f>Pareto!AO80</f>
        <v>0</v>
      </c>
      <c r="L92" s="72">
        <f>Pareto!AP80</f>
        <v>0</v>
      </c>
      <c r="M92" s="128">
        <f t="shared" si="73"/>
        <v>100.00000000000001</v>
      </c>
      <c r="N92" s="23"/>
      <c r="O92" s="23"/>
      <c r="P92" s="23"/>
      <c r="Q92" s="23"/>
      <c r="R92" s="23"/>
      <c r="S92" s="23"/>
      <c r="T92" s="119"/>
      <c r="AO92" s="6" t="str">
        <f ca="1">IFERROR(MATCH($B$114,OFFSET(#REF!,AO91,0,1000000),0)+AO91,"")</f>
        <v/>
      </c>
      <c r="AP92" s="156" t="str">
        <f ca="1">IFERROR(_xlfn.SINGLE(INDEX(#REF!,'Annual Report'!AO92)),"")</f>
        <v/>
      </c>
      <c r="AQ92" s="6" t="str">
        <f ca="1">IFERROR(_xlfn.SINGLE(INDEX(#REF!,'Annual Report'!AO92)),"")</f>
        <v/>
      </c>
      <c r="AS92" s="6" t="str">
        <f ca="1">IFERROR(MATCH($L$115,OFFSET(#REF!,AS91,0,1000000),0)+AS91,"")</f>
        <v/>
      </c>
      <c r="AT92" s="156" t="str">
        <f ca="1">IFERROR(_xlfn.SINGLE(INDEX(#REF!,'Annual Report'!AS92)),"")</f>
        <v/>
      </c>
      <c r="AU92" s="6" t="str">
        <f ca="1">IFERROR(_xlfn.SINGLE(INDEX(#REF!,'Annual Report'!AS92)),"")</f>
        <v/>
      </c>
      <c r="BR92" s="105"/>
      <c r="BS92" s="23"/>
      <c r="BT92" s="23"/>
      <c r="BU92" s="23"/>
      <c r="BV92" s="70" t="str">
        <f>Pareto!AH168</f>
        <v>Tuột mấu ôm vỏ do tán cạn 浅打ちで被覆カシメ外れ</v>
      </c>
      <c r="BW92" s="71">
        <f>Pareto!AI168</f>
        <v>1</v>
      </c>
      <c r="BX92" s="72">
        <f>Pareto!AJ168</f>
        <v>0.08</v>
      </c>
      <c r="BY92" s="72">
        <f t="shared" si="74"/>
        <v>99.919999999999987</v>
      </c>
      <c r="BZ92" s="23"/>
      <c r="CA92" s="70" t="str">
        <f>Pareto!AN168</f>
        <v>Sai vị trí</v>
      </c>
      <c r="CB92" s="71">
        <f>Pareto!AO168</f>
        <v>0</v>
      </c>
      <c r="CC92" s="72">
        <f>Pareto!AP168</f>
        <v>0</v>
      </c>
      <c r="CD92" s="72">
        <f t="shared" si="75"/>
        <v>99.999999999999986</v>
      </c>
      <c r="CE92" s="23"/>
      <c r="CF92" s="23"/>
      <c r="CG92" s="23"/>
      <c r="CH92" s="23"/>
      <c r="CI92" s="23"/>
      <c r="CJ92" s="23"/>
      <c r="CK92" s="130"/>
    </row>
    <row r="93" spans="1:106">
      <c r="A93" s="122"/>
      <c r="B93" s="23"/>
      <c r="C93" s="23"/>
      <c r="D93" s="23"/>
      <c r="E93" s="73" t="str">
        <f>Pareto!AH81</f>
        <v>Ngược nút bọc</v>
      </c>
      <c r="F93" s="71">
        <f>Pareto!AI81</f>
        <v>0</v>
      </c>
      <c r="G93" s="72">
        <f>Pareto!AJ81</f>
        <v>0</v>
      </c>
      <c r="H93" s="128">
        <f t="shared" si="72"/>
        <v>99.999999999999972</v>
      </c>
      <c r="I93" s="23"/>
      <c r="J93" s="73" t="str">
        <f>Pareto!AN81</f>
        <v>Ngắn, dài</v>
      </c>
      <c r="K93" s="71">
        <f>Pareto!AO81</f>
        <v>0</v>
      </c>
      <c r="L93" s="72">
        <f>Pareto!AP81</f>
        <v>0</v>
      </c>
      <c r="M93" s="128">
        <f t="shared" si="73"/>
        <v>100.00000000000001</v>
      </c>
      <c r="N93" s="23"/>
      <c r="O93" s="23"/>
      <c r="P93" s="23"/>
      <c r="Q93" s="23"/>
      <c r="R93" s="23"/>
      <c r="S93" s="23"/>
      <c r="T93" s="119"/>
      <c r="AO93" s="6" t="str">
        <f ca="1">IFERROR(MATCH($B$114,OFFSET(#REF!,AO92,0,1000000),0)+AO92,"")</f>
        <v/>
      </c>
      <c r="AP93" s="156" t="str">
        <f ca="1">IFERROR(_xlfn.SINGLE(INDEX(#REF!,'Annual Report'!AO93)),"")</f>
        <v/>
      </c>
      <c r="AQ93" s="6" t="str">
        <f ca="1">IFERROR(_xlfn.SINGLE(INDEX(#REF!,'Annual Report'!AO93)),"")</f>
        <v/>
      </c>
      <c r="AS93" s="6" t="str">
        <f ca="1">IFERROR(MATCH($L$115,OFFSET(#REF!,AS92,0,1000000),0)+AS92,"")</f>
        <v/>
      </c>
      <c r="AT93" s="156" t="str">
        <f ca="1">IFERROR(_xlfn.SINGLE(INDEX(#REF!,'Annual Report'!AS93)),"")</f>
        <v/>
      </c>
      <c r="AU93" s="6" t="str">
        <f ca="1">IFERROR(_xlfn.SINGLE(INDEX(#REF!,'Annual Report'!AS93)),"")</f>
        <v/>
      </c>
      <c r="BR93" s="105"/>
      <c r="BS93" s="23"/>
      <c r="BT93" s="23"/>
      <c r="BU93" s="23"/>
      <c r="BV93" s="70" t="str">
        <f>Pareto!AH169</f>
        <v>Cháy dây</v>
      </c>
      <c r="BW93" s="71">
        <f>Pareto!AI169</f>
        <v>1</v>
      </c>
      <c r="BX93" s="72">
        <f>Pareto!AJ169</f>
        <v>0.08</v>
      </c>
      <c r="BY93" s="72">
        <f t="shared" si="74"/>
        <v>99.999999999999986</v>
      </c>
      <c r="BZ93" s="23"/>
      <c r="CA93" s="70" t="str">
        <f>Pareto!AN169</f>
        <v>Sai kích thước</v>
      </c>
      <c r="CB93" s="71">
        <f>Pareto!AO169</f>
        <v>0</v>
      </c>
      <c r="CC93" s="72">
        <f>Pareto!AP169</f>
        <v>0</v>
      </c>
      <c r="CD93" s="72">
        <f t="shared" si="75"/>
        <v>99.999999999999986</v>
      </c>
      <c r="CE93" s="23"/>
      <c r="CF93" s="23"/>
      <c r="CG93" s="23"/>
      <c r="CH93" s="23"/>
      <c r="CI93" s="23"/>
      <c r="CJ93" s="23"/>
      <c r="CK93" s="130"/>
    </row>
    <row r="94" spans="1:106">
      <c r="A94" s="122"/>
      <c r="B94" s="23"/>
      <c r="C94" s="23"/>
      <c r="D94" s="23"/>
      <c r="E94" s="73" t="str">
        <f>Pareto!AH82</f>
        <v>Ngược Diode</v>
      </c>
      <c r="F94" s="71">
        <f>Pareto!AI82</f>
        <v>0</v>
      </c>
      <c r="G94" s="72">
        <f>Pareto!AJ82</f>
        <v>0</v>
      </c>
      <c r="H94" s="128">
        <f t="shared" si="72"/>
        <v>99.999999999999972</v>
      </c>
      <c r="I94" s="23"/>
      <c r="J94" s="73" t="str">
        <f>Pareto!AN82</f>
        <v>Sút</v>
      </c>
      <c r="K94" s="71">
        <f>Pareto!AO82</f>
        <v>0</v>
      </c>
      <c r="L94" s="72">
        <f>Pareto!AP82</f>
        <v>0</v>
      </c>
      <c r="M94" s="128">
        <f t="shared" si="73"/>
        <v>100.00000000000001</v>
      </c>
      <c r="N94" s="23"/>
      <c r="O94" s="23"/>
      <c r="P94" s="23"/>
      <c r="Q94" s="23"/>
      <c r="R94" s="23"/>
      <c r="S94" s="23"/>
      <c r="T94" s="119"/>
      <c r="AO94" s="6" t="str">
        <f ca="1">IFERROR(MATCH($B$114,OFFSET(#REF!,AO93,0,1000000),0)+AO93,"")</f>
        <v/>
      </c>
      <c r="AP94" s="156" t="str">
        <f ca="1">IFERROR(_xlfn.SINGLE(INDEX(#REF!,'Annual Report'!AO94)),"")</f>
        <v/>
      </c>
      <c r="AQ94" s="6" t="str">
        <f ca="1">IFERROR(_xlfn.SINGLE(INDEX(#REF!,'Annual Report'!AO94)),"")</f>
        <v/>
      </c>
      <c r="AS94" s="6" t="str">
        <f ca="1">IFERROR(MATCH($L$115,OFFSET(#REF!,AS93,0,1000000),0)+AS93,"")</f>
        <v/>
      </c>
      <c r="AT94" s="156" t="str">
        <f ca="1">IFERROR(_xlfn.SINGLE(INDEX(#REF!,'Annual Report'!AS94)),"")</f>
        <v/>
      </c>
      <c r="AU94" s="6" t="str">
        <f ca="1">IFERROR(_xlfn.SINGLE(INDEX(#REF!,'Annual Report'!AS94)),"")</f>
        <v/>
      </c>
      <c r="BR94" s="105"/>
      <c r="BS94" s="23"/>
      <c r="BT94" s="23"/>
      <c r="BU94" s="23"/>
      <c r="BV94" s="70" t="str">
        <f>Pareto!AH170</f>
        <v>Ngược nút bọc</v>
      </c>
      <c r="BW94" s="71">
        <f>Pareto!AI170</f>
        <v>0</v>
      </c>
      <c r="BX94" s="72">
        <f>Pareto!AJ170</f>
        <v>0</v>
      </c>
      <c r="BY94" s="72">
        <f t="shared" si="74"/>
        <v>99.999999999999986</v>
      </c>
      <c r="BZ94" s="23"/>
      <c r="CA94" s="70" t="str">
        <f>Pareto!AN170</f>
        <v>Ngắn, dài</v>
      </c>
      <c r="CB94" s="71">
        <f>Pareto!AO170</f>
        <v>0</v>
      </c>
      <c r="CC94" s="72">
        <f>Pareto!AP170</f>
        <v>0</v>
      </c>
      <c r="CD94" s="72">
        <f t="shared" si="75"/>
        <v>99.999999999999986</v>
      </c>
      <c r="CE94" s="23"/>
      <c r="CF94" s="23"/>
      <c r="CG94" s="23"/>
      <c r="CH94" s="23"/>
      <c r="CI94" s="23"/>
      <c r="CJ94" s="23"/>
      <c r="CK94" s="130"/>
    </row>
    <row r="95" spans="1:106">
      <c r="A95" s="122"/>
      <c r="B95" s="23"/>
      <c r="C95" s="23"/>
      <c r="D95" s="23"/>
      <c r="E95" s="73" t="str">
        <f>Pareto!AH83</f>
        <v>Sai vị trí</v>
      </c>
      <c r="F95" s="71">
        <f>Pareto!AI83</f>
        <v>0</v>
      </c>
      <c r="G95" s="72">
        <f>Pareto!AJ83</f>
        <v>0</v>
      </c>
      <c r="H95" s="128">
        <f t="shared" si="72"/>
        <v>99.999999999999972</v>
      </c>
      <c r="I95" s="23"/>
      <c r="J95" s="73" t="str">
        <f>Pareto!AN83</f>
        <v>Hở</v>
      </c>
      <c r="K95" s="71">
        <f>Pareto!AO83</f>
        <v>0</v>
      </c>
      <c r="L95" s="72">
        <f>Pareto!AP83</f>
        <v>0</v>
      </c>
      <c r="M95" s="128">
        <f t="shared" si="73"/>
        <v>100.00000000000001</v>
      </c>
      <c r="N95" s="23"/>
      <c r="O95" s="23"/>
      <c r="P95" s="23"/>
      <c r="Q95" s="23"/>
      <c r="R95" s="23"/>
      <c r="S95" s="23"/>
      <c r="T95" s="119"/>
      <c r="AO95" s="6" t="str">
        <f ca="1">IFERROR(MATCH($B$114,OFFSET(#REF!,AO94,0,1000000),0)+AO94,"")</f>
        <v/>
      </c>
      <c r="AP95" s="156" t="str">
        <f ca="1">IFERROR(_xlfn.SINGLE(INDEX(#REF!,'Annual Report'!AO95)),"")</f>
        <v/>
      </c>
      <c r="AQ95" s="6" t="str">
        <f ca="1">IFERROR(_xlfn.SINGLE(INDEX(#REF!,'Annual Report'!AO95)),"")</f>
        <v/>
      </c>
      <c r="AS95" s="6" t="str">
        <f ca="1">IFERROR(MATCH($L$115,OFFSET(#REF!,AS94,0,1000000),0)+AS94,"")</f>
        <v/>
      </c>
      <c r="AT95" s="156" t="str">
        <f ca="1">IFERROR(_xlfn.SINGLE(INDEX(#REF!,'Annual Report'!AS95)),"")</f>
        <v/>
      </c>
      <c r="AU95" s="6" t="str">
        <f ca="1">IFERROR(_xlfn.SINGLE(INDEX(#REF!,'Annual Report'!AS95)),"")</f>
        <v/>
      </c>
      <c r="BR95" s="105"/>
      <c r="BS95" s="23"/>
      <c r="BT95" s="23"/>
      <c r="BU95" s="23"/>
      <c r="BV95" s="70" t="str">
        <f>Pareto!AH171</f>
        <v>Ngược Diode</v>
      </c>
      <c r="BW95" s="71">
        <f>Pareto!AI171</f>
        <v>0</v>
      </c>
      <c r="BX95" s="72">
        <f>Pareto!AJ171</f>
        <v>0</v>
      </c>
      <c r="BY95" s="72">
        <f t="shared" si="74"/>
        <v>99.999999999999986</v>
      </c>
      <c r="BZ95" s="23"/>
      <c r="CA95" s="70" t="str">
        <f>Pareto!AN171</f>
        <v>Sút</v>
      </c>
      <c r="CB95" s="71">
        <f>Pareto!AO171</f>
        <v>0</v>
      </c>
      <c r="CC95" s="72">
        <f>Pareto!AP171</f>
        <v>0</v>
      </c>
      <c r="CD95" s="72">
        <f t="shared" si="75"/>
        <v>99.999999999999986</v>
      </c>
      <c r="CE95" s="23"/>
      <c r="CF95" s="23"/>
      <c r="CG95" s="23"/>
      <c r="CH95" s="23"/>
      <c r="CI95" s="23"/>
      <c r="CJ95" s="23"/>
      <c r="CK95" s="130"/>
    </row>
    <row r="96" spans="1:106">
      <c r="A96" s="122"/>
      <c r="B96" s="23"/>
      <c r="C96" s="23"/>
      <c r="D96" s="23"/>
      <c r="E96" s="73" t="str">
        <f>Pareto!AH84</f>
        <v>Sút</v>
      </c>
      <c r="F96" s="71">
        <f>Pareto!AI84</f>
        <v>0</v>
      </c>
      <c r="G96" s="72">
        <f>Pareto!AJ84</f>
        <v>0</v>
      </c>
      <c r="H96" s="128">
        <f t="shared" si="72"/>
        <v>99.999999999999972</v>
      </c>
      <c r="I96" s="23"/>
      <c r="J96" s="73" t="str">
        <f>Pareto!AN84</f>
        <v>Gờ tanshi bám ít vào gờ housing ランスのロックが不十分</v>
      </c>
      <c r="K96" s="71">
        <f>Pareto!AO84</f>
        <v>0</v>
      </c>
      <c r="L96" s="72">
        <f>Pareto!AP84</f>
        <v>0</v>
      </c>
      <c r="M96" s="128">
        <f t="shared" si="73"/>
        <v>100.00000000000001</v>
      </c>
      <c r="N96" s="23"/>
      <c r="O96" s="23"/>
      <c r="P96" s="23"/>
      <c r="Q96" s="23"/>
      <c r="R96" s="23"/>
      <c r="S96" s="23"/>
      <c r="T96" s="119"/>
      <c r="AO96" s="6" t="str">
        <f ca="1">IFERROR(MATCH($B$114,OFFSET(#REF!,AO95,0,1000000),0)+AO95,"")</f>
        <v/>
      </c>
      <c r="AP96" s="156" t="str">
        <f ca="1">IFERROR(_xlfn.SINGLE(INDEX(#REF!,'Annual Report'!AO96)),"")</f>
        <v/>
      </c>
      <c r="AQ96" s="6" t="str">
        <f ca="1">IFERROR(_xlfn.SINGLE(INDEX(#REF!,'Annual Report'!AO96)),"")</f>
        <v/>
      </c>
      <c r="AS96" s="6" t="str">
        <f ca="1">IFERROR(MATCH($L$115,OFFSET(#REF!,AS95,0,1000000),0)+AS95,"")</f>
        <v/>
      </c>
      <c r="AT96" s="156" t="str">
        <f ca="1">IFERROR(_xlfn.SINGLE(INDEX(#REF!,'Annual Report'!AS96)),"")</f>
        <v/>
      </c>
      <c r="AU96" s="6" t="str">
        <f ca="1">IFERROR(_xlfn.SINGLE(INDEX(#REF!,'Annual Report'!AS96)),"")</f>
        <v/>
      </c>
      <c r="BR96" s="105"/>
      <c r="BS96" s="23"/>
      <c r="BT96" s="23"/>
      <c r="BU96" s="23"/>
      <c r="BV96" s="70" t="str">
        <f>Pareto!AH172</f>
        <v>Sai vị trí</v>
      </c>
      <c r="BW96" s="71">
        <f>Pareto!AI172</f>
        <v>0</v>
      </c>
      <c r="BX96" s="72">
        <f>Pareto!AJ172</f>
        <v>0</v>
      </c>
      <c r="BY96" s="72">
        <f t="shared" si="74"/>
        <v>99.999999999999986</v>
      </c>
      <c r="BZ96" s="23"/>
      <c r="CA96" s="70" t="str">
        <f>Pareto!AN172</f>
        <v>Hở</v>
      </c>
      <c r="CB96" s="71">
        <f>Pareto!AO172</f>
        <v>0</v>
      </c>
      <c r="CC96" s="72">
        <f>Pareto!AP172</f>
        <v>0</v>
      </c>
      <c r="CD96" s="72">
        <f t="shared" si="75"/>
        <v>99.999999999999986</v>
      </c>
      <c r="CE96" s="23"/>
      <c r="CF96" s="23"/>
      <c r="CG96" s="23"/>
      <c r="CH96" s="23"/>
      <c r="CI96" s="23"/>
      <c r="CJ96" s="23"/>
      <c r="CK96" s="130"/>
    </row>
    <row r="97" spans="1:89">
      <c r="A97" s="122"/>
      <c r="B97" s="23"/>
      <c r="C97" s="23"/>
      <c r="D97" s="23"/>
      <c r="E97" s="73" t="str">
        <f>Pareto!AH85</f>
        <v>Biến dạng</v>
      </c>
      <c r="F97" s="71">
        <f>Pareto!AI85</f>
        <v>0</v>
      </c>
      <c r="G97" s="72">
        <f>Pareto!AJ85</f>
        <v>0</v>
      </c>
      <c r="H97" s="128">
        <f t="shared" si="72"/>
        <v>99.999999999999972</v>
      </c>
      <c r="I97" s="23"/>
      <c r="J97" s="73" t="str">
        <f>Pareto!AN85</f>
        <v>Tuột mấu ôm vỏ do tán cạn 浅打ちで被覆カシメ外れ</v>
      </c>
      <c r="K97" s="71">
        <f>Pareto!AO85</f>
        <v>0</v>
      </c>
      <c r="L97" s="72">
        <f>Pareto!AP85</f>
        <v>0</v>
      </c>
      <c r="M97" s="128">
        <f t="shared" si="73"/>
        <v>100.00000000000001</v>
      </c>
      <c r="N97" s="23"/>
      <c r="O97" s="23"/>
      <c r="P97" s="23"/>
      <c r="Q97" s="23"/>
      <c r="R97" s="23"/>
      <c r="S97" s="23"/>
      <c r="T97" s="119"/>
      <c r="AO97" s="6" t="str">
        <f ca="1">IFERROR(MATCH($B$114,OFFSET(#REF!,AO96,0,1000000),0)+AO96,"")</f>
        <v/>
      </c>
      <c r="AP97" s="156" t="str">
        <f ca="1">IFERROR(_xlfn.SINGLE(INDEX(#REF!,'Annual Report'!AO97)),"")</f>
        <v/>
      </c>
      <c r="AQ97" s="6" t="str">
        <f ca="1">IFERROR(_xlfn.SINGLE(INDEX(#REF!,'Annual Report'!AO97)),"")</f>
        <v/>
      </c>
      <c r="AS97" s="6" t="str">
        <f ca="1">IFERROR(MATCH($L$115,OFFSET(#REF!,AS96,0,1000000),0)+AS96,"")</f>
        <v/>
      </c>
      <c r="AT97" s="156" t="str">
        <f ca="1">IFERROR(_xlfn.SINGLE(INDEX(#REF!,'Annual Report'!AS97)),"")</f>
        <v/>
      </c>
      <c r="AU97" s="6" t="str">
        <f ca="1">IFERROR(_xlfn.SINGLE(INDEX(#REF!,'Annual Report'!AS97)),"")</f>
        <v/>
      </c>
      <c r="BR97" s="105"/>
      <c r="BS97" s="23"/>
      <c r="BT97" s="23"/>
      <c r="BU97" s="23"/>
      <c r="BV97" s="73" t="str">
        <f>Pareto!AH173</f>
        <v>Sút</v>
      </c>
      <c r="BW97" s="71">
        <f>Pareto!AI173</f>
        <v>0</v>
      </c>
      <c r="BX97" s="72">
        <f>Pareto!AJ173</f>
        <v>0</v>
      </c>
      <c r="BY97" s="128">
        <f t="shared" si="74"/>
        <v>99.999999999999986</v>
      </c>
      <c r="BZ97" s="23"/>
      <c r="CA97" s="73" t="str">
        <f>Pareto!AN173</f>
        <v>Gờ tanshi bám ít vào gờ housing ランスのロックが不十分</v>
      </c>
      <c r="CB97" s="71">
        <f>Pareto!AO173</f>
        <v>0</v>
      </c>
      <c r="CC97" s="72">
        <f>Pareto!AP173</f>
        <v>0</v>
      </c>
      <c r="CD97" s="128">
        <f t="shared" si="75"/>
        <v>99.999999999999986</v>
      </c>
      <c r="CE97" s="23"/>
      <c r="CF97" s="23"/>
      <c r="CG97" s="23"/>
      <c r="CH97" s="23"/>
      <c r="CI97" s="23"/>
      <c r="CJ97" s="23"/>
      <c r="CK97" s="130"/>
    </row>
    <row r="98" spans="1:89">
      <c r="A98" s="122"/>
      <c r="B98" s="23"/>
      <c r="C98" s="23"/>
      <c r="D98" s="23"/>
      <c r="E98" s="73" t="str">
        <f>Pareto!AH86</f>
        <v>Hở</v>
      </c>
      <c r="F98" s="71">
        <f>Pareto!AI86</f>
        <v>0</v>
      </c>
      <c r="G98" s="72">
        <f>Pareto!AJ86</f>
        <v>0</v>
      </c>
      <c r="H98" s="128">
        <f t="shared" si="72"/>
        <v>99.999999999999972</v>
      </c>
      <c r="I98" s="23"/>
      <c r="J98" s="73" t="str">
        <f>Pareto!AN86</f>
        <v>Thiếu ống</v>
      </c>
      <c r="K98" s="71">
        <f>Pareto!AO86</f>
        <v>0</v>
      </c>
      <c r="L98" s="72">
        <f>Pareto!AP86</f>
        <v>0</v>
      </c>
      <c r="M98" s="128">
        <f t="shared" si="73"/>
        <v>100.00000000000001</v>
      </c>
      <c r="N98" s="23"/>
      <c r="O98" s="23"/>
      <c r="P98" s="23"/>
      <c r="Q98" s="23"/>
      <c r="R98" s="23"/>
      <c r="S98" s="23"/>
      <c r="T98" s="119"/>
      <c r="AO98" s="6" t="str">
        <f ca="1">IFERROR(MATCH($B$114,OFFSET(#REF!,AO97,0,1000000),0)+AO97,"")</f>
        <v/>
      </c>
      <c r="AP98" s="156" t="str">
        <f ca="1">IFERROR(_xlfn.SINGLE(INDEX(#REF!,'Annual Report'!AO98)),"")</f>
        <v/>
      </c>
      <c r="AQ98" s="6" t="str">
        <f ca="1">IFERROR(_xlfn.SINGLE(INDEX(#REF!,'Annual Report'!AO98)),"")</f>
        <v/>
      </c>
      <c r="AS98" s="6" t="str">
        <f ca="1">IFERROR(MATCH($L$115,OFFSET(#REF!,AS97,0,1000000),0)+AS97,"")</f>
        <v/>
      </c>
      <c r="AT98" s="156" t="str">
        <f ca="1">IFERROR(_xlfn.SINGLE(INDEX(#REF!,'Annual Report'!AS98)),"")</f>
        <v/>
      </c>
      <c r="AU98" s="6" t="str">
        <f ca="1">IFERROR(_xlfn.SINGLE(INDEX(#REF!,'Annual Report'!AS98)),"")</f>
        <v/>
      </c>
      <c r="BR98" s="105"/>
      <c r="BS98" s="23"/>
      <c r="BT98" s="23"/>
      <c r="BU98" s="23"/>
      <c r="BV98" s="73" t="str">
        <f>Pareto!AH174</f>
        <v>Biến dạng</v>
      </c>
      <c r="BW98" s="71">
        <f>Pareto!AI174</f>
        <v>0</v>
      </c>
      <c r="BX98" s="72">
        <f>Pareto!AJ174</f>
        <v>0</v>
      </c>
      <c r="BY98" s="128">
        <f t="shared" si="74"/>
        <v>99.999999999999986</v>
      </c>
      <c r="BZ98" s="23"/>
      <c r="CA98" s="73" t="str">
        <f>Pareto!AN174</f>
        <v>Tuột mấu ôm vỏ do tán cạn 浅打ちで被覆カシメ外れ</v>
      </c>
      <c r="CB98" s="71">
        <f>Pareto!AO174</f>
        <v>0</v>
      </c>
      <c r="CC98" s="72">
        <f>Pareto!AP174</f>
        <v>0</v>
      </c>
      <c r="CD98" s="128">
        <f t="shared" si="75"/>
        <v>99.999999999999986</v>
      </c>
      <c r="CE98" s="23"/>
      <c r="CF98" s="23"/>
      <c r="CG98" s="23"/>
      <c r="CH98" s="23"/>
      <c r="CI98" s="23"/>
      <c r="CJ98" s="23"/>
      <c r="CK98" s="130"/>
    </row>
    <row r="99" spans="1:89">
      <c r="A99" s="122"/>
      <c r="B99" s="23"/>
      <c r="C99" s="23"/>
      <c r="D99" s="23"/>
      <c r="E99" s="73" t="str">
        <f>Pareto!AH87</f>
        <v>Gờ tanshi bám ít vào gờ housing ランスのロックが不十分</v>
      </c>
      <c r="F99" s="71">
        <f>Pareto!AI87</f>
        <v>0</v>
      </c>
      <c r="G99" s="72">
        <f>Pareto!AJ87</f>
        <v>0</v>
      </c>
      <c r="H99" s="128">
        <f t="shared" si="72"/>
        <v>99.999999999999972</v>
      </c>
      <c r="I99" s="23"/>
      <c r="J99" s="73" t="str">
        <f>Pareto!AN87</f>
        <v>Dính dị vật 端子が異物付き</v>
      </c>
      <c r="K99" s="71">
        <f>Pareto!AO87</f>
        <v>0</v>
      </c>
      <c r="L99" s="72">
        <f>Pareto!AP87</f>
        <v>0</v>
      </c>
      <c r="M99" s="128">
        <f t="shared" si="73"/>
        <v>100.00000000000001</v>
      </c>
      <c r="N99" s="23"/>
      <c r="O99" s="23"/>
      <c r="P99" s="23"/>
      <c r="Q99" s="23"/>
      <c r="R99" s="23"/>
      <c r="S99" s="23"/>
      <c r="T99" s="119"/>
      <c r="AO99" s="6" t="str">
        <f ca="1">IFERROR(MATCH($B$114,OFFSET(#REF!,AO98,0,1000000),0)+AO98,"")</f>
        <v/>
      </c>
      <c r="AP99" s="156" t="str">
        <f ca="1">IFERROR(_xlfn.SINGLE(INDEX(#REF!,'Annual Report'!AO99)),"")</f>
        <v/>
      </c>
      <c r="AQ99" s="6" t="str">
        <f ca="1">IFERROR(_xlfn.SINGLE(INDEX(#REF!,'Annual Report'!AO99)),"")</f>
        <v/>
      </c>
      <c r="AS99" s="6" t="str">
        <f ca="1">IFERROR(MATCH($L$115,OFFSET(#REF!,AS98,0,1000000),0)+AS98,"")</f>
        <v/>
      </c>
      <c r="AT99" s="156" t="str">
        <f ca="1">IFERROR(_xlfn.SINGLE(INDEX(#REF!,'Annual Report'!AS99)),"")</f>
        <v/>
      </c>
      <c r="AU99" s="6" t="str">
        <f ca="1">IFERROR(_xlfn.SINGLE(INDEX(#REF!,'Annual Report'!AS99)),"")</f>
        <v/>
      </c>
      <c r="BR99" s="105"/>
      <c r="BS99" s="23"/>
      <c r="BT99" s="23"/>
      <c r="BU99" s="23"/>
      <c r="BV99" s="73" t="str">
        <f>Pareto!AH175</f>
        <v>Hở</v>
      </c>
      <c r="BW99" s="71">
        <f>Pareto!AI175</f>
        <v>0</v>
      </c>
      <c r="BX99" s="72">
        <f>Pareto!AJ175</f>
        <v>0</v>
      </c>
      <c r="BY99" s="128">
        <f t="shared" si="74"/>
        <v>99.999999999999986</v>
      </c>
      <c r="BZ99" s="23"/>
      <c r="CA99" s="73" t="str">
        <f>Pareto!AN175</f>
        <v>Thiếu ống</v>
      </c>
      <c r="CB99" s="71">
        <f>Pareto!AO175</f>
        <v>0</v>
      </c>
      <c r="CC99" s="72">
        <f>Pareto!AP175</f>
        <v>0</v>
      </c>
      <c r="CD99" s="128">
        <f t="shared" si="75"/>
        <v>99.999999999999986</v>
      </c>
      <c r="CE99" s="23"/>
      <c r="CF99" s="23"/>
      <c r="CG99" s="23"/>
      <c r="CH99" s="23"/>
      <c r="CI99" s="23"/>
      <c r="CJ99" s="23"/>
      <c r="CK99" s="130"/>
    </row>
    <row r="100" spans="1:89">
      <c r="A100" s="122"/>
      <c r="B100" s="23"/>
      <c r="C100" s="23"/>
      <c r="D100" s="23"/>
      <c r="E100" s="73" t="str">
        <f>Pareto!AH88</f>
        <v>Thiếu ống</v>
      </c>
      <c r="F100" s="71">
        <f>Pareto!AI88</f>
        <v>0</v>
      </c>
      <c r="G100" s="72">
        <f>Pareto!AJ88</f>
        <v>0</v>
      </c>
      <c r="H100" s="128">
        <f t="shared" si="72"/>
        <v>99.999999999999972</v>
      </c>
      <c r="I100" s="23"/>
      <c r="J100" s="73" t="str">
        <f>Pareto!AN88</f>
        <v>Tanshi biến dạng</v>
      </c>
      <c r="K100" s="71">
        <f>Pareto!AO88</f>
        <v>0</v>
      </c>
      <c r="L100" s="72">
        <f>Pareto!AP88</f>
        <v>0</v>
      </c>
      <c r="M100" s="128">
        <f t="shared" si="73"/>
        <v>100.00000000000001</v>
      </c>
      <c r="N100" s="23"/>
      <c r="O100" s="23"/>
      <c r="P100" s="23"/>
      <c r="Q100" s="23"/>
      <c r="R100" s="23"/>
      <c r="S100" s="23"/>
      <c r="T100" s="119"/>
      <c r="AO100" s="6" t="str">
        <f ca="1">IFERROR(MATCH($B$114,OFFSET(#REF!,AO99,0,1000000),0)+AO99,"")</f>
        <v/>
      </c>
      <c r="AP100" s="156" t="str">
        <f ca="1">IFERROR(_xlfn.SINGLE(INDEX(#REF!,'Annual Report'!AO100)),"")</f>
        <v/>
      </c>
      <c r="AQ100" s="6" t="str">
        <f ca="1">IFERROR(_xlfn.SINGLE(INDEX(#REF!,'Annual Report'!AO100)),"")</f>
        <v/>
      </c>
      <c r="AS100" s="6" t="str">
        <f ca="1">IFERROR(MATCH($L$115,OFFSET(#REF!,AS99,0,1000000),0)+AS99,"")</f>
        <v/>
      </c>
      <c r="AT100" s="156" t="str">
        <f ca="1">IFERROR(_xlfn.SINGLE(INDEX(#REF!,'Annual Report'!AS100)),"")</f>
        <v/>
      </c>
      <c r="AU100" s="6" t="str">
        <f ca="1">IFERROR(_xlfn.SINGLE(INDEX(#REF!,'Annual Report'!AS100)),"")</f>
        <v/>
      </c>
      <c r="BR100" s="105"/>
      <c r="BS100" s="23"/>
      <c r="BT100" s="23"/>
      <c r="BU100" s="23"/>
      <c r="BV100" s="73" t="str">
        <f>Pareto!AH176</f>
        <v>Gờ tanshi bám ít vào gờ housing ランスのロックが不十分</v>
      </c>
      <c r="BW100" s="71">
        <f>Pareto!AI176</f>
        <v>0</v>
      </c>
      <c r="BX100" s="72">
        <f>Pareto!AJ176</f>
        <v>0</v>
      </c>
      <c r="BY100" s="128">
        <f t="shared" si="74"/>
        <v>99.999999999999986</v>
      </c>
      <c r="BZ100" s="23"/>
      <c r="CA100" s="73" t="str">
        <f>Pareto!AN176</f>
        <v>Dính dị vật 端子が異物付き</v>
      </c>
      <c r="CB100" s="71">
        <f>Pareto!AO176</f>
        <v>0</v>
      </c>
      <c r="CC100" s="72">
        <f>Pareto!AP176</f>
        <v>0</v>
      </c>
      <c r="CD100" s="128">
        <f t="shared" si="75"/>
        <v>99.999999999999986</v>
      </c>
      <c r="CE100" s="23"/>
      <c r="CF100" s="23"/>
      <c r="CG100" s="23"/>
      <c r="CH100" s="23"/>
      <c r="CI100" s="23"/>
      <c r="CJ100" s="23"/>
      <c r="CK100" s="130"/>
    </row>
    <row r="101" spans="1:89">
      <c r="A101" s="122"/>
      <c r="B101" s="23"/>
      <c r="C101" s="23"/>
      <c r="D101" s="23"/>
      <c r="E101" s="73" t="str">
        <f>Pareto!AH89</f>
        <v>Bẩn, dơ</v>
      </c>
      <c r="F101" s="71">
        <f>Pareto!AI89</f>
        <v>0</v>
      </c>
      <c r="G101" s="72">
        <f>Pareto!AJ89</f>
        <v>0</v>
      </c>
      <c r="H101" s="128">
        <f t="shared" si="72"/>
        <v>99.999999999999972</v>
      </c>
      <c r="I101" s="23"/>
      <c r="J101" s="73" t="str">
        <f>Pareto!AN89</f>
        <v>Bẩn, dơ</v>
      </c>
      <c r="K101" s="71">
        <f>Pareto!AO89</f>
        <v>0</v>
      </c>
      <c r="L101" s="72">
        <f>Pareto!AP89</f>
        <v>0</v>
      </c>
      <c r="M101" s="128">
        <f t="shared" si="73"/>
        <v>100.00000000000001</v>
      </c>
      <c r="N101" s="23"/>
      <c r="O101" s="23"/>
      <c r="P101" s="23"/>
      <c r="Q101" s="23"/>
      <c r="R101" s="23"/>
      <c r="S101" s="23"/>
      <c r="T101" s="119"/>
      <c r="AO101" s="6" t="str">
        <f ca="1">IFERROR(MATCH($B$114,OFFSET(#REF!,AO100,0,1000000),0)+AO100,"")</f>
        <v/>
      </c>
      <c r="AP101" s="156" t="str">
        <f ca="1">IFERROR(_xlfn.SINGLE(INDEX(#REF!,'Annual Report'!AO101)),"")</f>
        <v/>
      </c>
      <c r="AQ101" s="6" t="str">
        <f ca="1">IFERROR(_xlfn.SINGLE(INDEX(#REF!,'Annual Report'!AO101)),"")</f>
        <v/>
      </c>
      <c r="AS101" s="6" t="str">
        <f ca="1">IFERROR(MATCH($L$115,OFFSET(#REF!,AS100,0,1000000),0)+AS100,"")</f>
        <v/>
      </c>
      <c r="AT101" s="156" t="str">
        <f ca="1">IFERROR(_xlfn.SINGLE(INDEX(#REF!,'Annual Report'!AS101)),"")</f>
        <v/>
      </c>
      <c r="AU101" s="6" t="str">
        <f ca="1">IFERROR(_xlfn.SINGLE(INDEX(#REF!,'Annual Report'!AS101)),"")</f>
        <v/>
      </c>
      <c r="BR101" s="105"/>
      <c r="BS101" s="23"/>
      <c r="BT101" s="23"/>
      <c r="BU101" s="23"/>
      <c r="BV101" s="73" t="str">
        <f>Pareto!AH177</f>
        <v>Thiếu ống</v>
      </c>
      <c r="BW101" s="71">
        <f>Pareto!AI177</f>
        <v>0</v>
      </c>
      <c r="BX101" s="72">
        <f>Pareto!AJ177</f>
        <v>0</v>
      </c>
      <c r="BY101" s="128">
        <f t="shared" si="74"/>
        <v>99.999999999999986</v>
      </c>
      <c r="BZ101" s="23"/>
      <c r="CA101" s="73" t="str">
        <f>Pareto!AN177</f>
        <v>Tanshi biến dạng</v>
      </c>
      <c r="CB101" s="71">
        <f>Pareto!AO177</f>
        <v>0</v>
      </c>
      <c r="CC101" s="72">
        <f>Pareto!AP177</f>
        <v>0</v>
      </c>
      <c r="CD101" s="128">
        <f t="shared" si="75"/>
        <v>99.999999999999986</v>
      </c>
      <c r="CE101" s="23"/>
      <c r="CF101" s="23"/>
      <c r="CG101" s="23"/>
      <c r="CH101" s="23"/>
      <c r="CI101" s="23"/>
      <c r="CJ101" s="23"/>
      <c r="CK101" s="130"/>
    </row>
    <row r="102" spans="1:89">
      <c r="A102" s="122"/>
      <c r="B102" s="23"/>
      <c r="C102" s="23"/>
      <c r="D102" s="23"/>
      <c r="E102" s="73" t="str">
        <f>Pareto!AH90</f>
        <v>Tưa lõi</v>
      </c>
      <c r="F102" s="71">
        <f>Pareto!AI90</f>
        <v>0</v>
      </c>
      <c r="G102" s="72">
        <f>Pareto!AJ90</f>
        <v>0</v>
      </c>
      <c r="H102" s="128">
        <f t="shared" si="72"/>
        <v>99.999999999999972</v>
      </c>
      <c r="I102" s="23"/>
      <c r="J102" s="73" t="str">
        <f>Pareto!AN90</f>
        <v>Thiếu dấu marking PS PSマーキング不足</v>
      </c>
      <c r="K102" s="71">
        <f>Pareto!AO90</f>
        <v>0</v>
      </c>
      <c r="L102" s="72">
        <f>Pareto!AP90</f>
        <v>0</v>
      </c>
      <c r="M102" s="128">
        <f t="shared" si="73"/>
        <v>100.00000000000001</v>
      </c>
      <c r="N102" s="23"/>
      <c r="O102" s="23"/>
      <c r="P102" s="23"/>
      <c r="Q102" s="23"/>
      <c r="R102" s="23"/>
      <c r="S102" s="23"/>
      <c r="T102" s="119"/>
      <c r="AO102" s="6" t="str">
        <f ca="1">IFERROR(MATCH($B$114,OFFSET(#REF!,AO101,0,1000000),0)+AO101,"")</f>
        <v/>
      </c>
      <c r="AP102" s="156" t="str">
        <f ca="1">IFERROR(_xlfn.SINGLE(INDEX(#REF!,'Annual Report'!AO102)),"")</f>
        <v/>
      </c>
      <c r="AQ102" s="6" t="str">
        <f ca="1">IFERROR(_xlfn.SINGLE(INDEX(#REF!,'Annual Report'!AO102)),"")</f>
        <v/>
      </c>
      <c r="AS102" s="6" t="str">
        <f ca="1">IFERROR(MATCH($L$115,OFFSET(#REF!,AS101,0,1000000),0)+AS101,"")</f>
        <v/>
      </c>
      <c r="AT102" s="156" t="str">
        <f ca="1">IFERROR(_xlfn.SINGLE(INDEX(#REF!,'Annual Report'!AS102)),"")</f>
        <v/>
      </c>
      <c r="AU102" s="6" t="str">
        <f ca="1">IFERROR(_xlfn.SINGLE(INDEX(#REF!,'Annual Report'!AS102)),"")</f>
        <v/>
      </c>
      <c r="BR102" s="105"/>
      <c r="BS102" s="23"/>
      <c r="BT102" s="23"/>
      <c r="BU102" s="23"/>
      <c r="BV102" s="73" t="str">
        <f>Pareto!AH178</f>
        <v>Bẩn, dơ</v>
      </c>
      <c r="BW102" s="71">
        <f>Pareto!AI178</f>
        <v>0</v>
      </c>
      <c r="BX102" s="72">
        <f>Pareto!AJ178</f>
        <v>0</v>
      </c>
      <c r="BY102" s="128">
        <f t="shared" si="74"/>
        <v>99.999999999999986</v>
      </c>
      <c r="BZ102" s="23"/>
      <c r="CA102" s="73" t="str">
        <f>Pareto!AN178</f>
        <v>Bẩn, dơ</v>
      </c>
      <c r="CB102" s="71">
        <f>Pareto!AO178</f>
        <v>0</v>
      </c>
      <c r="CC102" s="72">
        <f>Pareto!AP178</f>
        <v>0</v>
      </c>
      <c r="CD102" s="128">
        <f t="shared" si="75"/>
        <v>99.999999999999986</v>
      </c>
      <c r="CE102" s="23"/>
      <c r="CF102" s="23"/>
      <c r="CG102" s="23"/>
      <c r="CH102" s="23"/>
      <c r="CI102" s="23"/>
      <c r="CJ102" s="23"/>
      <c r="CK102" s="130"/>
    </row>
    <row r="103" spans="1:89">
      <c r="A103" s="122"/>
      <c r="B103" s="23"/>
      <c r="C103" s="23"/>
      <c r="D103" s="23"/>
      <c r="E103" s="73" t="str">
        <f>Pareto!AH91</f>
        <v>Đứt Lõi</v>
      </c>
      <c r="F103" s="71">
        <f>Pareto!AI91</f>
        <v>0</v>
      </c>
      <c r="G103" s="72">
        <f>Pareto!AJ91</f>
        <v>0</v>
      </c>
      <c r="H103" s="128">
        <f t="shared" si="72"/>
        <v>99.999999999999972</v>
      </c>
      <c r="I103" s="23"/>
      <c r="J103" s="73" t="str">
        <f>Pareto!AN91</f>
        <v>Biến dạng vị trí Soket</v>
      </c>
      <c r="K103" s="71">
        <f>Pareto!AO91</f>
        <v>0</v>
      </c>
      <c r="L103" s="72">
        <f>Pareto!AP91</f>
        <v>0</v>
      </c>
      <c r="M103" s="128">
        <f t="shared" si="73"/>
        <v>100.00000000000001</v>
      </c>
      <c r="N103" s="23"/>
      <c r="O103" s="23"/>
      <c r="P103" s="23"/>
      <c r="Q103" s="23"/>
      <c r="R103" s="23"/>
      <c r="S103" s="23"/>
      <c r="T103" s="119"/>
      <c r="AO103" s="6" t="str">
        <f ca="1">IFERROR(MATCH($B$114,OFFSET(#REF!,AO102,0,1000000),0)+AO102,"")</f>
        <v/>
      </c>
      <c r="AP103" s="156" t="str">
        <f ca="1">IFERROR(_xlfn.SINGLE(INDEX(#REF!,'Annual Report'!AO103)),"")</f>
        <v/>
      </c>
      <c r="AQ103" s="6" t="str">
        <f ca="1">IFERROR(_xlfn.SINGLE(INDEX(#REF!,'Annual Report'!AO103)),"")</f>
        <v/>
      </c>
      <c r="AS103" s="6" t="str">
        <f ca="1">IFERROR(MATCH($L$115,OFFSET(#REF!,AS102,0,1000000),0)+AS102,"")</f>
        <v/>
      </c>
      <c r="AT103" s="156" t="str">
        <f ca="1">IFERROR(_xlfn.SINGLE(INDEX(#REF!,'Annual Report'!AS103)),"")</f>
        <v/>
      </c>
      <c r="AU103" s="6" t="str">
        <f ca="1">IFERROR(_xlfn.SINGLE(INDEX(#REF!,'Annual Report'!AS103)),"")</f>
        <v/>
      </c>
      <c r="BR103" s="105"/>
      <c r="BS103" s="23"/>
      <c r="BT103" s="23"/>
      <c r="BU103" s="23"/>
      <c r="BV103" s="73" t="str">
        <f>Pareto!AH179</f>
        <v>Tưa lõi</v>
      </c>
      <c r="BW103" s="71">
        <f>Pareto!AI179</f>
        <v>0</v>
      </c>
      <c r="BX103" s="72">
        <f>Pareto!AJ179</f>
        <v>0</v>
      </c>
      <c r="BY103" s="128">
        <f t="shared" si="74"/>
        <v>99.999999999999986</v>
      </c>
      <c r="BZ103" s="23"/>
      <c r="CA103" s="73" t="str">
        <f>Pareto!AN179</f>
        <v>Thiếu dấu marking PS PSマーキング不足</v>
      </c>
      <c r="CB103" s="71">
        <f>Pareto!AO179</f>
        <v>0</v>
      </c>
      <c r="CC103" s="72">
        <f>Pareto!AP179</f>
        <v>0</v>
      </c>
      <c r="CD103" s="128">
        <f t="shared" si="75"/>
        <v>99.999999999999986</v>
      </c>
      <c r="CE103" s="23"/>
      <c r="CF103" s="23"/>
      <c r="CG103" s="23"/>
      <c r="CH103" s="23"/>
      <c r="CI103" s="23"/>
      <c r="CJ103" s="23"/>
      <c r="CK103" s="130"/>
    </row>
    <row r="104" spans="1:89">
      <c r="A104" s="122"/>
      <c r="B104" s="23"/>
      <c r="C104" s="23"/>
      <c r="D104" s="23"/>
      <c r="E104" s="135" t="str">
        <f>Pareto!AH92</f>
        <v>Thiếu dấu marking PS PSマーキング不足</v>
      </c>
      <c r="F104" s="136">
        <f>Pareto!AI92</f>
        <v>0</v>
      </c>
      <c r="G104" s="137">
        <f>Pareto!AJ92</f>
        <v>0</v>
      </c>
      <c r="H104" s="138">
        <f t="shared" si="72"/>
        <v>99.999999999999972</v>
      </c>
      <c r="I104" s="23"/>
      <c r="J104" s="135" t="str">
        <f>Pareto!AN92</f>
        <v>Bị bể, mẻ, cấn</v>
      </c>
      <c r="K104" s="136">
        <f>Pareto!AO92</f>
        <v>0</v>
      </c>
      <c r="L104" s="137">
        <f>Pareto!AP92</f>
        <v>0</v>
      </c>
      <c r="M104" s="138">
        <f t="shared" si="73"/>
        <v>100.00000000000001</v>
      </c>
      <c r="N104" s="23"/>
      <c r="O104" s="23"/>
      <c r="P104" s="23"/>
      <c r="Q104" s="23"/>
      <c r="R104" s="23"/>
      <c r="S104" s="23"/>
      <c r="T104" s="119"/>
      <c r="AO104" s="6" t="str">
        <f ca="1">IFERROR(MATCH($B$114,OFFSET(#REF!,AO103,0,1000000),0)+AO103,"")</f>
        <v/>
      </c>
      <c r="AP104" s="156" t="str">
        <f ca="1">IFERROR(_xlfn.SINGLE(INDEX(#REF!,'Annual Report'!AO104)),"")</f>
        <v/>
      </c>
      <c r="AQ104" s="6" t="str">
        <f ca="1">IFERROR(_xlfn.SINGLE(INDEX(#REF!,'Annual Report'!AO104)),"")</f>
        <v/>
      </c>
      <c r="AS104" s="6" t="str">
        <f ca="1">IFERROR(MATCH($L$115,OFFSET(#REF!,AS103,0,1000000),0)+AS103,"")</f>
        <v/>
      </c>
      <c r="AT104" s="156" t="str">
        <f ca="1">IFERROR(_xlfn.SINGLE(INDEX(#REF!,'Annual Report'!AS104)),"")</f>
        <v/>
      </c>
      <c r="AU104" s="6" t="str">
        <f ca="1">IFERROR(_xlfn.SINGLE(INDEX(#REF!,'Annual Report'!AS104)),"")</f>
        <v/>
      </c>
      <c r="BR104" s="105"/>
      <c r="BS104" s="23"/>
      <c r="BT104" s="23"/>
      <c r="BU104" s="23"/>
      <c r="BV104" s="73" t="str">
        <f>Pareto!AH180</f>
        <v>Đứt Lõi</v>
      </c>
      <c r="BW104" s="71">
        <f>Pareto!AI180</f>
        <v>0</v>
      </c>
      <c r="BX104" s="72">
        <f>Pareto!AJ180</f>
        <v>0</v>
      </c>
      <c r="BY104" s="128">
        <f t="shared" si="74"/>
        <v>99.999999999999986</v>
      </c>
      <c r="BZ104" s="23"/>
      <c r="CA104" s="73" t="str">
        <f>Pareto!AN180</f>
        <v>Biến dạng vị trí Soket</v>
      </c>
      <c r="CB104" s="71">
        <f>Pareto!AO180</f>
        <v>0</v>
      </c>
      <c r="CC104" s="72">
        <f>Pareto!AP180</f>
        <v>0</v>
      </c>
      <c r="CD104" s="128">
        <f t="shared" si="75"/>
        <v>99.999999999999986</v>
      </c>
      <c r="CE104" s="23"/>
      <c r="CF104" s="23"/>
      <c r="CG104" s="23"/>
      <c r="CH104" s="23"/>
      <c r="CI104" s="23"/>
      <c r="CJ104" s="23"/>
      <c r="CK104" s="130"/>
    </row>
    <row r="105" spans="1:89">
      <c r="A105" s="122"/>
      <c r="B105" s="23"/>
      <c r="C105" s="23"/>
      <c r="D105" s="23"/>
      <c r="E105" s="135" t="str">
        <f>Pareto!AH93</f>
        <v>Biến dạng vị trí Soket</v>
      </c>
      <c r="F105" s="136">
        <f>Pareto!AI93</f>
        <v>0</v>
      </c>
      <c r="G105" s="137">
        <f>Pareto!AJ93</f>
        <v>0</v>
      </c>
      <c r="H105" s="138">
        <f t="shared" si="72"/>
        <v>99.999999999999972</v>
      </c>
      <c r="I105" s="23"/>
      <c r="J105" s="135" t="str">
        <f>Pareto!AN93</f>
        <v>Xỏ ngược đầu</v>
      </c>
      <c r="K105" s="136">
        <f>Pareto!AO93</f>
        <v>0</v>
      </c>
      <c r="L105" s="137">
        <f>Pareto!AP93</f>
        <v>0</v>
      </c>
      <c r="M105" s="138">
        <f t="shared" si="73"/>
        <v>100.00000000000001</v>
      </c>
      <c r="N105" s="23"/>
      <c r="O105" s="23"/>
      <c r="P105" s="23"/>
      <c r="Q105" s="23"/>
      <c r="R105" s="23"/>
      <c r="S105" s="23"/>
      <c r="T105" s="119"/>
      <c r="AO105" s="6" t="str">
        <f ca="1">IFERROR(MATCH($B$114,OFFSET(#REF!,AO104,0,1000000),0)+AO104,"")</f>
        <v/>
      </c>
      <c r="AP105" s="156" t="str">
        <f ca="1">IFERROR(_xlfn.SINGLE(INDEX(#REF!,'Annual Report'!AO105)),"")</f>
        <v/>
      </c>
      <c r="AQ105" s="6" t="str">
        <f ca="1">IFERROR(_xlfn.SINGLE(INDEX(#REF!,'Annual Report'!AO105)),"")</f>
        <v/>
      </c>
      <c r="AS105" s="6" t="str">
        <f ca="1">IFERROR(MATCH($L$115,OFFSET(#REF!,AS104,0,1000000),0)+AS104,"")</f>
        <v/>
      </c>
      <c r="AT105" s="156" t="str">
        <f ca="1">IFERROR(_xlfn.SINGLE(INDEX(#REF!,'Annual Report'!AS105)),"")</f>
        <v/>
      </c>
      <c r="AU105" s="6" t="str">
        <f ca="1">IFERROR(_xlfn.SINGLE(INDEX(#REF!,'Annual Report'!AS105)),"")</f>
        <v/>
      </c>
      <c r="BR105" s="105"/>
      <c r="BS105" s="23"/>
      <c r="BT105" s="23"/>
      <c r="BU105" s="23"/>
      <c r="BV105" s="73" t="str">
        <f>Pareto!AH181</f>
        <v>Thiếu dấu marking PS PSマーキング不足</v>
      </c>
      <c r="BW105" s="71">
        <f>Pareto!AI181</f>
        <v>0</v>
      </c>
      <c r="BX105" s="72">
        <f>Pareto!AJ181</f>
        <v>0</v>
      </c>
      <c r="BY105" s="128">
        <f t="shared" si="74"/>
        <v>99.999999999999986</v>
      </c>
      <c r="BZ105" s="23"/>
      <c r="CA105" s="73" t="str">
        <f>Pareto!AN181</f>
        <v>Bị bể, mẻ, cấn</v>
      </c>
      <c r="CB105" s="71">
        <f>Pareto!AO181</f>
        <v>0</v>
      </c>
      <c r="CC105" s="72">
        <f>Pareto!AP181</f>
        <v>0</v>
      </c>
      <c r="CD105" s="128">
        <f t="shared" si="75"/>
        <v>99.999999999999986</v>
      </c>
      <c r="CE105" s="23"/>
      <c r="CF105" s="23"/>
      <c r="CG105" s="23"/>
      <c r="CH105" s="23"/>
      <c r="CI105" s="23"/>
      <c r="CJ105" s="23"/>
      <c r="CK105" s="130"/>
    </row>
    <row r="106" spans="1:89">
      <c r="A106" s="122"/>
      <c r="B106" s="23"/>
      <c r="C106" s="23"/>
      <c r="D106" s="23"/>
      <c r="E106" s="135" t="str">
        <f>Pareto!AH94</f>
        <v>Xỏ ngược đầu</v>
      </c>
      <c r="F106" s="136">
        <f>Pareto!AI94</f>
        <v>0</v>
      </c>
      <c r="G106" s="137">
        <f>Pareto!AJ94</f>
        <v>0</v>
      </c>
      <c r="H106" s="138">
        <f t="shared" si="72"/>
        <v>99.999999999999972</v>
      </c>
      <c r="I106" s="23"/>
      <c r="J106" s="135" t="str">
        <f>Pareto!AN94</f>
        <v>Bị trầy xước</v>
      </c>
      <c r="K106" s="136">
        <f>Pareto!AO94</f>
        <v>0</v>
      </c>
      <c r="L106" s="137">
        <f>Pareto!AP94</f>
        <v>0</v>
      </c>
      <c r="M106" s="138">
        <f t="shared" si="73"/>
        <v>100.00000000000001</v>
      </c>
      <c r="N106" s="23"/>
      <c r="O106" s="23"/>
      <c r="P106" s="23"/>
      <c r="Q106" s="23"/>
      <c r="R106" s="23"/>
      <c r="S106" s="23"/>
      <c r="T106" s="119"/>
      <c r="AO106" s="6" t="str">
        <f ca="1">IFERROR(MATCH($B$114,OFFSET(#REF!,AO105,0,1000000),0)+AO105,"")</f>
        <v/>
      </c>
      <c r="AP106" s="156" t="str">
        <f ca="1">IFERROR(_xlfn.SINGLE(INDEX(#REF!,'Annual Report'!AO106)),"")</f>
        <v/>
      </c>
      <c r="AQ106" s="6" t="str">
        <f ca="1">IFERROR(_xlfn.SINGLE(INDEX(#REF!,'Annual Report'!AO106)),"")</f>
        <v/>
      </c>
      <c r="AS106" s="6" t="str">
        <f ca="1">IFERROR(MATCH($L$115,OFFSET(#REF!,AS105,0,1000000),0)+AS105,"")</f>
        <v/>
      </c>
      <c r="AT106" s="156" t="str">
        <f ca="1">IFERROR(_xlfn.SINGLE(INDEX(#REF!,'Annual Report'!AS106)),"")</f>
        <v/>
      </c>
      <c r="AU106" s="6" t="str">
        <f ca="1">IFERROR(_xlfn.SINGLE(INDEX(#REF!,'Annual Report'!AS106)),"")</f>
        <v/>
      </c>
      <c r="BR106" s="105"/>
      <c r="BS106" s="23"/>
      <c r="BT106" s="23"/>
      <c r="BU106" s="23"/>
      <c r="BV106" s="73" t="str">
        <f>Pareto!AH182</f>
        <v>Biến dạng vị trí Soket</v>
      </c>
      <c r="BW106" s="71">
        <f>Pareto!AI182</f>
        <v>0</v>
      </c>
      <c r="BX106" s="72">
        <f>Pareto!AJ182</f>
        <v>0</v>
      </c>
      <c r="BY106" s="128">
        <f t="shared" si="74"/>
        <v>99.999999999999986</v>
      </c>
      <c r="BZ106" s="23"/>
      <c r="CA106" s="73" t="str">
        <f>Pareto!AN182</f>
        <v>Xỏ ngược đầu</v>
      </c>
      <c r="CB106" s="71">
        <f>Pareto!AO182</f>
        <v>0</v>
      </c>
      <c r="CC106" s="72">
        <f>Pareto!AP182</f>
        <v>0</v>
      </c>
      <c r="CD106" s="128">
        <f t="shared" si="75"/>
        <v>99.999999999999986</v>
      </c>
      <c r="CE106" s="23"/>
      <c r="CF106" s="23"/>
      <c r="CG106" s="23"/>
      <c r="CH106" s="23"/>
      <c r="CI106" s="23"/>
      <c r="CJ106" s="23"/>
      <c r="CK106" s="130"/>
    </row>
    <row r="107" spans="1:89">
      <c r="A107" s="122"/>
      <c r="B107" s="23"/>
      <c r="C107" s="23"/>
      <c r="D107" s="23"/>
      <c r="E107" s="135" t="str">
        <f>Pareto!AH95</f>
        <v>Bị gãy khóa</v>
      </c>
      <c r="F107" s="136">
        <f>Pareto!AI95</f>
        <v>0</v>
      </c>
      <c r="G107" s="137">
        <f>Pareto!AJ95</f>
        <v>0</v>
      </c>
      <c r="H107" s="138">
        <f t="shared" si="72"/>
        <v>99.999999999999972</v>
      </c>
      <c r="I107" s="23"/>
      <c r="J107" s="135" t="str">
        <f>Pareto!AN95</f>
        <v>Bị gãy khóa</v>
      </c>
      <c r="K107" s="136">
        <f>Pareto!AO95</f>
        <v>0</v>
      </c>
      <c r="L107" s="137">
        <f>Pareto!AP95</f>
        <v>0</v>
      </c>
      <c r="M107" s="138">
        <f t="shared" si="73"/>
        <v>100.00000000000001</v>
      </c>
      <c r="N107" s="23"/>
      <c r="O107" s="23"/>
      <c r="P107" s="23"/>
      <c r="Q107" s="23"/>
      <c r="R107" s="23"/>
      <c r="S107" s="23"/>
      <c r="T107" s="119"/>
      <c r="AO107" s="6" t="str">
        <f ca="1">IFERROR(MATCH($B$114,OFFSET(#REF!,AO106,0,1000000),0)+AO106,"")</f>
        <v/>
      </c>
      <c r="AP107" s="156" t="str">
        <f ca="1">IFERROR(_xlfn.SINGLE(INDEX(#REF!,'Annual Report'!AO107)),"")</f>
        <v/>
      </c>
      <c r="AQ107" s="6" t="str">
        <f ca="1">IFERROR(_xlfn.SINGLE(INDEX(#REF!,'Annual Report'!AO107)),"")</f>
        <v/>
      </c>
      <c r="AS107" s="6" t="str">
        <f ca="1">IFERROR(MATCH($L$115,OFFSET(#REF!,AS106,0,1000000),0)+AS106,"")</f>
        <v/>
      </c>
      <c r="AT107" s="156" t="str">
        <f ca="1">IFERROR(_xlfn.SINGLE(INDEX(#REF!,'Annual Report'!AS107)),"")</f>
        <v/>
      </c>
      <c r="AU107" s="6" t="str">
        <f ca="1">IFERROR(_xlfn.SINGLE(INDEX(#REF!,'Annual Report'!AS107)),"")</f>
        <v/>
      </c>
      <c r="BR107" s="105"/>
      <c r="BS107" s="23"/>
      <c r="BT107" s="23"/>
      <c r="BU107" s="23"/>
      <c r="BV107" s="73" t="str">
        <f>Pareto!AH183</f>
        <v>Xỏ ngược đầu</v>
      </c>
      <c r="BW107" s="71">
        <f>Pareto!AI183</f>
        <v>0</v>
      </c>
      <c r="BX107" s="72">
        <f>Pareto!AJ183</f>
        <v>0</v>
      </c>
      <c r="BY107" s="128">
        <f t="shared" si="74"/>
        <v>99.999999999999986</v>
      </c>
      <c r="BZ107" s="23"/>
      <c r="CA107" s="73" t="str">
        <f>Pareto!AN183</f>
        <v>Bị trầy xước</v>
      </c>
      <c r="CB107" s="71">
        <f>Pareto!AO183</f>
        <v>0</v>
      </c>
      <c r="CC107" s="72">
        <f>Pareto!AP183</f>
        <v>0</v>
      </c>
      <c r="CD107" s="128">
        <f t="shared" si="75"/>
        <v>99.999999999999986</v>
      </c>
      <c r="CE107" s="23"/>
      <c r="CF107" s="23"/>
      <c r="CG107" s="23"/>
      <c r="CH107" s="23"/>
      <c r="CI107" s="23"/>
      <c r="CJ107" s="23"/>
      <c r="CK107" s="130"/>
    </row>
    <row r="108" spans="1:89">
      <c r="A108" s="122"/>
      <c r="B108" s="23"/>
      <c r="C108" s="23"/>
      <c r="D108" s="23"/>
      <c r="E108" s="135" t="str">
        <f>Pareto!AH96</f>
        <v>Bk không đạt</v>
      </c>
      <c r="F108" s="136">
        <f>Pareto!AI96</f>
        <v>0</v>
      </c>
      <c r="G108" s="137">
        <f>Pareto!AJ96</f>
        <v>0</v>
      </c>
      <c r="H108" s="138">
        <f t="shared" si="72"/>
        <v>99.999999999999972</v>
      </c>
      <c r="I108" s="23"/>
      <c r="J108" s="135" t="str">
        <f>Pareto!AN96</f>
        <v>Bk không đạt</v>
      </c>
      <c r="K108" s="136">
        <f>Pareto!AO96</f>
        <v>0</v>
      </c>
      <c r="L108" s="137">
        <f>Pareto!AP96</f>
        <v>0</v>
      </c>
      <c r="M108" s="138">
        <f t="shared" si="73"/>
        <v>100.00000000000001</v>
      </c>
      <c r="N108" s="23"/>
      <c r="O108" s="23"/>
      <c r="P108" s="23"/>
      <c r="Q108" s="23"/>
      <c r="R108" s="23"/>
      <c r="S108" s="23"/>
      <c r="T108" s="119"/>
      <c r="AO108" s="6" t="str">
        <f ca="1">IFERROR(MATCH($B$114,OFFSET(#REF!,AO107,0,1000000),0)+AO107,"")</f>
        <v/>
      </c>
      <c r="AP108" s="156" t="str">
        <f ca="1">IFERROR(_xlfn.SINGLE(INDEX(#REF!,'Annual Report'!AO108)),"")</f>
        <v/>
      </c>
      <c r="AQ108" s="6" t="str">
        <f ca="1">IFERROR(_xlfn.SINGLE(INDEX(#REF!,'Annual Report'!AO108)),"")</f>
        <v/>
      </c>
      <c r="AS108" s="6" t="str">
        <f ca="1">IFERROR(MATCH($L$115,OFFSET(#REF!,AS107,0,1000000),0)+AS107,"")</f>
        <v/>
      </c>
      <c r="AT108" s="156" t="str">
        <f ca="1">IFERROR(_xlfn.SINGLE(INDEX(#REF!,'Annual Report'!AS108)),"")</f>
        <v/>
      </c>
      <c r="AU108" s="6" t="str">
        <f ca="1">IFERROR(_xlfn.SINGLE(INDEX(#REF!,'Annual Report'!AS108)),"")</f>
        <v/>
      </c>
      <c r="BR108" s="105"/>
      <c r="BS108" s="23"/>
      <c r="BT108" s="23"/>
      <c r="BU108" s="23"/>
      <c r="BV108" s="73" t="str">
        <f>Pareto!AH184</f>
        <v>Bị gãy khóa</v>
      </c>
      <c r="BW108" s="71">
        <f>Pareto!AI184</f>
        <v>0</v>
      </c>
      <c r="BX108" s="72">
        <f>Pareto!AJ184</f>
        <v>0</v>
      </c>
      <c r="BY108" s="128">
        <f t="shared" si="74"/>
        <v>99.999999999999986</v>
      </c>
      <c r="BZ108" s="23"/>
      <c r="CA108" s="73" t="str">
        <f>Pareto!AN184</f>
        <v>Bị gãy khóa</v>
      </c>
      <c r="CB108" s="71">
        <f>Pareto!AO184</f>
        <v>0</v>
      </c>
      <c r="CC108" s="72">
        <f>Pareto!AP184</f>
        <v>0</v>
      </c>
      <c r="CD108" s="128">
        <f t="shared" si="75"/>
        <v>99.999999999999986</v>
      </c>
      <c r="CE108" s="23"/>
      <c r="CF108" s="23"/>
      <c r="CG108" s="23"/>
      <c r="CH108" s="23"/>
      <c r="CI108" s="23"/>
      <c r="CJ108" s="23"/>
      <c r="CK108" s="130"/>
    </row>
    <row r="109" spans="1:89">
      <c r="A109" s="122"/>
      <c r="B109" s="23"/>
      <c r="C109" s="23"/>
      <c r="D109" s="23"/>
      <c r="E109" s="135" t="str">
        <f>Pareto!AH97</f>
        <v>Rách</v>
      </c>
      <c r="F109" s="136">
        <f>Pareto!AI97</f>
        <v>0</v>
      </c>
      <c r="G109" s="137">
        <f>Pareto!AJ97</f>
        <v>0</v>
      </c>
      <c r="H109" s="138">
        <f t="shared" si="72"/>
        <v>99.999999999999972</v>
      </c>
      <c r="I109" s="23"/>
      <c r="J109" s="135" t="str">
        <f>Pareto!AN97</f>
        <v>Rách</v>
      </c>
      <c r="K109" s="136">
        <f>Pareto!AO97</f>
        <v>0</v>
      </c>
      <c r="L109" s="137">
        <f>Pareto!AP97</f>
        <v>0</v>
      </c>
      <c r="M109" s="138">
        <f t="shared" si="73"/>
        <v>100.00000000000001</v>
      </c>
      <c r="N109" s="23"/>
      <c r="O109" s="23"/>
      <c r="P109" s="23"/>
      <c r="Q109" s="23"/>
      <c r="R109" s="23"/>
      <c r="S109" s="23"/>
      <c r="T109" s="119"/>
      <c r="AO109" s="6" t="str">
        <f ca="1">IFERROR(MATCH($B$114,OFFSET(#REF!,AO108,0,1000000),0)+AO108,"")</f>
        <v/>
      </c>
      <c r="AP109" s="156" t="str">
        <f ca="1">IFERROR(_xlfn.SINGLE(INDEX(#REF!,'Annual Report'!AO109)),"")</f>
        <v/>
      </c>
      <c r="AQ109" s="6" t="str">
        <f ca="1">IFERROR(_xlfn.SINGLE(INDEX(#REF!,'Annual Report'!AO109)),"")</f>
        <v/>
      </c>
      <c r="AS109" s="6" t="str">
        <f ca="1">IFERROR(MATCH($L$115,OFFSET(#REF!,AS108,0,1000000),0)+AS108,"")</f>
        <v/>
      </c>
      <c r="AT109" s="156" t="str">
        <f ca="1">IFERROR(_xlfn.SINGLE(INDEX(#REF!,'Annual Report'!AS109)),"")</f>
        <v/>
      </c>
      <c r="AU109" s="6" t="str">
        <f ca="1">IFERROR(_xlfn.SINGLE(INDEX(#REF!,'Annual Report'!AS109)),"")</f>
        <v/>
      </c>
      <c r="BR109" s="105"/>
      <c r="BS109" s="23"/>
      <c r="BT109" s="23"/>
      <c r="BU109" s="23"/>
      <c r="BV109" s="73" t="str">
        <f>Pareto!AH185</f>
        <v>Bk không đạt</v>
      </c>
      <c r="BW109" s="71">
        <f>Pareto!AI185</f>
        <v>0</v>
      </c>
      <c r="BX109" s="72">
        <f>Pareto!AJ185</f>
        <v>0</v>
      </c>
      <c r="BY109" s="128">
        <f t="shared" si="74"/>
        <v>99.999999999999986</v>
      </c>
      <c r="BZ109" s="23"/>
      <c r="CA109" s="73" t="str">
        <f>Pareto!AN185</f>
        <v>Bk không đạt</v>
      </c>
      <c r="CB109" s="71">
        <f>Pareto!AO185</f>
        <v>0</v>
      </c>
      <c r="CC109" s="72">
        <f>Pareto!AP185</f>
        <v>0</v>
      </c>
      <c r="CD109" s="128">
        <f t="shared" si="75"/>
        <v>99.999999999999986</v>
      </c>
      <c r="CE109" s="23"/>
      <c r="CF109" s="23"/>
      <c r="CG109" s="23"/>
      <c r="CH109" s="23"/>
      <c r="CI109" s="23"/>
      <c r="CJ109" s="23"/>
      <c r="CK109" s="130"/>
    </row>
    <row r="110" spans="1:89">
      <c r="A110" s="122"/>
      <c r="B110" s="23"/>
      <c r="C110" s="23"/>
      <c r="D110" s="23"/>
      <c r="E110" s="135" t="str">
        <f>Pareto!AH98</f>
        <v>Contact bị cháy コン クト焼け</v>
      </c>
      <c r="F110" s="136">
        <f>Pareto!AI98</f>
        <v>0</v>
      </c>
      <c r="G110" s="137">
        <f>Pareto!AJ98</f>
        <v>0</v>
      </c>
      <c r="H110" s="138">
        <f t="shared" si="72"/>
        <v>99.999999999999972</v>
      </c>
      <c r="I110" s="23"/>
      <c r="J110" s="135" t="str">
        <f>Pareto!AN98</f>
        <v>Contact bị cháy コン クト焼け</v>
      </c>
      <c r="K110" s="136">
        <f>Pareto!AO98</f>
        <v>0</v>
      </c>
      <c r="L110" s="137">
        <f>Pareto!AP98</f>
        <v>0</v>
      </c>
      <c r="M110" s="138">
        <f t="shared" si="73"/>
        <v>100.00000000000001</v>
      </c>
      <c r="N110" s="23"/>
      <c r="O110" s="23"/>
      <c r="P110" s="23"/>
      <c r="Q110" s="23"/>
      <c r="R110" s="23"/>
      <c r="S110" s="23"/>
      <c r="T110" s="119"/>
      <c r="AO110" s="6" t="str">
        <f ca="1">IFERROR(MATCH($B$114,OFFSET(#REF!,AO109,0,1000000),0)+AO109,"")</f>
        <v/>
      </c>
      <c r="AP110" s="156" t="str">
        <f ca="1">IFERROR(_xlfn.SINGLE(INDEX(#REF!,'Annual Report'!AO110)),"")</f>
        <v/>
      </c>
      <c r="AQ110" s="6" t="str">
        <f ca="1">IFERROR(_xlfn.SINGLE(INDEX(#REF!,'Annual Report'!AO110)),"")</f>
        <v/>
      </c>
      <c r="AS110" s="6" t="str">
        <f ca="1">IFERROR(MATCH($L$115,OFFSET(#REF!,AS109,0,1000000),0)+AS109,"")</f>
        <v/>
      </c>
      <c r="AT110" s="156" t="str">
        <f ca="1">IFERROR(_xlfn.SINGLE(INDEX(#REF!,'Annual Report'!AS110)),"")</f>
        <v/>
      </c>
      <c r="AU110" s="6" t="str">
        <f ca="1">IFERROR(_xlfn.SINGLE(INDEX(#REF!,'Annual Report'!AS110)),"")</f>
        <v/>
      </c>
      <c r="BR110" s="105"/>
      <c r="BS110" s="23"/>
      <c r="BT110" s="23"/>
      <c r="BU110" s="23"/>
      <c r="BV110" s="73" t="str">
        <f>Pareto!AH186</f>
        <v>Rách</v>
      </c>
      <c r="BW110" s="71">
        <f>Pareto!AI186</f>
        <v>0</v>
      </c>
      <c r="BX110" s="72">
        <f>Pareto!AJ186</f>
        <v>0</v>
      </c>
      <c r="BY110" s="128">
        <f t="shared" si="74"/>
        <v>99.999999999999986</v>
      </c>
      <c r="BZ110" s="23"/>
      <c r="CA110" s="73" t="str">
        <f>Pareto!AN186</f>
        <v>Rách</v>
      </c>
      <c r="CB110" s="71">
        <f>Pareto!AO186</f>
        <v>0</v>
      </c>
      <c r="CC110" s="72">
        <f>Pareto!AP186</f>
        <v>0</v>
      </c>
      <c r="CD110" s="128">
        <f t="shared" si="75"/>
        <v>99.999999999999986</v>
      </c>
      <c r="CE110" s="23"/>
      <c r="CF110" s="23"/>
      <c r="CG110" s="23"/>
      <c r="CH110" s="23"/>
      <c r="CI110" s="23"/>
      <c r="CJ110" s="23"/>
      <c r="CK110" s="130"/>
    </row>
    <row r="111" spans="1:89">
      <c r="A111" s="122"/>
      <c r="B111" s="23"/>
      <c r="C111" s="23"/>
      <c r="D111" s="23"/>
      <c r="E111" s="135" t="str">
        <f>Pareto!AH99</f>
        <v>HKH NG</v>
      </c>
      <c r="F111" s="136">
        <f>Pareto!AI99</f>
        <v>0</v>
      </c>
      <c r="G111" s="137">
        <f>Pareto!AJ99</f>
        <v>0</v>
      </c>
      <c r="H111" s="138">
        <f t="shared" si="72"/>
        <v>99.999999999999972</v>
      </c>
      <c r="I111" s="23"/>
      <c r="J111" s="135" t="str">
        <f>Pareto!AN99</f>
        <v>HKH NG</v>
      </c>
      <c r="K111" s="136">
        <f>Pareto!AO99</f>
        <v>0</v>
      </c>
      <c r="L111" s="137">
        <f>Pareto!AP99</f>
        <v>0</v>
      </c>
      <c r="M111" s="138">
        <f t="shared" si="73"/>
        <v>100.00000000000001</v>
      </c>
      <c r="N111" s="23"/>
      <c r="O111" s="23"/>
      <c r="P111" s="23"/>
      <c r="Q111" s="23"/>
      <c r="R111" s="23"/>
      <c r="S111" s="23"/>
      <c r="T111" s="119"/>
      <c r="AO111" s="6" t="str">
        <f ca="1">IFERROR(MATCH($B$114,OFFSET(#REF!,AO110,0,1000000),0)+AO110,"")</f>
        <v/>
      </c>
      <c r="AP111" s="156" t="str">
        <f ca="1">IFERROR(_xlfn.SINGLE(INDEX(#REF!,'Annual Report'!AO111)),"")</f>
        <v/>
      </c>
      <c r="AQ111" s="6" t="str">
        <f ca="1">IFERROR(_xlfn.SINGLE(INDEX(#REF!,'Annual Report'!AO111)),"")</f>
        <v/>
      </c>
      <c r="AS111" s="6" t="str">
        <f ca="1">IFERROR(MATCH($L$115,OFFSET(#REF!,AS110,0,1000000),0)+AS110,"")</f>
        <v/>
      </c>
      <c r="AT111" s="156" t="str">
        <f ca="1">IFERROR(_xlfn.SINGLE(INDEX(#REF!,'Annual Report'!AS111)),"")</f>
        <v/>
      </c>
      <c r="AU111" s="6" t="str">
        <f ca="1">IFERROR(_xlfn.SINGLE(INDEX(#REF!,'Annual Report'!AS111)),"")</f>
        <v/>
      </c>
      <c r="BR111" s="105"/>
      <c r="BS111" s="23"/>
      <c r="BT111" s="23"/>
      <c r="BU111" s="23"/>
      <c r="BV111" s="73" t="str">
        <f>Pareto!AH187</f>
        <v>Contact bị cháy コン クト焼け</v>
      </c>
      <c r="BW111" s="71">
        <f>Pareto!AI187</f>
        <v>0</v>
      </c>
      <c r="BX111" s="72">
        <f>Pareto!AJ187</f>
        <v>0</v>
      </c>
      <c r="BY111" s="128">
        <f t="shared" si="74"/>
        <v>99.999999999999986</v>
      </c>
      <c r="BZ111" s="23"/>
      <c r="CA111" s="73" t="str">
        <f>Pareto!AN187</f>
        <v>Contact bị cháy コン クト焼け</v>
      </c>
      <c r="CB111" s="71">
        <f>Pareto!AO187</f>
        <v>0</v>
      </c>
      <c r="CC111" s="72">
        <f>Pareto!AP187</f>
        <v>0</v>
      </c>
      <c r="CD111" s="128">
        <f t="shared" si="75"/>
        <v>99.999999999999986</v>
      </c>
      <c r="CE111" s="23"/>
      <c r="CF111" s="23"/>
      <c r="CG111" s="23"/>
      <c r="CH111" s="23"/>
      <c r="CI111" s="23"/>
      <c r="CJ111" s="23"/>
      <c r="CK111" s="130"/>
    </row>
    <row r="112" spans="1:89">
      <c r="A112" s="105"/>
      <c r="B112" s="23"/>
      <c r="C112" s="23"/>
      <c r="D112" s="23"/>
      <c r="E112" s="135" t="str">
        <f>Pareto!AH100</f>
        <v>Tanshi dính HKH はん  着</v>
      </c>
      <c r="F112" s="136">
        <f>Pareto!AI100</f>
        <v>0</v>
      </c>
      <c r="G112" s="137">
        <f>Pareto!AJ100</f>
        <v>0</v>
      </c>
      <c r="H112" s="138">
        <f t="shared" si="72"/>
        <v>99.999999999999972</v>
      </c>
      <c r="I112" s="23"/>
      <c r="J112" s="135" t="str">
        <f>Pareto!AN100</f>
        <v>Tanshi dính HKH はん  着</v>
      </c>
      <c r="K112" s="136">
        <f>Pareto!AO100</f>
        <v>0</v>
      </c>
      <c r="L112" s="137">
        <f>Pareto!AP100</f>
        <v>0</v>
      </c>
      <c r="M112" s="138">
        <f t="shared" si="73"/>
        <v>100.00000000000001</v>
      </c>
      <c r="N112" s="23"/>
      <c r="O112" s="23"/>
      <c r="P112" s="23"/>
      <c r="Q112" s="23"/>
      <c r="R112" s="23"/>
      <c r="S112" s="23"/>
      <c r="T112" s="130"/>
      <c r="AO112" s="6" t="str">
        <f ca="1">IFERROR(MATCH($B$114,OFFSET(#REF!,AO111,0,1000000),0)+AO111,"")</f>
        <v/>
      </c>
      <c r="AP112" s="156" t="str">
        <f ca="1">IFERROR(_xlfn.SINGLE(INDEX(#REF!,'Annual Report'!AO112)),"")</f>
        <v/>
      </c>
      <c r="AQ112" s="6" t="str">
        <f ca="1">IFERROR(_xlfn.SINGLE(INDEX(#REF!,'Annual Report'!AO112)),"")</f>
        <v/>
      </c>
      <c r="AS112" s="6" t="str">
        <f ca="1">IFERROR(MATCH($L$115,OFFSET(#REF!,AS111,0,1000000),0)+AS111,"")</f>
        <v/>
      </c>
      <c r="AT112" s="156" t="str">
        <f ca="1">IFERROR(_xlfn.SINGLE(INDEX(#REF!,'Annual Report'!AS112)),"")</f>
        <v/>
      </c>
      <c r="AU112" s="6" t="str">
        <f ca="1">IFERROR(_xlfn.SINGLE(INDEX(#REF!,'Annual Report'!AS112)),"")</f>
        <v/>
      </c>
      <c r="BR112" s="105"/>
      <c r="BS112" s="23"/>
      <c r="BT112" s="23"/>
      <c r="BU112" s="23"/>
      <c r="BV112" s="73" t="str">
        <f>Pareto!AH188</f>
        <v>HKH NG</v>
      </c>
      <c r="BW112" s="71">
        <f>Pareto!AI188</f>
        <v>0</v>
      </c>
      <c r="BX112" s="72">
        <f>Pareto!AJ188</f>
        <v>0</v>
      </c>
      <c r="BY112" s="128">
        <f t="shared" si="74"/>
        <v>99.999999999999986</v>
      </c>
      <c r="BZ112" s="23"/>
      <c r="CA112" s="73" t="str">
        <f>Pareto!AN188</f>
        <v>HKH NG</v>
      </c>
      <c r="CB112" s="71">
        <f>Pareto!AO188</f>
        <v>0</v>
      </c>
      <c r="CC112" s="72">
        <f>Pareto!AP188</f>
        <v>0</v>
      </c>
      <c r="CD112" s="128">
        <f t="shared" si="75"/>
        <v>99.999999999999986</v>
      </c>
      <c r="CE112" s="23"/>
      <c r="CF112" s="23"/>
      <c r="CG112" s="23"/>
      <c r="CH112" s="23"/>
      <c r="CI112" s="23"/>
      <c r="CJ112" s="23"/>
      <c r="CK112" s="130"/>
    </row>
    <row r="113" spans="1:89">
      <c r="A113" s="105"/>
      <c r="B113" s="23"/>
      <c r="C113" s="23"/>
      <c r="D113" s="23"/>
      <c r="E113" s="74" t="str">
        <f>Pareto!AH101</f>
        <v>Hở hộp nối 端子勘合部(接点）が開いている</v>
      </c>
      <c r="F113" s="75">
        <f>Pareto!AI101</f>
        <v>0</v>
      </c>
      <c r="G113" s="76">
        <f>Pareto!AJ101</f>
        <v>0</v>
      </c>
      <c r="H113" s="107">
        <f t="shared" si="72"/>
        <v>99.999999999999972</v>
      </c>
      <c r="I113" s="23"/>
      <c r="J113" s="74" t="str">
        <f>Pareto!AN101</f>
        <v>Hở hộp nối 端子勘合部(接点）が開いている</v>
      </c>
      <c r="K113" s="75">
        <f>Pareto!AO101</f>
        <v>0</v>
      </c>
      <c r="L113" s="76">
        <f>Pareto!AP101</f>
        <v>0</v>
      </c>
      <c r="M113" s="107">
        <f t="shared" si="73"/>
        <v>100.00000000000001</v>
      </c>
      <c r="N113" s="23"/>
      <c r="O113" s="23"/>
      <c r="P113" s="23"/>
      <c r="Q113" s="23"/>
      <c r="R113" s="23"/>
      <c r="S113" s="23"/>
      <c r="T113" s="130"/>
      <c r="AO113" s="6" t="str">
        <f ca="1">IFERROR(MATCH($B$114,OFFSET(#REF!,AO112,0,1000000),0)+AO112,"")</f>
        <v/>
      </c>
      <c r="AP113" s="156" t="str">
        <f ca="1">IFERROR(_xlfn.SINGLE(INDEX(#REF!,'Annual Report'!AO113)),"")</f>
        <v/>
      </c>
      <c r="AQ113" s="6" t="str">
        <f ca="1">IFERROR(_xlfn.SINGLE(INDEX(#REF!,'Annual Report'!AO113)),"")</f>
        <v/>
      </c>
      <c r="AS113" s="6" t="str">
        <f ca="1">IFERROR(MATCH($L$115,OFFSET(#REF!,AS112,0,1000000),0)+AS112,"")</f>
        <v/>
      </c>
      <c r="AT113" s="156" t="str">
        <f ca="1">IFERROR(_xlfn.SINGLE(INDEX(#REF!,'Annual Report'!AS113)),"")</f>
        <v/>
      </c>
      <c r="AU113" s="6" t="str">
        <f ca="1">IFERROR(_xlfn.SINGLE(INDEX(#REF!,'Annual Report'!AS113)),"")</f>
        <v/>
      </c>
      <c r="BR113" s="105"/>
      <c r="BS113" s="23"/>
      <c r="BT113" s="23"/>
      <c r="BU113" s="23"/>
      <c r="BV113" s="135" t="str">
        <f>Pareto!AH189</f>
        <v>Tanshi dính HKH はん  着</v>
      </c>
      <c r="BW113" s="136">
        <f>Pareto!AI189</f>
        <v>0</v>
      </c>
      <c r="BX113" s="137">
        <f>Pareto!AJ189</f>
        <v>0</v>
      </c>
      <c r="BY113" s="138">
        <f t="shared" si="74"/>
        <v>99.999999999999986</v>
      </c>
      <c r="BZ113" s="23"/>
      <c r="CA113" s="135" t="str">
        <f>Pareto!AN189</f>
        <v>Tanshi dính HKH はん  着</v>
      </c>
      <c r="CB113" s="136">
        <f>Pareto!AO189</f>
        <v>0</v>
      </c>
      <c r="CC113" s="137">
        <f>Pareto!AP189</f>
        <v>0</v>
      </c>
      <c r="CD113" s="138">
        <f t="shared" si="75"/>
        <v>99.999999999999986</v>
      </c>
      <c r="CE113" s="23"/>
      <c r="CF113" s="23"/>
      <c r="CG113" s="23"/>
      <c r="CH113" s="23"/>
      <c r="CI113" s="23"/>
      <c r="CJ113" s="23"/>
      <c r="CK113" s="130"/>
    </row>
    <row r="114" spans="1:89">
      <c r="A114" s="10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130"/>
      <c r="AO114" s="6" t="str">
        <f ca="1">IFERROR(MATCH($B$114,OFFSET(#REF!,AO113,0,1000000),0)+AO113,"")</f>
        <v/>
      </c>
      <c r="AP114" s="156" t="str">
        <f ca="1">IFERROR(_xlfn.SINGLE(INDEX(#REF!,'Annual Report'!AO114)),"")</f>
        <v/>
      </c>
      <c r="AQ114" s="6" t="str">
        <f ca="1">IFERROR(_xlfn.SINGLE(INDEX(#REF!,'Annual Report'!AO114)),"")</f>
        <v/>
      </c>
      <c r="AS114" s="6" t="str">
        <f ca="1">IFERROR(MATCH($L$115,OFFSET(#REF!,AS113,0,1000000),0)+AS113,"")</f>
        <v/>
      </c>
      <c r="AT114" s="156" t="str">
        <f ca="1">IFERROR(_xlfn.SINGLE(INDEX(#REF!,'Annual Report'!AS114)),"")</f>
        <v/>
      </c>
      <c r="AU114" s="6" t="str">
        <f ca="1">IFERROR(_xlfn.SINGLE(INDEX(#REF!,'Annual Report'!AS114)),"")</f>
        <v/>
      </c>
      <c r="BR114" s="105"/>
      <c r="BS114" s="23"/>
      <c r="BT114" s="23"/>
      <c r="BU114" s="23"/>
      <c r="BV114" s="74" t="str">
        <f>Pareto!AH190</f>
        <v>Hở hộp nối 端子勘合部(接点）が開いている</v>
      </c>
      <c r="BW114" s="75">
        <f>Pareto!AI190</f>
        <v>0</v>
      </c>
      <c r="BX114" s="76">
        <f>Pareto!AJ190</f>
        <v>0</v>
      </c>
      <c r="BY114" s="107">
        <f t="shared" si="74"/>
        <v>99.999999999999986</v>
      </c>
      <c r="BZ114" s="23"/>
      <c r="CA114" s="74" t="str">
        <f>Pareto!AN190</f>
        <v>Hở hộp nối 端子勘合部(接点）が開いている</v>
      </c>
      <c r="CB114" s="75">
        <f>Pareto!AO190</f>
        <v>0</v>
      </c>
      <c r="CC114" s="76">
        <f>Pareto!AP190</f>
        <v>0</v>
      </c>
      <c r="CD114" s="107">
        <f t="shared" si="75"/>
        <v>99.999999999999986</v>
      </c>
      <c r="CE114" s="23"/>
      <c r="CF114" s="23"/>
      <c r="CG114" s="23"/>
      <c r="CH114" s="23"/>
      <c r="CI114" s="23"/>
      <c r="CJ114" s="23"/>
      <c r="CK114" s="130"/>
    </row>
    <row r="115" spans="1:89">
      <c r="A115" s="10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130"/>
      <c r="AO115" s="6" t="str">
        <f ca="1">IFERROR(MATCH($B$114,OFFSET(#REF!,AO114,0,1000000),0)+AO114,"")</f>
        <v/>
      </c>
      <c r="AP115" s="156" t="str">
        <f ca="1">IFERROR(_xlfn.SINGLE(INDEX(#REF!,'Annual Report'!AO115)),"")</f>
        <v/>
      </c>
      <c r="AQ115" s="6" t="str">
        <f ca="1">IFERROR(_xlfn.SINGLE(INDEX(#REF!,'Annual Report'!AO115)),"")</f>
        <v/>
      </c>
      <c r="AS115" s="6" t="str">
        <f ca="1">IFERROR(MATCH($L$115,OFFSET(#REF!,AS114,0,1000000),0)+AS114,"")</f>
        <v/>
      </c>
      <c r="AT115" s="156" t="str">
        <f ca="1">IFERROR(_xlfn.SINGLE(INDEX(#REF!,'Annual Report'!AS115)),"")</f>
        <v/>
      </c>
      <c r="AU115" s="6" t="str">
        <f ca="1">IFERROR(_xlfn.SINGLE(INDEX(#REF!,'Annual Report'!AS115)),"")</f>
        <v/>
      </c>
      <c r="BR115" s="105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130"/>
    </row>
    <row r="116" spans="1:89">
      <c r="A116" s="10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130"/>
      <c r="AO116" s="6" t="str">
        <f ca="1">IFERROR(MATCH($B$114,OFFSET(#REF!,AO115,0,1000000),0)+AO115,"")</f>
        <v/>
      </c>
      <c r="AP116" s="156" t="str">
        <f ca="1">IFERROR(_xlfn.SINGLE(INDEX(#REF!,'Annual Report'!AO116)),"")</f>
        <v/>
      </c>
      <c r="AQ116" s="6" t="str">
        <f ca="1">IFERROR(_xlfn.SINGLE(INDEX(#REF!,'Annual Report'!AO116)),"")</f>
        <v/>
      </c>
      <c r="AS116" s="6" t="str">
        <f ca="1">IFERROR(MATCH($L$115,OFFSET(#REF!,AS115,0,1000000),0)+AS115,"")</f>
        <v/>
      </c>
      <c r="AT116" s="156" t="str">
        <f ca="1">IFERROR(_xlfn.SINGLE(INDEX(#REF!,'Annual Report'!AS116)),"")</f>
        <v/>
      </c>
      <c r="AU116" s="6" t="str">
        <f ca="1">IFERROR(_xlfn.SINGLE(INDEX(#REF!,'Annual Report'!AS116)),"")</f>
        <v/>
      </c>
      <c r="BR116" s="105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130"/>
    </row>
    <row r="117" spans="1:89">
      <c r="A117" s="10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130"/>
      <c r="AO117" s="6" t="str">
        <f ca="1">IFERROR(MATCH($B$114,OFFSET(#REF!,AO116,0,1000000),0)+AO116,"")</f>
        <v/>
      </c>
      <c r="AP117" s="156" t="str">
        <f ca="1">IFERROR(_xlfn.SINGLE(INDEX(#REF!,'Annual Report'!AO117)),"")</f>
        <v/>
      </c>
      <c r="AQ117" s="6" t="str">
        <f ca="1">IFERROR(_xlfn.SINGLE(INDEX(#REF!,'Annual Report'!AO117)),"")</f>
        <v/>
      </c>
      <c r="AS117" s="6" t="str">
        <f ca="1">IFERROR(MATCH($L$115,OFFSET(#REF!,AS116,0,1000000),0)+AS116,"")</f>
        <v/>
      </c>
      <c r="AT117" s="156" t="str">
        <f ca="1">IFERROR(_xlfn.SINGLE(INDEX(#REF!,'Annual Report'!AS117)),"")</f>
        <v/>
      </c>
      <c r="AU117" s="6" t="str">
        <f ca="1">IFERROR(_xlfn.SINGLE(INDEX(#REF!,'Annual Report'!AS117)),"")</f>
        <v/>
      </c>
      <c r="BR117" s="105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130"/>
    </row>
    <row r="118" spans="1:89">
      <c r="A118" s="10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130"/>
      <c r="AO118" s="6" t="str">
        <f ca="1">IFERROR(MATCH($B$114,OFFSET(#REF!,AO117,0,1000000),0)+AO117,"")</f>
        <v/>
      </c>
      <c r="AP118" s="156" t="str">
        <f ca="1">IFERROR(_xlfn.SINGLE(INDEX(#REF!,'Annual Report'!AO118)),"")</f>
        <v/>
      </c>
      <c r="AQ118" s="6" t="str">
        <f ca="1">IFERROR(_xlfn.SINGLE(INDEX(#REF!,'Annual Report'!AO118)),"")</f>
        <v/>
      </c>
      <c r="AS118" s="6" t="str">
        <f ca="1">IFERROR(MATCH($L$115,OFFSET(#REF!,AS117,0,1000000),0)+AS117,"")</f>
        <v/>
      </c>
      <c r="AT118" s="156" t="str">
        <f ca="1">IFERROR(_xlfn.SINGLE(INDEX(#REF!,'Annual Report'!AS118)),"")</f>
        <v/>
      </c>
      <c r="AU118" s="6" t="str">
        <f ca="1">IFERROR(_xlfn.SINGLE(INDEX(#REF!,'Annual Report'!AS118)),"")</f>
        <v/>
      </c>
      <c r="BR118" s="105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130"/>
    </row>
    <row r="119" spans="1:89">
      <c r="A119" s="10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130"/>
      <c r="AO119" s="6" t="str">
        <f ca="1">IFERROR(MATCH($B$114,OFFSET(#REF!,AO118,0,1000000),0)+AO118,"")</f>
        <v/>
      </c>
      <c r="AP119" s="156" t="str">
        <f ca="1">IFERROR(_xlfn.SINGLE(INDEX(#REF!,'Annual Report'!AO119)),"")</f>
        <v/>
      </c>
      <c r="AQ119" s="6" t="str">
        <f ca="1">IFERROR(_xlfn.SINGLE(INDEX(#REF!,'Annual Report'!AO119)),"")</f>
        <v/>
      </c>
      <c r="AS119" s="6" t="str">
        <f ca="1">IFERROR(MATCH($L$115,OFFSET(#REF!,AS118,0,1000000),0)+AS118,"")</f>
        <v/>
      </c>
      <c r="AT119" s="156" t="str">
        <f ca="1">IFERROR(_xlfn.SINGLE(INDEX(#REF!,'Annual Report'!AS119)),"")</f>
        <v/>
      </c>
      <c r="AU119" s="6" t="str">
        <f ca="1">IFERROR(_xlfn.SINGLE(INDEX(#REF!,'Annual Report'!AS119)),"")</f>
        <v/>
      </c>
      <c r="BR119" s="105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130"/>
    </row>
    <row r="120" spans="1:89">
      <c r="A120" s="10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130"/>
      <c r="AO120" s="6" t="str">
        <f ca="1">IFERROR(MATCH($B$114,OFFSET(#REF!,AO119,0,1000000),0)+AO119,"")</f>
        <v/>
      </c>
      <c r="AP120" s="156" t="str">
        <f ca="1">IFERROR(_xlfn.SINGLE(INDEX(#REF!,'Annual Report'!AO120)),"")</f>
        <v/>
      </c>
      <c r="AQ120" s="6" t="str">
        <f ca="1">IFERROR(_xlfn.SINGLE(INDEX(#REF!,'Annual Report'!AO120)),"")</f>
        <v/>
      </c>
      <c r="AS120" s="6" t="str">
        <f ca="1">IFERROR(MATCH($L$115,OFFSET(#REF!,AS119,0,1000000),0)+AS119,"")</f>
        <v/>
      </c>
      <c r="AT120" s="156" t="str">
        <f ca="1">IFERROR(_xlfn.SINGLE(INDEX(#REF!,'Annual Report'!AS120)),"")</f>
        <v/>
      </c>
      <c r="AU120" s="6" t="str">
        <f ca="1">IFERROR(_xlfn.SINGLE(INDEX(#REF!,'Annual Report'!AS120)),"")</f>
        <v/>
      </c>
      <c r="BR120" s="105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130"/>
    </row>
    <row r="121" spans="1:89">
      <c r="A121" s="10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130"/>
      <c r="AO121" s="6" t="str">
        <f ca="1">IFERROR(MATCH($B$114,OFFSET(#REF!,AO120,0,1000000),0)+AO120,"")</f>
        <v/>
      </c>
      <c r="AP121" s="156" t="str">
        <f ca="1">IFERROR(_xlfn.SINGLE(INDEX(#REF!,'Annual Report'!AO121)),"")</f>
        <v/>
      </c>
      <c r="AQ121" s="6" t="str">
        <f ca="1">IFERROR(_xlfn.SINGLE(INDEX(#REF!,'Annual Report'!AO121)),"")</f>
        <v/>
      </c>
      <c r="AS121" s="6" t="str">
        <f ca="1">IFERROR(MATCH($L$115,OFFSET(#REF!,AS120,0,1000000),0)+AS120,"")</f>
        <v/>
      </c>
      <c r="AT121" s="156" t="str">
        <f ca="1">IFERROR(_xlfn.SINGLE(INDEX(#REF!,'Annual Report'!AS121)),"")</f>
        <v/>
      </c>
      <c r="AU121" s="6" t="str">
        <f ca="1">IFERROR(_xlfn.SINGLE(INDEX(#REF!,'Annual Report'!AS121)),"")</f>
        <v/>
      </c>
      <c r="BR121" s="105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130"/>
    </row>
    <row r="122" spans="1:89">
      <c r="A122" s="10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130"/>
      <c r="AO122" s="6" t="str">
        <f ca="1">IFERROR(MATCH($B$114,OFFSET(#REF!,AO121,0,1000000),0)+AO121,"")</f>
        <v/>
      </c>
      <c r="AP122" s="156" t="str">
        <f ca="1">IFERROR(_xlfn.SINGLE(INDEX(#REF!,'Annual Report'!AO122)),"")</f>
        <v/>
      </c>
      <c r="AQ122" s="6" t="str">
        <f ca="1">IFERROR(_xlfn.SINGLE(INDEX(#REF!,'Annual Report'!AO122)),"")</f>
        <v/>
      </c>
      <c r="AS122" s="6" t="str">
        <f ca="1">IFERROR(MATCH($L$115,OFFSET(#REF!,AS121,0,1000000),0)+AS121,"")</f>
        <v/>
      </c>
      <c r="AT122" s="156" t="str">
        <f ca="1">IFERROR(_xlfn.SINGLE(INDEX(#REF!,'Annual Report'!AS122)),"")</f>
        <v/>
      </c>
      <c r="AU122" s="6" t="str">
        <f ca="1">IFERROR(_xlfn.SINGLE(INDEX(#REF!,'Annual Report'!AS122)),"")</f>
        <v/>
      </c>
      <c r="BR122" s="105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130"/>
    </row>
    <row r="123" spans="1:89">
      <c r="A123" s="10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130"/>
      <c r="AO123" s="6" t="str">
        <f ca="1">IFERROR(MATCH($B$114,OFFSET(#REF!,AO122,0,1000000),0)+AO122,"")</f>
        <v/>
      </c>
      <c r="AP123" s="156" t="str">
        <f ca="1">IFERROR(_xlfn.SINGLE(INDEX(#REF!,'Annual Report'!AO123)),"")</f>
        <v/>
      </c>
      <c r="AQ123" s="6" t="str">
        <f ca="1">IFERROR(_xlfn.SINGLE(INDEX(#REF!,'Annual Report'!AO123)),"")</f>
        <v/>
      </c>
      <c r="AS123" s="6" t="str">
        <f ca="1">IFERROR(MATCH($L$115,OFFSET(#REF!,AS122,0,1000000),0)+AS122,"")</f>
        <v/>
      </c>
      <c r="AT123" s="156" t="str">
        <f ca="1">IFERROR(_xlfn.SINGLE(INDEX(#REF!,'Annual Report'!AS123)),"")</f>
        <v/>
      </c>
      <c r="AU123" s="6" t="str">
        <f ca="1">IFERROR(_xlfn.SINGLE(INDEX(#REF!,'Annual Report'!AS123)),"")</f>
        <v/>
      </c>
      <c r="BR123" s="105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130"/>
    </row>
    <row r="124" spans="1:89">
      <c r="A124" s="10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130"/>
      <c r="AO124" s="6" t="str">
        <f ca="1">IFERROR(MATCH($B$114,OFFSET(#REF!,AO123,0,1000000),0)+AO123,"")</f>
        <v/>
      </c>
      <c r="AP124" s="156" t="str">
        <f ca="1">IFERROR(_xlfn.SINGLE(INDEX(#REF!,'Annual Report'!AO124)),"")</f>
        <v/>
      </c>
      <c r="AQ124" s="6" t="str">
        <f ca="1">IFERROR(_xlfn.SINGLE(INDEX(#REF!,'Annual Report'!AO124)),"")</f>
        <v/>
      </c>
      <c r="AS124" s="6" t="str">
        <f ca="1">IFERROR(MATCH($L$115,OFFSET(#REF!,AS123,0,1000000),0)+AS123,"")</f>
        <v/>
      </c>
      <c r="AT124" s="156" t="str">
        <f ca="1">IFERROR(_xlfn.SINGLE(INDEX(#REF!,'Annual Report'!AS124)),"")</f>
        <v/>
      </c>
      <c r="AU124" s="6" t="str">
        <f ca="1">IFERROR(_xlfn.SINGLE(INDEX(#REF!,'Annual Report'!AS124)),"")</f>
        <v/>
      </c>
      <c r="BR124" s="105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130"/>
    </row>
    <row r="125" spans="1:89">
      <c r="A125" s="10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130"/>
      <c r="AO125" s="6" t="str">
        <f ca="1">IFERROR(MATCH($B$114,OFFSET(#REF!,AO124,0,1000000),0)+AO124,"")</f>
        <v/>
      </c>
      <c r="AP125" s="156" t="str">
        <f ca="1">IFERROR(_xlfn.SINGLE(INDEX(#REF!,'Annual Report'!AO125)),"")</f>
        <v/>
      </c>
      <c r="AQ125" s="6" t="str">
        <f ca="1">IFERROR(_xlfn.SINGLE(INDEX(#REF!,'Annual Report'!AO125)),"")</f>
        <v/>
      </c>
      <c r="AS125" s="6" t="str">
        <f ca="1">IFERROR(MATCH($L$115,OFFSET(#REF!,AS124,0,1000000),0)+AS124,"")</f>
        <v/>
      </c>
      <c r="AT125" s="156" t="str">
        <f ca="1">IFERROR(_xlfn.SINGLE(INDEX(#REF!,'Annual Report'!AS125)),"")</f>
        <v/>
      </c>
      <c r="AU125" s="6" t="str">
        <f ca="1">IFERROR(_xlfn.SINGLE(INDEX(#REF!,'Annual Report'!AS125)),"")</f>
        <v/>
      </c>
      <c r="BR125" s="105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130"/>
    </row>
    <row r="126" spans="1:89">
      <c r="A126" s="10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130"/>
      <c r="AO126" s="6" t="str">
        <f ca="1">IFERROR(MATCH($B$114,OFFSET(#REF!,AO125,0,1000000),0)+AO125,"")</f>
        <v/>
      </c>
      <c r="AP126" s="156" t="str">
        <f ca="1">IFERROR(_xlfn.SINGLE(INDEX(#REF!,'Annual Report'!AO126)),"")</f>
        <v/>
      </c>
      <c r="AQ126" s="6" t="str">
        <f ca="1">IFERROR(_xlfn.SINGLE(INDEX(#REF!,'Annual Report'!AO126)),"")</f>
        <v/>
      </c>
      <c r="AS126" s="6" t="str">
        <f ca="1">IFERROR(MATCH($L$115,OFFSET(#REF!,AS125,0,1000000),0)+AS125,"")</f>
        <v/>
      </c>
      <c r="AT126" s="156" t="str">
        <f ca="1">IFERROR(_xlfn.SINGLE(INDEX(#REF!,'Annual Report'!AS126)),"")</f>
        <v/>
      </c>
      <c r="AU126" s="6" t="str">
        <f ca="1">IFERROR(_xlfn.SINGLE(INDEX(#REF!,'Annual Report'!AS126)),"")</f>
        <v/>
      </c>
      <c r="BR126" s="105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130"/>
    </row>
    <row r="127" spans="1:89">
      <c r="A127" s="10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130"/>
      <c r="AO127" s="6" t="str">
        <f ca="1">IFERROR(MATCH($B$114,OFFSET(#REF!,AO126,0,1000000),0)+AO126,"")</f>
        <v/>
      </c>
      <c r="AP127" s="156" t="str">
        <f ca="1">IFERROR(_xlfn.SINGLE(INDEX(#REF!,'Annual Report'!AO127)),"")</f>
        <v/>
      </c>
      <c r="AQ127" s="6" t="str">
        <f ca="1">IFERROR(_xlfn.SINGLE(INDEX(#REF!,'Annual Report'!AO127)),"")</f>
        <v/>
      </c>
      <c r="AS127" s="6" t="str">
        <f ca="1">IFERROR(MATCH($L$115,OFFSET(#REF!,AS126,0,1000000),0)+AS126,"")</f>
        <v/>
      </c>
      <c r="AT127" s="156" t="str">
        <f ca="1">IFERROR(_xlfn.SINGLE(INDEX(#REF!,'Annual Report'!AS127)),"")</f>
        <v/>
      </c>
      <c r="AU127" s="6" t="str">
        <f ca="1">IFERROR(_xlfn.SINGLE(INDEX(#REF!,'Annual Report'!AS127)),"")</f>
        <v/>
      </c>
      <c r="BR127" s="105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130"/>
    </row>
    <row r="128" spans="1:89">
      <c r="A128" s="165"/>
      <c r="T128" s="166"/>
      <c r="AO128" s="6" t="str">
        <f ca="1">IFERROR(MATCH($B$114,OFFSET(#REF!,AO127,0,1000000),0)+AO127,"")</f>
        <v/>
      </c>
      <c r="AP128" s="156" t="str">
        <f ca="1">IFERROR(_xlfn.SINGLE(INDEX(#REF!,'Annual Report'!AO128)),"")</f>
        <v/>
      </c>
      <c r="AQ128" s="6" t="str">
        <f ca="1">IFERROR(_xlfn.SINGLE(INDEX(#REF!,'Annual Report'!AO128)),"")</f>
        <v/>
      </c>
      <c r="AS128" s="6" t="str">
        <f ca="1">IFERROR(MATCH($L$115,OFFSET(#REF!,AS127,0,1000000),0)+AS127,"")</f>
        <v/>
      </c>
      <c r="AT128" s="156" t="str">
        <f ca="1">IFERROR(_xlfn.SINGLE(INDEX(#REF!,'Annual Report'!AS128)),"")</f>
        <v/>
      </c>
      <c r="AU128" s="6" t="str">
        <f ca="1">IFERROR(_xlfn.SINGLE(INDEX(#REF!,'Annual Report'!AS128)),"")</f>
        <v/>
      </c>
      <c r="BR128" s="105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130"/>
    </row>
    <row r="129" spans="1:89">
      <c r="A129" s="165"/>
      <c r="T129" s="166"/>
      <c r="AO129" s="6" t="str">
        <f ca="1">IFERROR(MATCH($B$114,OFFSET(#REF!,AO128,0,1000000),0)+AO128,"")</f>
        <v/>
      </c>
      <c r="AP129" s="156" t="str">
        <f ca="1">IFERROR(_xlfn.SINGLE(INDEX(#REF!,'Annual Report'!AO129)),"")</f>
        <v/>
      </c>
      <c r="AQ129" s="6" t="str">
        <f ca="1">IFERROR(_xlfn.SINGLE(INDEX(#REF!,'Annual Report'!AO129)),"")</f>
        <v/>
      </c>
      <c r="AS129" s="6" t="str">
        <f ca="1">IFERROR(MATCH($L$115,OFFSET(#REF!,AS128,0,1000000),0)+AS128,"")</f>
        <v/>
      </c>
      <c r="AT129" s="156" t="str">
        <f ca="1">IFERROR(_xlfn.SINGLE(INDEX(#REF!,'Annual Report'!AS129)),"")</f>
        <v/>
      </c>
      <c r="AU129" s="6" t="str">
        <f ca="1">IFERROR(_xlfn.SINGLE(INDEX(#REF!,'Annual Report'!AS129)),"")</f>
        <v/>
      </c>
      <c r="BR129" s="105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130"/>
    </row>
    <row r="130" spans="1:89">
      <c r="A130" s="165"/>
      <c r="T130" s="166"/>
      <c r="AO130" s="6" t="str">
        <f ca="1">IFERROR(MATCH($B$114,OFFSET(#REF!,AO129,0,1000000),0)+AO129,"")</f>
        <v/>
      </c>
      <c r="AP130" s="156" t="str">
        <f ca="1">IFERROR(_xlfn.SINGLE(INDEX(#REF!,'Annual Report'!AO130)),"")</f>
        <v/>
      </c>
      <c r="AQ130" s="6" t="str">
        <f ca="1">IFERROR(_xlfn.SINGLE(INDEX(#REF!,'Annual Report'!AO130)),"")</f>
        <v/>
      </c>
      <c r="AS130" s="6" t="str">
        <f ca="1">IFERROR(MATCH($L$115,OFFSET(#REF!,AS129,0,1000000),0)+AS129,"")</f>
        <v/>
      </c>
      <c r="AT130" s="156" t="str">
        <f ca="1">IFERROR(_xlfn.SINGLE(INDEX(#REF!,'Annual Report'!AS130)),"")</f>
        <v/>
      </c>
      <c r="AU130" s="6" t="str">
        <f ca="1">IFERROR(_xlfn.SINGLE(INDEX(#REF!,'Annual Report'!AS130)),"")</f>
        <v/>
      </c>
      <c r="BR130" s="105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130"/>
    </row>
    <row r="131" spans="1:89">
      <c r="A131" s="165"/>
      <c r="T131" s="166"/>
      <c r="AO131" s="6" t="str">
        <f ca="1">IFERROR(MATCH($B$114,OFFSET(#REF!,AO130,0,1000000),0)+AO130,"")</f>
        <v/>
      </c>
      <c r="AP131" s="156" t="str">
        <f ca="1">IFERROR(_xlfn.SINGLE(INDEX(#REF!,'Annual Report'!AO131)),"")</f>
        <v/>
      </c>
      <c r="AQ131" s="6" t="str">
        <f ca="1">IFERROR(_xlfn.SINGLE(INDEX(#REF!,'Annual Report'!AO131)),"")</f>
        <v/>
      </c>
      <c r="AS131" s="6" t="str">
        <f ca="1">IFERROR(MATCH($L$115,OFFSET(#REF!,AS130,0,1000000),0)+AS130,"")</f>
        <v/>
      </c>
      <c r="AT131" s="156" t="str">
        <f ca="1">IFERROR(_xlfn.SINGLE(INDEX(#REF!,'Annual Report'!AS131)),"")</f>
        <v/>
      </c>
      <c r="AU131" s="6" t="str">
        <f ca="1">IFERROR(_xlfn.SINGLE(INDEX(#REF!,'Annual Report'!AS131)),"")</f>
        <v/>
      </c>
      <c r="BR131" s="105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130"/>
    </row>
    <row r="132" spans="1:89">
      <c r="A132" s="165"/>
      <c r="T132" s="166"/>
      <c r="AO132" s="6" t="str">
        <f ca="1">IFERROR(MATCH($B$114,OFFSET(#REF!,AO131,0,1000000),0)+AO131,"")</f>
        <v/>
      </c>
      <c r="AP132" s="156" t="str">
        <f ca="1">IFERROR(_xlfn.SINGLE(INDEX(#REF!,'Annual Report'!AO132)),"")</f>
        <v/>
      </c>
      <c r="AQ132" s="6" t="str">
        <f ca="1">IFERROR(_xlfn.SINGLE(INDEX(#REF!,'Annual Report'!AO132)),"")</f>
        <v/>
      </c>
      <c r="AS132" s="6" t="str">
        <f ca="1">IFERROR(MATCH($L$115,OFFSET(#REF!,AS131,0,1000000),0)+AS131,"")</f>
        <v/>
      </c>
      <c r="AT132" s="156" t="str">
        <f ca="1">IFERROR(_xlfn.SINGLE(INDEX(#REF!,'Annual Report'!AS132)),"")</f>
        <v/>
      </c>
      <c r="AU132" s="6" t="str">
        <f ca="1">IFERROR(_xlfn.SINGLE(INDEX(#REF!,'Annual Report'!AS132)),"")</f>
        <v/>
      </c>
      <c r="BR132" s="105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130"/>
    </row>
    <row r="133" spans="1:89">
      <c r="A133" s="165"/>
      <c r="T133" s="166"/>
      <c r="AO133" s="6" t="str">
        <f ca="1">IFERROR(MATCH($B$114,OFFSET(#REF!,AO132,0,1000000),0)+AO132,"")</f>
        <v/>
      </c>
      <c r="AP133" s="156" t="str">
        <f ca="1">IFERROR(_xlfn.SINGLE(INDEX(#REF!,'Annual Report'!AO133)),"")</f>
        <v/>
      </c>
      <c r="AQ133" s="6" t="str">
        <f ca="1">IFERROR(_xlfn.SINGLE(INDEX(#REF!,'Annual Report'!AO133)),"")</f>
        <v/>
      </c>
      <c r="AS133" s="6" t="str">
        <f ca="1">IFERROR(MATCH($L$115,OFFSET(#REF!,AS132,0,1000000),0)+AS132,"")</f>
        <v/>
      </c>
      <c r="AT133" s="156" t="str">
        <f ca="1">IFERROR(_xlfn.SINGLE(INDEX(#REF!,'Annual Report'!AS133)),"")</f>
        <v/>
      </c>
      <c r="AU133" s="6" t="str">
        <f ca="1">IFERROR(_xlfn.SINGLE(INDEX(#REF!,'Annual Report'!AS133)),"")</f>
        <v/>
      </c>
      <c r="BR133" s="105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130"/>
    </row>
    <row r="134" spans="1:89">
      <c r="A134" s="165"/>
      <c r="T134" s="166"/>
      <c r="AO134" s="6" t="str">
        <f ca="1">IFERROR(MATCH($B$114,OFFSET(#REF!,AO133,0,1000000),0)+AO133,"")</f>
        <v/>
      </c>
      <c r="AP134" s="156" t="str">
        <f ca="1">IFERROR(_xlfn.SINGLE(INDEX(#REF!,'Annual Report'!AO134)),"")</f>
        <v/>
      </c>
      <c r="AQ134" s="6" t="str">
        <f ca="1">IFERROR(_xlfn.SINGLE(INDEX(#REF!,'Annual Report'!AO134)),"")</f>
        <v/>
      </c>
      <c r="AS134" s="6" t="str">
        <f ca="1">IFERROR(MATCH($L$115,OFFSET(#REF!,AS133,0,1000000),0)+AS133,"")</f>
        <v/>
      </c>
      <c r="AT134" s="156" t="str">
        <f ca="1">IFERROR(_xlfn.SINGLE(INDEX(#REF!,'Annual Report'!AS134)),"")</f>
        <v/>
      </c>
      <c r="AU134" s="6" t="str">
        <f ca="1">IFERROR(_xlfn.SINGLE(INDEX(#REF!,'Annual Report'!AS134)),"")</f>
        <v/>
      </c>
      <c r="BR134" s="105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130"/>
    </row>
    <row r="135" spans="1:89">
      <c r="A135" s="165"/>
      <c r="T135" s="166"/>
      <c r="AO135" s="6" t="str">
        <f ca="1">IFERROR(MATCH($B$114,OFFSET(#REF!,AO134,0,1000000),0)+AO134,"")</f>
        <v/>
      </c>
      <c r="AP135" s="156" t="str">
        <f ca="1">IFERROR(_xlfn.SINGLE(INDEX(#REF!,'Annual Report'!AO135)),"")</f>
        <v/>
      </c>
      <c r="AQ135" s="6" t="str">
        <f ca="1">IFERROR(_xlfn.SINGLE(INDEX(#REF!,'Annual Report'!AO135)),"")</f>
        <v/>
      </c>
      <c r="AS135" s="6" t="str">
        <f ca="1">IFERROR(MATCH($L$115,OFFSET(#REF!,AS134,0,1000000),0)+AS134,"")</f>
        <v/>
      </c>
      <c r="AT135" s="156" t="str">
        <f ca="1">IFERROR(_xlfn.SINGLE(INDEX(#REF!,'Annual Report'!AS135)),"")</f>
        <v/>
      </c>
      <c r="AU135" s="6" t="str">
        <f ca="1">IFERROR(_xlfn.SINGLE(INDEX(#REF!,'Annual Report'!AS135)),"")</f>
        <v/>
      </c>
      <c r="BR135" s="105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130"/>
    </row>
    <row r="136" spans="1:89">
      <c r="A136" s="165"/>
      <c r="T136" s="166"/>
      <c r="AO136" s="6" t="str">
        <f ca="1">IFERROR(MATCH($B$114,OFFSET(#REF!,AO135,0,1000000),0)+AO135,"")</f>
        <v/>
      </c>
      <c r="AP136" s="156" t="str">
        <f ca="1">IFERROR(_xlfn.SINGLE(INDEX(#REF!,'Annual Report'!AO136)),"")</f>
        <v/>
      </c>
      <c r="AQ136" s="6" t="str">
        <f ca="1">IFERROR(_xlfn.SINGLE(INDEX(#REF!,'Annual Report'!AO136)),"")</f>
        <v/>
      </c>
      <c r="AS136" s="6" t="str">
        <f ca="1">IFERROR(MATCH($L$115,OFFSET(#REF!,AS135,0,1000000),0)+AS135,"")</f>
        <v/>
      </c>
      <c r="AT136" s="156" t="str">
        <f ca="1">IFERROR(_xlfn.SINGLE(INDEX(#REF!,'Annual Report'!AS136)),"")</f>
        <v/>
      </c>
      <c r="AU136" s="6" t="str">
        <f ca="1">IFERROR(_xlfn.SINGLE(INDEX(#REF!,'Annual Report'!AS136)),"")</f>
        <v/>
      </c>
      <c r="BR136" s="105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130"/>
    </row>
    <row r="137" spans="1:89">
      <c r="A137" s="165"/>
      <c r="T137" s="166"/>
      <c r="AO137" s="6" t="str">
        <f ca="1">IFERROR(MATCH($B$114,OFFSET(#REF!,AO136,0,1000000),0)+AO136,"")</f>
        <v/>
      </c>
      <c r="AP137" s="156" t="str">
        <f ca="1">IFERROR(_xlfn.SINGLE(INDEX(#REF!,'Annual Report'!AO137)),"")</f>
        <v/>
      </c>
      <c r="AQ137" s="6" t="str">
        <f ca="1">IFERROR(_xlfn.SINGLE(INDEX(#REF!,'Annual Report'!AO137)),"")</f>
        <v/>
      </c>
      <c r="AS137" s="6" t="str">
        <f ca="1">IFERROR(MATCH($L$115,OFFSET(#REF!,AS136,0,1000000),0)+AS136,"")</f>
        <v/>
      </c>
      <c r="AT137" s="156" t="str">
        <f ca="1">IFERROR(_xlfn.SINGLE(INDEX(#REF!,'Annual Report'!AS137)),"")</f>
        <v/>
      </c>
      <c r="AU137" s="6" t="str">
        <f ca="1">IFERROR(_xlfn.SINGLE(INDEX(#REF!,'Annual Report'!AS137)),"")</f>
        <v/>
      </c>
      <c r="BR137" s="105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130"/>
    </row>
    <row r="138" spans="1:89">
      <c r="A138" s="165"/>
      <c r="T138" s="166"/>
      <c r="AO138" s="6" t="str">
        <f ca="1">IFERROR(MATCH($B$114,OFFSET(#REF!,AO137,0,1000000),0)+AO137,"")</f>
        <v/>
      </c>
      <c r="AP138" s="156" t="str">
        <f ca="1">IFERROR(_xlfn.SINGLE(INDEX(#REF!,'Annual Report'!AO138)),"")</f>
        <v/>
      </c>
      <c r="AQ138" s="6" t="str">
        <f ca="1">IFERROR(_xlfn.SINGLE(INDEX(#REF!,'Annual Report'!AO138)),"")</f>
        <v/>
      </c>
      <c r="AS138" s="6" t="str">
        <f ca="1">IFERROR(MATCH($L$115,OFFSET(#REF!,AS137,0,1000000),0)+AS137,"")</f>
        <v/>
      </c>
      <c r="AT138" s="156" t="str">
        <f ca="1">IFERROR(_xlfn.SINGLE(INDEX(#REF!,'Annual Report'!AS138)),"")</f>
        <v/>
      </c>
      <c r="AU138" s="6" t="str">
        <f ca="1">IFERROR(_xlfn.SINGLE(INDEX(#REF!,'Annual Report'!AS138)),"")</f>
        <v/>
      </c>
      <c r="BR138" s="105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130"/>
    </row>
    <row r="139" spans="1:89">
      <c r="A139" s="165"/>
      <c r="T139" s="166"/>
      <c r="AO139" s="6" t="str">
        <f ca="1">IFERROR(MATCH($B$114,OFFSET(#REF!,AO138,0,1000000),0)+AO138,"")</f>
        <v/>
      </c>
      <c r="AP139" s="156" t="str">
        <f ca="1">IFERROR(_xlfn.SINGLE(INDEX(#REF!,'Annual Report'!AO139)),"")</f>
        <v/>
      </c>
      <c r="AQ139" s="6" t="str">
        <f ca="1">IFERROR(_xlfn.SINGLE(INDEX(#REF!,'Annual Report'!AO139)),"")</f>
        <v/>
      </c>
      <c r="AS139" s="6" t="str">
        <f ca="1">IFERROR(MATCH($L$115,OFFSET(#REF!,AS138,0,1000000),0)+AS138,"")</f>
        <v/>
      </c>
      <c r="AT139" s="156" t="str">
        <f ca="1">IFERROR(_xlfn.SINGLE(INDEX(#REF!,'Annual Report'!AS139)),"")</f>
        <v/>
      </c>
      <c r="AU139" s="6" t="str">
        <f ca="1">IFERROR(_xlfn.SINGLE(INDEX(#REF!,'Annual Report'!AS139)),"")</f>
        <v/>
      </c>
      <c r="BR139" s="105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130"/>
    </row>
    <row r="140" spans="1:89">
      <c r="A140" s="165"/>
      <c r="T140" s="166"/>
      <c r="AO140" s="6" t="str">
        <f ca="1">IFERROR(MATCH($B$114,OFFSET(#REF!,AO139,0,1000000),0)+AO139,"")</f>
        <v/>
      </c>
      <c r="AP140" s="156" t="str">
        <f ca="1">IFERROR(_xlfn.SINGLE(INDEX(#REF!,'Annual Report'!AO140)),"")</f>
        <v/>
      </c>
      <c r="AQ140" s="6" t="str">
        <f ca="1">IFERROR(_xlfn.SINGLE(INDEX(#REF!,'Annual Report'!AO140)),"")</f>
        <v/>
      </c>
      <c r="AS140" s="6" t="str">
        <f ca="1">IFERROR(MATCH($L$115,OFFSET(#REF!,AS139,0,1000000),0)+AS139,"")</f>
        <v/>
      </c>
      <c r="AT140" s="156" t="str">
        <f ca="1">IFERROR(_xlfn.SINGLE(INDEX(#REF!,'Annual Report'!AS140)),"")</f>
        <v/>
      </c>
      <c r="AU140" s="6" t="str">
        <f ca="1">IFERROR(_xlfn.SINGLE(INDEX(#REF!,'Annual Report'!AS140)),"")</f>
        <v/>
      </c>
      <c r="BR140" s="105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130"/>
    </row>
    <row r="141" spans="1:89">
      <c r="A141" s="165"/>
      <c r="T141" s="166"/>
      <c r="AO141" s="6" t="str">
        <f ca="1">IFERROR(MATCH($B$114,OFFSET(#REF!,AO140,0,1000000),0)+AO140,"")</f>
        <v/>
      </c>
      <c r="AP141" s="156" t="str">
        <f ca="1">IFERROR(_xlfn.SINGLE(INDEX(#REF!,'Annual Report'!AO141)),"")</f>
        <v/>
      </c>
      <c r="AQ141" s="6" t="str">
        <f ca="1">IFERROR(_xlfn.SINGLE(INDEX(#REF!,'Annual Report'!AO141)),"")</f>
        <v/>
      </c>
      <c r="AS141" s="6" t="str">
        <f ca="1">IFERROR(MATCH($L$115,OFFSET(#REF!,AS140,0,1000000),0)+AS140,"")</f>
        <v/>
      </c>
      <c r="AT141" s="156" t="str">
        <f ca="1">IFERROR(_xlfn.SINGLE(INDEX(#REF!,'Annual Report'!AS141)),"")</f>
        <v/>
      </c>
      <c r="AU141" s="6" t="str">
        <f ca="1">IFERROR(_xlfn.SINGLE(INDEX(#REF!,'Annual Report'!AS141)),"")</f>
        <v/>
      </c>
      <c r="BR141" s="105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130"/>
    </row>
    <row r="142" spans="1:89">
      <c r="A142" s="165"/>
      <c r="T142" s="166"/>
      <c r="AO142" s="6" t="str">
        <f ca="1">IFERROR(MATCH($B$114,OFFSET(#REF!,AO141,0,1000000),0)+AO141,"")</f>
        <v/>
      </c>
      <c r="AP142" s="156" t="str">
        <f ca="1">IFERROR(_xlfn.SINGLE(INDEX(#REF!,'Annual Report'!AO142)),"")</f>
        <v/>
      </c>
      <c r="AQ142" s="6" t="str">
        <f ca="1">IFERROR(_xlfn.SINGLE(INDEX(#REF!,'Annual Report'!AO142)),"")</f>
        <v/>
      </c>
      <c r="AS142" s="6" t="str">
        <f ca="1">IFERROR(MATCH($L$115,OFFSET(#REF!,AS141,0,1000000),0)+AS141,"")</f>
        <v/>
      </c>
      <c r="AT142" s="156" t="str">
        <f ca="1">IFERROR(_xlfn.SINGLE(INDEX(#REF!,'Annual Report'!AS142)),"")</f>
        <v/>
      </c>
      <c r="AU142" s="6" t="str">
        <f ca="1">IFERROR(_xlfn.SINGLE(INDEX(#REF!,'Annual Report'!AS142)),"")</f>
        <v/>
      </c>
      <c r="BR142" s="105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130"/>
    </row>
    <row r="143" spans="1:89">
      <c r="A143" s="167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8"/>
      <c r="AO143" s="6" t="str">
        <f ca="1">IFERROR(MATCH($B$114,OFFSET(#REF!,AO142,0,1000000),0)+AO142,"")</f>
        <v/>
      </c>
      <c r="AP143" s="156" t="str">
        <f ca="1">IFERROR(_xlfn.SINGLE(INDEX(#REF!,'Annual Report'!AO143)),"")</f>
        <v/>
      </c>
      <c r="AQ143" s="6" t="str">
        <f ca="1">IFERROR(_xlfn.SINGLE(INDEX(#REF!,'Annual Report'!AO143)),"")</f>
        <v/>
      </c>
      <c r="AS143" s="6" t="str">
        <f ca="1">IFERROR(MATCH($L$115,OFFSET(#REF!,AS142,0,1000000),0)+AS142,"")</f>
        <v/>
      </c>
      <c r="AT143" s="156" t="str">
        <f ca="1">IFERROR(_xlfn.SINGLE(INDEX(#REF!,'Annual Report'!AS143)),"")</f>
        <v/>
      </c>
      <c r="AU143" s="6" t="str">
        <f ca="1">IFERROR(_xlfn.SINGLE(INDEX(#REF!,'Annual Report'!AS143)),"")</f>
        <v/>
      </c>
      <c r="BR143" s="105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130"/>
    </row>
    <row r="144" spans="1:89">
      <c r="AO144" s="6" t="str">
        <f ca="1">IFERROR(MATCH($B$114,OFFSET(#REF!,AO143,0,1000000),0)+AO143,"")</f>
        <v/>
      </c>
      <c r="AP144" s="156" t="str">
        <f ca="1">IFERROR(_xlfn.SINGLE(INDEX(#REF!,'Annual Report'!AO144)),"")</f>
        <v/>
      </c>
      <c r="AQ144" s="6" t="str">
        <f ca="1">IFERROR(_xlfn.SINGLE(INDEX(#REF!,'Annual Report'!AO144)),"")</f>
        <v/>
      </c>
      <c r="AS144" s="6" t="str">
        <f ca="1">IFERROR(MATCH($L$115,OFFSET(#REF!,AS143,0,1000000),0)+AS143,"")</f>
        <v/>
      </c>
      <c r="AT144" s="156" t="str">
        <f ca="1">IFERROR(_xlfn.SINGLE(INDEX(#REF!,'Annual Report'!AS144)),"")</f>
        <v/>
      </c>
      <c r="AU144" s="6" t="str">
        <f ca="1">IFERROR(_xlfn.SINGLE(INDEX(#REF!,'Annual Report'!AS144)),"")</f>
        <v/>
      </c>
      <c r="BR144" s="105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130"/>
    </row>
    <row r="145" spans="41:89">
      <c r="AO145" s="6" t="str">
        <f ca="1">IFERROR(MATCH($B$114,OFFSET(#REF!,AO144,0,1000000),0)+AO144,"")</f>
        <v/>
      </c>
      <c r="AP145" s="156" t="str">
        <f ca="1">IFERROR(_xlfn.SINGLE(INDEX(#REF!,'Annual Report'!AO145)),"")</f>
        <v/>
      </c>
      <c r="AQ145" s="6" t="str">
        <f ca="1">IFERROR(_xlfn.SINGLE(INDEX(#REF!,'Annual Report'!AO145)),"")</f>
        <v/>
      </c>
      <c r="AS145" s="6" t="str">
        <f ca="1">IFERROR(MATCH($L$115,OFFSET(#REF!,AS144,0,1000000),0)+AS144,"")</f>
        <v/>
      </c>
      <c r="AT145" s="156" t="str">
        <f ca="1">IFERROR(_xlfn.SINGLE(INDEX(#REF!,'Annual Report'!AS145)),"")</f>
        <v/>
      </c>
      <c r="AU145" s="6" t="str">
        <f ca="1">IFERROR(_xlfn.SINGLE(INDEX(#REF!,'Annual Report'!AS145)),"")</f>
        <v/>
      </c>
      <c r="BR145" s="105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130"/>
    </row>
    <row r="146" spans="41:89">
      <c r="AO146" s="6" t="str">
        <f ca="1">IFERROR(MATCH($B$114,OFFSET(#REF!,AO145,0,1000000),0)+AO145,"")</f>
        <v/>
      </c>
      <c r="AP146" s="156" t="str">
        <f ca="1">IFERROR(_xlfn.SINGLE(INDEX(#REF!,'Annual Report'!AO146)),"")</f>
        <v/>
      </c>
      <c r="AQ146" s="6" t="str">
        <f ca="1">IFERROR(_xlfn.SINGLE(INDEX(#REF!,'Annual Report'!AO146)),"")</f>
        <v/>
      </c>
      <c r="AS146" s="6" t="str">
        <f ca="1">IFERROR(MATCH($L$115,OFFSET(#REF!,AS145,0,1000000),0)+AS145,"")</f>
        <v/>
      </c>
      <c r="AT146" s="156" t="str">
        <f ca="1">IFERROR(_xlfn.SINGLE(INDEX(#REF!,'Annual Report'!AS146)),"")</f>
        <v/>
      </c>
      <c r="AU146" s="6" t="str">
        <f ca="1">IFERROR(_xlfn.SINGLE(INDEX(#REF!,'Annual Report'!AS146)),"")</f>
        <v/>
      </c>
      <c r="BR146" s="10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139"/>
    </row>
    <row r="147" spans="41:89">
      <c r="AO147" s="6" t="str">
        <f ca="1">IFERROR(MATCH($B$114,OFFSET(#REF!,AO146,0,1000000),0)+AO146,"")</f>
        <v/>
      </c>
      <c r="AP147" s="156" t="str">
        <f ca="1">IFERROR(_xlfn.SINGLE(INDEX(#REF!,'Annual Report'!AO147)),"")</f>
        <v/>
      </c>
      <c r="AQ147" s="6" t="str">
        <f ca="1">IFERROR(_xlfn.SINGLE(INDEX(#REF!,'Annual Report'!AO147)),"")</f>
        <v/>
      </c>
      <c r="AS147" s="6" t="str">
        <f ca="1">IFERROR(MATCH($L$115,OFFSET(#REF!,AS146,0,1000000),0)+AS146,"")</f>
        <v/>
      </c>
      <c r="AT147" s="156" t="str">
        <f ca="1">IFERROR(_xlfn.SINGLE(INDEX(#REF!,'Annual Report'!AS147)),"")</f>
        <v/>
      </c>
      <c r="AU147" s="6" t="str">
        <f ca="1">IFERROR(_xlfn.SINGLE(INDEX(#REF!,'Annual Report'!AS147)),"")</f>
        <v/>
      </c>
    </row>
    <row r="148" spans="41:89">
      <c r="AO148" s="6" t="str">
        <f ca="1">IFERROR(MATCH($B$114,OFFSET(#REF!,AO147,0,1000000),0)+AO147,"")</f>
        <v/>
      </c>
      <c r="AP148" s="156" t="str">
        <f ca="1">IFERROR(_xlfn.SINGLE(INDEX(#REF!,'Annual Report'!AO148)),"")</f>
        <v/>
      </c>
      <c r="AQ148" s="6" t="str">
        <f ca="1">IFERROR(_xlfn.SINGLE(INDEX(#REF!,'Annual Report'!AO148)),"")</f>
        <v/>
      </c>
      <c r="AS148" s="6" t="str">
        <f ca="1">IFERROR(MATCH($L$115,OFFSET(#REF!,AS147,0,1000000),0)+AS147,"")</f>
        <v/>
      </c>
      <c r="AT148" s="156" t="str">
        <f ca="1">IFERROR(_xlfn.SINGLE(INDEX(#REF!,'Annual Report'!AS148)),"")</f>
        <v/>
      </c>
      <c r="AU148" s="6" t="str">
        <f ca="1">IFERROR(_xlfn.SINGLE(INDEX(#REF!,'Annual Report'!AS148)),"")</f>
        <v/>
      </c>
    </row>
    <row r="149" spans="41:89">
      <c r="AO149" s="6" t="str">
        <f ca="1">IFERROR(MATCH($B$114,OFFSET(#REF!,AO148,0,1000000),0)+AO148,"")</f>
        <v/>
      </c>
      <c r="AP149" s="156" t="str">
        <f ca="1">IFERROR(_xlfn.SINGLE(INDEX(#REF!,'Annual Report'!AO149)),"")</f>
        <v/>
      </c>
      <c r="AQ149" s="6" t="str">
        <f ca="1">IFERROR(_xlfn.SINGLE(INDEX(#REF!,'Annual Report'!AO149)),"")</f>
        <v/>
      </c>
      <c r="AS149" s="6" t="str">
        <f ca="1">IFERROR(MATCH($L$115,OFFSET(#REF!,AS148,0,1000000),0)+AS148,"")</f>
        <v/>
      </c>
      <c r="AT149" s="156" t="str">
        <f ca="1">IFERROR(_xlfn.SINGLE(INDEX(#REF!,'Annual Report'!AS149)),"")</f>
        <v/>
      </c>
      <c r="AU149" s="6" t="str">
        <f ca="1">IFERROR(_xlfn.SINGLE(INDEX(#REF!,'Annual Report'!AS149)),"")</f>
        <v/>
      </c>
    </row>
    <row r="150" spans="41:89">
      <c r="AO150" s="6" t="str">
        <f ca="1">IFERROR(MATCH($B$114,OFFSET(#REF!,AO149,0,1000000),0)+AO149,"")</f>
        <v/>
      </c>
      <c r="AP150" s="156" t="str">
        <f ca="1">IFERROR(_xlfn.SINGLE(INDEX(#REF!,'Annual Report'!AO150)),"")</f>
        <v/>
      </c>
      <c r="AQ150" s="6" t="str">
        <f ca="1">IFERROR(_xlfn.SINGLE(INDEX(#REF!,'Annual Report'!AO150)),"")</f>
        <v/>
      </c>
      <c r="AS150" s="6" t="str">
        <f ca="1">IFERROR(MATCH($L$115,OFFSET(#REF!,AS149,0,1000000),0)+AS149,"")</f>
        <v/>
      </c>
      <c r="AT150" s="156" t="str">
        <f ca="1">IFERROR(_xlfn.SINGLE(INDEX(#REF!,'Annual Report'!AS150)),"")</f>
        <v/>
      </c>
      <c r="AU150" s="6" t="str">
        <f ca="1">IFERROR(_xlfn.SINGLE(INDEX(#REF!,'Annual Report'!AS150)),"")</f>
        <v/>
      </c>
    </row>
    <row r="151" spans="41:89">
      <c r="AO151" s="6" t="str">
        <f ca="1">IFERROR(MATCH($B$114,OFFSET(#REF!,AO150,0,1000000),0)+AO150,"")</f>
        <v/>
      </c>
      <c r="AP151" s="156" t="str">
        <f ca="1">IFERROR(_xlfn.SINGLE(INDEX(#REF!,'Annual Report'!AO151)),"")</f>
        <v/>
      </c>
      <c r="AQ151" s="6" t="str">
        <f ca="1">IFERROR(_xlfn.SINGLE(INDEX(#REF!,'Annual Report'!AO151)),"")</f>
        <v/>
      </c>
      <c r="AS151" s="6" t="str">
        <f ca="1">IFERROR(MATCH($L$115,OFFSET(#REF!,AS150,0,1000000),0)+AS150,"")</f>
        <v/>
      </c>
      <c r="AT151" s="156" t="str">
        <f ca="1">IFERROR(_xlfn.SINGLE(INDEX(#REF!,'Annual Report'!AS151)),"")</f>
        <v/>
      </c>
      <c r="AU151" s="6" t="str">
        <f ca="1">IFERROR(_xlfn.SINGLE(INDEX(#REF!,'Annual Report'!AS151)),"")</f>
        <v/>
      </c>
    </row>
    <row r="152" spans="41:89">
      <c r="AO152" s="6" t="str">
        <f ca="1">IFERROR(MATCH($B$114,OFFSET(#REF!,AO151,0,1000000),0)+AO151,"")</f>
        <v/>
      </c>
      <c r="AP152" s="156" t="str">
        <f ca="1">IFERROR(_xlfn.SINGLE(INDEX(#REF!,'Annual Report'!AO152)),"")</f>
        <v/>
      </c>
      <c r="AQ152" s="6" t="str">
        <f ca="1">IFERROR(_xlfn.SINGLE(INDEX(#REF!,'Annual Report'!AO152)),"")</f>
        <v/>
      </c>
      <c r="AS152" s="6" t="str">
        <f ca="1">IFERROR(MATCH($L$115,OFFSET(#REF!,AS151,0,1000000),0)+AS151,"")</f>
        <v/>
      </c>
      <c r="AT152" s="156" t="str">
        <f ca="1">IFERROR(_xlfn.SINGLE(INDEX(#REF!,'Annual Report'!AS152)),"")</f>
        <v/>
      </c>
      <c r="AU152" s="6" t="str">
        <f ca="1">IFERROR(_xlfn.SINGLE(INDEX(#REF!,'Annual Report'!AS152)),"")</f>
        <v/>
      </c>
    </row>
    <row r="153" spans="41:89">
      <c r="AO153" s="6" t="str">
        <f ca="1">IFERROR(MATCH($B$114,OFFSET(#REF!,AO152,0,1000000),0)+AO152,"")</f>
        <v/>
      </c>
      <c r="AP153" s="156" t="str">
        <f ca="1">IFERROR(_xlfn.SINGLE(INDEX(#REF!,'Annual Report'!AO153)),"")</f>
        <v/>
      </c>
      <c r="AQ153" s="6" t="str">
        <f ca="1">IFERROR(_xlfn.SINGLE(INDEX(#REF!,'Annual Report'!AO153)),"")</f>
        <v/>
      </c>
      <c r="AS153" s="6" t="str">
        <f ca="1">IFERROR(MATCH($L$115,OFFSET(#REF!,AS152,0,1000000),0)+AS152,"")</f>
        <v/>
      </c>
      <c r="AT153" s="156" t="str">
        <f ca="1">IFERROR(_xlfn.SINGLE(INDEX(#REF!,'Annual Report'!AS153)),"")</f>
        <v/>
      </c>
      <c r="AU153" s="6" t="str">
        <f ca="1">IFERROR(_xlfn.SINGLE(INDEX(#REF!,'Annual Report'!AS153)),"")</f>
        <v/>
      </c>
    </row>
    <row r="154" spans="41:89">
      <c r="AO154" s="6" t="str">
        <f ca="1">IFERROR(MATCH($B$114,OFFSET(#REF!,AO153,0,1000000),0)+AO153,"")</f>
        <v/>
      </c>
      <c r="AP154" s="156" t="str">
        <f ca="1">IFERROR(_xlfn.SINGLE(INDEX(#REF!,'Annual Report'!AO154)),"")</f>
        <v/>
      </c>
      <c r="AQ154" s="6" t="str">
        <f ca="1">IFERROR(_xlfn.SINGLE(INDEX(#REF!,'Annual Report'!AO154)),"")</f>
        <v/>
      </c>
      <c r="AS154" s="6" t="str">
        <f ca="1">IFERROR(MATCH($L$115,OFFSET(#REF!,AS153,0,1000000),0)+AS153,"")</f>
        <v/>
      </c>
      <c r="AT154" s="156" t="str">
        <f ca="1">IFERROR(_xlfn.SINGLE(INDEX(#REF!,'Annual Report'!AS154)),"")</f>
        <v/>
      </c>
      <c r="AU154" s="6" t="str">
        <f ca="1">IFERROR(_xlfn.SINGLE(INDEX(#REF!,'Annual Report'!AS154)),"")</f>
        <v/>
      </c>
    </row>
    <row r="155" spans="41:89">
      <c r="AO155" s="6" t="str">
        <f ca="1">IFERROR(MATCH($B$114,OFFSET(#REF!,AO154,0,1000000),0)+AO154,"")</f>
        <v/>
      </c>
      <c r="AP155" s="156" t="str">
        <f ca="1">IFERROR(_xlfn.SINGLE(INDEX(#REF!,'Annual Report'!AO155)),"")</f>
        <v/>
      </c>
      <c r="AQ155" s="6" t="str">
        <f ca="1">IFERROR(_xlfn.SINGLE(INDEX(#REF!,'Annual Report'!AO155)),"")</f>
        <v/>
      </c>
      <c r="AS155" s="6" t="str">
        <f ca="1">IFERROR(MATCH($L$115,OFFSET(#REF!,AS154,0,1000000),0)+AS154,"")</f>
        <v/>
      </c>
      <c r="AT155" s="156" t="str">
        <f ca="1">IFERROR(_xlfn.SINGLE(INDEX(#REF!,'Annual Report'!AS155)),"")</f>
        <v/>
      </c>
      <c r="AU155" s="6" t="str">
        <f ca="1">IFERROR(_xlfn.SINGLE(INDEX(#REF!,'Annual Report'!AS155)),"")</f>
        <v/>
      </c>
    </row>
    <row r="156" spans="41:89">
      <c r="AO156" s="6" t="str">
        <f ca="1">IFERROR(MATCH($B$114,OFFSET(#REF!,AO155,0,1000000),0)+AO155,"")</f>
        <v/>
      </c>
      <c r="AP156" s="156" t="str">
        <f ca="1">IFERROR(_xlfn.SINGLE(INDEX(#REF!,'Annual Report'!AO156)),"")</f>
        <v/>
      </c>
      <c r="AQ156" s="6" t="str">
        <f ca="1">IFERROR(_xlfn.SINGLE(INDEX(#REF!,'Annual Report'!AO156)),"")</f>
        <v/>
      </c>
      <c r="AS156" s="6" t="str">
        <f ca="1">IFERROR(MATCH($L$115,OFFSET(#REF!,AS155,0,1000000),0)+AS155,"")</f>
        <v/>
      </c>
      <c r="AT156" s="156" t="str">
        <f ca="1">IFERROR(_xlfn.SINGLE(INDEX(#REF!,'Annual Report'!AS156)),"")</f>
        <v/>
      </c>
      <c r="AU156" s="6" t="str">
        <f ca="1">IFERROR(_xlfn.SINGLE(INDEX(#REF!,'Annual Report'!AS156)),"")</f>
        <v/>
      </c>
    </row>
    <row r="157" spans="41:89">
      <c r="AO157" s="6" t="str">
        <f ca="1">IFERROR(MATCH($B$114,OFFSET(#REF!,AO156,0,1000000),0)+AO156,"")</f>
        <v/>
      </c>
      <c r="AP157" s="156" t="str">
        <f ca="1">IFERROR(_xlfn.SINGLE(INDEX(#REF!,'Annual Report'!AO157)),"")</f>
        <v/>
      </c>
      <c r="AQ157" s="6" t="str">
        <f ca="1">IFERROR(_xlfn.SINGLE(INDEX(#REF!,'Annual Report'!AO157)),"")</f>
        <v/>
      </c>
      <c r="AS157" s="6" t="str">
        <f ca="1">IFERROR(MATCH($L$115,OFFSET(#REF!,AS156,0,1000000),0)+AS156,"")</f>
        <v/>
      </c>
      <c r="AT157" s="156" t="str">
        <f ca="1">IFERROR(_xlfn.SINGLE(INDEX(#REF!,'Annual Report'!AS157)),"")</f>
        <v/>
      </c>
      <c r="AU157" s="6" t="str">
        <f ca="1">IFERROR(_xlfn.SINGLE(INDEX(#REF!,'Annual Report'!AS157)),"")</f>
        <v/>
      </c>
    </row>
    <row r="158" spans="41:89">
      <c r="AO158" s="6" t="str">
        <f ca="1">IFERROR(MATCH($B$114,OFFSET(#REF!,AO157,0,1000000),0)+AO157,"")</f>
        <v/>
      </c>
      <c r="AP158" s="156" t="str">
        <f ca="1">IFERROR(_xlfn.SINGLE(INDEX(#REF!,'Annual Report'!AO158)),"")</f>
        <v/>
      </c>
      <c r="AQ158" s="6" t="str">
        <f ca="1">IFERROR(_xlfn.SINGLE(INDEX(#REF!,'Annual Report'!AO158)),"")</f>
        <v/>
      </c>
      <c r="AS158" s="6" t="str">
        <f ca="1">IFERROR(MATCH($L$115,OFFSET(#REF!,AS157,0,1000000),0)+AS157,"")</f>
        <v/>
      </c>
      <c r="AT158" s="156" t="str">
        <f ca="1">IFERROR(_xlfn.SINGLE(INDEX(#REF!,'Annual Report'!AS158)),"")</f>
        <v/>
      </c>
      <c r="AU158" s="6" t="str">
        <f ca="1">IFERROR(_xlfn.SINGLE(INDEX(#REF!,'Annual Report'!AS158)),"")</f>
        <v/>
      </c>
    </row>
    <row r="159" spans="41:89">
      <c r="AO159" s="6" t="str">
        <f ca="1">IFERROR(MATCH($B$114,OFFSET(#REF!,AO158,0,1000000),0)+AO158,"")</f>
        <v/>
      </c>
      <c r="AP159" s="156" t="str">
        <f ca="1">IFERROR(_xlfn.SINGLE(INDEX(#REF!,'Annual Report'!AO159)),"")</f>
        <v/>
      </c>
      <c r="AQ159" s="6" t="str">
        <f ca="1">IFERROR(_xlfn.SINGLE(INDEX(#REF!,'Annual Report'!AO159)),"")</f>
        <v/>
      </c>
      <c r="AS159" s="6" t="str">
        <f ca="1">IFERROR(MATCH($L$115,OFFSET(#REF!,AS158,0,1000000),0)+AS158,"")</f>
        <v/>
      </c>
      <c r="AT159" s="156" t="str">
        <f ca="1">IFERROR(_xlfn.SINGLE(INDEX(#REF!,'Annual Report'!AS159)),"")</f>
        <v/>
      </c>
      <c r="AU159" s="6" t="str">
        <f ca="1">IFERROR(_xlfn.SINGLE(INDEX(#REF!,'Annual Report'!AS159)),"")</f>
        <v/>
      </c>
    </row>
    <row r="160" spans="41:89">
      <c r="AO160" s="6" t="str">
        <f ca="1">IFERROR(MATCH($B$114,OFFSET(#REF!,AO159,0,1000000),0)+AO159,"")</f>
        <v/>
      </c>
      <c r="AP160" s="156" t="str">
        <f ca="1">IFERROR(_xlfn.SINGLE(INDEX(#REF!,'Annual Report'!AO160)),"")</f>
        <v/>
      </c>
      <c r="AQ160" s="6" t="str">
        <f ca="1">IFERROR(_xlfn.SINGLE(INDEX(#REF!,'Annual Report'!AO160)),"")</f>
        <v/>
      </c>
      <c r="AS160" s="6" t="str">
        <f ca="1">IFERROR(MATCH($L$115,OFFSET(#REF!,AS159,0,1000000),0)+AS159,"")</f>
        <v/>
      </c>
      <c r="AT160" s="156" t="str">
        <f ca="1">IFERROR(_xlfn.SINGLE(INDEX(#REF!,'Annual Report'!AS160)),"")</f>
        <v/>
      </c>
      <c r="AU160" s="6" t="str">
        <f ca="1">IFERROR(_xlfn.SINGLE(INDEX(#REF!,'Annual Report'!AS160)),"")</f>
        <v/>
      </c>
    </row>
    <row r="161" spans="41:47">
      <c r="AO161" s="6" t="str">
        <f ca="1">IFERROR(MATCH($B$114,OFFSET(#REF!,AO160,0,1000000),0)+AO160,"")</f>
        <v/>
      </c>
      <c r="AP161" s="156" t="str">
        <f ca="1">IFERROR(_xlfn.SINGLE(INDEX(#REF!,'Annual Report'!AO161)),"")</f>
        <v/>
      </c>
      <c r="AQ161" s="6" t="str">
        <f ca="1">IFERROR(_xlfn.SINGLE(INDEX(#REF!,'Annual Report'!AO161)),"")</f>
        <v/>
      </c>
      <c r="AS161" s="6" t="str">
        <f ca="1">IFERROR(MATCH($L$115,OFFSET(#REF!,AS160,0,1000000),0)+AS160,"")</f>
        <v/>
      </c>
      <c r="AT161" s="156" t="str">
        <f ca="1">IFERROR(_xlfn.SINGLE(INDEX(#REF!,'Annual Report'!AS161)),"")</f>
        <v/>
      </c>
      <c r="AU161" s="6" t="str">
        <f ca="1">IFERROR(_xlfn.SINGLE(INDEX(#REF!,'Annual Report'!AS161)),"")</f>
        <v/>
      </c>
    </row>
    <row r="162" spans="41:47">
      <c r="AO162" s="6" t="str">
        <f ca="1">IFERROR(MATCH($B$114,OFFSET(#REF!,AO161,0,1000000),0)+AO161,"")</f>
        <v/>
      </c>
      <c r="AP162" s="156" t="str">
        <f ca="1">IFERROR(_xlfn.SINGLE(INDEX(#REF!,'Annual Report'!AO162)),"")</f>
        <v/>
      </c>
      <c r="AQ162" s="6" t="str">
        <f ca="1">IFERROR(_xlfn.SINGLE(INDEX(#REF!,'Annual Report'!AO162)),"")</f>
        <v/>
      </c>
      <c r="AS162" s="6" t="str">
        <f ca="1">IFERROR(MATCH($L$115,OFFSET(#REF!,AS161,0,1000000),0)+AS161,"")</f>
        <v/>
      </c>
      <c r="AT162" s="156" t="str">
        <f ca="1">IFERROR(_xlfn.SINGLE(INDEX(#REF!,'Annual Report'!AS162)),"")</f>
        <v/>
      </c>
      <c r="AU162" s="6" t="str">
        <f ca="1">IFERROR(_xlfn.SINGLE(INDEX(#REF!,'Annual Report'!AS162)),"")</f>
        <v/>
      </c>
    </row>
    <row r="163" spans="41:47">
      <c r="AO163" s="6" t="str">
        <f ca="1">IFERROR(MATCH($B$114,OFFSET(#REF!,AO162,0,1000000),0)+AO162,"")</f>
        <v/>
      </c>
      <c r="AP163" s="156" t="str">
        <f ca="1">IFERROR(_xlfn.SINGLE(INDEX(#REF!,'Annual Report'!AO163)),"")</f>
        <v/>
      </c>
      <c r="AQ163" s="6" t="str">
        <f ca="1">IFERROR(_xlfn.SINGLE(INDEX(#REF!,'Annual Report'!AO163)),"")</f>
        <v/>
      </c>
      <c r="AS163" s="6" t="str">
        <f ca="1">IFERROR(MATCH($L$115,OFFSET(#REF!,AS162,0,1000000),0)+AS162,"")</f>
        <v/>
      </c>
      <c r="AT163" s="156" t="str">
        <f ca="1">IFERROR(_xlfn.SINGLE(INDEX(#REF!,'Annual Report'!AS163)),"")</f>
        <v/>
      </c>
      <c r="AU163" s="6" t="str">
        <f ca="1">IFERROR(_xlfn.SINGLE(INDEX(#REF!,'Annual Report'!AS163)),"")</f>
        <v/>
      </c>
    </row>
    <row r="164" spans="41:47">
      <c r="AO164" s="6" t="str">
        <f ca="1">IFERROR(MATCH($B$114,OFFSET(#REF!,AO163,0,1000000),0)+AO163,"")</f>
        <v/>
      </c>
      <c r="AP164" s="156" t="str">
        <f ca="1">IFERROR(_xlfn.SINGLE(INDEX(#REF!,'Annual Report'!AO164)),"")</f>
        <v/>
      </c>
      <c r="AQ164" s="6" t="str">
        <f ca="1">IFERROR(_xlfn.SINGLE(INDEX(#REF!,'Annual Report'!AO164)),"")</f>
        <v/>
      </c>
      <c r="AS164" s="6" t="str">
        <f ca="1">IFERROR(MATCH($L$115,OFFSET(#REF!,AS163,0,1000000),0)+AS163,"")</f>
        <v/>
      </c>
      <c r="AT164" s="156" t="str">
        <f ca="1">IFERROR(_xlfn.SINGLE(INDEX(#REF!,'Annual Report'!AS164)),"")</f>
        <v/>
      </c>
      <c r="AU164" s="6" t="str">
        <f ca="1">IFERROR(_xlfn.SINGLE(INDEX(#REF!,'Annual Report'!AS164)),"")</f>
        <v/>
      </c>
    </row>
    <row r="165" spans="41:47">
      <c r="AO165" s="6" t="str">
        <f ca="1">IFERROR(MATCH($B$114,OFFSET(#REF!,AO164,0,1000000),0)+AO164,"")</f>
        <v/>
      </c>
      <c r="AP165" s="156" t="str">
        <f ca="1">IFERROR(_xlfn.SINGLE(INDEX(#REF!,'Annual Report'!AO165)),"")</f>
        <v/>
      </c>
      <c r="AQ165" s="6" t="str">
        <f ca="1">IFERROR(_xlfn.SINGLE(INDEX(#REF!,'Annual Report'!AO165)),"")</f>
        <v/>
      </c>
      <c r="AS165" s="6" t="str">
        <f ca="1">IFERROR(MATCH($L$115,OFFSET(#REF!,AS164,0,1000000),0)+AS164,"")</f>
        <v/>
      </c>
      <c r="AT165" s="156" t="str">
        <f ca="1">IFERROR(_xlfn.SINGLE(INDEX(#REF!,'Annual Report'!AS165)),"")</f>
        <v/>
      </c>
      <c r="AU165" s="6" t="str">
        <f ca="1">IFERROR(_xlfn.SINGLE(INDEX(#REF!,'Annual Report'!AS165)),"")</f>
        <v/>
      </c>
    </row>
    <row r="166" spans="41:47">
      <c r="AO166" s="6" t="str">
        <f ca="1">IFERROR(MATCH($B$114,OFFSET(#REF!,AO165,0,1000000),0)+AO165,"")</f>
        <v/>
      </c>
      <c r="AP166" s="156" t="str">
        <f ca="1">IFERROR(_xlfn.SINGLE(INDEX(#REF!,'Annual Report'!AO166)),"")</f>
        <v/>
      </c>
      <c r="AQ166" s="6" t="str">
        <f ca="1">IFERROR(_xlfn.SINGLE(INDEX(#REF!,'Annual Report'!AO166)),"")</f>
        <v/>
      </c>
      <c r="AS166" s="6" t="str">
        <f ca="1">IFERROR(MATCH($L$115,OFFSET(#REF!,AS165,0,1000000),0)+AS165,"")</f>
        <v/>
      </c>
      <c r="AT166" s="156" t="str">
        <f ca="1">IFERROR(_xlfn.SINGLE(INDEX(#REF!,'Annual Report'!AS166)),"")</f>
        <v/>
      </c>
      <c r="AU166" s="6" t="str">
        <f ca="1">IFERROR(_xlfn.SINGLE(INDEX(#REF!,'Annual Report'!AS166)),"")</f>
        <v/>
      </c>
    </row>
    <row r="167" spans="41:47">
      <c r="AO167" s="6" t="str">
        <f ca="1">IFERROR(MATCH($B$114,OFFSET(#REF!,AO166,0,1000000),0)+AO166,"")</f>
        <v/>
      </c>
      <c r="AP167" s="156" t="str">
        <f ca="1">IFERROR(_xlfn.SINGLE(INDEX(#REF!,'Annual Report'!AO167)),"")</f>
        <v/>
      </c>
      <c r="AQ167" s="6" t="str">
        <f ca="1">IFERROR(_xlfn.SINGLE(INDEX(#REF!,'Annual Report'!AO167)),"")</f>
        <v/>
      </c>
      <c r="AS167" s="6" t="str">
        <f ca="1">IFERROR(MATCH($L$115,OFFSET(#REF!,AS166,0,1000000),0)+AS166,"")</f>
        <v/>
      </c>
      <c r="AT167" s="156" t="str">
        <f ca="1">IFERROR(_xlfn.SINGLE(INDEX(#REF!,'Annual Report'!AS167)),"")</f>
        <v/>
      </c>
      <c r="AU167" s="6" t="str">
        <f ca="1">IFERROR(_xlfn.SINGLE(INDEX(#REF!,'Annual Report'!AS167)),"")</f>
        <v/>
      </c>
    </row>
    <row r="168" spans="41:47">
      <c r="AO168" s="6" t="str">
        <f ca="1">IFERROR(MATCH($B$114,OFFSET(#REF!,AO167,0,1000000),0)+AO167,"")</f>
        <v/>
      </c>
      <c r="AP168" s="156" t="str">
        <f ca="1">IFERROR(_xlfn.SINGLE(INDEX(#REF!,'Annual Report'!AO168)),"")</f>
        <v/>
      </c>
      <c r="AQ168" s="6" t="str">
        <f ca="1">IFERROR(_xlfn.SINGLE(INDEX(#REF!,'Annual Report'!AO168)),"")</f>
        <v/>
      </c>
      <c r="AS168" s="6" t="str">
        <f ca="1">IFERROR(MATCH($L$115,OFFSET(#REF!,AS167,0,1000000),0)+AS167,"")</f>
        <v/>
      </c>
      <c r="AT168" s="156" t="str">
        <f ca="1">IFERROR(_xlfn.SINGLE(INDEX(#REF!,'Annual Report'!AS168)),"")</f>
        <v/>
      </c>
      <c r="AU168" s="6" t="str">
        <f ca="1">IFERROR(_xlfn.SINGLE(INDEX(#REF!,'Annual Report'!AS168)),"")</f>
        <v/>
      </c>
    </row>
    <row r="169" spans="41:47">
      <c r="AO169" s="6" t="str">
        <f ca="1">IFERROR(MATCH($B$114,OFFSET(#REF!,AO168,0,1000000),0)+AO168,"")</f>
        <v/>
      </c>
      <c r="AP169" s="156" t="str">
        <f ca="1">IFERROR(_xlfn.SINGLE(INDEX(#REF!,'Annual Report'!AO169)),"")</f>
        <v/>
      </c>
      <c r="AQ169" s="6" t="str">
        <f ca="1">IFERROR(_xlfn.SINGLE(INDEX(#REF!,'Annual Report'!AO169)),"")</f>
        <v/>
      </c>
      <c r="AS169" s="6" t="str">
        <f ca="1">IFERROR(MATCH($L$115,OFFSET(#REF!,AS168,0,1000000),0)+AS168,"")</f>
        <v/>
      </c>
      <c r="AT169" s="156" t="str">
        <f ca="1">IFERROR(_xlfn.SINGLE(INDEX(#REF!,'Annual Report'!AS169)),"")</f>
        <v/>
      </c>
      <c r="AU169" s="6" t="str">
        <f ca="1">IFERROR(_xlfn.SINGLE(INDEX(#REF!,'Annual Report'!AS169)),"")</f>
        <v/>
      </c>
    </row>
    <row r="170" spans="41:47">
      <c r="AO170" s="6" t="str">
        <f ca="1">IFERROR(MATCH($B$114,OFFSET(#REF!,AO169,0,1000000),0)+AO169,"")</f>
        <v/>
      </c>
      <c r="AP170" s="156" t="str">
        <f ca="1">IFERROR(_xlfn.SINGLE(INDEX(#REF!,'Annual Report'!AO170)),"")</f>
        <v/>
      </c>
      <c r="AQ170" s="6" t="str">
        <f ca="1">IFERROR(_xlfn.SINGLE(INDEX(#REF!,'Annual Report'!AO170)),"")</f>
        <v/>
      </c>
      <c r="AS170" s="6" t="str">
        <f ca="1">IFERROR(MATCH($L$115,OFFSET(#REF!,AS169,0,1000000),0)+AS169,"")</f>
        <v/>
      </c>
      <c r="AT170" s="156" t="str">
        <f ca="1">IFERROR(_xlfn.SINGLE(INDEX(#REF!,'Annual Report'!AS170)),"")</f>
        <v/>
      </c>
      <c r="AU170" s="6" t="str">
        <f ca="1">IFERROR(_xlfn.SINGLE(INDEX(#REF!,'Annual Report'!AS170)),"")</f>
        <v/>
      </c>
    </row>
    <row r="171" spans="41:47">
      <c r="AO171" s="6" t="str">
        <f ca="1">IFERROR(MATCH($B$114,OFFSET(#REF!,AO170,0,1000000),0)+AO170,"")</f>
        <v/>
      </c>
      <c r="AP171" s="156" t="str">
        <f ca="1">IFERROR(_xlfn.SINGLE(INDEX(#REF!,'Annual Report'!AO171)),"")</f>
        <v/>
      </c>
      <c r="AQ171" s="6" t="str">
        <f ca="1">IFERROR(_xlfn.SINGLE(INDEX(#REF!,'Annual Report'!AO171)),"")</f>
        <v/>
      </c>
      <c r="AS171" s="6" t="str">
        <f ca="1">IFERROR(MATCH($L$115,OFFSET(#REF!,AS170,0,1000000),0)+AS170,"")</f>
        <v/>
      </c>
      <c r="AT171" s="156" t="str">
        <f ca="1">IFERROR(_xlfn.SINGLE(INDEX(#REF!,'Annual Report'!AS171)),"")</f>
        <v/>
      </c>
      <c r="AU171" s="6" t="str">
        <f ca="1">IFERROR(_xlfn.SINGLE(INDEX(#REF!,'Annual Report'!AS171)),"")</f>
        <v/>
      </c>
    </row>
    <row r="172" spans="41:47">
      <c r="AO172" s="6" t="str">
        <f ca="1">IFERROR(MATCH($B$114,OFFSET(#REF!,AO171,0,1000000),0)+AO171,"")</f>
        <v/>
      </c>
      <c r="AP172" s="156" t="str">
        <f ca="1">IFERROR(_xlfn.SINGLE(INDEX(#REF!,'Annual Report'!AO172)),"")</f>
        <v/>
      </c>
      <c r="AQ172" s="6" t="str">
        <f ca="1">IFERROR(_xlfn.SINGLE(INDEX(#REF!,'Annual Report'!AO172)),"")</f>
        <v/>
      </c>
      <c r="AS172" s="6" t="str">
        <f ca="1">IFERROR(MATCH($L$115,OFFSET(#REF!,AS171,0,1000000),0)+AS171,"")</f>
        <v/>
      </c>
      <c r="AT172" s="156" t="str">
        <f ca="1">IFERROR(_xlfn.SINGLE(INDEX(#REF!,'Annual Report'!AS172)),"")</f>
        <v/>
      </c>
      <c r="AU172" s="6" t="str">
        <f ca="1">IFERROR(_xlfn.SINGLE(INDEX(#REF!,'Annual Report'!AS172)),"")</f>
        <v/>
      </c>
    </row>
    <row r="173" spans="41:47">
      <c r="AO173" s="6" t="str">
        <f ca="1">IFERROR(MATCH($B$114,OFFSET(#REF!,AO172,0,1000000),0)+AO172,"")</f>
        <v/>
      </c>
      <c r="AP173" s="156" t="str">
        <f ca="1">IFERROR(_xlfn.SINGLE(INDEX(#REF!,'Annual Report'!AO173)),"")</f>
        <v/>
      </c>
      <c r="AQ173" s="6" t="str">
        <f ca="1">IFERROR(_xlfn.SINGLE(INDEX(#REF!,'Annual Report'!AO173)),"")</f>
        <v/>
      </c>
      <c r="AS173" s="6" t="str">
        <f ca="1">IFERROR(MATCH($L$115,OFFSET(#REF!,AS172,0,1000000),0)+AS172,"")</f>
        <v/>
      </c>
      <c r="AT173" s="156" t="str">
        <f ca="1">IFERROR(_xlfn.SINGLE(INDEX(#REF!,'Annual Report'!AS173)),"")</f>
        <v/>
      </c>
      <c r="AU173" s="6" t="str">
        <f ca="1">IFERROR(_xlfn.SINGLE(INDEX(#REF!,'Annual Report'!AS173)),"")</f>
        <v/>
      </c>
    </row>
    <row r="174" spans="41:47">
      <c r="AO174" s="6" t="str">
        <f ca="1">IFERROR(MATCH($B$114,OFFSET(#REF!,AO173,0,1000000),0)+AO173,"")</f>
        <v/>
      </c>
      <c r="AP174" s="156" t="str">
        <f ca="1">IFERROR(_xlfn.SINGLE(INDEX(#REF!,'Annual Report'!AO174)),"")</f>
        <v/>
      </c>
      <c r="AQ174" s="6" t="str">
        <f ca="1">IFERROR(_xlfn.SINGLE(INDEX(#REF!,'Annual Report'!AO174)),"")</f>
        <v/>
      </c>
      <c r="AS174" s="6" t="str">
        <f ca="1">IFERROR(MATCH($L$115,OFFSET(#REF!,AS173,0,1000000),0)+AS173,"")</f>
        <v/>
      </c>
      <c r="AT174" s="156" t="str">
        <f ca="1">IFERROR(_xlfn.SINGLE(INDEX(#REF!,'Annual Report'!AS174)),"")</f>
        <v/>
      </c>
      <c r="AU174" s="6" t="str">
        <f ca="1">IFERROR(_xlfn.SINGLE(INDEX(#REF!,'Annual Report'!AS174)),"")</f>
        <v/>
      </c>
    </row>
    <row r="175" spans="41:47">
      <c r="AO175" s="6" t="str">
        <f ca="1">IFERROR(MATCH($B$114,OFFSET(#REF!,AO174,0,1000000),0)+AO174,"")</f>
        <v/>
      </c>
      <c r="AP175" s="156" t="str">
        <f ca="1">IFERROR(_xlfn.SINGLE(INDEX(#REF!,'Annual Report'!AO175)),"")</f>
        <v/>
      </c>
      <c r="AQ175" s="6" t="str">
        <f ca="1">IFERROR(_xlfn.SINGLE(INDEX(#REF!,'Annual Report'!AO175)),"")</f>
        <v/>
      </c>
      <c r="AS175" s="6" t="str">
        <f ca="1">IFERROR(MATCH($L$115,OFFSET(#REF!,AS174,0,1000000),0)+AS174,"")</f>
        <v/>
      </c>
      <c r="AT175" s="156" t="str">
        <f ca="1">IFERROR(_xlfn.SINGLE(INDEX(#REF!,'Annual Report'!AS175)),"")</f>
        <v/>
      </c>
      <c r="AU175" s="6" t="str">
        <f ca="1">IFERROR(_xlfn.SINGLE(INDEX(#REF!,'Annual Report'!AS175)),"")</f>
        <v/>
      </c>
    </row>
    <row r="176" spans="41:47">
      <c r="AO176" s="6" t="str">
        <f ca="1">IFERROR(MATCH($B$114,OFFSET(#REF!,AO175,0,1000000),0)+AO175,"")</f>
        <v/>
      </c>
      <c r="AP176" s="156" t="str">
        <f ca="1">IFERROR(_xlfn.SINGLE(INDEX(#REF!,'Annual Report'!AO176)),"")</f>
        <v/>
      </c>
      <c r="AQ176" s="6" t="str">
        <f ca="1">IFERROR(_xlfn.SINGLE(INDEX(#REF!,'Annual Report'!AO176)),"")</f>
        <v/>
      </c>
      <c r="AS176" s="6" t="str">
        <f ca="1">IFERROR(MATCH($L$115,OFFSET(#REF!,AS175,0,1000000),0)+AS175,"")</f>
        <v/>
      </c>
      <c r="AT176" s="156" t="str">
        <f ca="1">IFERROR(_xlfn.SINGLE(INDEX(#REF!,'Annual Report'!AS176)),"")</f>
        <v/>
      </c>
      <c r="AU176" s="6" t="str">
        <f ca="1">IFERROR(_xlfn.SINGLE(INDEX(#REF!,'Annual Report'!AS176)),"")</f>
        <v/>
      </c>
    </row>
    <row r="177" spans="41:47">
      <c r="AO177" s="6" t="str">
        <f ca="1">IFERROR(MATCH($B$114,OFFSET(#REF!,AO176,0,1000000),0)+AO176,"")</f>
        <v/>
      </c>
      <c r="AP177" s="156" t="str">
        <f ca="1">IFERROR(_xlfn.SINGLE(INDEX(#REF!,'Annual Report'!AO177)),"")</f>
        <v/>
      </c>
      <c r="AQ177" s="6" t="str">
        <f ca="1">IFERROR(_xlfn.SINGLE(INDEX(#REF!,'Annual Report'!AO177)),"")</f>
        <v/>
      </c>
      <c r="AS177" s="6" t="str">
        <f ca="1">IFERROR(MATCH($L$115,OFFSET(#REF!,AS176,0,1000000),0)+AS176,"")</f>
        <v/>
      </c>
      <c r="AT177" s="156" t="str">
        <f ca="1">IFERROR(_xlfn.SINGLE(INDEX(#REF!,'Annual Report'!AS177)),"")</f>
        <v/>
      </c>
      <c r="AU177" s="6" t="str">
        <f ca="1">IFERROR(_xlfn.SINGLE(INDEX(#REF!,'Annual Report'!AS177)),"")</f>
        <v/>
      </c>
    </row>
    <row r="178" spans="41:47">
      <c r="AO178" s="6" t="str">
        <f ca="1">IFERROR(MATCH($B$114,OFFSET(#REF!,AO177,0,1000000),0)+AO177,"")</f>
        <v/>
      </c>
      <c r="AP178" s="156" t="str">
        <f ca="1">IFERROR(_xlfn.SINGLE(INDEX(#REF!,'Annual Report'!AO178)),"")</f>
        <v/>
      </c>
      <c r="AQ178" s="6" t="str">
        <f ca="1">IFERROR(_xlfn.SINGLE(INDEX(#REF!,'Annual Report'!AO178)),"")</f>
        <v/>
      </c>
      <c r="AS178" s="6" t="str">
        <f ca="1">IFERROR(MATCH($L$115,OFFSET(#REF!,AS177,0,1000000),0)+AS177,"")</f>
        <v/>
      </c>
      <c r="AT178" s="156" t="str">
        <f ca="1">IFERROR(_xlfn.SINGLE(INDEX(#REF!,'Annual Report'!AS178)),"")</f>
        <v/>
      </c>
      <c r="AU178" s="6" t="str">
        <f ca="1">IFERROR(_xlfn.SINGLE(INDEX(#REF!,'Annual Report'!AS178)),"")</f>
        <v/>
      </c>
    </row>
    <row r="179" spans="41:47">
      <c r="AO179" s="6" t="str">
        <f ca="1">IFERROR(MATCH($B$114,OFFSET(#REF!,AO178,0,1000000),0)+AO178,"")</f>
        <v/>
      </c>
      <c r="AP179" s="156" t="str">
        <f ca="1">IFERROR(_xlfn.SINGLE(INDEX(#REF!,'Annual Report'!AO179)),"")</f>
        <v/>
      </c>
      <c r="AQ179" s="6" t="str">
        <f ca="1">IFERROR(_xlfn.SINGLE(INDEX(#REF!,'Annual Report'!AO179)),"")</f>
        <v/>
      </c>
      <c r="AS179" s="6" t="str">
        <f ca="1">IFERROR(MATCH($L$115,OFFSET(#REF!,AS178,0,1000000),0)+AS178,"")</f>
        <v/>
      </c>
      <c r="AT179" s="156" t="str">
        <f ca="1">IFERROR(_xlfn.SINGLE(INDEX(#REF!,'Annual Report'!AS179)),"")</f>
        <v/>
      </c>
      <c r="AU179" s="6" t="str">
        <f ca="1">IFERROR(_xlfn.SINGLE(INDEX(#REF!,'Annual Report'!AS179)),"")</f>
        <v/>
      </c>
    </row>
    <row r="180" spans="41:47">
      <c r="AO180" s="6" t="str">
        <f ca="1">IFERROR(MATCH($B$114,OFFSET(#REF!,AO179,0,1000000),0)+AO179,"")</f>
        <v/>
      </c>
      <c r="AP180" s="156" t="str">
        <f ca="1">IFERROR(_xlfn.SINGLE(INDEX(#REF!,'Annual Report'!AO180)),"")</f>
        <v/>
      </c>
      <c r="AQ180" s="6" t="str">
        <f ca="1">IFERROR(_xlfn.SINGLE(INDEX(#REF!,'Annual Report'!AO180)),"")</f>
        <v/>
      </c>
      <c r="AS180" s="6" t="str">
        <f ca="1">IFERROR(MATCH($L$115,OFFSET(#REF!,AS179,0,1000000),0)+AS179,"")</f>
        <v/>
      </c>
      <c r="AT180" s="156" t="str">
        <f ca="1">IFERROR(_xlfn.SINGLE(INDEX(#REF!,'Annual Report'!AS180)),"")</f>
        <v/>
      </c>
      <c r="AU180" s="6" t="str">
        <f ca="1">IFERROR(_xlfn.SINGLE(INDEX(#REF!,'Annual Report'!AS180)),"")</f>
        <v/>
      </c>
    </row>
    <row r="181" spans="41:47">
      <c r="AO181" s="6" t="str">
        <f ca="1">IFERROR(MATCH($B$114,OFFSET(#REF!,AO180,0,1000000),0)+AO180,"")</f>
        <v/>
      </c>
      <c r="AP181" s="156" t="str">
        <f ca="1">IFERROR(_xlfn.SINGLE(INDEX(#REF!,'Annual Report'!AO181)),"")</f>
        <v/>
      </c>
      <c r="AQ181" s="6" t="str">
        <f ca="1">IFERROR(_xlfn.SINGLE(INDEX(#REF!,'Annual Report'!AO181)),"")</f>
        <v/>
      </c>
      <c r="AS181" s="6" t="str">
        <f ca="1">IFERROR(MATCH($L$115,OFFSET(#REF!,AS180,0,1000000),0)+AS180,"")</f>
        <v/>
      </c>
      <c r="AT181" s="156" t="str">
        <f ca="1">IFERROR(_xlfn.SINGLE(INDEX(#REF!,'Annual Report'!AS181)),"")</f>
        <v/>
      </c>
      <c r="AU181" s="6" t="str">
        <f ca="1">IFERROR(_xlfn.SINGLE(INDEX(#REF!,'Annual Report'!AS181)),"")</f>
        <v/>
      </c>
    </row>
    <row r="182" spans="41:47">
      <c r="AO182" s="6" t="str">
        <f ca="1">IFERROR(MATCH($B$114,OFFSET(#REF!,AO181,0,1000000),0)+AO181,"")</f>
        <v/>
      </c>
      <c r="AP182" s="156" t="str">
        <f ca="1">IFERROR(_xlfn.SINGLE(INDEX(#REF!,'Annual Report'!AO182)),"")</f>
        <v/>
      </c>
      <c r="AQ182" s="6" t="str">
        <f ca="1">IFERROR(_xlfn.SINGLE(INDEX(#REF!,'Annual Report'!AO182)),"")</f>
        <v/>
      </c>
      <c r="AS182" s="6" t="str">
        <f ca="1">IFERROR(MATCH($L$115,OFFSET(#REF!,AS181,0,1000000),0)+AS181,"")</f>
        <v/>
      </c>
      <c r="AT182" s="156" t="str">
        <f ca="1">IFERROR(_xlfn.SINGLE(INDEX(#REF!,'Annual Report'!AS182)),"")</f>
        <v/>
      </c>
      <c r="AU182" s="6" t="str">
        <f ca="1">IFERROR(_xlfn.SINGLE(INDEX(#REF!,'Annual Report'!AS182)),"")</f>
        <v/>
      </c>
    </row>
    <row r="183" spans="41:47">
      <c r="AO183" s="6" t="str">
        <f ca="1">IFERROR(MATCH($B$114,OFFSET(#REF!,AO182,0,1000000),0)+AO182,"")</f>
        <v/>
      </c>
      <c r="AP183" s="156" t="str">
        <f ca="1">IFERROR(_xlfn.SINGLE(INDEX(#REF!,'Annual Report'!AO183)),"")</f>
        <v/>
      </c>
      <c r="AQ183" s="6" t="str">
        <f ca="1">IFERROR(_xlfn.SINGLE(INDEX(#REF!,'Annual Report'!AO183)),"")</f>
        <v/>
      </c>
      <c r="AS183" s="6" t="str">
        <f ca="1">IFERROR(MATCH($L$115,OFFSET(#REF!,AS182,0,1000000),0)+AS182,"")</f>
        <v/>
      </c>
      <c r="AT183" s="156" t="str">
        <f ca="1">IFERROR(_xlfn.SINGLE(INDEX(#REF!,'Annual Report'!AS183)),"")</f>
        <v/>
      </c>
      <c r="AU183" s="6" t="str">
        <f ca="1">IFERROR(_xlfn.SINGLE(INDEX(#REF!,'Annual Report'!AS183)),"")</f>
        <v/>
      </c>
    </row>
    <row r="184" spans="41:47">
      <c r="AO184" s="6" t="str">
        <f ca="1">IFERROR(MATCH($B$114,OFFSET(#REF!,AO183,0,1000000),0)+AO183,"")</f>
        <v/>
      </c>
      <c r="AP184" s="156" t="str">
        <f ca="1">IFERROR(_xlfn.SINGLE(INDEX(#REF!,'Annual Report'!AO184)),"")</f>
        <v/>
      </c>
      <c r="AQ184" s="6" t="str">
        <f ca="1">IFERROR(_xlfn.SINGLE(INDEX(#REF!,'Annual Report'!AO184)),"")</f>
        <v/>
      </c>
      <c r="AS184" s="6" t="str">
        <f ca="1">IFERROR(MATCH($L$115,OFFSET(#REF!,AS183,0,1000000),0)+AS183,"")</f>
        <v/>
      </c>
      <c r="AT184" s="156" t="str">
        <f ca="1">IFERROR(_xlfn.SINGLE(INDEX(#REF!,'Annual Report'!AS184)),"")</f>
        <v/>
      </c>
      <c r="AU184" s="6" t="str">
        <f ca="1">IFERROR(_xlfn.SINGLE(INDEX(#REF!,'Annual Report'!AS184)),"")</f>
        <v/>
      </c>
    </row>
    <row r="185" spans="41:47">
      <c r="AO185" s="6" t="str">
        <f ca="1">IFERROR(MATCH($B$114,OFFSET(#REF!,AO184,0,1000000),0)+AO184,"")</f>
        <v/>
      </c>
      <c r="AP185" s="156" t="str">
        <f ca="1">IFERROR(_xlfn.SINGLE(INDEX(#REF!,'Annual Report'!AO185)),"")</f>
        <v/>
      </c>
      <c r="AQ185" s="6" t="str">
        <f ca="1">IFERROR(_xlfn.SINGLE(INDEX(#REF!,'Annual Report'!AO185)),"")</f>
        <v/>
      </c>
      <c r="AS185" s="6" t="str">
        <f ca="1">IFERROR(MATCH($L$115,OFFSET(#REF!,AS184,0,1000000),0)+AS184,"")</f>
        <v/>
      </c>
      <c r="AT185" s="156" t="str">
        <f ca="1">IFERROR(_xlfn.SINGLE(INDEX(#REF!,'Annual Report'!AS185)),"")</f>
        <v/>
      </c>
      <c r="AU185" s="6" t="str">
        <f ca="1">IFERROR(_xlfn.SINGLE(INDEX(#REF!,'Annual Report'!AS185)),"")</f>
        <v/>
      </c>
    </row>
    <row r="186" spans="41:47">
      <c r="AO186" s="6" t="str">
        <f ca="1">IFERROR(MATCH($B$114,OFFSET(#REF!,AO185,0,1000000),0)+AO185,"")</f>
        <v/>
      </c>
      <c r="AP186" s="156" t="str">
        <f ca="1">IFERROR(_xlfn.SINGLE(INDEX(#REF!,'Annual Report'!AO186)),"")</f>
        <v/>
      </c>
      <c r="AQ186" s="6" t="str">
        <f ca="1">IFERROR(_xlfn.SINGLE(INDEX(#REF!,'Annual Report'!AO186)),"")</f>
        <v/>
      </c>
      <c r="AS186" s="6" t="str">
        <f ca="1">IFERROR(MATCH($L$115,OFFSET(#REF!,AS185,0,1000000),0)+AS185,"")</f>
        <v/>
      </c>
      <c r="AT186" s="156" t="str">
        <f ca="1">IFERROR(_xlfn.SINGLE(INDEX(#REF!,'Annual Report'!AS186)),"")</f>
        <v/>
      </c>
      <c r="AU186" s="6" t="str">
        <f ca="1">IFERROR(_xlfn.SINGLE(INDEX(#REF!,'Annual Report'!AS186)),"")</f>
        <v/>
      </c>
    </row>
    <row r="187" spans="41:47">
      <c r="AO187" s="6" t="str">
        <f ca="1">IFERROR(MATCH($B$114,OFFSET(#REF!,AO186,0,1000000),0)+AO186,"")</f>
        <v/>
      </c>
      <c r="AP187" s="156" t="str">
        <f ca="1">IFERROR(_xlfn.SINGLE(INDEX(#REF!,'Annual Report'!AO187)),"")</f>
        <v/>
      </c>
      <c r="AQ187" s="6" t="str">
        <f ca="1">IFERROR(_xlfn.SINGLE(INDEX(#REF!,'Annual Report'!AO187)),"")</f>
        <v/>
      </c>
      <c r="AS187" s="6" t="str">
        <f ca="1">IFERROR(MATCH($L$115,OFFSET(#REF!,AS186,0,1000000),0)+AS186,"")</f>
        <v/>
      </c>
      <c r="AT187" s="156" t="str">
        <f ca="1">IFERROR(_xlfn.SINGLE(INDEX(#REF!,'Annual Report'!AS187)),"")</f>
        <v/>
      </c>
      <c r="AU187" s="6" t="str">
        <f ca="1">IFERROR(_xlfn.SINGLE(INDEX(#REF!,'Annual Report'!AS187)),"")</f>
        <v/>
      </c>
    </row>
    <row r="188" spans="41:47">
      <c r="AO188" s="6" t="str">
        <f ca="1">IFERROR(MATCH($B$114,OFFSET(#REF!,AO187,0,1000000),0)+AO187,"")</f>
        <v/>
      </c>
      <c r="AP188" s="156" t="str">
        <f ca="1">IFERROR(_xlfn.SINGLE(INDEX(#REF!,'Annual Report'!AO188)),"")</f>
        <v/>
      </c>
      <c r="AQ188" s="6" t="str">
        <f ca="1">IFERROR(_xlfn.SINGLE(INDEX(#REF!,'Annual Report'!AO188)),"")</f>
        <v/>
      </c>
      <c r="AS188" s="6" t="str">
        <f ca="1">IFERROR(MATCH($L$115,OFFSET(#REF!,AS187,0,1000000),0)+AS187,"")</f>
        <v/>
      </c>
      <c r="AT188" s="156" t="str">
        <f ca="1">IFERROR(_xlfn.SINGLE(INDEX(#REF!,'Annual Report'!AS188)),"")</f>
        <v/>
      </c>
      <c r="AU188" s="6" t="str">
        <f ca="1">IFERROR(_xlfn.SINGLE(INDEX(#REF!,'Annual Report'!AS188)),"")</f>
        <v/>
      </c>
    </row>
    <row r="189" spans="41:47">
      <c r="AO189" s="6" t="str">
        <f ca="1">IFERROR(MATCH($B$114,OFFSET(#REF!,AO188,0,1000000),0)+AO188,"")</f>
        <v/>
      </c>
      <c r="AP189" s="156" t="str">
        <f ca="1">IFERROR(_xlfn.SINGLE(INDEX(#REF!,'Annual Report'!AO189)),"")</f>
        <v/>
      </c>
      <c r="AQ189" s="6" t="str">
        <f ca="1">IFERROR(_xlfn.SINGLE(INDEX(#REF!,'Annual Report'!AO189)),"")</f>
        <v/>
      </c>
      <c r="AS189" s="6" t="str">
        <f ca="1">IFERROR(MATCH($L$115,OFFSET(#REF!,AS188,0,1000000),0)+AS188,"")</f>
        <v/>
      </c>
      <c r="AT189" s="156" t="str">
        <f ca="1">IFERROR(_xlfn.SINGLE(INDEX(#REF!,'Annual Report'!AS189)),"")</f>
        <v/>
      </c>
      <c r="AU189" s="6" t="str">
        <f ca="1">IFERROR(_xlfn.SINGLE(INDEX(#REF!,'Annual Report'!AS189)),"")</f>
        <v/>
      </c>
    </row>
    <row r="190" spans="41:47">
      <c r="AO190" s="6" t="str">
        <f ca="1">IFERROR(MATCH($B$114,OFFSET(#REF!,AO189,0,1000000),0)+AO189,"")</f>
        <v/>
      </c>
      <c r="AP190" s="156" t="str">
        <f ca="1">IFERROR(_xlfn.SINGLE(INDEX(#REF!,'Annual Report'!AO190)),"")</f>
        <v/>
      </c>
      <c r="AQ190" s="6" t="str">
        <f ca="1">IFERROR(_xlfn.SINGLE(INDEX(#REF!,'Annual Report'!AO190)),"")</f>
        <v/>
      </c>
      <c r="AS190" s="6" t="str">
        <f ca="1">IFERROR(MATCH($L$115,OFFSET(#REF!,AS189,0,1000000),0)+AS189,"")</f>
        <v/>
      </c>
      <c r="AT190" s="156" t="str">
        <f ca="1">IFERROR(_xlfn.SINGLE(INDEX(#REF!,'Annual Report'!AS190)),"")</f>
        <v/>
      </c>
      <c r="AU190" s="6" t="str">
        <f ca="1">IFERROR(_xlfn.SINGLE(INDEX(#REF!,'Annual Report'!AS190)),"")</f>
        <v/>
      </c>
    </row>
    <row r="191" spans="41:47">
      <c r="AO191" s="6" t="str">
        <f ca="1">IFERROR(MATCH($B$114,OFFSET(#REF!,AO190,0,1000000),0)+AO190,"")</f>
        <v/>
      </c>
      <c r="AP191" s="156" t="str">
        <f ca="1">IFERROR(_xlfn.SINGLE(INDEX(#REF!,'Annual Report'!AO191)),"")</f>
        <v/>
      </c>
      <c r="AQ191" s="6" t="str">
        <f ca="1">IFERROR(_xlfn.SINGLE(INDEX(#REF!,'Annual Report'!AO191)),"")</f>
        <v/>
      </c>
      <c r="AS191" s="6" t="str">
        <f ca="1">IFERROR(MATCH($L$115,OFFSET(#REF!,AS190,0,1000000),0)+AS190,"")</f>
        <v/>
      </c>
      <c r="AT191" s="156" t="str">
        <f ca="1">IFERROR(_xlfn.SINGLE(INDEX(#REF!,'Annual Report'!AS191)),"")</f>
        <v/>
      </c>
      <c r="AU191" s="6" t="str">
        <f ca="1">IFERROR(_xlfn.SINGLE(INDEX(#REF!,'Annual Report'!AS191)),"")</f>
        <v/>
      </c>
    </row>
    <row r="192" spans="41:47">
      <c r="AO192" s="6" t="str">
        <f ca="1">IFERROR(MATCH($B$114,OFFSET(#REF!,AO191,0,1000000),0)+AO191,"")</f>
        <v/>
      </c>
      <c r="AP192" s="156" t="str">
        <f ca="1">IFERROR(_xlfn.SINGLE(INDEX(#REF!,'Annual Report'!AO192)),"")</f>
        <v/>
      </c>
      <c r="AQ192" s="6" t="str">
        <f ca="1">IFERROR(_xlfn.SINGLE(INDEX(#REF!,'Annual Report'!AO192)),"")</f>
        <v/>
      </c>
      <c r="AS192" s="6" t="str">
        <f ca="1">IFERROR(MATCH($L$115,OFFSET(#REF!,AS191,0,1000000),0)+AS191,"")</f>
        <v/>
      </c>
      <c r="AT192" s="156" t="str">
        <f ca="1">IFERROR(_xlfn.SINGLE(INDEX(#REF!,'Annual Report'!AS192)),"")</f>
        <v/>
      </c>
      <c r="AU192" s="6" t="str">
        <f ca="1">IFERROR(_xlfn.SINGLE(INDEX(#REF!,'Annual Report'!AS192)),"")</f>
        <v/>
      </c>
    </row>
    <row r="193" spans="41:47">
      <c r="AO193" s="6" t="str">
        <f ca="1">IFERROR(MATCH($B$114,OFFSET(#REF!,AO192,0,1000000),0)+AO192,"")</f>
        <v/>
      </c>
      <c r="AP193" s="156" t="str">
        <f ca="1">IFERROR(_xlfn.SINGLE(INDEX(#REF!,'Annual Report'!AO193)),"")</f>
        <v/>
      </c>
      <c r="AQ193" s="6" t="str">
        <f ca="1">IFERROR(_xlfn.SINGLE(INDEX(#REF!,'Annual Report'!AO193)),"")</f>
        <v/>
      </c>
      <c r="AS193" s="6" t="str">
        <f ca="1">IFERROR(MATCH($L$115,OFFSET(#REF!,AS192,0,1000000),0)+AS192,"")</f>
        <v/>
      </c>
      <c r="AT193" s="156" t="str">
        <f ca="1">IFERROR(_xlfn.SINGLE(INDEX(#REF!,'Annual Report'!AS193)),"")</f>
        <v/>
      </c>
      <c r="AU193" s="6" t="str">
        <f ca="1">IFERROR(_xlfn.SINGLE(INDEX(#REF!,'Annual Report'!AS193)),"")</f>
        <v/>
      </c>
    </row>
    <row r="194" spans="41:47">
      <c r="AO194" s="6" t="str">
        <f ca="1">IFERROR(MATCH($B$114,OFFSET(#REF!,AO193,0,1000000),0)+AO193,"")</f>
        <v/>
      </c>
      <c r="AP194" s="156" t="str">
        <f ca="1">IFERROR(_xlfn.SINGLE(INDEX(#REF!,'Annual Report'!AO194)),"")</f>
        <v/>
      </c>
      <c r="AQ194" s="6" t="str">
        <f ca="1">IFERROR(_xlfn.SINGLE(INDEX(#REF!,'Annual Report'!AO194)),"")</f>
        <v/>
      </c>
      <c r="AS194" s="6" t="str">
        <f ca="1">IFERROR(MATCH($L$115,OFFSET(#REF!,AS193,0,1000000),0)+AS193,"")</f>
        <v/>
      </c>
      <c r="AT194" s="156" t="str">
        <f ca="1">IFERROR(_xlfn.SINGLE(INDEX(#REF!,'Annual Report'!AS194)),"")</f>
        <v/>
      </c>
      <c r="AU194" s="6" t="str">
        <f ca="1">IFERROR(_xlfn.SINGLE(INDEX(#REF!,'Annual Report'!AS194)),"")</f>
        <v/>
      </c>
    </row>
    <row r="195" spans="41:47">
      <c r="AO195" s="6" t="str">
        <f ca="1">IFERROR(MATCH($B$114,OFFSET(#REF!,AO194,0,1000000),0)+AO194,"")</f>
        <v/>
      </c>
      <c r="AP195" s="156" t="str">
        <f ca="1">IFERROR(_xlfn.SINGLE(INDEX(#REF!,'Annual Report'!AO195)),"")</f>
        <v/>
      </c>
      <c r="AQ195" s="6" t="str">
        <f ca="1">IFERROR(_xlfn.SINGLE(INDEX(#REF!,'Annual Report'!AO195)),"")</f>
        <v/>
      </c>
      <c r="AS195" s="6" t="str">
        <f ca="1">IFERROR(MATCH($L$115,OFFSET(#REF!,AS194,0,1000000),0)+AS194,"")</f>
        <v/>
      </c>
      <c r="AT195" s="156" t="str">
        <f ca="1">IFERROR(_xlfn.SINGLE(INDEX(#REF!,'Annual Report'!AS195)),"")</f>
        <v/>
      </c>
      <c r="AU195" s="6" t="str">
        <f ca="1">IFERROR(_xlfn.SINGLE(INDEX(#REF!,'Annual Report'!AS195)),"")</f>
        <v/>
      </c>
    </row>
    <row r="196" spans="41:47">
      <c r="AO196" s="6" t="str">
        <f ca="1">IFERROR(MATCH($B$114,OFFSET(#REF!,AO195,0,1000000),0)+AO195,"")</f>
        <v/>
      </c>
      <c r="AP196" s="156" t="str">
        <f ca="1">IFERROR(_xlfn.SINGLE(INDEX(#REF!,'Annual Report'!AO196)),"")</f>
        <v/>
      </c>
      <c r="AQ196" s="6" t="str">
        <f ca="1">IFERROR(_xlfn.SINGLE(INDEX(#REF!,'Annual Report'!AO196)),"")</f>
        <v/>
      </c>
      <c r="AS196" s="6" t="str">
        <f ca="1">IFERROR(MATCH($L$115,OFFSET(#REF!,AS195,0,1000000),0)+AS195,"")</f>
        <v/>
      </c>
      <c r="AT196" s="156" t="str">
        <f ca="1">IFERROR(_xlfn.SINGLE(INDEX(#REF!,'Annual Report'!AS196)),"")</f>
        <v/>
      </c>
      <c r="AU196" s="6" t="str">
        <f ca="1">IFERROR(_xlfn.SINGLE(INDEX(#REF!,'Annual Report'!AS196)),"")</f>
        <v/>
      </c>
    </row>
    <row r="197" spans="41:47">
      <c r="AO197" s="6" t="str">
        <f ca="1">IFERROR(MATCH($B$114,OFFSET(#REF!,AO196,0,1000000),0)+AO196,"")</f>
        <v/>
      </c>
      <c r="AP197" s="156" t="str">
        <f ca="1">IFERROR(_xlfn.SINGLE(INDEX(#REF!,'Annual Report'!AO197)),"")</f>
        <v/>
      </c>
      <c r="AQ197" s="6" t="str">
        <f ca="1">IFERROR(_xlfn.SINGLE(INDEX(#REF!,'Annual Report'!AO197)),"")</f>
        <v/>
      </c>
      <c r="AS197" s="6" t="str">
        <f ca="1">IFERROR(MATCH($L$115,OFFSET(#REF!,AS196,0,1000000),0)+AS196,"")</f>
        <v/>
      </c>
      <c r="AT197" s="156" t="str">
        <f ca="1">IFERROR(_xlfn.SINGLE(INDEX(#REF!,'Annual Report'!AS197)),"")</f>
        <v/>
      </c>
      <c r="AU197" s="6" t="str">
        <f ca="1">IFERROR(_xlfn.SINGLE(INDEX(#REF!,'Annual Report'!AS197)),"")</f>
        <v/>
      </c>
    </row>
    <row r="198" spans="41:47">
      <c r="AO198" s="6" t="str">
        <f ca="1">IFERROR(MATCH($B$114,OFFSET(#REF!,AO197,0,1000000),0)+AO197,"")</f>
        <v/>
      </c>
      <c r="AP198" s="156" t="str">
        <f ca="1">IFERROR(_xlfn.SINGLE(INDEX(#REF!,'Annual Report'!AO198)),"")</f>
        <v/>
      </c>
      <c r="AQ198" s="6" t="str">
        <f ca="1">IFERROR(_xlfn.SINGLE(INDEX(#REF!,'Annual Report'!AO198)),"")</f>
        <v/>
      </c>
      <c r="AS198" s="6" t="str">
        <f ca="1">IFERROR(MATCH($L$115,OFFSET(#REF!,AS197,0,1000000),0)+AS197,"")</f>
        <v/>
      </c>
      <c r="AT198" s="156" t="str">
        <f ca="1">IFERROR(_xlfn.SINGLE(INDEX(#REF!,'Annual Report'!AS198)),"")</f>
        <v/>
      </c>
      <c r="AU198" s="6" t="str">
        <f ca="1">IFERROR(_xlfn.SINGLE(INDEX(#REF!,'Annual Report'!AS198)),"")</f>
        <v/>
      </c>
    </row>
    <row r="199" spans="41:47">
      <c r="AO199" s="6" t="str">
        <f ca="1">IFERROR(MATCH($B$114,OFFSET(#REF!,AO198,0,1000000),0)+AO198,"")</f>
        <v/>
      </c>
      <c r="AP199" s="156" t="str">
        <f ca="1">IFERROR(_xlfn.SINGLE(INDEX(#REF!,'Annual Report'!AO199)),"")</f>
        <v/>
      </c>
      <c r="AQ199" s="6" t="str">
        <f ca="1">IFERROR(_xlfn.SINGLE(INDEX(#REF!,'Annual Report'!AO199)),"")</f>
        <v/>
      </c>
      <c r="AS199" s="6" t="str">
        <f ca="1">IFERROR(MATCH($L$115,OFFSET(#REF!,AS198,0,1000000),0)+AS198,"")</f>
        <v/>
      </c>
      <c r="AT199" s="156" t="str">
        <f ca="1">IFERROR(_xlfn.SINGLE(INDEX(#REF!,'Annual Report'!AS199)),"")</f>
        <v/>
      </c>
      <c r="AU199" s="6" t="str">
        <f ca="1">IFERROR(_xlfn.SINGLE(INDEX(#REF!,'Annual Report'!AS199)),"")</f>
        <v/>
      </c>
    </row>
    <row r="200" spans="41:47">
      <c r="AO200" s="6" t="str">
        <f ca="1">IFERROR(MATCH($B$114,OFFSET(#REF!,AO199,0,1000000),0)+AO199,"")</f>
        <v/>
      </c>
      <c r="AP200" s="156" t="str">
        <f ca="1">IFERROR(_xlfn.SINGLE(INDEX(#REF!,'Annual Report'!AO200)),"")</f>
        <v/>
      </c>
      <c r="AQ200" s="6" t="str">
        <f ca="1">IFERROR(_xlfn.SINGLE(INDEX(#REF!,'Annual Report'!AO200)),"")</f>
        <v/>
      </c>
      <c r="AS200" s="6" t="str">
        <f ca="1">IFERROR(MATCH($L$115,OFFSET(#REF!,AS199,0,1000000),0)+AS199,"")</f>
        <v/>
      </c>
      <c r="AT200" s="156" t="str">
        <f ca="1">IFERROR(_xlfn.SINGLE(INDEX(#REF!,'Annual Report'!AS200)),"")</f>
        <v/>
      </c>
      <c r="AU200" s="6" t="str">
        <f ca="1">IFERROR(_xlfn.SINGLE(INDEX(#REF!,'Annual Report'!AS200)),"")</f>
        <v/>
      </c>
    </row>
    <row r="201" spans="41:47">
      <c r="AO201" s="6" t="str">
        <f ca="1">IFERROR(MATCH($B$114,OFFSET(#REF!,AO200,0,1000000),0)+AO200,"")</f>
        <v/>
      </c>
      <c r="AP201" s="156" t="str">
        <f ca="1">IFERROR(_xlfn.SINGLE(INDEX(#REF!,'Annual Report'!AO201)),"")</f>
        <v/>
      </c>
      <c r="AQ201" s="6" t="str">
        <f ca="1">IFERROR(_xlfn.SINGLE(INDEX(#REF!,'Annual Report'!AO201)),"")</f>
        <v/>
      </c>
      <c r="AS201" s="6" t="str">
        <f ca="1">IFERROR(MATCH($L$115,OFFSET(#REF!,AS200,0,1000000),0)+AS200,"")</f>
        <v/>
      </c>
      <c r="AT201" s="156" t="str">
        <f ca="1">IFERROR(_xlfn.SINGLE(INDEX(#REF!,'Annual Report'!AS201)),"")</f>
        <v/>
      </c>
      <c r="AU201" s="6" t="str">
        <f ca="1">IFERROR(_xlfn.SINGLE(INDEX(#REF!,'Annual Report'!AS201)),"")</f>
        <v/>
      </c>
    </row>
    <row r="202" spans="41:47">
      <c r="AO202" s="6" t="str">
        <f ca="1">IFERROR(MATCH($B$114,OFFSET(#REF!,AO201,0,1000000),0)+AO201,"")</f>
        <v/>
      </c>
      <c r="AP202" s="156" t="str">
        <f ca="1">IFERROR(_xlfn.SINGLE(INDEX(#REF!,'Annual Report'!AO202)),"")</f>
        <v/>
      </c>
      <c r="AQ202" s="6" t="str">
        <f ca="1">IFERROR(_xlfn.SINGLE(INDEX(#REF!,'Annual Report'!AO202)),"")</f>
        <v/>
      </c>
      <c r="AS202" s="6" t="str">
        <f ca="1">IFERROR(MATCH($L$115,OFFSET(#REF!,AS201,0,1000000),0)+AS201,"")</f>
        <v/>
      </c>
      <c r="AT202" s="156" t="str">
        <f ca="1">IFERROR(_xlfn.SINGLE(INDEX(#REF!,'Annual Report'!AS202)),"")</f>
        <v/>
      </c>
      <c r="AU202" s="6" t="str">
        <f ca="1">IFERROR(_xlfn.SINGLE(INDEX(#REF!,'Annual Report'!AS202)),"")</f>
        <v/>
      </c>
    </row>
    <row r="203" spans="41:47">
      <c r="AO203" s="6" t="str">
        <f ca="1">IFERROR(MATCH($B$114,OFFSET(#REF!,AO202,0,1000000),0)+AO202,"")</f>
        <v/>
      </c>
      <c r="AP203" s="156" t="str">
        <f ca="1">IFERROR(_xlfn.SINGLE(INDEX(#REF!,'Annual Report'!AO203)),"")</f>
        <v/>
      </c>
      <c r="AQ203" s="6" t="str">
        <f ca="1">IFERROR(_xlfn.SINGLE(INDEX(#REF!,'Annual Report'!AO203)),"")</f>
        <v/>
      </c>
      <c r="AS203" s="6" t="str">
        <f ca="1">IFERROR(MATCH($L$115,OFFSET(#REF!,AS202,0,1000000),0)+AS202,"")</f>
        <v/>
      </c>
      <c r="AT203" s="156" t="str">
        <f ca="1">IFERROR(_xlfn.SINGLE(INDEX(#REF!,'Annual Report'!AS203)),"")</f>
        <v/>
      </c>
      <c r="AU203" s="6" t="str">
        <f ca="1">IFERROR(_xlfn.SINGLE(INDEX(#REF!,'Annual Report'!AS203)),"")</f>
        <v/>
      </c>
    </row>
    <row r="204" spans="41:47">
      <c r="AO204" s="6" t="str">
        <f ca="1">IFERROR(MATCH($B$114,OFFSET(#REF!,AO203,0,1000000),0)+AO203,"")</f>
        <v/>
      </c>
      <c r="AP204" s="156" t="str">
        <f ca="1">IFERROR(_xlfn.SINGLE(INDEX(#REF!,'Annual Report'!AO204)),"")</f>
        <v/>
      </c>
      <c r="AQ204" s="6" t="str">
        <f ca="1">IFERROR(_xlfn.SINGLE(INDEX(#REF!,'Annual Report'!AO204)),"")</f>
        <v/>
      </c>
      <c r="AS204" s="6" t="str">
        <f ca="1">IFERROR(MATCH($L$115,OFFSET(#REF!,AS203,0,1000000),0)+AS203,"")</f>
        <v/>
      </c>
      <c r="AT204" s="156" t="str">
        <f ca="1">IFERROR(_xlfn.SINGLE(INDEX(#REF!,'Annual Report'!AS204)),"")</f>
        <v/>
      </c>
      <c r="AU204" s="6" t="str">
        <f ca="1">IFERROR(_xlfn.SINGLE(INDEX(#REF!,'Annual Report'!AS204)),"")</f>
        <v/>
      </c>
    </row>
    <row r="205" spans="41:47">
      <c r="AO205" s="6" t="str">
        <f ca="1">IFERROR(MATCH($B$114,OFFSET(#REF!,AO204,0,1000000),0)+AO204,"")</f>
        <v/>
      </c>
      <c r="AP205" s="156" t="str">
        <f ca="1">IFERROR(_xlfn.SINGLE(INDEX(#REF!,'Annual Report'!AO205)),"")</f>
        <v/>
      </c>
      <c r="AQ205" s="6" t="str">
        <f ca="1">IFERROR(_xlfn.SINGLE(INDEX(#REF!,'Annual Report'!AO205)),"")</f>
        <v/>
      </c>
      <c r="AS205" s="6" t="str">
        <f ca="1">IFERROR(MATCH($L$115,OFFSET(#REF!,AS204,0,1000000),0)+AS204,"")</f>
        <v/>
      </c>
      <c r="AT205" s="156" t="str">
        <f ca="1">IFERROR(_xlfn.SINGLE(INDEX(#REF!,'Annual Report'!AS205)),"")</f>
        <v/>
      </c>
      <c r="AU205" s="6" t="str">
        <f ca="1">IFERROR(_xlfn.SINGLE(INDEX(#REF!,'Annual Report'!AS205)),"")</f>
        <v/>
      </c>
    </row>
    <row r="206" spans="41:47">
      <c r="AO206" s="6" t="str">
        <f ca="1">IFERROR(MATCH($B$114,OFFSET(#REF!,AO205,0,1000000),0)+AO205,"")</f>
        <v/>
      </c>
      <c r="AP206" s="156" t="str">
        <f ca="1">IFERROR(_xlfn.SINGLE(INDEX(#REF!,'Annual Report'!AO206)),"")</f>
        <v/>
      </c>
      <c r="AQ206" s="6" t="str">
        <f ca="1">IFERROR(_xlfn.SINGLE(INDEX(#REF!,'Annual Report'!AO206)),"")</f>
        <v/>
      </c>
      <c r="AS206" s="6" t="str">
        <f ca="1">IFERROR(MATCH($L$115,OFFSET(#REF!,AS205,0,1000000),0)+AS205,"")</f>
        <v/>
      </c>
      <c r="AT206" s="156" t="str">
        <f ca="1">IFERROR(_xlfn.SINGLE(INDEX(#REF!,'Annual Report'!AS206)),"")</f>
        <v/>
      </c>
      <c r="AU206" s="6" t="str">
        <f ca="1">IFERROR(_xlfn.SINGLE(INDEX(#REF!,'Annual Report'!AS206)),"")</f>
        <v/>
      </c>
    </row>
    <row r="207" spans="41:47">
      <c r="AO207" s="6" t="str">
        <f ca="1">IFERROR(MATCH($B$114,OFFSET(#REF!,AO206,0,1000000),0)+AO206,"")</f>
        <v/>
      </c>
      <c r="AP207" s="156" t="str">
        <f ca="1">IFERROR(_xlfn.SINGLE(INDEX(#REF!,'Annual Report'!AO207)),"")</f>
        <v/>
      </c>
      <c r="AQ207" s="6" t="str">
        <f ca="1">IFERROR(_xlfn.SINGLE(INDEX(#REF!,'Annual Report'!AO207)),"")</f>
        <v/>
      </c>
      <c r="AS207" s="6" t="str">
        <f ca="1">IFERROR(MATCH($L$115,OFFSET(#REF!,AS206,0,1000000),0)+AS206,"")</f>
        <v/>
      </c>
      <c r="AT207" s="156" t="str">
        <f ca="1">IFERROR(_xlfn.SINGLE(INDEX(#REF!,'Annual Report'!AS207)),"")</f>
        <v/>
      </c>
      <c r="AU207" s="6" t="str">
        <f ca="1">IFERROR(_xlfn.SINGLE(INDEX(#REF!,'Annual Report'!AS207)),"")</f>
        <v/>
      </c>
    </row>
    <row r="208" spans="41:47">
      <c r="AO208" s="6" t="str">
        <f ca="1">IFERROR(MATCH($B$114,OFFSET(#REF!,AO207,0,1000000),0)+AO207,"")</f>
        <v/>
      </c>
      <c r="AP208" s="156" t="str">
        <f ca="1">IFERROR(_xlfn.SINGLE(INDEX(#REF!,'Annual Report'!AO208)),"")</f>
        <v/>
      </c>
      <c r="AQ208" s="6" t="str">
        <f ca="1">IFERROR(_xlfn.SINGLE(INDEX(#REF!,'Annual Report'!AO208)),"")</f>
        <v/>
      </c>
      <c r="AS208" s="6" t="str">
        <f ca="1">IFERROR(MATCH($L$115,OFFSET(#REF!,AS207,0,1000000),0)+AS207,"")</f>
        <v/>
      </c>
      <c r="AT208" s="156" t="str">
        <f ca="1">IFERROR(_xlfn.SINGLE(INDEX(#REF!,'Annual Report'!AS208)),"")</f>
        <v/>
      </c>
      <c r="AU208" s="6" t="str">
        <f ca="1">IFERROR(_xlfn.SINGLE(INDEX(#REF!,'Annual Report'!AS208)),"")</f>
        <v/>
      </c>
    </row>
    <row r="209" spans="41:47">
      <c r="AO209" s="6" t="str">
        <f ca="1">IFERROR(MATCH($B$114,OFFSET(#REF!,AO208,0,1000000),0)+AO208,"")</f>
        <v/>
      </c>
      <c r="AP209" s="156" t="str">
        <f ca="1">IFERROR(_xlfn.SINGLE(INDEX(#REF!,'Annual Report'!AO209)),"")</f>
        <v/>
      </c>
      <c r="AQ209" s="6" t="str">
        <f ca="1">IFERROR(_xlfn.SINGLE(INDEX(#REF!,'Annual Report'!AO209)),"")</f>
        <v/>
      </c>
      <c r="AS209" s="6" t="str">
        <f ca="1">IFERROR(MATCH($L$115,OFFSET(#REF!,AS208,0,1000000),0)+AS208,"")</f>
        <v/>
      </c>
      <c r="AT209" s="156" t="str">
        <f ca="1">IFERROR(_xlfn.SINGLE(INDEX(#REF!,'Annual Report'!AS209)),"")</f>
        <v/>
      </c>
      <c r="AU209" s="6" t="str">
        <f ca="1">IFERROR(_xlfn.SINGLE(INDEX(#REF!,'Annual Report'!AS209)),"")</f>
        <v/>
      </c>
    </row>
    <row r="210" spans="41:47">
      <c r="AO210" s="6" t="str">
        <f ca="1">IFERROR(MATCH($B$114,OFFSET(#REF!,AO209,0,1000000),0)+AO209,"")</f>
        <v/>
      </c>
      <c r="AP210" s="156" t="str">
        <f ca="1">IFERROR(_xlfn.SINGLE(INDEX(#REF!,'Annual Report'!AO210)),"")</f>
        <v/>
      </c>
      <c r="AQ210" s="6" t="str">
        <f ca="1">IFERROR(_xlfn.SINGLE(INDEX(#REF!,'Annual Report'!AO210)),"")</f>
        <v/>
      </c>
      <c r="AS210" s="6" t="str">
        <f ca="1">IFERROR(MATCH($L$115,OFFSET(#REF!,AS209,0,1000000),0)+AS209,"")</f>
        <v/>
      </c>
      <c r="AT210" s="156" t="str">
        <f ca="1">IFERROR(_xlfn.SINGLE(INDEX(#REF!,'Annual Report'!AS210)),"")</f>
        <v/>
      </c>
      <c r="AU210" s="6" t="str">
        <f ca="1">IFERROR(_xlfn.SINGLE(INDEX(#REF!,'Annual Report'!AS210)),"")</f>
        <v/>
      </c>
    </row>
    <row r="211" spans="41:47">
      <c r="AO211" s="6" t="str">
        <f ca="1">IFERROR(MATCH($B$114,OFFSET(#REF!,AO210,0,1000000),0)+AO210,"")</f>
        <v/>
      </c>
      <c r="AP211" s="156" t="str">
        <f ca="1">IFERROR(_xlfn.SINGLE(INDEX(#REF!,'Annual Report'!AO211)),"")</f>
        <v/>
      </c>
      <c r="AQ211" s="6" t="str">
        <f ca="1">IFERROR(_xlfn.SINGLE(INDEX(#REF!,'Annual Report'!AO211)),"")</f>
        <v/>
      </c>
      <c r="AS211" s="6" t="str">
        <f ca="1">IFERROR(MATCH($L$115,OFFSET(#REF!,AS210,0,1000000),0)+AS210,"")</f>
        <v/>
      </c>
      <c r="AT211" s="156" t="str">
        <f ca="1">IFERROR(_xlfn.SINGLE(INDEX(#REF!,'Annual Report'!AS211)),"")</f>
        <v/>
      </c>
      <c r="AU211" s="6" t="str">
        <f ca="1">IFERROR(_xlfn.SINGLE(INDEX(#REF!,'Annual Report'!AS211)),"")</f>
        <v/>
      </c>
    </row>
    <row r="212" spans="41:47">
      <c r="AO212" s="6" t="str">
        <f ca="1">IFERROR(MATCH($B$114,OFFSET(#REF!,AO211,0,1000000),0)+AO211,"")</f>
        <v/>
      </c>
      <c r="AP212" s="156" t="str">
        <f ca="1">IFERROR(_xlfn.SINGLE(INDEX(#REF!,'Annual Report'!AO212)),"")</f>
        <v/>
      </c>
      <c r="AQ212" s="6" t="str">
        <f ca="1">IFERROR(_xlfn.SINGLE(INDEX(#REF!,'Annual Report'!AO212)),"")</f>
        <v/>
      </c>
      <c r="AS212" s="6" t="str">
        <f ca="1">IFERROR(MATCH($L$115,OFFSET(#REF!,AS211,0,1000000),0)+AS211,"")</f>
        <v/>
      </c>
      <c r="AT212" s="156" t="str">
        <f ca="1">IFERROR(_xlfn.SINGLE(INDEX(#REF!,'Annual Report'!AS212)),"")</f>
        <v/>
      </c>
      <c r="AU212" s="6" t="str">
        <f ca="1">IFERROR(_xlfn.SINGLE(INDEX(#REF!,'Annual Report'!AS212)),"")</f>
        <v/>
      </c>
    </row>
    <row r="213" spans="41:47">
      <c r="AO213" s="6" t="str">
        <f ca="1">IFERROR(MATCH($B$114,OFFSET(#REF!,AO212,0,1000000),0)+AO212,"")</f>
        <v/>
      </c>
      <c r="AP213" s="156" t="str">
        <f ca="1">IFERROR(_xlfn.SINGLE(INDEX(#REF!,'Annual Report'!AO213)),"")</f>
        <v/>
      </c>
      <c r="AQ213" s="6" t="str">
        <f ca="1">IFERROR(_xlfn.SINGLE(INDEX(#REF!,'Annual Report'!AO213)),"")</f>
        <v/>
      </c>
      <c r="AS213" s="6" t="str">
        <f ca="1">IFERROR(MATCH($L$115,OFFSET(#REF!,AS212,0,1000000),0)+AS212,"")</f>
        <v/>
      </c>
      <c r="AT213" s="156" t="str">
        <f ca="1">IFERROR(_xlfn.SINGLE(INDEX(#REF!,'Annual Report'!AS213)),"")</f>
        <v/>
      </c>
      <c r="AU213" s="6" t="str">
        <f ca="1">IFERROR(_xlfn.SINGLE(INDEX(#REF!,'Annual Report'!AS213)),"")</f>
        <v/>
      </c>
    </row>
    <row r="214" spans="41:47">
      <c r="AO214" s="6" t="str">
        <f ca="1">IFERROR(MATCH($B$114,OFFSET(#REF!,AO213,0,1000000),0)+AO213,"")</f>
        <v/>
      </c>
      <c r="AP214" s="156" t="str">
        <f ca="1">IFERROR(_xlfn.SINGLE(INDEX(#REF!,'Annual Report'!AO214)),"")</f>
        <v/>
      </c>
      <c r="AQ214" s="6" t="str">
        <f ca="1">IFERROR(_xlfn.SINGLE(INDEX(#REF!,'Annual Report'!AO214)),"")</f>
        <v/>
      </c>
      <c r="AS214" s="6" t="str">
        <f ca="1">IFERROR(MATCH($L$115,OFFSET(#REF!,AS213,0,1000000),0)+AS213,"")</f>
        <v/>
      </c>
      <c r="AT214" s="156" t="str">
        <f ca="1">IFERROR(_xlfn.SINGLE(INDEX(#REF!,'Annual Report'!AS214)),"")</f>
        <v/>
      </c>
      <c r="AU214" s="6" t="str">
        <f ca="1">IFERROR(_xlfn.SINGLE(INDEX(#REF!,'Annual Report'!AS214)),"")</f>
        <v/>
      </c>
    </row>
    <row r="215" spans="41:47">
      <c r="AO215" s="6" t="str">
        <f ca="1">IFERROR(MATCH($B$114,OFFSET(#REF!,AO214,0,1000000),0)+AO214,"")</f>
        <v/>
      </c>
      <c r="AP215" s="156" t="str">
        <f ca="1">IFERROR(_xlfn.SINGLE(INDEX(#REF!,'Annual Report'!AO215)),"")</f>
        <v/>
      </c>
      <c r="AQ215" s="6" t="str">
        <f ca="1">IFERROR(_xlfn.SINGLE(INDEX(#REF!,'Annual Report'!AO215)),"")</f>
        <v/>
      </c>
      <c r="AS215" s="6" t="str">
        <f ca="1">IFERROR(MATCH($L$115,OFFSET(#REF!,AS214,0,1000000),0)+AS214,"")</f>
        <v/>
      </c>
      <c r="AT215" s="156" t="str">
        <f ca="1">IFERROR(_xlfn.SINGLE(INDEX(#REF!,'Annual Report'!AS215)),"")</f>
        <v/>
      </c>
      <c r="AU215" s="6" t="str">
        <f ca="1">IFERROR(_xlfn.SINGLE(INDEX(#REF!,'Annual Report'!AS215)),"")</f>
        <v/>
      </c>
    </row>
    <row r="216" spans="41:47">
      <c r="AO216" s="6" t="str">
        <f ca="1">IFERROR(MATCH($B$114,OFFSET(#REF!,AO215,0,1000000),0)+AO215,"")</f>
        <v/>
      </c>
      <c r="AP216" s="156" t="str">
        <f ca="1">IFERROR(_xlfn.SINGLE(INDEX(#REF!,'Annual Report'!AO216)),"")</f>
        <v/>
      </c>
      <c r="AQ216" s="6" t="str">
        <f ca="1">IFERROR(_xlfn.SINGLE(INDEX(#REF!,'Annual Report'!AO216)),"")</f>
        <v/>
      </c>
      <c r="AS216" s="6" t="str">
        <f ca="1">IFERROR(MATCH($L$115,OFFSET(#REF!,AS215,0,1000000),0)+AS215,"")</f>
        <v/>
      </c>
      <c r="AT216" s="156" t="str">
        <f ca="1">IFERROR(_xlfn.SINGLE(INDEX(#REF!,'Annual Report'!AS216)),"")</f>
        <v/>
      </c>
      <c r="AU216" s="6" t="str">
        <f ca="1">IFERROR(_xlfn.SINGLE(INDEX(#REF!,'Annual Report'!AS216)),"")</f>
        <v/>
      </c>
    </row>
    <row r="217" spans="41:47">
      <c r="AO217" s="6" t="str">
        <f ca="1">IFERROR(MATCH($B$114,OFFSET(#REF!,AO216,0,1000000),0)+AO216,"")</f>
        <v/>
      </c>
      <c r="AP217" s="156" t="str">
        <f ca="1">IFERROR(_xlfn.SINGLE(INDEX(#REF!,'Annual Report'!AO217)),"")</f>
        <v/>
      </c>
      <c r="AQ217" s="6" t="str">
        <f ca="1">IFERROR(_xlfn.SINGLE(INDEX(#REF!,'Annual Report'!AO217)),"")</f>
        <v/>
      </c>
      <c r="AS217" s="6" t="str">
        <f ca="1">IFERROR(MATCH($L$115,OFFSET(#REF!,AS216,0,1000000),0)+AS216,"")</f>
        <v/>
      </c>
      <c r="AT217" s="156" t="str">
        <f ca="1">IFERROR(_xlfn.SINGLE(INDEX(#REF!,'Annual Report'!AS217)),"")</f>
        <v/>
      </c>
      <c r="AU217" s="6" t="str">
        <f ca="1">IFERROR(_xlfn.SINGLE(INDEX(#REF!,'Annual Report'!AS217)),"")</f>
        <v/>
      </c>
    </row>
    <row r="218" spans="41:47">
      <c r="AO218" s="6" t="str">
        <f ca="1">IFERROR(MATCH($B$114,OFFSET(#REF!,AO217,0,1000000),0)+AO217,"")</f>
        <v/>
      </c>
      <c r="AP218" s="156" t="str">
        <f ca="1">IFERROR(_xlfn.SINGLE(INDEX(#REF!,'Annual Report'!AO218)),"")</f>
        <v/>
      </c>
      <c r="AQ218" s="6" t="str">
        <f ca="1">IFERROR(_xlfn.SINGLE(INDEX(#REF!,'Annual Report'!AO218)),"")</f>
        <v/>
      </c>
      <c r="AS218" s="6" t="str">
        <f ca="1">IFERROR(MATCH($L$115,OFFSET(#REF!,AS217,0,1000000),0)+AS217,"")</f>
        <v/>
      </c>
      <c r="AT218" s="156" t="str">
        <f ca="1">IFERROR(_xlfn.SINGLE(INDEX(#REF!,'Annual Report'!AS218)),"")</f>
        <v/>
      </c>
      <c r="AU218" s="6" t="str">
        <f ca="1">IFERROR(_xlfn.SINGLE(INDEX(#REF!,'Annual Report'!AS218)),"")</f>
        <v/>
      </c>
    </row>
    <row r="219" spans="41:47">
      <c r="AO219" s="6" t="str">
        <f ca="1">IFERROR(MATCH($B$114,OFFSET(#REF!,AO218,0,1000000),0)+AO218,"")</f>
        <v/>
      </c>
      <c r="AP219" s="156" t="str">
        <f ca="1">IFERROR(_xlfn.SINGLE(INDEX(#REF!,'Annual Report'!AO219)),"")</f>
        <v/>
      </c>
      <c r="AQ219" s="6" t="str">
        <f ca="1">IFERROR(_xlfn.SINGLE(INDEX(#REF!,'Annual Report'!AO219)),"")</f>
        <v/>
      </c>
      <c r="AS219" s="6" t="str">
        <f ca="1">IFERROR(MATCH($L$115,OFFSET(#REF!,AS218,0,1000000),0)+AS218,"")</f>
        <v/>
      </c>
      <c r="AT219" s="156" t="str">
        <f ca="1">IFERROR(_xlfn.SINGLE(INDEX(#REF!,'Annual Report'!AS219)),"")</f>
        <v/>
      </c>
      <c r="AU219" s="6" t="str">
        <f ca="1">IFERROR(_xlfn.SINGLE(INDEX(#REF!,'Annual Report'!AS219)),"")</f>
        <v/>
      </c>
    </row>
    <row r="220" spans="41:47">
      <c r="AO220" s="6" t="str">
        <f ca="1">IFERROR(MATCH($B$114,OFFSET(#REF!,AO219,0,1000000),0)+AO219,"")</f>
        <v/>
      </c>
      <c r="AP220" s="156" t="str">
        <f ca="1">IFERROR(_xlfn.SINGLE(INDEX(#REF!,'Annual Report'!AO220)),"")</f>
        <v/>
      </c>
      <c r="AQ220" s="6" t="str">
        <f ca="1">IFERROR(_xlfn.SINGLE(INDEX(#REF!,'Annual Report'!AO220)),"")</f>
        <v/>
      </c>
      <c r="AS220" s="6" t="str">
        <f ca="1">IFERROR(MATCH($L$115,OFFSET(#REF!,AS219,0,1000000),0)+AS219,"")</f>
        <v/>
      </c>
      <c r="AT220" s="156" t="str">
        <f ca="1">IFERROR(_xlfn.SINGLE(INDEX(#REF!,'Annual Report'!AS220)),"")</f>
        <v/>
      </c>
      <c r="AU220" s="6" t="str">
        <f ca="1">IFERROR(_xlfn.SINGLE(INDEX(#REF!,'Annual Report'!AS220)),"")</f>
        <v/>
      </c>
    </row>
    <row r="221" spans="41:47">
      <c r="AO221" s="6" t="str">
        <f ca="1">IFERROR(MATCH($B$114,OFFSET(#REF!,AO220,0,1000000),0)+AO220,"")</f>
        <v/>
      </c>
      <c r="AP221" s="156" t="str">
        <f ca="1">IFERROR(_xlfn.SINGLE(INDEX(#REF!,'Annual Report'!AO221)),"")</f>
        <v/>
      </c>
      <c r="AQ221" s="6" t="str">
        <f ca="1">IFERROR(_xlfn.SINGLE(INDEX(#REF!,'Annual Report'!AO221)),"")</f>
        <v/>
      </c>
      <c r="AS221" s="6" t="str">
        <f ca="1">IFERROR(MATCH($L$115,OFFSET(#REF!,AS220,0,1000000),0)+AS220,"")</f>
        <v/>
      </c>
      <c r="AT221" s="156" t="str">
        <f ca="1">IFERROR(_xlfn.SINGLE(INDEX(#REF!,'Annual Report'!AS221)),"")</f>
        <v/>
      </c>
      <c r="AU221" s="6" t="str">
        <f ca="1">IFERROR(_xlfn.SINGLE(INDEX(#REF!,'Annual Report'!AS221)),"")</f>
        <v/>
      </c>
    </row>
    <row r="222" spans="41:47">
      <c r="AO222" s="6" t="str">
        <f ca="1">IFERROR(MATCH($B$114,OFFSET(#REF!,AO221,0,1000000),0)+AO221,"")</f>
        <v/>
      </c>
      <c r="AP222" s="156" t="str">
        <f ca="1">IFERROR(_xlfn.SINGLE(INDEX(#REF!,'Annual Report'!AO222)),"")</f>
        <v/>
      </c>
      <c r="AQ222" s="6" t="str">
        <f ca="1">IFERROR(_xlfn.SINGLE(INDEX(#REF!,'Annual Report'!AO222)),"")</f>
        <v/>
      </c>
      <c r="AS222" s="6" t="str">
        <f ca="1">IFERROR(MATCH($L$115,OFFSET(#REF!,AS221,0,1000000),0)+AS221,"")</f>
        <v/>
      </c>
      <c r="AT222" s="156" t="str">
        <f ca="1">IFERROR(_xlfn.SINGLE(INDEX(#REF!,'Annual Report'!AS222)),"")</f>
        <v/>
      </c>
      <c r="AU222" s="6" t="str">
        <f ca="1">IFERROR(_xlfn.SINGLE(INDEX(#REF!,'Annual Report'!AS222)),"")</f>
        <v/>
      </c>
    </row>
    <row r="223" spans="41:47">
      <c r="AO223" s="6" t="str">
        <f ca="1">IFERROR(MATCH($B$114,OFFSET(#REF!,AO222,0,1000000),0)+AO222,"")</f>
        <v/>
      </c>
      <c r="AP223" s="156" t="str">
        <f ca="1">IFERROR(_xlfn.SINGLE(INDEX(#REF!,'Annual Report'!AO223)),"")</f>
        <v/>
      </c>
      <c r="AQ223" s="6" t="str">
        <f ca="1">IFERROR(_xlfn.SINGLE(INDEX(#REF!,'Annual Report'!AO223)),"")</f>
        <v/>
      </c>
      <c r="AS223" s="6" t="str">
        <f ca="1">IFERROR(MATCH($L$115,OFFSET(#REF!,AS222,0,1000000),0)+AS222,"")</f>
        <v/>
      </c>
      <c r="AT223" s="156" t="str">
        <f ca="1">IFERROR(_xlfn.SINGLE(INDEX(#REF!,'Annual Report'!AS223)),"")</f>
        <v/>
      </c>
      <c r="AU223" s="6" t="str">
        <f ca="1">IFERROR(_xlfn.SINGLE(INDEX(#REF!,'Annual Report'!AS223)),"")</f>
        <v/>
      </c>
    </row>
    <row r="224" spans="41:47">
      <c r="AO224" s="6" t="str">
        <f ca="1">IFERROR(MATCH($B$114,OFFSET(#REF!,AO223,0,1000000),0)+AO223,"")</f>
        <v/>
      </c>
      <c r="AP224" s="156" t="str">
        <f ca="1">IFERROR(_xlfn.SINGLE(INDEX(#REF!,'Annual Report'!AO224)),"")</f>
        <v/>
      </c>
      <c r="AQ224" s="6" t="str">
        <f ca="1">IFERROR(_xlfn.SINGLE(INDEX(#REF!,'Annual Report'!AO224)),"")</f>
        <v/>
      </c>
      <c r="AS224" s="6" t="str">
        <f ca="1">IFERROR(MATCH($L$115,OFFSET(#REF!,AS223,0,1000000),0)+AS223,"")</f>
        <v/>
      </c>
      <c r="AT224" s="156" t="str">
        <f ca="1">IFERROR(_xlfn.SINGLE(INDEX(#REF!,'Annual Report'!AS224)),"")</f>
        <v/>
      </c>
      <c r="AU224" s="6" t="str">
        <f ca="1">IFERROR(_xlfn.SINGLE(INDEX(#REF!,'Annual Report'!AS224)),"")</f>
        <v/>
      </c>
    </row>
    <row r="225" spans="41:47">
      <c r="AO225" s="6" t="str">
        <f ca="1">IFERROR(MATCH($B$114,OFFSET(#REF!,AO224,0,1000000),0)+AO224,"")</f>
        <v/>
      </c>
      <c r="AP225" s="156" t="str">
        <f ca="1">IFERROR(_xlfn.SINGLE(INDEX(#REF!,'Annual Report'!AO225)),"")</f>
        <v/>
      </c>
      <c r="AQ225" s="6" t="str">
        <f ca="1">IFERROR(_xlfn.SINGLE(INDEX(#REF!,'Annual Report'!AO225)),"")</f>
        <v/>
      </c>
      <c r="AS225" s="6" t="str">
        <f ca="1">IFERROR(MATCH($L$115,OFFSET(#REF!,AS224,0,1000000),0)+AS224,"")</f>
        <v/>
      </c>
      <c r="AT225" s="156" t="str">
        <f ca="1">IFERROR(_xlfn.SINGLE(INDEX(#REF!,'Annual Report'!AS225)),"")</f>
        <v/>
      </c>
      <c r="AU225" s="6" t="str">
        <f ca="1">IFERROR(_xlfn.SINGLE(INDEX(#REF!,'Annual Report'!AS225)),"")</f>
        <v/>
      </c>
    </row>
    <row r="226" spans="41:47">
      <c r="AO226" s="6" t="str">
        <f ca="1">IFERROR(MATCH($B$114,OFFSET(#REF!,AO225,0,1000000),0)+AO225,"")</f>
        <v/>
      </c>
      <c r="AP226" s="156" t="str">
        <f ca="1">IFERROR(_xlfn.SINGLE(INDEX(#REF!,'Annual Report'!AO226)),"")</f>
        <v/>
      </c>
      <c r="AQ226" s="6" t="str">
        <f ca="1">IFERROR(_xlfn.SINGLE(INDEX(#REF!,'Annual Report'!AO226)),"")</f>
        <v/>
      </c>
      <c r="AS226" s="6" t="str">
        <f ca="1">IFERROR(MATCH($L$115,OFFSET(#REF!,AS225,0,1000000),0)+AS225,"")</f>
        <v/>
      </c>
      <c r="AT226" s="156" t="str">
        <f ca="1">IFERROR(_xlfn.SINGLE(INDEX(#REF!,'Annual Report'!AS226)),"")</f>
        <v/>
      </c>
      <c r="AU226" s="6" t="str">
        <f ca="1">IFERROR(_xlfn.SINGLE(INDEX(#REF!,'Annual Report'!AS226)),"")</f>
        <v/>
      </c>
    </row>
    <row r="227" spans="41:47">
      <c r="AO227" s="6" t="str">
        <f ca="1">IFERROR(MATCH($B$114,OFFSET(#REF!,AO226,0,1000000),0)+AO226,"")</f>
        <v/>
      </c>
      <c r="AP227" s="156" t="str">
        <f ca="1">IFERROR(_xlfn.SINGLE(INDEX(#REF!,'Annual Report'!AO227)),"")</f>
        <v/>
      </c>
      <c r="AQ227" s="6" t="str">
        <f ca="1">IFERROR(_xlfn.SINGLE(INDEX(#REF!,'Annual Report'!AO227)),"")</f>
        <v/>
      </c>
      <c r="AS227" s="6" t="str">
        <f ca="1">IFERROR(MATCH($L$115,OFFSET(#REF!,AS226,0,1000000),0)+AS226,"")</f>
        <v/>
      </c>
      <c r="AT227" s="156" t="str">
        <f ca="1">IFERROR(_xlfn.SINGLE(INDEX(#REF!,'Annual Report'!AS227)),"")</f>
        <v/>
      </c>
      <c r="AU227" s="6" t="str">
        <f ca="1">IFERROR(_xlfn.SINGLE(INDEX(#REF!,'Annual Report'!AS227)),"")</f>
        <v/>
      </c>
    </row>
    <row r="228" spans="41:47">
      <c r="AO228" s="6" t="str">
        <f ca="1">IFERROR(MATCH($B$114,OFFSET(#REF!,AO227,0,1000000),0)+AO227,"")</f>
        <v/>
      </c>
      <c r="AP228" s="156" t="str">
        <f ca="1">IFERROR(_xlfn.SINGLE(INDEX(#REF!,'Annual Report'!AO228)),"")</f>
        <v/>
      </c>
      <c r="AQ228" s="6" t="str">
        <f ca="1">IFERROR(_xlfn.SINGLE(INDEX(#REF!,'Annual Report'!AO228)),"")</f>
        <v/>
      </c>
      <c r="AS228" s="6" t="str">
        <f ca="1">IFERROR(MATCH($L$115,OFFSET(#REF!,AS227,0,1000000),0)+AS227,"")</f>
        <v/>
      </c>
      <c r="AT228" s="156" t="str">
        <f ca="1">IFERROR(_xlfn.SINGLE(INDEX(#REF!,'Annual Report'!AS228)),"")</f>
        <v/>
      </c>
      <c r="AU228" s="6" t="str">
        <f ca="1">IFERROR(_xlfn.SINGLE(INDEX(#REF!,'Annual Report'!AS228)),"")</f>
        <v/>
      </c>
    </row>
    <row r="229" spans="41:47">
      <c r="AO229" s="6" t="str">
        <f ca="1">IFERROR(MATCH($B$114,OFFSET(#REF!,AO228,0,1000000),0)+AO228,"")</f>
        <v/>
      </c>
      <c r="AP229" s="156" t="str">
        <f ca="1">IFERROR(_xlfn.SINGLE(INDEX(#REF!,'Annual Report'!AO229)),"")</f>
        <v/>
      </c>
      <c r="AQ229" s="6" t="str">
        <f ca="1">IFERROR(_xlfn.SINGLE(INDEX(#REF!,'Annual Report'!AO229)),"")</f>
        <v/>
      </c>
      <c r="AS229" s="6" t="str">
        <f ca="1">IFERROR(MATCH($L$115,OFFSET(#REF!,AS228,0,1000000),0)+AS228,"")</f>
        <v/>
      </c>
      <c r="AT229" s="156" t="str">
        <f ca="1">IFERROR(_xlfn.SINGLE(INDEX(#REF!,'Annual Report'!AS229)),"")</f>
        <v/>
      </c>
      <c r="AU229" s="6" t="str">
        <f ca="1">IFERROR(_xlfn.SINGLE(INDEX(#REF!,'Annual Report'!AS229)),"")</f>
        <v/>
      </c>
    </row>
    <row r="230" spans="41:47">
      <c r="AO230" s="6" t="str">
        <f ca="1">IFERROR(MATCH($B$114,OFFSET(#REF!,AO229,0,1000000),0)+AO229,"")</f>
        <v/>
      </c>
      <c r="AP230" s="156" t="str">
        <f ca="1">IFERROR(_xlfn.SINGLE(INDEX(#REF!,'Annual Report'!AO230)),"")</f>
        <v/>
      </c>
      <c r="AQ230" s="6" t="str">
        <f ca="1">IFERROR(_xlfn.SINGLE(INDEX(#REF!,'Annual Report'!AO230)),"")</f>
        <v/>
      </c>
      <c r="AS230" s="6" t="str">
        <f ca="1">IFERROR(MATCH($L$115,OFFSET(#REF!,AS229,0,1000000),0)+AS229,"")</f>
        <v/>
      </c>
      <c r="AT230" s="156" t="str">
        <f ca="1">IFERROR(_xlfn.SINGLE(INDEX(#REF!,'Annual Report'!AS230)),"")</f>
        <v/>
      </c>
      <c r="AU230" s="6" t="str">
        <f ca="1">IFERROR(_xlfn.SINGLE(INDEX(#REF!,'Annual Report'!AS230)),"")</f>
        <v/>
      </c>
    </row>
    <row r="231" spans="41:47">
      <c r="AO231" s="6" t="str">
        <f ca="1">IFERROR(MATCH($B$114,OFFSET(#REF!,AO230,0,1000000),0)+AO230,"")</f>
        <v/>
      </c>
      <c r="AP231" s="156" t="str">
        <f ca="1">IFERROR(_xlfn.SINGLE(INDEX(#REF!,'Annual Report'!AO231)),"")</f>
        <v/>
      </c>
      <c r="AQ231" s="6" t="str">
        <f ca="1">IFERROR(_xlfn.SINGLE(INDEX(#REF!,'Annual Report'!AO231)),"")</f>
        <v/>
      </c>
      <c r="AS231" s="6" t="str">
        <f ca="1">IFERROR(MATCH($L$115,OFFSET(#REF!,AS230,0,1000000),0)+AS230,"")</f>
        <v/>
      </c>
      <c r="AT231" s="156" t="str">
        <f ca="1">IFERROR(_xlfn.SINGLE(INDEX(#REF!,'Annual Report'!AS231)),"")</f>
        <v/>
      </c>
      <c r="AU231" s="6" t="str">
        <f ca="1">IFERROR(_xlfn.SINGLE(INDEX(#REF!,'Annual Report'!AS231)),"")</f>
        <v/>
      </c>
    </row>
    <row r="232" spans="41:47">
      <c r="AO232" s="6" t="str">
        <f ca="1">IFERROR(MATCH($B$114,OFFSET(#REF!,AO231,0,1000000),0)+AO231,"")</f>
        <v/>
      </c>
      <c r="AP232" s="156" t="str">
        <f ca="1">IFERROR(_xlfn.SINGLE(INDEX(#REF!,'Annual Report'!AO232)),"")</f>
        <v/>
      </c>
      <c r="AQ232" s="6" t="str">
        <f ca="1">IFERROR(_xlfn.SINGLE(INDEX(#REF!,'Annual Report'!AO232)),"")</f>
        <v/>
      </c>
      <c r="AS232" s="6" t="str">
        <f ca="1">IFERROR(MATCH($L$115,OFFSET(#REF!,AS231,0,1000000),0)+AS231,"")</f>
        <v/>
      </c>
      <c r="AT232" s="156" t="str">
        <f ca="1">IFERROR(_xlfn.SINGLE(INDEX(#REF!,'Annual Report'!AS232)),"")</f>
        <v/>
      </c>
      <c r="AU232" s="6" t="str">
        <f ca="1">IFERROR(_xlfn.SINGLE(INDEX(#REF!,'Annual Report'!AS232)),"")</f>
        <v/>
      </c>
    </row>
    <row r="233" spans="41:47">
      <c r="AO233" s="6" t="str">
        <f ca="1">IFERROR(MATCH($B$114,OFFSET(#REF!,AO232,0,1000000),0)+AO232,"")</f>
        <v/>
      </c>
      <c r="AP233" s="156" t="str">
        <f ca="1">IFERROR(_xlfn.SINGLE(INDEX(#REF!,'Annual Report'!AO233)),"")</f>
        <v/>
      </c>
      <c r="AQ233" s="6" t="str">
        <f ca="1">IFERROR(_xlfn.SINGLE(INDEX(#REF!,'Annual Report'!AO233)),"")</f>
        <v/>
      </c>
      <c r="AS233" s="6" t="str">
        <f ca="1">IFERROR(MATCH($L$115,OFFSET(#REF!,AS232,0,1000000),0)+AS232,"")</f>
        <v/>
      </c>
      <c r="AT233" s="156" t="str">
        <f ca="1">IFERROR(_xlfn.SINGLE(INDEX(#REF!,'Annual Report'!AS233)),"")</f>
        <v/>
      </c>
      <c r="AU233" s="6" t="str">
        <f ca="1">IFERROR(_xlfn.SINGLE(INDEX(#REF!,'Annual Report'!AS233)),"")</f>
        <v/>
      </c>
    </row>
    <row r="234" spans="41:47">
      <c r="AO234" s="6" t="str">
        <f ca="1">IFERROR(MATCH($B$114,OFFSET(#REF!,AO233,0,1000000),0)+AO233,"")</f>
        <v/>
      </c>
      <c r="AP234" s="156" t="str">
        <f ca="1">IFERROR(_xlfn.SINGLE(INDEX(#REF!,'Annual Report'!AO234)),"")</f>
        <v/>
      </c>
      <c r="AQ234" s="6" t="str">
        <f ca="1">IFERROR(_xlfn.SINGLE(INDEX(#REF!,'Annual Report'!AO234)),"")</f>
        <v/>
      </c>
      <c r="AS234" s="6" t="str">
        <f ca="1">IFERROR(MATCH($L$115,OFFSET(#REF!,AS233,0,1000000),0)+AS233,"")</f>
        <v/>
      </c>
      <c r="AT234" s="156" t="str">
        <f ca="1">IFERROR(_xlfn.SINGLE(INDEX(#REF!,'Annual Report'!AS234)),"")</f>
        <v/>
      </c>
      <c r="AU234" s="6" t="str">
        <f ca="1">IFERROR(_xlfn.SINGLE(INDEX(#REF!,'Annual Report'!AS234)),"")</f>
        <v/>
      </c>
    </row>
    <row r="235" spans="41:47">
      <c r="AO235" s="6" t="str">
        <f ca="1">IFERROR(MATCH($B$114,OFFSET(#REF!,AO234,0,1000000),0)+AO234,"")</f>
        <v/>
      </c>
      <c r="AP235" s="156" t="str">
        <f ca="1">IFERROR(_xlfn.SINGLE(INDEX(#REF!,'Annual Report'!AO235)),"")</f>
        <v/>
      </c>
      <c r="AQ235" s="6" t="str">
        <f ca="1">IFERROR(_xlfn.SINGLE(INDEX(#REF!,'Annual Report'!AO235)),"")</f>
        <v/>
      </c>
      <c r="AS235" s="6" t="str">
        <f ca="1">IFERROR(MATCH($L$115,OFFSET(#REF!,AS234,0,1000000),0)+AS234,"")</f>
        <v/>
      </c>
      <c r="AT235" s="156" t="str">
        <f ca="1">IFERROR(_xlfn.SINGLE(INDEX(#REF!,'Annual Report'!AS235)),"")</f>
        <v/>
      </c>
      <c r="AU235" s="6" t="str">
        <f ca="1">IFERROR(_xlfn.SINGLE(INDEX(#REF!,'Annual Report'!AS235)),"")</f>
        <v/>
      </c>
    </row>
    <row r="236" spans="41:47">
      <c r="AO236" s="6" t="str">
        <f ca="1">IFERROR(MATCH($B$114,OFFSET(#REF!,AO235,0,1000000),0)+AO235,"")</f>
        <v/>
      </c>
      <c r="AP236" s="156" t="str">
        <f ca="1">IFERROR(_xlfn.SINGLE(INDEX(#REF!,'Annual Report'!AO236)),"")</f>
        <v/>
      </c>
      <c r="AQ236" s="6" t="str">
        <f ca="1">IFERROR(_xlfn.SINGLE(INDEX(#REF!,'Annual Report'!AO236)),"")</f>
        <v/>
      </c>
      <c r="AS236" s="6" t="str">
        <f ca="1">IFERROR(MATCH($L$115,OFFSET(#REF!,AS235,0,1000000),0)+AS235,"")</f>
        <v/>
      </c>
      <c r="AT236" s="156" t="str">
        <f ca="1">IFERROR(_xlfn.SINGLE(INDEX(#REF!,'Annual Report'!AS236)),"")</f>
        <v/>
      </c>
      <c r="AU236" s="6" t="str">
        <f ca="1">IFERROR(_xlfn.SINGLE(INDEX(#REF!,'Annual Report'!AS236)),"")</f>
        <v/>
      </c>
    </row>
    <row r="237" spans="41:47">
      <c r="AO237" s="6" t="str">
        <f ca="1">IFERROR(MATCH($B$114,OFFSET(#REF!,AO236,0,1000000),0)+AO236,"")</f>
        <v/>
      </c>
      <c r="AP237" s="156" t="str">
        <f ca="1">IFERROR(_xlfn.SINGLE(INDEX(#REF!,'Annual Report'!AO237)),"")</f>
        <v/>
      </c>
      <c r="AQ237" s="6" t="str">
        <f ca="1">IFERROR(_xlfn.SINGLE(INDEX(#REF!,'Annual Report'!AO237)),"")</f>
        <v/>
      </c>
      <c r="AS237" s="6" t="str">
        <f ca="1">IFERROR(MATCH($L$115,OFFSET(#REF!,AS236,0,1000000),0)+AS236,"")</f>
        <v/>
      </c>
      <c r="AT237" s="156" t="str">
        <f ca="1">IFERROR(_xlfn.SINGLE(INDEX(#REF!,'Annual Report'!AS237)),"")</f>
        <v/>
      </c>
      <c r="AU237" s="6" t="str">
        <f ca="1">IFERROR(_xlfn.SINGLE(INDEX(#REF!,'Annual Report'!AS237)),"")</f>
        <v/>
      </c>
    </row>
    <row r="238" spans="41:47">
      <c r="AO238" s="6" t="str">
        <f ca="1">IFERROR(MATCH($B$114,OFFSET(#REF!,AO237,0,1000000),0)+AO237,"")</f>
        <v/>
      </c>
      <c r="AP238" s="156" t="str">
        <f ca="1">IFERROR(_xlfn.SINGLE(INDEX(#REF!,'Annual Report'!AO238)),"")</f>
        <v/>
      </c>
      <c r="AQ238" s="6" t="str">
        <f ca="1">IFERROR(_xlfn.SINGLE(INDEX(#REF!,'Annual Report'!AO238)),"")</f>
        <v/>
      </c>
      <c r="AS238" s="6" t="str">
        <f ca="1">IFERROR(MATCH($L$115,OFFSET(#REF!,AS237,0,1000000),0)+AS237,"")</f>
        <v/>
      </c>
      <c r="AT238" s="156" t="str">
        <f ca="1">IFERROR(_xlfn.SINGLE(INDEX(#REF!,'Annual Report'!AS238)),"")</f>
        <v/>
      </c>
      <c r="AU238" s="6" t="str">
        <f ca="1">IFERROR(_xlfn.SINGLE(INDEX(#REF!,'Annual Report'!AS238)),"")</f>
        <v/>
      </c>
    </row>
    <row r="239" spans="41:47">
      <c r="AO239" s="6" t="str">
        <f ca="1">IFERROR(MATCH($B$114,OFFSET(#REF!,AO238,0,1000000),0)+AO238,"")</f>
        <v/>
      </c>
      <c r="AP239" s="156" t="str">
        <f ca="1">IFERROR(_xlfn.SINGLE(INDEX(#REF!,'Annual Report'!AO239)),"")</f>
        <v/>
      </c>
      <c r="AQ239" s="6" t="str">
        <f ca="1">IFERROR(_xlfn.SINGLE(INDEX(#REF!,'Annual Report'!AO239)),"")</f>
        <v/>
      </c>
      <c r="AS239" s="6" t="str">
        <f ca="1">IFERROR(MATCH($L$115,OFFSET(#REF!,AS238,0,1000000),0)+AS238,"")</f>
        <v/>
      </c>
      <c r="AT239" s="156" t="str">
        <f ca="1">IFERROR(_xlfn.SINGLE(INDEX(#REF!,'Annual Report'!AS239)),"")</f>
        <v/>
      </c>
      <c r="AU239" s="6" t="str">
        <f ca="1">IFERROR(_xlfn.SINGLE(INDEX(#REF!,'Annual Report'!AS239)),"")</f>
        <v/>
      </c>
    </row>
    <row r="240" spans="41:47">
      <c r="AO240" s="6" t="str">
        <f ca="1">IFERROR(MATCH($B$114,OFFSET(#REF!,AO239,0,1000000),0)+AO239,"")</f>
        <v/>
      </c>
      <c r="AP240" s="156" t="str">
        <f ca="1">IFERROR(_xlfn.SINGLE(INDEX(#REF!,'Annual Report'!AO240)),"")</f>
        <v/>
      </c>
      <c r="AQ240" s="6" t="str">
        <f ca="1">IFERROR(_xlfn.SINGLE(INDEX(#REF!,'Annual Report'!AO240)),"")</f>
        <v/>
      </c>
      <c r="AS240" s="6" t="str">
        <f ca="1">IFERROR(MATCH($L$115,OFFSET(#REF!,AS239,0,1000000),0)+AS239,"")</f>
        <v/>
      </c>
      <c r="AT240" s="156" t="str">
        <f ca="1">IFERROR(_xlfn.SINGLE(INDEX(#REF!,'Annual Report'!AS240)),"")</f>
        <v/>
      </c>
      <c r="AU240" s="6" t="str">
        <f ca="1">IFERROR(_xlfn.SINGLE(INDEX(#REF!,'Annual Report'!AS240)),"")</f>
        <v/>
      </c>
    </row>
    <row r="241" spans="41:47">
      <c r="AO241" s="6" t="str">
        <f ca="1">IFERROR(MATCH($B$114,OFFSET(#REF!,AO240,0,1000000),0)+AO240,"")</f>
        <v/>
      </c>
      <c r="AP241" s="156" t="str">
        <f ca="1">IFERROR(_xlfn.SINGLE(INDEX(#REF!,'Annual Report'!AO241)),"")</f>
        <v/>
      </c>
      <c r="AQ241" s="6" t="str">
        <f ca="1">IFERROR(_xlfn.SINGLE(INDEX(#REF!,'Annual Report'!AO241)),"")</f>
        <v/>
      </c>
      <c r="AS241" s="6" t="str">
        <f ca="1">IFERROR(MATCH($L$115,OFFSET(#REF!,AS240,0,1000000),0)+AS240,"")</f>
        <v/>
      </c>
      <c r="AT241" s="156" t="str">
        <f ca="1">IFERROR(_xlfn.SINGLE(INDEX(#REF!,'Annual Report'!AS241)),"")</f>
        <v/>
      </c>
      <c r="AU241" s="6" t="str">
        <f ca="1">IFERROR(_xlfn.SINGLE(INDEX(#REF!,'Annual Report'!AS241)),"")</f>
        <v/>
      </c>
    </row>
    <row r="242" spans="41:47">
      <c r="AO242" s="6" t="str">
        <f ca="1">IFERROR(MATCH($B$114,OFFSET(#REF!,AO241,0,1000000),0)+AO241,"")</f>
        <v/>
      </c>
      <c r="AP242" s="156" t="str">
        <f ca="1">IFERROR(_xlfn.SINGLE(INDEX(#REF!,'Annual Report'!AO242)),"")</f>
        <v/>
      </c>
      <c r="AQ242" s="6" t="str">
        <f ca="1">IFERROR(_xlfn.SINGLE(INDEX(#REF!,'Annual Report'!AO242)),"")</f>
        <v/>
      </c>
      <c r="AS242" s="6" t="str">
        <f ca="1">IFERROR(MATCH($L$115,OFFSET(#REF!,AS241,0,1000000),0)+AS241,"")</f>
        <v/>
      </c>
      <c r="AT242" s="156" t="str">
        <f ca="1">IFERROR(_xlfn.SINGLE(INDEX(#REF!,'Annual Report'!AS242)),"")</f>
        <v/>
      </c>
      <c r="AU242" s="6" t="str">
        <f ca="1">IFERROR(_xlfn.SINGLE(INDEX(#REF!,'Annual Report'!AS242)),"")</f>
        <v/>
      </c>
    </row>
    <row r="243" spans="41:47">
      <c r="AO243" s="6" t="str">
        <f ca="1">IFERROR(MATCH($B$114,OFFSET(#REF!,AO242,0,1000000),0)+AO242,"")</f>
        <v/>
      </c>
      <c r="AP243" s="156" t="str">
        <f ca="1">IFERROR(_xlfn.SINGLE(INDEX(#REF!,'Annual Report'!AO243)),"")</f>
        <v/>
      </c>
      <c r="AQ243" s="6" t="str">
        <f ca="1">IFERROR(_xlfn.SINGLE(INDEX(#REF!,'Annual Report'!AO243)),"")</f>
        <v/>
      </c>
      <c r="AS243" s="6" t="str">
        <f ca="1">IFERROR(MATCH($L$115,OFFSET(#REF!,AS242,0,1000000),0)+AS242,"")</f>
        <v/>
      </c>
      <c r="AT243" s="156" t="str">
        <f ca="1">IFERROR(_xlfn.SINGLE(INDEX(#REF!,'Annual Report'!AS243)),"")</f>
        <v/>
      </c>
      <c r="AU243" s="6" t="str">
        <f ca="1">IFERROR(_xlfn.SINGLE(INDEX(#REF!,'Annual Report'!AS243)),"")</f>
        <v/>
      </c>
    </row>
    <row r="244" spans="41:47">
      <c r="AO244" s="6" t="str">
        <f ca="1">IFERROR(MATCH($B$114,OFFSET(#REF!,AO243,0,1000000),0)+AO243,"")</f>
        <v/>
      </c>
      <c r="AP244" s="156" t="str">
        <f ca="1">IFERROR(_xlfn.SINGLE(INDEX(#REF!,'Annual Report'!AO244)),"")</f>
        <v/>
      </c>
      <c r="AQ244" s="6" t="str">
        <f ca="1">IFERROR(_xlfn.SINGLE(INDEX(#REF!,'Annual Report'!AO244)),"")</f>
        <v/>
      </c>
      <c r="AS244" s="6" t="str">
        <f ca="1">IFERROR(MATCH($L$115,OFFSET(#REF!,AS243,0,1000000),0)+AS243,"")</f>
        <v/>
      </c>
      <c r="AT244" s="156" t="str">
        <f ca="1">IFERROR(_xlfn.SINGLE(INDEX(#REF!,'Annual Report'!AS244)),"")</f>
        <v/>
      </c>
      <c r="AU244" s="6" t="str">
        <f ca="1">IFERROR(_xlfn.SINGLE(INDEX(#REF!,'Annual Report'!AS244)),"")</f>
        <v/>
      </c>
    </row>
    <row r="245" spans="41:47">
      <c r="AO245" s="6" t="str">
        <f ca="1">IFERROR(MATCH($B$114,OFFSET(#REF!,AO244,0,1000000),0)+AO244,"")</f>
        <v/>
      </c>
      <c r="AP245" s="156" t="str">
        <f ca="1">IFERROR(_xlfn.SINGLE(INDEX(#REF!,'Annual Report'!AO245)),"")</f>
        <v/>
      </c>
      <c r="AQ245" s="6" t="str">
        <f ca="1">IFERROR(_xlfn.SINGLE(INDEX(#REF!,'Annual Report'!AO245)),"")</f>
        <v/>
      </c>
      <c r="AS245" s="6" t="str">
        <f ca="1">IFERROR(MATCH($L$115,OFFSET(#REF!,AS244,0,1000000),0)+AS244,"")</f>
        <v/>
      </c>
      <c r="AT245" s="156" t="str">
        <f ca="1">IFERROR(_xlfn.SINGLE(INDEX(#REF!,'Annual Report'!AS245)),"")</f>
        <v/>
      </c>
      <c r="AU245" s="6" t="str">
        <f ca="1">IFERROR(_xlfn.SINGLE(INDEX(#REF!,'Annual Report'!AS245)),"")</f>
        <v/>
      </c>
    </row>
    <row r="246" spans="41:47">
      <c r="AO246" s="6" t="str">
        <f ca="1">IFERROR(MATCH($B$114,OFFSET(#REF!,AO245,0,1000000),0)+AO245,"")</f>
        <v/>
      </c>
      <c r="AP246" s="156" t="str">
        <f ca="1">IFERROR(_xlfn.SINGLE(INDEX(#REF!,'Annual Report'!AO246)),"")</f>
        <v/>
      </c>
      <c r="AQ246" s="6" t="str">
        <f ca="1">IFERROR(_xlfn.SINGLE(INDEX(#REF!,'Annual Report'!AO246)),"")</f>
        <v/>
      </c>
      <c r="AS246" s="6" t="str">
        <f ca="1">IFERROR(MATCH($L$115,OFFSET(#REF!,AS245,0,1000000),0)+AS245,"")</f>
        <v/>
      </c>
      <c r="AT246" s="156" t="str">
        <f ca="1">IFERROR(_xlfn.SINGLE(INDEX(#REF!,'Annual Report'!AS246)),"")</f>
        <v/>
      </c>
      <c r="AU246" s="6" t="str">
        <f ca="1">IFERROR(_xlfn.SINGLE(INDEX(#REF!,'Annual Report'!AS246)),"")</f>
        <v/>
      </c>
    </row>
    <row r="247" spans="41:47">
      <c r="AO247" s="6" t="str">
        <f ca="1">IFERROR(MATCH($B$114,OFFSET(#REF!,AO246,0,1000000),0)+AO246,"")</f>
        <v/>
      </c>
      <c r="AP247" s="156" t="str">
        <f ca="1">IFERROR(_xlfn.SINGLE(INDEX(#REF!,'Annual Report'!AO247)),"")</f>
        <v/>
      </c>
      <c r="AQ247" s="6" t="str">
        <f ca="1">IFERROR(_xlfn.SINGLE(INDEX(#REF!,'Annual Report'!AO247)),"")</f>
        <v/>
      </c>
      <c r="AS247" s="6" t="str">
        <f ca="1">IFERROR(MATCH($L$115,OFFSET(#REF!,AS246,0,1000000),0)+AS246,"")</f>
        <v/>
      </c>
      <c r="AT247" s="156" t="str">
        <f ca="1">IFERROR(_xlfn.SINGLE(INDEX(#REF!,'Annual Report'!AS247)),"")</f>
        <v/>
      </c>
      <c r="AU247" s="6" t="str">
        <f ca="1">IFERROR(_xlfn.SINGLE(INDEX(#REF!,'Annual Report'!AS247)),"")</f>
        <v/>
      </c>
    </row>
    <row r="248" spans="41:47">
      <c r="AO248" s="6" t="str">
        <f ca="1">IFERROR(MATCH($B$114,OFFSET(#REF!,AO247,0,1000000),0)+AO247,"")</f>
        <v/>
      </c>
      <c r="AP248" s="156" t="str">
        <f ca="1">IFERROR(_xlfn.SINGLE(INDEX(#REF!,'Annual Report'!AO248)),"")</f>
        <v/>
      </c>
      <c r="AQ248" s="6" t="str">
        <f ca="1">IFERROR(_xlfn.SINGLE(INDEX(#REF!,'Annual Report'!AO248)),"")</f>
        <v/>
      </c>
      <c r="AS248" s="6" t="str">
        <f ca="1">IFERROR(MATCH($L$115,OFFSET(#REF!,AS247,0,1000000),0)+AS247,"")</f>
        <v/>
      </c>
      <c r="AT248" s="156" t="str">
        <f ca="1">IFERROR(_xlfn.SINGLE(INDEX(#REF!,'Annual Report'!AS248)),"")</f>
        <v/>
      </c>
      <c r="AU248" s="6" t="str">
        <f ca="1">IFERROR(_xlfn.SINGLE(INDEX(#REF!,'Annual Report'!AS248)),"")</f>
        <v/>
      </c>
    </row>
    <row r="249" spans="41:47">
      <c r="AO249" s="6" t="str">
        <f ca="1">IFERROR(MATCH($B$114,OFFSET(#REF!,AO248,0,1000000),0)+AO248,"")</f>
        <v/>
      </c>
      <c r="AP249" s="156" t="str">
        <f ca="1">IFERROR(_xlfn.SINGLE(INDEX(#REF!,'Annual Report'!AO249)),"")</f>
        <v/>
      </c>
      <c r="AQ249" s="6" t="str">
        <f ca="1">IFERROR(_xlfn.SINGLE(INDEX(#REF!,'Annual Report'!AO249)),"")</f>
        <v/>
      </c>
      <c r="AS249" s="6" t="str">
        <f ca="1">IFERROR(MATCH($L$115,OFFSET(#REF!,AS248,0,1000000),0)+AS248,"")</f>
        <v/>
      </c>
      <c r="AT249" s="156" t="str">
        <f ca="1">IFERROR(_xlfn.SINGLE(INDEX(#REF!,'Annual Report'!AS249)),"")</f>
        <v/>
      </c>
      <c r="AU249" s="6" t="str">
        <f ca="1">IFERROR(_xlfn.SINGLE(INDEX(#REF!,'Annual Report'!AS249)),"")</f>
        <v/>
      </c>
    </row>
    <row r="250" spans="41:47">
      <c r="AO250" s="6" t="str">
        <f ca="1">IFERROR(MATCH($B$114,OFFSET(#REF!,AO249,0,1000000),0)+AO249,"")</f>
        <v/>
      </c>
      <c r="AP250" s="156" t="str">
        <f ca="1">IFERROR(_xlfn.SINGLE(INDEX(#REF!,'Annual Report'!AO250)),"")</f>
        <v/>
      </c>
      <c r="AQ250" s="6" t="str">
        <f ca="1">IFERROR(_xlfn.SINGLE(INDEX(#REF!,'Annual Report'!AO250)),"")</f>
        <v/>
      </c>
      <c r="AS250" s="6" t="str">
        <f ca="1">IFERROR(MATCH($L$115,OFFSET(#REF!,AS249,0,1000000),0)+AS249,"")</f>
        <v/>
      </c>
      <c r="AT250" s="156" t="str">
        <f ca="1">IFERROR(_xlfn.SINGLE(INDEX(#REF!,'Annual Report'!AS250)),"")</f>
        <v/>
      </c>
      <c r="AU250" s="6" t="str">
        <f ca="1">IFERROR(_xlfn.SINGLE(INDEX(#REF!,'Annual Report'!AS250)),"")</f>
        <v/>
      </c>
    </row>
    <row r="251" spans="41:47">
      <c r="AO251" s="6" t="str">
        <f ca="1">IFERROR(MATCH($B$114,OFFSET(#REF!,AO250,0,1000000),0)+AO250,"")</f>
        <v/>
      </c>
      <c r="AP251" s="156" t="str">
        <f ca="1">IFERROR(_xlfn.SINGLE(INDEX(#REF!,'Annual Report'!AO251)),"")</f>
        <v/>
      </c>
      <c r="AQ251" s="6" t="str">
        <f ca="1">IFERROR(_xlfn.SINGLE(INDEX(#REF!,'Annual Report'!AO251)),"")</f>
        <v/>
      </c>
      <c r="AS251" s="6" t="str">
        <f ca="1">IFERROR(MATCH($L$115,OFFSET(#REF!,AS250,0,1000000),0)+AS250,"")</f>
        <v/>
      </c>
      <c r="AT251" s="156" t="str">
        <f ca="1">IFERROR(_xlfn.SINGLE(INDEX(#REF!,'Annual Report'!AS251)),"")</f>
        <v/>
      </c>
      <c r="AU251" s="6" t="str">
        <f ca="1">IFERROR(_xlfn.SINGLE(INDEX(#REF!,'Annual Report'!AS251)),"")</f>
        <v/>
      </c>
    </row>
    <row r="252" spans="41:47">
      <c r="AO252" s="6" t="str">
        <f ca="1">IFERROR(MATCH($B$114,OFFSET(#REF!,AO251,0,1000000),0)+AO251,"")</f>
        <v/>
      </c>
      <c r="AP252" s="156" t="str">
        <f ca="1">IFERROR(_xlfn.SINGLE(INDEX(#REF!,'Annual Report'!AO252)),"")</f>
        <v/>
      </c>
      <c r="AQ252" s="6" t="str">
        <f ca="1">IFERROR(_xlfn.SINGLE(INDEX(#REF!,'Annual Report'!AO252)),"")</f>
        <v/>
      </c>
      <c r="AS252" s="6" t="str">
        <f ca="1">IFERROR(MATCH($L$115,OFFSET(#REF!,AS251,0,1000000),0)+AS251,"")</f>
        <v/>
      </c>
      <c r="AT252" s="156" t="str">
        <f ca="1">IFERROR(_xlfn.SINGLE(INDEX(#REF!,'Annual Report'!AS252)),"")</f>
        <v/>
      </c>
      <c r="AU252" s="6" t="str">
        <f ca="1">IFERROR(_xlfn.SINGLE(INDEX(#REF!,'Annual Report'!AS252)),"")</f>
        <v/>
      </c>
    </row>
    <row r="253" spans="41:47">
      <c r="AO253" s="6" t="str">
        <f ca="1">IFERROR(MATCH($B$114,OFFSET(#REF!,AO252,0,1000000),0)+AO252,"")</f>
        <v/>
      </c>
      <c r="AP253" s="156" t="str">
        <f ca="1">IFERROR(_xlfn.SINGLE(INDEX(#REF!,'Annual Report'!AO253)),"")</f>
        <v/>
      </c>
      <c r="AQ253" s="6" t="str">
        <f ca="1">IFERROR(_xlfn.SINGLE(INDEX(#REF!,'Annual Report'!AO253)),"")</f>
        <v/>
      </c>
      <c r="AS253" s="6" t="str">
        <f ca="1">IFERROR(MATCH($L$115,OFFSET(#REF!,AS252,0,1000000),0)+AS252,"")</f>
        <v/>
      </c>
      <c r="AT253" s="156" t="str">
        <f ca="1">IFERROR(_xlfn.SINGLE(INDEX(#REF!,'Annual Report'!AS253)),"")</f>
        <v/>
      </c>
      <c r="AU253" s="6" t="str">
        <f ca="1">IFERROR(_xlfn.SINGLE(INDEX(#REF!,'Annual Report'!AS253)),"")</f>
        <v/>
      </c>
    </row>
    <row r="254" spans="41:47">
      <c r="AO254" s="6" t="str">
        <f ca="1">IFERROR(MATCH($B$114,OFFSET(#REF!,AO253,0,1000000),0)+AO253,"")</f>
        <v/>
      </c>
      <c r="AP254" s="156" t="str">
        <f ca="1">IFERROR(_xlfn.SINGLE(INDEX(#REF!,'Annual Report'!AO254)),"")</f>
        <v/>
      </c>
      <c r="AQ254" s="6" t="str">
        <f ca="1">IFERROR(_xlfn.SINGLE(INDEX(#REF!,'Annual Report'!AO254)),"")</f>
        <v/>
      </c>
      <c r="AS254" s="6" t="str">
        <f ca="1">IFERROR(MATCH($L$115,OFFSET(#REF!,AS253,0,1000000),0)+AS253,"")</f>
        <v/>
      </c>
      <c r="AT254" s="156" t="str">
        <f ca="1">IFERROR(_xlfn.SINGLE(INDEX(#REF!,'Annual Report'!AS254)),"")</f>
        <v/>
      </c>
      <c r="AU254" s="6" t="str">
        <f ca="1">IFERROR(_xlfn.SINGLE(INDEX(#REF!,'Annual Report'!AS254)),"")</f>
        <v/>
      </c>
    </row>
    <row r="255" spans="41:47">
      <c r="AO255" s="6" t="str">
        <f ca="1">IFERROR(MATCH($B$114,OFFSET(#REF!,AO254,0,1000000),0)+AO254,"")</f>
        <v/>
      </c>
      <c r="AP255" s="156" t="str">
        <f ca="1">IFERROR(_xlfn.SINGLE(INDEX(#REF!,'Annual Report'!AO255)),"")</f>
        <v/>
      </c>
      <c r="AQ255" s="6" t="str">
        <f ca="1">IFERROR(_xlfn.SINGLE(INDEX(#REF!,'Annual Report'!AO255)),"")</f>
        <v/>
      </c>
      <c r="AS255" s="6" t="str">
        <f ca="1">IFERROR(MATCH($L$115,OFFSET(#REF!,AS254,0,1000000),0)+AS254,"")</f>
        <v/>
      </c>
      <c r="AT255" s="156" t="str">
        <f ca="1">IFERROR(_xlfn.SINGLE(INDEX(#REF!,'Annual Report'!AS255)),"")</f>
        <v/>
      </c>
      <c r="AU255" s="6" t="str">
        <f ca="1">IFERROR(_xlfn.SINGLE(INDEX(#REF!,'Annual Report'!AS255)),"")</f>
        <v/>
      </c>
    </row>
    <row r="256" spans="41:47">
      <c r="AO256" s="6" t="str">
        <f ca="1">IFERROR(MATCH($B$114,OFFSET(#REF!,AO255,0,1000000),0)+AO255,"")</f>
        <v/>
      </c>
      <c r="AP256" s="156" t="str">
        <f ca="1">IFERROR(_xlfn.SINGLE(INDEX(#REF!,'Annual Report'!AO256)),"")</f>
        <v/>
      </c>
      <c r="AQ256" s="6" t="str">
        <f ca="1">IFERROR(_xlfn.SINGLE(INDEX(#REF!,'Annual Report'!AO256)),"")</f>
        <v/>
      </c>
      <c r="AS256" s="6" t="str">
        <f ca="1">IFERROR(MATCH($L$115,OFFSET(#REF!,AS255,0,1000000),0)+AS255,"")</f>
        <v/>
      </c>
      <c r="AT256" s="156" t="str">
        <f ca="1">IFERROR(_xlfn.SINGLE(INDEX(#REF!,'Annual Report'!AS256)),"")</f>
        <v/>
      </c>
      <c r="AU256" s="6" t="str">
        <f ca="1">IFERROR(_xlfn.SINGLE(INDEX(#REF!,'Annual Report'!AS256)),"")</f>
        <v/>
      </c>
    </row>
    <row r="257" spans="41:47">
      <c r="AO257" s="6" t="str">
        <f ca="1">IFERROR(MATCH($B$114,OFFSET(#REF!,AO256,0,1000000),0)+AO256,"")</f>
        <v/>
      </c>
      <c r="AP257" s="156" t="str">
        <f ca="1">IFERROR(_xlfn.SINGLE(INDEX(#REF!,'Annual Report'!AO257)),"")</f>
        <v/>
      </c>
      <c r="AQ257" s="6" t="str">
        <f ca="1">IFERROR(_xlfn.SINGLE(INDEX(#REF!,'Annual Report'!AO257)),"")</f>
        <v/>
      </c>
      <c r="AS257" s="6" t="str">
        <f ca="1">IFERROR(MATCH($L$115,OFFSET(#REF!,AS256,0,1000000),0)+AS256,"")</f>
        <v/>
      </c>
      <c r="AT257" s="156" t="str">
        <f ca="1">IFERROR(_xlfn.SINGLE(INDEX(#REF!,'Annual Report'!AS257)),"")</f>
        <v/>
      </c>
      <c r="AU257" s="6" t="str">
        <f ca="1">IFERROR(_xlfn.SINGLE(INDEX(#REF!,'Annual Report'!AS257)),"")</f>
        <v/>
      </c>
    </row>
    <row r="258" spans="41:47">
      <c r="AO258" s="6" t="str">
        <f ca="1">IFERROR(MATCH($B$114,OFFSET(#REF!,AO257,0,1000000),0)+AO257,"")</f>
        <v/>
      </c>
      <c r="AP258" s="156" t="str">
        <f ca="1">IFERROR(_xlfn.SINGLE(INDEX(#REF!,'Annual Report'!AO258)),"")</f>
        <v/>
      </c>
      <c r="AQ258" s="6" t="str">
        <f ca="1">IFERROR(_xlfn.SINGLE(INDEX(#REF!,'Annual Report'!AO258)),"")</f>
        <v/>
      </c>
      <c r="AS258" s="6" t="str">
        <f ca="1">IFERROR(MATCH($L$115,OFFSET(#REF!,AS257,0,1000000),0)+AS257,"")</f>
        <v/>
      </c>
      <c r="AT258" s="156" t="str">
        <f ca="1">IFERROR(_xlfn.SINGLE(INDEX(#REF!,'Annual Report'!AS258)),"")</f>
        <v/>
      </c>
      <c r="AU258" s="6" t="str">
        <f ca="1">IFERROR(_xlfn.SINGLE(INDEX(#REF!,'Annual Report'!AS258)),"")</f>
        <v/>
      </c>
    </row>
    <row r="259" spans="41:47">
      <c r="AO259" s="6" t="str">
        <f ca="1">IFERROR(MATCH($B$114,OFFSET(#REF!,AO258,0,1000000),0)+AO258,"")</f>
        <v/>
      </c>
      <c r="AP259" s="156" t="str">
        <f ca="1">IFERROR(_xlfn.SINGLE(INDEX(#REF!,'Annual Report'!AO259)),"")</f>
        <v/>
      </c>
      <c r="AQ259" s="6" t="str">
        <f ca="1">IFERROR(_xlfn.SINGLE(INDEX(#REF!,'Annual Report'!AO259)),"")</f>
        <v/>
      </c>
      <c r="AS259" s="6" t="str">
        <f ca="1">IFERROR(MATCH($L$115,OFFSET(#REF!,AS258,0,1000000),0)+AS258,"")</f>
        <v/>
      </c>
      <c r="AT259" s="156" t="str">
        <f ca="1">IFERROR(_xlfn.SINGLE(INDEX(#REF!,'Annual Report'!AS259)),"")</f>
        <v/>
      </c>
      <c r="AU259" s="6" t="str">
        <f ca="1">IFERROR(_xlfn.SINGLE(INDEX(#REF!,'Annual Report'!AS259)),"")</f>
        <v/>
      </c>
    </row>
    <row r="260" spans="41:47">
      <c r="AO260" s="6" t="str">
        <f ca="1">IFERROR(MATCH($B$114,OFFSET(#REF!,AO259,0,1000000),0)+AO259,"")</f>
        <v/>
      </c>
      <c r="AP260" s="156" t="str">
        <f ca="1">IFERROR(_xlfn.SINGLE(INDEX(#REF!,'Annual Report'!AO260)),"")</f>
        <v/>
      </c>
      <c r="AQ260" s="6" t="str">
        <f ca="1">IFERROR(_xlfn.SINGLE(INDEX(#REF!,'Annual Report'!AO260)),"")</f>
        <v/>
      </c>
      <c r="AS260" s="6" t="str">
        <f ca="1">IFERROR(MATCH($L$115,OFFSET(#REF!,AS259,0,1000000),0)+AS259,"")</f>
        <v/>
      </c>
      <c r="AT260" s="156" t="str">
        <f ca="1">IFERROR(_xlfn.SINGLE(INDEX(#REF!,'Annual Report'!AS260)),"")</f>
        <v/>
      </c>
      <c r="AU260" s="6" t="str">
        <f ca="1">IFERROR(_xlfn.SINGLE(INDEX(#REF!,'Annual Report'!AS260)),"")</f>
        <v/>
      </c>
    </row>
    <row r="261" spans="41:47">
      <c r="AO261" s="6" t="str">
        <f ca="1">IFERROR(MATCH($B$114,OFFSET(#REF!,AO260,0,1000000),0)+AO260,"")</f>
        <v/>
      </c>
      <c r="AP261" s="156" t="str">
        <f ca="1">IFERROR(_xlfn.SINGLE(INDEX(#REF!,'Annual Report'!AO261)),"")</f>
        <v/>
      </c>
      <c r="AQ261" s="6" t="str">
        <f ca="1">IFERROR(_xlfn.SINGLE(INDEX(#REF!,'Annual Report'!AO261)),"")</f>
        <v/>
      </c>
      <c r="AS261" s="6" t="str">
        <f ca="1">IFERROR(MATCH($L$115,OFFSET(#REF!,AS260,0,1000000),0)+AS260,"")</f>
        <v/>
      </c>
      <c r="AT261" s="156" t="str">
        <f ca="1">IFERROR(_xlfn.SINGLE(INDEX(#REF!,'Annual Report'!AS261)),"")</f>
        <v/>
      </c>
      <c r="AU261" s="6" t="str">
        <f ca="1">IFERROR(_xlfn.SINGLE(INDEX(#REF!,'Annual Report'!AS261)),"")</f>
        <v/>
      </c>
    </row>
    <row r="262" spans="41:47">
      <c r="AO262" s="6" t="str">
        <f ca="1">IFERROR(MATCH($B$114,OFFSET(#REF!,AO261,0,1000000),0)+AO261,"")</f>
        <v/>
      </c>
      <c r="AP262" s="156" t="str">
        <f ca="1">IFERROR(_xlfn.SINGLE(INDEX(#REF!,'Annual Report'!AO262)),"")</f>
        <v/>
      </c>
      <c r="AQ262" s="6" t="str">
        <f ca="1">IFERROR(_xlfn.SINGLE(INDEX(#REF!,'Annual Report'!AO262)),"")</f>
        <v/>
      </c>
      <c r="AS262" s="6" t="str">
        <f ca="1">IFERROR(MATCH($L$115,OFFSET(#REF!,AS261,0,1000000),0)+AS261,"")</f>
        <v/>
      </c>
      <c r="AT262" s="156" t="str">
        <f ca="1">IFERROR(_xlfn.SINGLE(INDEX(#REF!,'Annual Report'!AS262)),"")</f>
        <v/>
      </c>
      <c r="AU262" s="6" t="str">
        <f ca="1">IFERROR(_xlfn.SINGLE(INDEX(#REF!,'Annual Report'!AS262)),"")</f>
        <v/>
      </c>
    </row>
    <row r="263" spans="41:47">
      <c r="AO263" s="6" t="str">
        <f ca="1">IFERROR(MATCH($B$114,OFFSET(#REF!,AO262,0,1000000),0)+AO262,"")</f>
        <v/>
      </c>
      <c r="AP263" s="156" t="str">
        <f ca="1">IFERROR(_xlfn.SINGLE(INDEX(#REF!,'Annual Report'!AO263)),"")</f>
        <v/>
      </c>
      <c r="AQ263" s="6" t="str">
        <f ca="1">IFERROR(_xlfn.SINGLE(INDEX(#REF!,'Annual Report'!AO263)),"")</f>
        <v/>
      </c>
      <c r="AS263" s="6" t="str">
        <f ca="1">IFERROR(MATCH($L$115,OFFSET(#REF!,AS262,0,1000000),0)+AS262,"")</f>
        <v/>
      </c>
      <c r="AT263" s="156" t="str">
        <f ca="1">IFERROR(_xlfn.SINGLE(INDEX(#REF!,'Annual Report'!AS263)),"")</f>
        <v/>
      </c>
      <c r="AU263" s="6" t="str">
        <f ca="1">IFERROR(_xlfn.SINGLE(INDEX(#REF!,'Annual Report'!AS263)),"")</f>
        <v/>
      </c>
    </row>
    <row r="264" spans="41:47">
      <c r="AO264" s="6" t="str">
        <f ca="1">IFERROR(MATCH($B$114,OFFSET(#REF!,AO263,0,1000000),0)+AO263,"")</f>
        <v/>
      </c>
      <c r="AP264" s="156" t="str">
        <f ca="1">IFERROR(_xlfn.SINGLE(INDEX(#REF!,'Annual Report'!AO264)),"")</f>
        <v/>
      </c>
      <c r="AQ264" s="6" t="str">
        <f ca="1">IFERROR(_xlfn.SINGLE(INDEX(#REF!,'Annual Report'!AO264)),"")</f>
        <v/>
      </c>
      <c r="AS264" s="6" t="str">
        <f ca="1">IFERROR(MATCH($L$115,OFFSET(#REF!,AS263,0,1000000),0)+AS263,"")</f>
        <v/>
      </c>
      <c r="AT264" s="156" t="str">
        <f ca="1">IFERROR(_xlfn.SINGLE(INDEX(#REF!,'Annual Report'!AS264)),"")</f>
        <v/>
      </c>
      <c r="AU264" s="6" t="str">
        <f ca="1">IFERROR(_xlfn.SINGLE(INDEX(#REF!,'Annual Report'!AS264)),"")</f>
        <v/>
      </c>
    </row>
    <row r="265" spans="41:47">
      <c r="AO265" s="6" t="str">
        <f ca="1">IFERROR(MATCH($B$114,OFFSET(#REF!,AO264,0,1000000),0)+AO264,"")</f>
        <v/>
      </c>
      <c r="AP265" s="156" t="str">
        <f ca="1">IFERROR(_xlfn.SINGLE(INDEX(#REF!,'Annual Report'!AO265)),"")</f>
        <v/>
      </c>
      <c r="AQ265" s="6" t="str">
        <f ca="1">IFERROR(_xlfn.SINGLE(INDEX(#REF!,'Annual Report'!AO265)),"")</f>
        <v/>
      </c>
      <c r="AS265" s="6" t="str">
        <f ca="1">IFERROR(MATCH($L$115,OFFSET(#REF!,AS264,0,1000000),0)+AS264,"")</f>
        <v/>
      </c>
      <c r="AT265" s="156" t="str">
        <f ca="1">IFERROR(_xlfn.SINGLE(INDEX(#REF!,'Annual Report'!AS265)),"")</f>
        <v/>
      </c>
      <c r="AU265" s="6" t="str">
        <f ca="1">IFERROR(_xlfn.SINGLE(INDEX(#REF!,'Annual Report'!AS265)),"")</f>
        <v/>
      </c>
    </row>
    <row r="266" spans="41:47">
      <c r="AO266" s="6" t="str">
        <f ca="1">IFERROR(MATCH($B$114,OFFSET(#REF!,AO265,0,1000000),0)+AO265,"")</f>
        <v/>
      </c>
      <c r="AP266" s="156" t="str">
        <f ca="1">IFERROR(_xlfn.SINGLE(INDEX(#REF!,'Annual Report'!AO266)),"")</f>
        <v/>
      </c>
      <c r="AQ266" s="6" t="str">
        <f ca="1">IFERROR(_xlfn.SINGLE(INDEX(#REF!,'Annual Report'!AO266)),"")</f>
        <v/>
      </c>
      <c r="AS266" s="6" t="str">
        <f ca="1">IFERROR(MATCH($L$115,OFFSET(#REF!,AS265,0,1000000),0)+AS265,"")</f>
        <v/>
      </c>
      <c r="AT266" s="156" t="str">
        <f ca="1">IFERROR(_xlfn.SINGLE(INDEX(#REF!,'Annual Report'!AS266)),"")</f>
        <v/>
      </c>
      <c r="AU266" s="6" t="str">
        <f ca="1">IFERROR(_xlfn.SINGLE(INDEX(#REF!,'Annual Report'!AS266)),"")</f>
        <v/>
      </c>
    </row>
    <row r="267" spans="41:47">
      <c r="AO267" s="6" t="str">
        <f ca="1">IFERROR(MATCH($B$114,OFFSET(#REF!,AO266,0,1000000),0)+AO266,"")</f>
        <v/>
      </c>
      <c r="AP267" s="156" t="str">
        <f ca="1">IFERROR(_xlfn.SINGLE(INDEX(#REF!,'Annual Report'!AO267)),"")</f>
        <v/>
      </c>
      <c r="AQ267" s="6" t="str">
        <f ca="1">IFERROR(_xlfn.SINGLE(INDEX(#REF!,'Annual Report'!AO267)),"")</f>
        <v/>
      </c>
      <c r="AS267" s="6" t="str">
        <f ca="1">IFERROR(MATCH($L$115,OFFSET(#REF!,AS266,0,1000000),0)+AS266,"")</f>
        <v/>
      </c>
      <c r="AT267" s="156" t="str">
        <f ca="1">IFERROR(_xlfn.SINGLE(INDEX(#REF!,'Annual Report'!AS267)),"")</f>
        <v/>
      </c>
      <c r="AU267" s="6" t="str">
        <f ca="1">IFERROR(_xlfn.SINGLE(INDEX(#REF!,'Annual Report'!AS267)),"")</f>
        <v/>
      </c>
    </row>
    <row r="268" spans="41:47">
      <c r="AO268" s="6" t="str">
        <f ca="1">IFERROR(MATCH($B$114,OFFSET(#REF!,AO267,0,1000000),0)+AO267,"")</f>
        <v/>
      </c>
      <c r="AP268" s="156" t="str">
        <f ca="1">IFERROR(_xlfn.SINGLE(INDEX(#REF!,'Annual Report'!AO268)),"")</f>
        <v/>
      </c>
      <c r="AQ268" s="6" t="str">
        <f ca="1">IFERROR(_xlfn.SINGLE(INDEX(#REF!,'Annual Report'!AO268)),"")</f>
        <v/>
      </c>
      <c r="AS268" s="6" t="str">
        <f ca="1">IFERROR(MATCH($L$115,OFFSET(#REF!,AS267,0,1000000),0)+AS267,"")</f>
        <v/>
      </c>
      <c r="AT268" s="156" t="str">
        <f ca="1">IFERROR(_xlfn.SINGLE(INDEX(#REF!,'Annual Report'!AS268)),"")</f>
        <v/>
      </c>
      <c r="AU268" s="6" t="str">
        <f ca="1">IFERROR(_xlfn.SINGLE(INDEX(#REF!,'Annual Report'!AS268)),"")</f>
        <v/>
      </c>
    </row>
    <row r="269" spans="41:47">
      <c r="AO269" s="6" t="str">
        <f ca="1">IFERROR(MATCH($B$114,OFFSET(#REF!,AO268,0,1000000),0)+AO268,"")</f>
        <v/>
      </c>
      <c r="AP269" s="156" t="str">
        <f ca="1">IFERROR(_xlfn.SINGLE(INDEX(#REF!,'Annual Report'!AO269)),"")</f>
        <v/>
      </c>
      <c r="AQ269" s="6" t="str">
        <f ca="1">IFERROR(_xlfn.SINGLE(INDEX(#REF!,'Annual Report'!AO269)),"")</f>
        <v/>
      </c>
      <c r="AS269" s="6" t="str">
        <f ca="1">IFERROR(MATCH($L$115,OFFSET(#REF!,AS268,0,1000000),0)+AS268,"")</f>
        <v/>
      </c>
      <c r="AT269" s="156" t="str">
        <f ca="1">IFERROR(_xlfn.SINGLE(INDEX(#REF!,'Annual Report'!AS269)),"")</f>
        <v/>
      </c>
      <c r="AU269" s="6" t="str">
        <f ca="1">IFERROR(_xlfn.SINGLE(INDEX(#REF!,'Annual Report'!AS269)),"")</f>
        <v/>
      </c>
    </row>
    <row r="270" spans="41:47">
      <c r="AO270" s="6" t="str">
        <f ca="1">IFERROR(MATCH($B$114,OFFSET(#REF!,AO269,0,1000000),0)+AO269,"")</f>
        <v/>
      </c>
      <c r="AP270" s="156" t="str">
        <f ca="1">IFERROR(_xlfn.SINGLE(INDEX(#REF!,'Annual Report'!AO270)),"")</f>
        <v/>
      </c>
      <c r="AQ270" s="6" t="str">
        <f ca="1">IFERROR(_xlfn.SINGLE(INDEX(#REF!,'Annual Report'!AO270)),"")</f>
        <v/>
      </c>
      <c r="AS270" s="6" t="str">
        <f ca="1">IFERROR(MATCH($L$115,OFFSET(#REF!,AS269,0,1000000),0)+AS269,"")</f>
        <v/>
      </c>
      <c r="AT270" s="156" t="str">
        <f ca="1">IFERROR(_xlfn.SINGLE(INDEX(#REF!,'Annual Report'!AS270)),"")</f>
        <v/>
      </c>
      <c r="AU270" s="6" t="str">
        <f ca="1">IFERROR(_xlfn.SINGLE(INDEX(#REF!,'Annual Report'!AS270)),"")</f>
        <v/>
      </c>
    </row>
    <row r="271" spans="41:47">
      <c r="AO271" s="6" t="str">
        <f ca="1">IFERROR(MATCH($B$114,OFFSET(#REF!,AO270,0,1000000),0)+AO270,"")</f>
        <v/>
      </c>
      <c r="AP271" s="156" t="str">
        <f ca="1">IFERROR(_xlfn.SINGLE(INDEX(#REF!,'Annual Report'!AO271)),"")</f>
        <v/>
      </c>
      <c r="AQ271" s="6" t="str">
        <f ca="1">IFERROR(_xlfn.SINGLE(INDEX(#REF!,'Annual Report'!AO271)),"")</f>
        <v/>
      </c>
      <c r="AS271" s="6" t="str">
        <f ca="1">IFERROR(MATCH($L$115,OFFSET(#REF!,AS270,0,1000000),0)+AS270,"")</f>
        <v/>
      </c>
      <c r="AT271" s="156" t="str">
        <f ca="1">IFERROR(_xlfn.SINGLE(INDEX(#REF!,'Annual Report'!AS271)),"")</f>
        <v/>
      </c>
      <c r="AU271" s="6" t="str">
        <f ca="1">IFERROR(_xlfn.SINGLE(INDEX(#REF!,'Annual Report'!AS271)),"")</f>
        <v/>
      </c>
    </row>
    <row r="272" spans="41:47">
      <c r="AO272" s="6" t="str">
        <f ca="1">IFERROR(MATCH($B$114,OFFSET(#REF!,AO271,0,1000000),0)+AO271,"")</f>
        <v/>
      </c>
      <c r="AP272" s="156" t="str">
        <f ca="1">IFERROR(_xlfn.SINGLE(INDEX(#REF!,'Annual Report'!AO272)),"")</f>
        <v/>
      </c>
      <c r="AQ272" s="6" t="str">
        <f ca="1">IFERROR(_xlfn.SINGLE(INDEX(#REF!,'Annual Report'!AO272)),"")</f>
        <v/>
      </c>
      <c r="AS272" s="6" t="str">
        <f ca="1">IFERROR(MATCH($L$115,OFFSET(#REF!,AS271,0,1000000),0)+AS271,"")</f>
        <v/>
      </c>
      <c r="AT272" s="156" t="str">
        <f ca="1">IFERROR(_xlfn.SINGLE(INDEX(#REF!,'Annual Report'!AS272)),"")</f>
        <v/>
      </c>
      <c r="AU272" s="6" t="str">
        <f ca="1">IFERROR(_xlfn.SINGLE(INDEX(#REF!,'Annual Report'!AS272)),"")</f>
        <v/>
      </c>
    </row>
    <row r="273" spans="41:47">
      <c r="AO273" s="6" t="str">
        <f ca="1">IFERROR(MATCH($B$114,OFFSET(#REF!,AO272,0,1000000),0)+AO272,"")</f>
        <v/>
      </c>
      <c r="AP273" s="156" t="str">
        <f ca="1">IFERROR(_xlfn.SINGLE(INDEX(#REF!,'Annual Report'!AO273)),"")</f>
        <v/>
      </c>
      <c r="AQ273" s="6" t="str">
        <f ca="1">IFERROR(_xlfn.SINGLE(INDEX(#REF!,'Annual Report'!AO273)),"")</f>
        <v/>
      </c>
      <c r="AS273" s="6" t="str">
        <f ca="1">IFERROR(MATCH($L$115,OFFSET(#REF!,AS272,0,1000000),0)+AS272,"")</f>
        <v/>
      </c>
      <c r="AT273" s="156" t="str">
        <f ca="1">IFERROR(_xlfn.SINGLE(INDEX(#REF!,'Annual Report'!AS273)),"")</f>
        <v/>
      </c>
      <c r="AU273" s="6" t="str">
        <f ca="1">IFERROR(_xlfn.SINGLE(INDEX(#REF!,'Annual Report'!AS273)),"")</f>
        <v/>
      </c>
    </row>
    <row r="274" spans="41:47">
      <c r="AO274" s="6" t="str">
        <f ca="1">IFERROR(MATCH($B$114,OFFSET(#REF!,AO273,0,1000000),0)+AO273,"")</f>
        <v/>
      </c>
      <c r="AP274" s="156" t="str">
        <f ca="1">IFERROR(_xlfn.SINGLE(INDEX(#REF!,'Annual Report'!AO274)),"")</f>
        <v/>
      </c>
      <c r="AQ274" s="6" t="str">
        <f ca="1">IFERROR(_xlfn.SINGLE(INDEX(#REF!,'Annual Report'!AO274)),"")</f>
        <v/>
      </c>
      <c r="AS274" s="6" t="str">
        <f ca="1">IFERROR(MATCH($L$115,OFFSET(#REF!,AS273,0,1000000),0)+AS273,"")</f>
        <v/>
      </c>
      <c r="AT274" s="156" t="str">
        <f ca="1">IFERROR(_xlfn.SINGLE(INDEX(#REF!,'Annual Report'!AS274)),"")</f>
        <v/>
      </c>
      <c r="AU274" s="6" t="str">
        <f ca="1">IFERROR(_xlfn.SINGLE(INDEX(#REF!,'Annual Report'!AS274)),"")</f>
        <v/>
      </c>
    </row>
    <row r="275" spans="41:47">
      <c r="AO275" s="6" t="str">
        <f ca="1">IFERROR(MATCH($B$114,OFFSET(#REF!,AO274,0,1000000),0)+AO274,"")</f>
        <v/>
      </c>
      <c r="AP275" s="156" t="str">
        <f ca="1">IFERROR(_xlfn.SINGLE(INDEX(#REF!,'Annual Report'!AO275)),"")</f>
        <v/>
      </c>
      <c r="AQ275" s="6" t="str">
        <f ca="1">IFERROR(_xlfn.SINGLE(INDEX(#REF!,'Annual Report'!AO275)),"")</f>
        <v/>
      </c>
      <c r="AS275" s="6" t="str">
        <f ca="1">IFERROR(MATCH($L$115,OFFSET(#REF!,AS274,0,1000000),0)+AS274,"")</f>
        <v/>
      </c>
      <c r="AT275" s="156" t="str">
        <f ca="1">IFERROR(_xlfn.SINGLE(INDEX(#REF!,'Annual Report'!AS275)),"")</f>
        <v/>
      </c>
      <c r="AU275" s="6" t="str">
        <f ca="1">IFERROR(_xlfn.SINGLE(INDEX(#REF!,'Annual Report'!AS275)),"")</f>
        <v/>
      </c>
    </row>
    <row r="276" spans="41:47">
      <c r="AO276" s="6" t="str">
        <f ca="1">IFERROR(MATCH($B$114,OFFSET(#REF!,AO275,0,1000000),0)+AO275,"")</f>
        <v/>
      </c>
      <c r="AP276" s="156" t="str">
        <f ca="1">IFERROR(_xlfn.SINGLE(INDEX(#REF!,'Annual Report'!AO276)),"")</f>
        <v/>
      </c>
      <c r="AQ276" s="6" t="str">
        <f ca="1">IFERROR(_xlfn.SINGLE(INDEX(#REF!,'Annual Report'!AO276)),"")</f>
        <v/>
      </c>
      <c r="AS276" s="6" t="str">
        <f ca="1">IFERROR(MATCH($L$115,OFFSET(#REF!,AS275,0,1000000),0)+AS275,"")</f>
        <v/>
      </c>
      <c r="AT276" s="156" t="str">
        <f ca="1">IFERROR(_xlfn.SINGLE(INDEX(#REF!,'Annual Report'!AS276)),"")</f>
        <v/>
      </c>
      <c r="AU276" s="6" t="str">
        <f ca="1">IFERROR(_xlfn.SINGLE(INDEX(#REF!,'Annual Report'!AS276)),"")</f>
        <v/>
      </c>
    </row>
    <row r="277" spans="41:47">
      <c r="AO277" s="6" t="str">
        <f ca="1">IFERROR(MATCH($B$114,OFFSET(#REF!,AO276,0,1000000),0)+AO276,"")</f>
        <v/>
      </c>
      <c r="AP277" s="156" t="str">
        <f ca="1">IFERROR(_xlfn.SINGLE(INDEX(#REF!,'Annual Report'!AO277)),"")</f>
        <v/>
      </c>
      <c r="AQ277" s="6" t="str">
        <f ca="1">IFERROR(_xlfn.SINGLE(INDEX(#REF!,'Annual Report'!AO277)),"")</f>
        <v/>
      </c>
      <c r="AS277" s="6" t="str">
        <f ca="1">IFERROR(MATCH($L$115,OFFSET(#REF!,AS276,0,1000000),0)+AS276,"")</f>
        <v/>
      </c>
      <c r="AT277" s="156" t="str">
        <f ca="1">IFERROR(_xlfn.SINGLE(INDEX(#REF!,'Annual Report'!AS277)),"")</f>
        <v/>
      </c>
      <c r="AU277" s="6" t="str">
        <f ca="1">IFERROR(_xlfn.SINGLE(INDEX(#REF!,'Annual Report'!AS277)),"")</f>
        <v/>
      </c>
    </row>
    <row r="278" spans="41:47">
      <c r="AO278" s="6" t="str">
        <f ca="1">IFERROR(MATCH($B$114,OFFSET(#REF!,AO277,0,1000000),0)+AO277,"")</f>
        <v/>
      </c>
      <c r="AP278" s="156" t="str">
        <f ca="1">IFERROR(_xlfn.SINGLE(INDEX(#REF!,'Annual Report'!AO278)),"")</f>
        <v/>
      </c>
      <c r="AQ278" s="6" t="str">
        <f ca="1">IFERROR(_xlfn.SINGLE(INDEX(#REF!,'Annual Report'!AO278)),"")</f>
        <v/>
      </c>
      <c r="AS278" s="6" t="str">
        <f ca="1">IFERROR(MATCH($L$115,OFFSET(#REF!,AS277,0,1000000),0)+AS277,"")</f>
        <v/>
      </c>
      <c r="AT278" s="156" t="str">
        <f ca="1">IFERROR(_xlfn.SINGLE(INDEX(#REF!,'Annual Report'!AS278)),"")</f>
        <v/>
      </c>
      <c r="AU278" s="6" t="str">
        <f ca="1">IFERROR(_xlfn.SINGLE(INDEX(#REF!,'Annual Report'!AS278)),"")</f>
        <v/>
      </c>
    </row>
    <row r="279" spans="41:47">
      <c r="AO279" s="6" t="str">
        <f ca="1">IFERROR(MATCH($B$114,OFFSET(#REF!,AO278,0,1000000),0)+AO278,"")</f>
        <v/>
      </c>
      <c r="AP279" s="156" t="str">
        <f ca="1">IFERROR(_xlfn.SINGLE(INDEX(#REF!,'Annual Report'!AO279)),"")</f>
        <v/>
      </c>
      <c r="AQ279" s="6" t="str">
        <f ca="1">IFERROR(_xlfn.SINGLE(INDEX(#REF!,'Annual Report'!AO279)),"")</f>
        <v/>
      </c>
      <c r="AS279" s="6" t="str">
        <f ca="1">IFERROR(MATCH($L$115,OFFSET(#REF!,AS278,0,1000000),0)+AS278,"")</f>
        <v/>
      </c>
      <c r="AT279" s="156" t="str">
        <f ca="1">IFERROR(_xlfn.SINGLE(INDEX(#REF!,'Annual Report'!AS279)),"")</f>
        <v/>
      </c>
      <c r="AU279" s="6" t="str">
        <f ca="1">IFERROR(_xlfn.SINGLE(INDEX(#REF!,'Annual Report'!AS279)),"")</f>
        <v/>
      </c>
    </row>
    <row r="280" spans="41:47">
      <c r="AO280" s="6" t="str">
        <f ca="1">IFERROR(MATCH($B$114,OFFSET(#REF!,AO279,0,1000000),0)+AO279,"")</f>
        <v/>
      </c>
      <c r="AP280" s="156" t="str">
        <f ca="1">IFERROR(_xlfn.SINGLE(INDEX(#REF!,'Annual Report'!AO280)),"")</f>
        <v/>
      </c>
      <c r="AQ280" s="6" t="str">
        <f ca="1">IFERROR(_xlfn.SINGLE(INDEX(#REF!,'Annual Report'!AO280)),"")</f>
        <v/>
      </c>
      <c r="AS280" s="6" t="str">
        <f ca="1">IFERROR(MATCH($L$115,OFFSET(#REF!,AS279,0,1000000),0)+AS279,"")</f>
        <v/>
      </c>
      <c r="AT280" s="156" t="str">
        <f ca="1">IFERROR(_xlfn.SINGLE(INDEX(#REF!,'Annual Report'!AS280)),"")</f>
        <v/>
      </c>
      <c r="AU280" s="6" t="str">
        <f ca="1">IFERROR(_xlfn.SINGLE(INDEX(#REF!,'Annual Report'!AS280)),"")</f>
        <v/>
      </c>
    </row>
    <row r="281" spans="41:47">
      <c r="AO281" s="6" t="str">
        <f ca="1">IFERROR(MATCH($B$114,OFFSET(#REF!,AO280,0,1000000),0)+AO280,"")</f>
        <v/>
      </c>
      <c r="AP281" s="156" t="str">
        <f ca="1">IFERROR(_xlfn.SINGLE(INDEX(#REF!,'Annual Report'!AO281)),"")</f>
        <v/>
      </c>
      <c r="AQ281" s="6" t="str">
        <f ca="1">IFERROR(_xlfn.SINGLE(INDEX(#REF!,'Annual Report'!AO281)),"")</f>
        <v/>
      </c>
      <c r="AS281" s="6" t="str">
        <f ca="1">IFERROR(MATCH($L$115,OFFSET(#REF!,AS280,0,1000000),0)+AS280,"")</f>
        <v/>
      </c>
      <c r="AT281" s="156" t="str">
        <f ca="1">IFERROR(_xlfn.SINGLE(INDEX(#REF!,'Annual Report'!AS281)),"")</f>
        <v/>
      </c>
      <c r="AU281" s="6" t="str">
        <f ca="1">IFERROR(_xlfn.SINGLE(INDEX(#REF!,'Annual Report'!AS281)),"")</f>
        <v/>
      </c>
    </row>
    <row r="282" spans="41:47">
      <c r="AO282" s="6" t="str">
        <f ca="1">IFERROR(MATCH($B$114,OFFSET(#REF!,AO281,0,1000000),0)+AO281,"")</f>
        <v/>
      </c>
      <c r="AP282" s="156" t="str">
        <f ca="1">IFERROR(_xlfn.SINGLE(INDEX(#REF!,'Annual Report'!AO282)),"")</f>
        <v/>
      </c>
      <c r="AQ282" s="6" t="str">
        <f ca="1">IFERROR(_xlfn.SINGLE(INDEX(#REF!,'Annual Report'!AO282)),"")</f>
        <v/>
      </c>
      <c r="AS282" s="6" t="str">
        <f ca="1">IFERROR(MATCH($L$115,OFFSET(#REF!,AS281,0,1000000),0)+AS281,"")</f>
        <v/>
      </c>
      <c r="AT282" s="156" t="str">
        <f ca="1">IFERROR(_xlfn.SINGLE(INDEX(#REF!,'Annual Report'!AS282)),"")</f>
        <v/>
      </c>
      <c r="AU282" s="6" t="str">
        <f ca="1">IFERROR(_xlfn.SINGLE(INDEX(#REF!,'Annual Report'!AS282)),"")</f>
        <v/>
      </c>
    </row>
    <row r="283" spans="41:47">
      <c r="AO283" s="6" t="str">
        <f ca="1">IFERROR(MATCH($B$114,OFFSET(#REF!,AO282,0,1000000),0)+AO282,"")</f>
        <v/>
      </c>
      <c r="AP283" s="156" t="str">
        <f ca="1">IFERROR(_xlfn.SINGLE(INDEX(#REF!,'Annual Report'!AO283)),"")</f>
        <v/>
      </c>
      <c r="AQ283" s="6" t="str">
        <f ca="1">IFERROR(_xlfn.SINGLE(INDEX(#REF!,'Annual Report'!AO283)),"")</f>
        <v/>
      </c>
      <c r="AS283" s="6" t="str">
        <f ca="1">IFERROR(MATCH($L$115,OFFSET(#REF!,AS282,0,1000000),0)+AS282,"")</f>
        <v/>
      </c>
      <c r="AT283" s="156" t="str">
        <f ca="1">IFERROR(_xlfn.SINGLE(INDEX(#REF!,'Annual Report'!AS283)),"")</f>
        <v/>
      </c>
      <c r="AU283" s="6" t="str">
        <f ca="1">IFERROR(_xlfn.SINGLE(INDEX(#REF!,'Annual Report'!AS283)),"")</f>
        <v/>
      </c>
    </row>
    <row r="284" spans="41:47">
      <c r="AO284" s="6" t="str">
        <f ca="1">IFERROR(MATCH($B$114,OFFSET(#REF!,AO283,0,1000000),0)+AO283,"")</f>
        <v/>
      </c>
      <c r="AP284" s="156" t="str">
        <f ca="1">IFERROR(_xlfn.SINGLE(INDEX(#REF!,'Annual Report'!AO284)),"")</f>
        <v/>
      </c>
      <c r="AQ284" s="6" t="str">
        <f ca="1">IFERROR(_xlfn.SINGLE(INDEX(#REF!,'Annual Report'!AO284)),"")</f>
        <v/>
      </c>
      <c r="AS284" s="6" t="str">
        <f ca="1">IFERROR(MATCH($L$115,OFFSET(#REF!,AS283,0,1000000),0)+AS283,"")</f>
        <v/>
      </c>
      <c r="AT284" s="156" t="str">
        <f ca="1">IFERROR(_xlfn.SINGLE(INDEX(#REF!,'Annual Report'!AS284)),"")</f>
        <v/>
      </c>
      <c r="AU284" s="6" t="str">
        <f ca="1">IFERROR(_xlfn.SINGLE(INDEX(#REF!,'Annual Report'!AS284)),"")</f>
        <v/>
      </c>
    </row>
    <row r="285" spans="41:47">
      <c r="AO285" s="6" t="str">
        <f ca="1">IFERROR(MATCH($B$114,OFFSET(#REF!,AO284,0,1000000),0)+AO284,"")</f>
        <v/>
      </c>
      <c r="AP285" s="156" t="str">
        <f ca="1">IFERROR(_xlfn.SINGLE(INDEX(#REF!,'Annual Report'!AO285)),"")</f>
        <v/>
      </c>
      <c r="AQ285" s="6" t="str">
        <f ca="1">IFERROR(_xlfn.SINGLE(INDEX(#REF!,'Annual Report'!AO285)),"")</f>
        <v/>
      </c>
      <c r="AS285" s="6" t="str">
        <f ca="1">IFERROR(MATCH($L$115,OFFSET(#REF!,AS284,0,1000000),0)+AS284,"")</f>
        <v/>
      </c>
      <c r="AT285" s="156" t="str">
        <f ca="1">IFERROR(_xlfn.SINGLE(INDEX(#REF!,'Annual Report'!AS285)),"")</f>
        <v/>
      </c>
      <c r="AU285" s="6" t="str">
        <f ca="1">IFERROR(_xlfn.SINGLE(INDEX(#REF!,'Annual Report'!AS285)),"")</f>
        <v/>
      </c>
    </row>
    <row r="286" spans="41:47">
      <c r="AO286" s="6" t="str">
        <f ca="1">IFERROR(MATCH($B$114,OFFSET(#REF!,AO285,0,1000000),0)+AO285,"")</f>
        <v/>
      </c>
      <c r="AP286" s="156" t="str">
        <f ca="1">IFERROR(_xlfn.SINGLE(INDEX(#REF!,'Annual Report'!AO286)),"")</f>
        <v/>
      </c>
      <c r="AQ286" s="6" t="str">
        <f ca="1">IFERROR(_xlfn.SINGLE(INDEX(#REF!,'Annual Report'!AO286)),"")</f>
        <v/>
      </c>
      <c r="AS286" s="6" t="str">
        <f ca="1">IFERROR(MATCH($L$115,OFFSET(#REF!,AS285,0,1000000),0)+AS285,"")</f>
        <v/>
      </c>
      <c r="AT286" s="156" t="str">
        <f ca="1">IFERROR(_xlfn.SINGLE(INDEX(#REF!,'Annual Report'!AS286)),"")</f>
        <v/>
      </c>
      <c r="AU286" s="6" t="str">
        <f ca="1">IFERROR(_xlfn.SINGLE(INDEX(#REF!,'Annual Report'!AS286)),"")</f>
        <v/>
      </c>
    </row>
    <row r="287" spans="41:47">
      <c r="AO287" s="6" t="str">
        <f ca="1">IFERROR(MATCH($B$114,OFFSET(#REF!,AO286,0,1000000),0)+AO286,"")</f>
        <v/>
      </c>
      <c r="AP287" s="156" t="str">
        <f ca="1">IFERROR(_xlfn.SINGLE(INDEX(#REF!,'Annual Report'!AO287)),"")</f>
        <v/>
      </c>
      <c r="AQ287" s="6" t="str">
        <f ca="1">IFERROR(_xlfn.SINGLE(INDEX(#REF!,'Annual Report'!AO287)),"")</f>
        <v/>
      </c>
      <c r="AS287" s="6" t="str">
        <f ca="1">IFERROR(MATCH($L$115,OFFSET(#REF!,AS286,0,1000000),0)+AS286,"")</f>
        <v/>
      </c>
      <c r="AT287" s="156" t="str">
        <f ca="1">IFERROR(_xlfn.SINGLE(INDEX(#REF!,'Annual Report'!AS287)),"")</f>
        <v/>
      </c>
      <c r="AU287" s="6" t="str">
        <f ca="1">IFERROR(_xlfn.SINGLE(INDEX(#REF!,'Annual Report'!AS287)),"")</f>
        <v/>
      </c>
    </row>
    <row r="288" spans="41:47">
      <c r="AO288" s="6" t="str">
        <f ca="1">IFERROR(MATCH($B$114,OFFSET(#REF!,AO287,0,1000000),0)+AO287,"")</f>
        <v/>
      </c>
      <c r="AP288" s="156" t="str">
        <f ca="1">IFERROR(_xlfn.SINGLE(INDEX(#REF!,'Annual Report'!AO288)),"")</f>
        <v/>
      </c>
      <c r="AQ288" s="6" t="str">
        <f ca="1">IFERROR(_xlfn.SINGLE(INDEX(#REF!,'Annual Report'!AO288)),"")</f>
        <v/>
      </c>
      <c r="AS288" s="6" t="str">
        <f ca="1">IFERROR(MATCH($L$115,OFFSET(#REF!,AS287,0,1000000),0)+AS287,"")</f>
        <v/>
      </c>
      <c r="AT288" s="156" t="str">
        <f ca="1">IFERROR(_xlfn.SINGLE(INDEX(#REF!,'Annual Report'!AS288)),"")</f>
        <v/>
      </c>
      <c r="AU288" s="6" t="str">
        <f ca="1">IFERROR(_xlfn.SINGLE(INDEX(#REF!,'Annual Report'!AS288)),"")</f>
        <v/>
      </c>
    </row>
    <row r="289" spans="41:47">
      <c r="AO289" s="6" t="str">
        <f ca="1">IFERROR(MATCH($B$114,OFFSET(#REF!,AO288,0,1000000),0)+AO288,"")</f>
        <v/>
      </c>
      <c r="AP289" s="156" t="str">
        <f ca="1">IFERROR(_xlfn.SINGLE(INDEX(#REF!,'Annual Report'!AO289)),"")</f>
        <v/>
      </c>
      <c r="AQ289" s="6" t="str">
        <f ca="1">IFERROR(_xlfn.SINGLE(INDEX(#REF!,'Annual Report'!AO289)),"")</f>
        <v/>
      </c>
      <c r="AS289" s="6" t="str">
        <f ca="1">IFERROR(MATCH($L$115,OFFSET(#REF!,AS288,0,1000000),0)+AS288,"")</f>
        <v/>
      </c>
      <c r="AT289" s="156" t="str">
        <f ca="1">IFERROR(_xlfn.SINGLE(INDEX(#REF!,'Annual Report'!AS289)),"")</f>
        <v/>
      </c>
      <c r="AU289" s="6" t="str">
        <f ca="1">IFERROR(_xlfn.SINGLE(INDEX(#REF!,'Annual Report'!AS289)),"")</f>
        <v/>
      </c>
    </row>
    <row r="290" spans="41:47">
      <c r="AO290" s="6" t="str">
        <f ca="1">IFERROR(MATCH($B$114,OFFSET(#REF!,AO289,0,1000000),0)+AO289,"")</f>
        <v/>
      </c>
      <c r="AP290" s="156" t="str">
        <f ca="1">IFERROR(_xlfn.SINGLE(INDEX(#REF!,'Annual Report'!AO290)),"")</f>
        <v/>
      </c>
      <c r="AQ290" s="6" t="str">
        <f ca="1">IFERROR(_xlfn.SINGLE(INDEX(#REF!,'Annual Report'!AO290)),"")</f>
        <v/>
      </c>
      <c r="AS290" s="6" t="str">
        <f ca="1">IFERROR(MATCH($L$115,OFFSET(#REF!,AS289,0,1000000),0)+AS289,"")</f>
        <v/>
      </c>
      <c r="AT290" s="156" t="str">
        <f ca="1">IFERROR(_xlfn.SINGLE(INDEX(#REF!,'Annual Report'!AS290)),"")</f>
        <v/>
      </c>
      <c r="AU290" s="6" t="str">
        <f ca="1">IFERROR(_xlfn.SINGLE(INDEX(#REF!,'Annual Report'!AS290)),"")</f>
        <v/>
      </c>
    </row>
    <row r="291" spans="41:47">
      <c r="AO291" s="6" t="str">
        <f ca="1">IFERROR(MATCH($B$114,OFFSET(#REF!,AO290,0,1000000),0)+AO290,"")</f>
        <v/>
      </c>
      <c r="AP291" s="156" t="str">
        <f ca="1">IFERROR(_xlfn.SINGLE(INDEX(#REF!,'Annual Report'!AO291)),"")</f>
        <v/>
      </c>
      <c r="AQ291" s="6" t="str">
        <f ca="1">IFERROR(_xlfn.SINGLE(INDEX(#REF!,'Annual Report'!AO291)),"")</f>
        <v/>
      </c>
      <c r="AS291" s="6" t="str">
        <f ca="1">IFERROR(MATCH($L$115,OFFSET(#REF!,AS290,0,1000000),0)+AS290,"")</f>
        <v/>
      </c>
      <c r="AT291" s="156" t="str">
        <f ca="1">IFERROR(_xlfn.SINGLE(INDEX(#REF!,'Annual Report'!AS291)),"")</f>
        <v/>
      </c>
      <c r="AU291" s="6" t="str">
        <f ca="1">IFERROR(_xlfn.SINGLE(INDEX(#REF!,'Annual Report'!AS291)),"")</f>
        <v/>
      </c>
    </row>
    <row r="292" spans="41:47">
      <c r="AO292" s="6" t="str">
        <f ca="1">IFERROR(MATCH($B$114,OFFSET(#REF!,AO291,0,1000000),0)+AO291,"")</f>
        <v/>
      </c>
      <c r="AP292" s="156" t="str">
        <f ca="1">IFERROR(_xlfn.SINGLE(INDEX(#REF!,'Annual Report'!AO292)),"")</f>
        <v/>
      </c>
      <c r="AQ292" s="6" t="str">
        <f ca="1">IFERROR(_xlfn.SINGLE(INDEX(#REF!,'Annual Report'!AO292)),"")</f>
        <v/>
      </c>
      <c r="AS292" s="6" t="str">
        <f ca="1">IFERROR(MATCH($L$115,OFFSET(#REF!,AS291,0,1000000),0)+AS291,"")</f>
        <v/>
      </c>
      <c r="AT292" s="156" t="str">
        <f ca="1">IFERROR(_xlfn.SINGLE(INDEX(#REF!,'Annual Report'!AS292)),"")</f>
        <v/>
      </c>
      <c r="AU292" s="6" t="str">
        <f ca="1">IFERROR(_xlfn.SINGLE(INDEX(#REF!,'Annual Report'!AS292)),"")</f>
        <v/>
      </c>
    </row>
    <row r="293" spans="41:47">
      <c r="AO293" s="6" t="str">
        <f ca="1">IFERROR(MATCH($B$114,OFFSET(#REF!,AO292,0,1000000),0)+AO292,"")</f>
        <v/>
      </c>
      <c r="AP293" s="156" t="str">
        <f ca="1">IFERROR(_xlfn.SINGLE(INDEX(#REF!,'Annual Report'!AO293)),"")</f>
        <v/>
      </c>
      <c r="AQ293" s="6" t="str">
        <f ca="1">IFERROR(_xlfn.SINGLE(INDEX(#REF!,'Annual Report'!AO293)),"")</f>
        <v/>
      </c>
      <c r="AS293" s="6" t="str">
        <f ca="1">IFERROR(MATCH($L$115,OFFSET(#REF!,AS292,0,1000000),0)+AS292,"")</f>
        <v/>
      </c>
      <c r="AT293" s="156" t="str">
        <f ca="1">IFERROR(_xlfn.SINGLE(INDEX(#REF!,'Annual Report'!AS293)),"")</f>
        <v/>
      </c>
      <c r="AU293" s="6" t="str">
        <f ca="1">IFERROR(_xlfn.SINGLE(INDEX(#REF!,'Annual Report'!AS293)),"")</f>
        <v/>
      </c>
    </row>
    <row r="294" spans="41:47">
      <c r="AO294" s="6" t="str">
        <f ca="1">IFERROR(MATCH($B$114,OFFSET(#REF!,AO293,0,1000000),0)+AO293,"")</f>
        <v/>
      </c>
      <c r="AP294" s="156" t="str">
        <f ca="1">IFERROR(_xlfn.SINGLE(INDEX(#REF!,'Annual Report'!AO294)),"")</f>
        <v/>
      </c>
      <c r="AQ294" s="6" t="str">
        <f ca="1">IFERROR(_xlfn.SINGLE(INDEX(#REF!,'Annual Report'!AO294)),"")</f>
        <v/>
      </c>
      <c r="AS294" s="6" t="str">
        <f ca="1">IFERROR(MATCH($L$115,OFFSET(#REF!,AS293,0,1000000),0)+AS293,"")</f>
        <v/>
      </c>
      <c r="AT294" s="156" t="str">
        <f ca="1">IFERROR(_xlfn.SINGLE(INDEX(#REF!,'Annual Report'!AS294)),"")</f>
        <v/>
      </c>
      <c r="AU294" s="6" t="str">
        <f ca="1">IFERROR(_xlfn.SINGLE(INDEX(#REF!,'Annual Report'!AS294)),"")</f>
        <v/>
      </c>
    </row>
    <row r="295" spans="41:47">
      <c r="AO295" s="6" t="str">
        <f ca="1">IFERROR(MATCH($B$114,OFFSET(#REF!,AO294,0,1000000),0)+AO294,"")</f>
        <v/>
      </c>
      <c r="AP295" s="156" t="str">
        <f ca="1">IFERROR(_xlfn.SINGLE(INDEX(#REF!,'Annual Report'!AO295)),"")</f>
        <v/>
      </c>
      <c r="AQ295" s="6" t="str">
        <f ca="1">IFERROR(_xlfn.SINGLE(INDEX(#REF!,'Annual Report'!AO295)),"")</f>
        <v/>
      </c>
      <c r="AS295" s="6" t="str">
        <f ca="1">IFERROR(MATCH($L$115,OFFSET(#REF!,AS294,0,1000000),0)+AS294,"")</f>
        <v/>
      </c>
      <c r="AT295" s="156" t="str">
        <f ca="1">IFERROR(_xlfn.SINGLE(INDEX(#REF!,'Annual Report'!AS295)),"")</f>
        <v/>
      </c>
      <c r="AU295" s="6" t="str">
        <f ca="1">IFERROR(_xlfn.SINGLE(INDEX(#REF!,'Annual Report'!AS295)),"")</f>
        <v/>
      </c>
    </row>
    <row r="296" spans="41:47">
      <c r="AO296" s="6" t="str">
        <f ca="1">IFERROR(MATCH($B$114,OFFSET(#REF!,AO295,0,1000000),0)+AO295,"")</f>
        <v/>
      </c>
      <c r="AP296" s="156" t="str">
        <f ca="1">IFERROR(_xlfn.SINGLE(INDEX(#REF!,'Annual Report'!AO296)),"")</f>
        <v/>
      </c>
      <c r="AQ296" s="6" t="str">
        <f ca="1">IFERROR(_xlfn.SINGLE(INDEX(#REF!,'Annual Report'!AO296)),"")</f>
        <v/>
      </c>
      <c r="AS296" s="6" t="str">
        <f ca="1">IFERROR(MATCH($L$115,OFFSET(#REF!,AS295,0,1000000),0)+AS295,"")</f>
        <v/>
      </c>
      <c r="AT296" s="156" t="str">
        <f ca="1">IFERROR(_xlfn.SINGLE(INDEX(#REF!,'Annual Report'!AS296)),"")</f>
        <v/>
      </c>
      <c r="AU296" s="6" t="str">
        <f ca="1">IFERROR(_xlfn.SINGLE(INDEX(#REF!,'Annual Report'!AS296)),"")</f>
        <v/>
      </c>
    </row>
    <row r="297" spans="41:47">
      <c r="AO297" s="6" t="str">
        <f ca="1">IFERROR(MATCH($B$114,OFFSET(#REF!,AO296,0,1000000),0)+AO296,"")</f>
        <v/>
      </c>
      <c r="AP297" s="156" t="str">
        <f ca="1">IFERROR(_xlfn.SINGLE(INDEX(#REF!,'Annual Report'!AO297)),"")</f>
        <v/>
      </c>
      <c r="AQ297" s="6" t="str">
        <f ca="1">IFERROR(_xlfn.SINGLE(INDEX(#REF!,'Annual Report'!AO297)),"")</f>
        <v/>
      </c>
      <c r="AS297" s="6" t="str">
        <f ca="1">IFERROR(MATCH($L$115,OFFSET(#REF!,AS296,0,1000000),0)+AS296,"")</f>
        <v/>
      </c>
      <c r="AT297" s="156" t="str">
        <f ca="1">IFERROR(_xlfn.SINGLE(INDEX(#REF!,'Annual Report'!AS297)),"")</f>
        <v/>
      </c>
      <c r="AU297" s="6" t="str">
        <f ca="1">IFERROR(_xlfn.SINGLE(INDEX(#REF!,'Annual Report'!AS297)),"")</f>
        <v/>
      </c>
    </row>
    <row r="298" spans="41:47">
      <c r="AO298" s="6" t="str">
        <f ca="1">IFERROR(MATCH($B$114,OFFSET(#REF!,AO297,0,1000000),0)+AO297,"")</f>
        <v/>
      </c>
      <c r="AP298" s="156" t="str">
        <f ca="1">IFERROR(_xlfn.SINGLE(INDEX(#REF!,'Annual Report'!AO298)),"")</f>
        <v/>
      </c>
      <c r="AQ298" s="6" t="str">
        <f ca="1">IFERROR(_xlfn.SINGLE(INDEX(#REF!,'Annual Report'!AO298)),"")</f>
        <v/>
      </c>
      <c r="AS298" s="6" t="str">
        <f ca="1">IFERROR(MATCH($L$115,OFFSET(#REF!,AS297,0,1000000),0)+AS297,"")</f>
        <v/>
      </c>
      <c r="AT298" s="156" t="str">
        <f ca="1">IFERROR(_xlfn.SINGLE(INDEX(#REF!,'Annual Report'!AS298)),"")</f>
        <v/>
      </c>
      <c r="AU298" s="6" t="str">
        <f ca="1">IFERROR(_xlfn.SINGLE(INDEX(#REF!,'Annual Report'!AS298)),"")</f>
        <v/>
      </c>
    </row>
    <row r="299" spans="41:47">
      <c r="AO299" s="6" t="str">
        <f ca="1">IFERROR(MATCH($B$114,OFFSET(#REF!,AO298,0,1000000),0)+AO298,"")</f>
        <v/>
      </c>
      <c r="AP299" s="156" t="str">
        <f ca="1">IFERROR(_xlfn.SINGLE(INDEX(#REF!,'Annual Report'!AO299)),"")</f>
        <v/>
      </c>
      <c r="AQ299" s="6" t="str">
        <f ca="1">IFERROR(_xlfn.SINGLE(INDEX(#REF!,'Annual Report'!AO299)),"")</f>
        <v/>
      </c>
      <c r="AS299" s="6" t="str">
        <f ca="1">IFERROR(MATCH($L$115,OFFSET(#REF!,AS298,0,1000000),0)+AS298,"")</f>
        <v/>
      </c>
      <c r="AT299" s="156" t="str">
        <f ca="1">IFERROR(_xlfn.SINGLE(INDEX(#REF!,'Annual Report'!AS299)),"")</f>
        <v/>
      </c>
      <c r="AU299" s="6" t="str">
        <f ca="1">IFERROR(_xlfn.SINGLE(INDEX(#REF!,'Annual Report'!AS299)),"")</f>
        <v/>
      </c>
    </row>
    <row r="300" spans="41:47">
      <c r="AO300" s="6" t="str">
        <f ca="1">IFERROR(MATCH($B$114,OFFSET(#REF!,AO299,0,1000000),0)+AO299,"")</f>
        <v/>
      </c>
      <c r="AP300" s="156" t="str">
        <f ca="1">IFERROR(_xlfn.SINGLE(INDEX(#REF!,'Annual Report'!AO300)),"")</f>
        <v/>
      </c>
      <c r="AQ300" s="6" t="str">
        <f ca="1">IFERROR(_xlfn.SINGLE(INDEX(#REF!,'Annual Report'!AO300)),"")</f>
        <v/>
      </c>
      <c r="AS300" s="6" t="str">
        <f ca="1">IFERROR(MATCH($L$115,OFFSET(#REF!,AS299,0,1000000),0)+AS299,"")</f>
        <v/>
      </c>
      <c r="AT300" s="156" t="str">
        <f ca="1">IFERROR(_xlfn.SINGLE(INDEX(#REF!,'Annual Report'!AS300)),"")</f>
        <v/>
      </c>
      <c r="AU300" s="6" t="str">
        <f ca="1">IFERROR(_xlfn.SINGLE(INDEX(#REF!,'Annual Report'!AS300)),"")</f>
        <v/>
      </c>
    </row>
    <row r="301" spans="41:47">
      <c r="AO301" s="6" t="str">
        <f ca="1">IFERROR(MATCH($B$114,OFFSET(#REF!,AO300,0,1000000),0)+AO300,"")</f>
        <v/>
      </c>
      <c r="AP301" s="156" t="str">
        <f ca="1">IFERROR(_xlfn.SINGLE(INDEX(#REF!,'Annual Report'!AO301)),"")</f>
        <v/>
      </c>
      <c r="AQ301" s="6" t="str">
        <f ca="1">IFERROR(_xlfn.SINGLE(INDEX(#REF!,'Annual Report'!AO301)),"")</f>
        <v/>
      </c>
      <c r="AS301" s="6" t="str">
        <f ca="1">IFERROR(MATCH($L$115,OFFSET(#REF!,AS300,0,1000000),0)+AS300,"")</f>
        <v/>
      </c>
      <c r="AT301" s="156" t="str">
        <f ca="1">IFERROR(_xlfn.SINGLE(INDEX(#REF!,'Annual Report'!AS301)),"")</f>
        <v/>
      </c>
      <c r="AU301" s="6" t="str">
        <f ca="1">IFERROR(_xlfn.SINGLE(INDEX(#REF!,'Annual Report'!AS301)),"")</f>
        <v/>
      </c>
    </row>
    <row r="302" spans="41:47">
      <c r="AO302" s="6" t="str">
        <f ca="1">IFERROR(MATCH($B$114,OFFSET(#REF!,AO301,0,1000000),0)+AO301,"")</f>
        <v/>
      </c>
      <c r="AP302" s="156" t="str">
        <f ca="1">IFERROR(_xlfn.SINGLE(INDEX(#REF!,'Annual Report'!AO302)),"")</f>
        <v/>
      </c>
      <c r="AQ302" s="6" t="str">
        <f ca="1">IFERROR(_xlfn.SINGLE(INDEX(#REF!,'Annual Report'!AO302)),"")</f>
        <v/>
      </c>
      <c r="AS302" s="6" t="str">
        <f ca="1">IFERROR(MATCH($L$115,OFFSET(#REF!,AS301,0,1000000),0)+AS301,"")</f>
        <v/>
      </c>
      <c r="AT302" s="156" t="str">
        <f ca="1">IFERROR(_xlfn.SINGLE(INDEX(#REF!,'Annual Report'!AS302)),"")</f>
        <v/>
      </c>
      <c r="AU302" s="6" t="str">
        <f ca="1">IFERROR(_xlfn.SINGLE(INDEX(#REF!,'Annual Report'!AS302)),"")</f>
        <v/>
      </c>
    </row>
    <row r="303" spans="41:47">
      <c r="AO303" s="6" t="str">
        <f ca="1">IFERROR(MATCH($B$114,OFFSET(#REF!,AO302,0,1000000),0)+AO302,"")</f>
        <v/>
      </c>
      <c r="AP303" s="156" t="str">
        <f ca="1">IFERROR(_xlfn.SINGLE(INDEX(#REF!,'Annual Report'!AO303)),"")</f>
        <v/>
      </c>
      <c r="AQ303" s="6" t="str">
        <f ca="1">IFERROR(_xlfn.SINGLE(INDEX(#REF!,'Annual Report'!AO303)),"")</f>
        <v/>
      </c>
      <c r="AS303" s="6" t="str">
        <f ca="1">IFERROR(MATCH($L$115,OFFSET(#REF!,AS302,0,1000000),0)+AS302,"")</f>
        <v/>
      </c>
      <c r="AT303" s="156" t="str">
        <f ca="1">IFERROR(_xlfn.SINGLE(INDEX(#REF!,'Annual Report'!AS303)),"")</f>
        <v/>
      </c>
      <c r="AU303" s="6" t="str">
        <f ca="1">IFERROR(_xlfn.SINGLE(INDEX(#REF!,'Annual Report'!AS303)),"")</f>
        <v/>
      </c>
    </row>
    <row r="304" spans="41:47">
      <c r="AO304" s="6" t="str">
        <f ca="1">IFERROR(MATCH($B$114,OFFSET(#REF!,AO303,0,1000000),0)+AO303,"")</f>
        <v/>
      </c>
      <c r="AP304" s="156" t="str">
        <f ca="1">IFERROR(_xlfn.SINGLE(INDEX(#REF!,'Annual Report'!AO304)),"")</f>
        <v/>
      </c>
      <c r="AQ304" s="6" t="str">
        <f ca="1">IFERROR(_xlfn.SINGLE(INDEX(#REF!,'Annual Report'!AO304)),"")</f>
        <v/>
      </c>
      <c r="AS304" s="6" t="str">
        <f ca="1">IFERROR(MATCH($L$115,OFFSET(#REF!,AS303,0,1000000),0)+AS303,"")</f>
        <v/>
      </c>
      <c r="AT304" s="156" t="str">
        <f ca="1">IFERROR(_xlfn.SINGLE(INDEX(#REF!,'Annual Report'!AS304)),"")</f>
        <v/>
      </c>
      <c r="AU304" s="6" t="str">
        <f ca="1">IFERROR(_xlfn.SINGLE(INDEX(#REF!,'Annual Report'!AS304)),"")</f>
        <v/>
      </c>
    </row>
    <row r="305" spans="41:47">
      <c r="AO305" s="6" t="str">
        <f ca="1">IFERROR(MATCH($B$114,OFFSET(#REF!,AO304,0,1000000),0)+AO304,"")</f>
        <v/>
      </c>
      <c r="AP305" s="156" t="str">
        <f ca="1">IFERROR(_xlfn.SINGLE(INDEX(#REF!,'Annual Report'!AO305)),"")</f>
        <v/>
      </c>
      <c r="AQ305" s="6" t="str">
        <f ca="1">IFERROR(_xlfn.SINGLE(INDEX(#REF!,'Annual Report'!AO305)),"")</f>
        <v/>
      </c>
      <c r="AS305" s="6" t="str">
        <f ca="1">IFERROR(MATCH($L$115,OFFSET(#REF!,AS304,0,1000000),0)+AS304,"")</f>
        <v/>
      </c>
      <c r="AT305" s="156" t="str">
        <f ca="1">IFERROR(_xlfn.SINGLE(INDEX(#REF!,'Annual Report'!AS305)),"")</f>
        <v/>
      </c>
      <c r="AU305" s="6" t="str">
        <f ca="1">IFERROR(_xlfn.SINGLE(INDEX(#REF!,'Annual Report'!AS305)),"")</f>
        <v/>
      </c>
    </row>
    <row r="306" spans="41:47">
      <c r="AO306" s="6" t="str">
        <f ca="1">IFERROR(MATCH($B$114,OFFSET(#REF!,AO305,0,1000000),0)+AO305,"")</f>
        <v/>
      </c>
      <c r="AP306" s="156" t="str">
        <f ca="1">IFERROR(_xlfn.SINGLE(INDEX(#REF!,'Annual Report'!AO306)),"")</f>
        <v/>
      </c>
      <c r="AQ306" s="6" t="str">
        <f ca="1">IFERROR(_xlfn.SINGLE(INDEX(#REF!,'Annual Report'!AO306)),"")</f>
        <v/>
      </c>
      <c r="AS306" s="6" t="str">
        <f ca="1">IFERROR(MATCH($L$115,OFFSET(#REF!,AS305,0,1000000),0)+AS305,"")</f>
        <v/>
      </c>
      <c r="AT306" s="156" t="str">
        <f ca="1">IFERROR(_xlfn.SINGLE(INDEX(#REF!,'Annual Report'!AS306)),"")</f>
        <v/>
      </c>
      <c r="AU306" s="6" t="str">
        <f ca="1">IFERROR(_xlfn.SINGLE(INDEX(#REF!,'Annual Report'!AS306)),"")</f>
        <v/>
      </c>
    </row>
    <row r="307" spans="41:47">
      <c r="AO307" s="6" t="str">
        <f ca="1">IFERROR(MATCH($B$114,OFFSET(#REF!,AO306,0,1000000),0)+AO306,"")</f>
        <v/>
      </c>
      <c r="AP307" s="156" t="str">
        <f ca="1">IFERROR(_xlfn.SINGLE(INDEX(#REF!,'Annual Report'!AO307)),"")</f>
        <v/>
      </c>
      <c r="AQ307" s="6" t="str">
        <f ca="1">IFERROR(_xlfn.SINGLE(INDEX(#REF!,'Annual Report'!AO307)),"")</f>
        <v/>
      </c>
      <c r="AS307" s="6" t="str">
        <f ca="1">IFERROR(MATCH($L$115,OFFSET(#REF!,AS306,0,1000000),0)+AS306,"")</f>
        <v/>
      </c>
      <c r="AT307" s="156" t="str">
        <f ca="1">IFERROR(_xlfn.SINGLE(INDEX(#REF!,'Annual Report'!AS307)),"")</f>
        <v/>
      </c>
      <c r="AU307" s="6" t="str">
        <f ca="1">IFERROR(_xlfn.SINGLE(INDEX(#REF!,'Annual Report'!AS307)),"")</f>
        <v/>
      </c>
    </row>
    <row r="308" spans="41:47">
      <c r="AO308" s="6" t="str">
        <f ca="1">IFERROR(MATCH($B$114,OFFSET(#REF!,AO307,0,1000000),0)+AO307,"")</f>
        <v/>
      </c>
      <c r="AP308" s="156" t="str">
        <f ca="1">IFERROR(_xlfn.SINGLE(INDEX(#REF!,'Annual Report'!AO308)),"")</f>
        <v/>
      </c>
      <c r="AQ308" s="6" t="str">
        <f ca="1">IFERROR(_xlfn.SINGLE(INDEX(#REF!,'Annual Report'!AO308)),"")</f>
        <v/>
      </c>
      <c r="AS308" s="6" t="str">
        <f ca="1">IFERROR(MATCH($L$115,OFFSET(#REF!,AS307,0,1000000),0)+AS307,"")</f>
        <v/>
      </c>
      <c r="AT308" s="156" t="str">
        <f ca="1">IFERROR(_xlfn.SINGLE(INDEX(#REF!,'Annual Report'!AS308)),"")</f>
        <v/>
      </c>
      <c r="AU308" s="6" t="str">
        <f ca="1">IFERROR(_xlfn.SINGLE(INDEX(#REF!,'Annual Report'!AS308)),"")</f>
        <v/>
      </c>
    </row>
    <row r="309" spans="41:47">
      <c r="AO309" s="6" t="str">
        <f ca="1">IFERROR(MATCH($B$114,OFFSET(#REF!,AO308,0,1000000),0)+AO308,"")</f>
        <v/>
      </c>
      <c r="AP309" s="156" t="str">
        <f ca="1">IFERROR(_xlfn.SINGLE(INDEX(#REF!,'Annual Report'!AO309)),"")</f>
        <v/>
      </c>
      <c r="AQ309" s="6" t="str">
        <f ca="1">IFERROR(_xlfn.SINGLE(INDEX(#REF!,'Annual Report'!AO309)),"")</f>
        <v/>
      </c>
      <c r="AS309" s="6" t="str">
        <f ca="1">IFERROR(MATCH($L$115,OFFSET(#REF!,AS308,0,1000000),0)+AS308,"")</f>
        <v/>
      </c>
      <c r="AT309" s="156" t="str">
        <f ca="1">IFERROR(_xlfn.SINGLE(INDEX(#REF!,'Annual Report'!AS309)),"")</f>
        <v/>
      </c>
      <c r="AU309" s="6" t="str">
        <f ca="1">IFERROR(_xlfn.SINGLE(INDEX(#REF!,'Annual Report'!AS309)),"")</f>
        <v/>
      </c>
    </row>
    <row r="310" spans="41:47">
      <c r="AO310" s="6" t="str">
        <f ca="1">IFERROR(MATCH($B$114,OFFSET(#REF!,AO309,0,1000000),0)+AO309,"")</f>
        <v/>
      </c>
      <c r="AP310" s="156" t="str">
        <f ca="1">IFERROR(_xlfn.SINGLE(INDEX(#REF!,'Annual Report'!AO310)),"")</f>
        <v/>
      </c>
      <c r="AQ310" s="6" t="str">
        <f ca="1">IFERROR(_xlfn.SINGLE(INDEX(#REF!,'Annual Report'!AO310)),"")</f>
        <v/>
      </c>
      <c r="AS310" s="6" t="str">
        <f ca="1">IFERROR(MATCH($L$115,OFFSET(#REF!,AS309,0,1000000),0)+AS309,"")</f>
        <v/>
      </c>
      <c r="AT310" s="156" t="str">
        <f ca="1">IFERROR(_xlfn.SINGLE(INDEX(#REF!,'Annual Report'!AS310)),"")</f>
        <v/>
      </c>
      <c r="AU310" s="6" t="str">
        <f ca="1">IFERROR(_xlfn.SINGLE(INDEX(#REF!,'Annual Report'!AS310)),"")</f>
        <v/>
      </c>
    </row>
    <row r="311" spans="41:47">
      <c r="AO311" s="6" t="str">
        <f ca="1">IFERROR(MATCH($B$114,OFFSET(#REF!,AO310,0,1000000),0)+AO310,"")</f>
        <v/>
      </c>
      <c r="AP311" s="156" t="str">
        <f ca="1">IFERROR(_xlfn.SINGLE(INDEX(#REF!,'Annual Report'!AO311)),"")</f>
        <v/>
      </c>
      <c r="AQ311" s="6" t="str">
        <f ca="1">IFERROR(_xlfn.SINGLE(INDEX(#REF!,'Annual Report'!AO311)),"")</f>
        <v/>
      </c>
      <c r="AS311" s="6" t="str">
        <f ca="1">IFERROR(MATCH($L$115,OFFSET(#REF!,AS310,0,1000000),0)+AS310,"")</f>
        <v/>
      </c>
      <c r="AT311" s="156" t="str">
        <f ca="1">IFERROR(_xlfn.SINGLE(INDEX(#REF!,'Annual Report'!AS311)),"")</f>
        <v/>
      </c>
      <c r="AU311" s="6" t="str">
        <f ca="1">IFERROR(_xlfn.SINGLE(INDEX(#REF!,'Annual Report'!AS311)),"")</f>
        <v/>
      </c>
    </row>
    <row r="312" spans="41:47">
      <c r="AO312" s="6" t="str">
        <f ca="1">IFERROR(MATCH($B$114,OFFSET(#REF!,AO311,0,1000000),0)+AO311,"")</f>
        <v/>
      </c>
      <c r="AP312" s="156" t="str">
        <f ca="1">IFERROR(_xlfn.SINGLE(INDEX(#REF!,'Annual Report'!AO312)),"")</f>
        <v/>
      </c>
      <c r="AQ312" s="6" t="str">
        <f ca="1">IFERROR(_xlfn.SINGLE(INDEX(#REF!,'Annual Report'!AO312)),"")</f>
        <v/>
      </c>
      <c r="AS312" s="6" t="str">
        <f ca="1">IFERROR(MATCH($L$115,OFFSET(#REF!,AS311,0,1000000),0)+AS311,"")</f>
        <v/>
      </c>
      <c r="AT312" s="156" t="str">
        <f ca="1">IFERROR(_xlfn.SINGLE(INDEX(#REF!,'Annual Report'!AS312)),"")</f>
        <v/>
      </c>
      <c r="AU312" s="6" t="str">
        <f ca="1">IFERROR(_xlfn.SINGLE(INDEX(#REF!,'Annual Report'!AS312)),"")</f>
        <v/>
      </c>
    </row>
    <row r="313" spans="41:47">
      <c r="AO313" s="6" t="str">
        <f ca="1">IFERROR(MATCH($B$114,OFFSET(#REF!,AO312,0,1000000),0)+AO312,"")</f>
        <v/>
      </c>
      <c r="AP313" s="156" t="str">
        <f ca="1">IFERROR(_xlfn.SINGLE(INDEX(#REF!,'Annual Report'!AO313)),"")</f>
        <v/>
      </c>
      <c r="AQ313" s="6" t="str">
        <f ca="1">IFERROR(_xlfn.SINGLE(INDEX(#REF!,'Annual Report'!AO313)),"")</f>
        <v/>
      </c>
      <c r="AS313" s="6" t="str">
        <f ca="1">IFERROR(MATCH($L$115,OFFSET(#REF!,AS312,0,1000000),0)+AS312,"")</f>
        <v/>
      </c>
      <c r="AT313" s="156" t="str">
        <f ca="1">IFERROR(_xlfn.SINGLE(INDEX(#REF!,'Annual Report'!AS313)),"")</f>
        <v/>
      </c>
      <c r="AU313" s="6" t="str">
        <f ca="1">IFERROR(_xlfn.SINGLE(INDEX(#REF!,'Annual Report'!AS313)),"")</f>
        <v/>
      </c>
    </row>
    <row r="314" spans="41:47">
      <c r="AO314" s="6" t="str">
        <f ca="1">IFERROR(MATCH($B$114,OFFSET(#REF!,AO313,0,1000000),0)+AO313,"")</f>
        <v/>
      </c>
      <c r="AP314" s="156" t="str">
        <f ca="1">IFERROR(_xlfn.SINGLE(INDEX(#REF!,'Annual Report'!AO314)),"")</f>
        <v/>
      </c>
      <c r="AQ314" s="6" t="str">
        <f ca="1">IFERROR(_xlfn.SINGLE(INDEX(#REF!,'Annual Report'!AO314)),"")</f>
        <v/>
      </c>
      <c r="AS314" s="6" t="str">
        <f ca="1">IFERROR(MATCH($L$115,OFFSET(#REF!,AS313,0,1000000),0)+AS313,"")</f>
        <v/>
      </c>
      <c r="AT314" s="156" t="str">
        <f ca="1">IFERROR(_xlfn.SINGLE(INDEX(#REF!,'Annual Report'!AS314)),"")</f>
        <v/>
      </c>
      <c r="AU314" s="6" t="str">
        <f ca="1">IFERROR(_xlfn.SINGLE(INDEX(#REF!,'Annual Report'!AS314)),"")</f>
        <v/>
      </c>
    </row>
    <row r="315" spans="41:47">
      <c r="AO315" s="6" t="str">
        <f ca="1">IFERROR(MATCH($B$114,OFFSET(#REF!,AO314,0,1000000),0)+AO314,"")</f>
        <v/>
      </c>
      <c r="AP315" s="156" t="str">
        <f ca="1">IFERROR(_xlfn.SINGLE(INDEX(#REF!,'Annual Report'!AO315)),"")</f>
        <v/>
      </c>
      <c r="AQ315" s="6" t="str">
        <f ca="1">IFERROR(_xlfn.SINGLE(INDEX(#REF!,'Annual Report'!AO315)),"")</f>
        <v/>
      </c>
      <c r="AS315" s="6" t="str">
        <f ca="1">IFERROR(MATCH($L$115,OFFSET(#REF!,AS314,0,1000000),0)+AS314,"")</f>
        <v/>
      </c>
      <c r="AT315" s="156" t="str">
        <f ca="1">IFERROR(_xlfn.SINGLE(INDEX(#REF!,'Annual Report'!AS315)),"")</f>
        <v/>
      </c>
      <c r="AU315" s="6" t="str">
        <f ca="1">IFERROR(_xlfn.SINGLE(INDEX(#REF!,'Annual Report'!AS315)),"")</f>
        <v/>
      </c>
    </row>
    <row r="316" spans="41:47">
      <c r="AO316" s="6" t="str">
        <f ca="1">IFERROR(MATCH($B$114,OFFSET(#REF!,AO315,0,1000000),0)+AO315,"")</f>
        <v/>
      </c>
      <c r="AP316" s="156" t="str">
        <f ca="1">IFERROR(_xlfn.SINGLE(INDEX(#REF!,'Annual Report'!AO316)),"")</f>
        <v/>
      </c>
      <c r="AQ316" s="6" t="str">
        <f ca="1">IFERROR(_xlfn.SINGLE(INDEX(#REF!,'Annual Report'!AO316)),"")</f>
        <v/>
      </c>
      <c r="AS316" s="6" t="str">
        <f ca="1">IFERROR(MATCH($L$115,OFFSET(#REF!,AS315,0,1000000),0)+AS315,"")</f>
        <v/>
      </c>
      <c r="AT316" s="156" t="str">
        <f ca="1">IFERROR(_xlfn.SINGLE(INDEX(#REF!,'Annual Report'!AS316)),"")</f>
        <v/>
      </c>
      <c r="AU316" s="6" t="str">
        <f ca="1">IFERROR(_xlfn.SINGLE(INDEX(#REF!,'Annual Report'!AS316)),"")</f>
        <v/>
      </c>
    </row>
    <row r="317" spans="41:47">
      <c r="AO317" s="6" t="str">
        <f ca="1">IFERROR(MATCH($B$114,OFFSET(#REF!,AO316,0,1000000),0)+AO316,"")</f>
        <v/>
      </c>
      <c r="AP317" s="156" t="str">
        <f ca="1">IFERROR(_xlfn.SINGLE(INDEX(#REF!,'Annual Report'!AO317)),"")</f>
        <v/>
      </c>
      <c r="AQ317" s="6" t="str">
        <f ca="1">IFERROR(_xlfn.SINGLE(INDEX(#REF!,'Annual Report'!AO317)),"")</f>
        <v/>
      </c>
      <c r="AS317" s="6" t="str">
        <f ca="1">IFERROR(MATCH($L$115,OFFSET(#REF!,AS316,0,1000000),0)+AS316,"")</f>
        <v/>
      </c>
      <c r="AT317" s="156" t="str">
        <f ca="1">IFERROR(_xlfn.SINGLE(INDEX(#REF!,'Annual Report'!AS317)),"")</f>
        <v/>
      </c>
      <c r="AU317" s="6" t="str">
        <f ca="1">IFERROR(_xlfn.SINGLE(INDEX(#REF!,'Annual Report'!AS317)),"")</f>
        <v/>
      </c>
    </row>
    <row r="318" spans="41:47">
      <c r="AO318" s="6" t="str">
        <f ca="1">IFERROR(MATCH($B$114,OFFSET(#REF!,AO317,0,1000000),0)+AO317,"")</f>
        <v/>
      </c>
      <c r="AP318" s="156" t="str">
        <f ca="1">IFERROR(_xlfn.SINGLE(INDEX(#REF!,'Annual Report'!AO318)),"")</f>
        <v/>
      </c>
      <c r="AQ318" s="6" t="str">
        <f ca="1">IFERROR(_xlfn.SINGLE(INDEX(#REF!,'Annual Report'!AO318)),"")</f>
        <v/>
      </c>
      <c r="AS318" s="6" t="str">
        <f ca="1">IFERROR(MATCH($L$115,OFFSET(#REF!,AS317,0,1000000),0)+AS317,"")</f>
        <v/>
      </c>
      <c r="AT318" s="156" t="str">
        <f ca="1">IFERROR(_xlfn.SINGLE(INDEX(#REF!,'Annual Report'!AS318)),"")</f>
        <v/>
      </c>
      <c r="AU318" s="6" t="str">
        <f ca="1">IFERROR(_xlfn.SINGLE(INDEX(#REF!,'Annual Report'!AS318)),"")</f>
        <v/>
      </c>
    </row>
    <row r="319" spans="41:47">
      <c r="AO319" s="6" t="str">
        <f ca="1">IFERROR(MATCH($B$114,OFFSET(#REF!,AO318,0,1000000),0)+AO318,"")</f>
        <v/>
      </c>
      <c r="AP319" s="156" t="str">
        <f ca="1">IFERROR(_xlfn.SINGLE(INDEX(#REF!,'Annual Report'!AO319)),"")</f>
        <v/>
      </c>
      <c r="AQ319" s="6" t="str">
        <f ca="1">IFERROR(_xlfn.SINGLE(INDEX(#REF!,'Annual Report'!AO319)),"")</f>
        <v/>
      </c>
      <c r="AS319" s="6" t="str">
        <f ca="1">IFERROR(MATCH($L$115,OFFSET(#REF!,AS318,0,1000000),0)+AS318,"")</f>
        <v/>
      </c>
      <c r="AT319" s="156" t="str">
        <f ca="1">IFERROR(_xlfn.SINGLE(INDEX(#REF!,'Annual Report'!AS319)),"")</f>
        <v/>
      </c>
      <c r="AU319" s="6" t="str">
        <f ca="1">IFERROR(_xlfn.SINGLE(INDEX(#REF!,'Annual Report'!AS319)),"")</f>
        <v/>
      </c>
    </row>
    <row r="320" spans="41:47">
      <c r="AO320" s="6" t="str">
        <f ca="1">IFERROR(MATCH($B$114,OFFSET(#REF!,AO319,0,1000000),0)+AO319,"")</f>
        <v/>
      </c>
      <c r="AP320" s="156" t="str">
        <f ca="1">IFERROR(_xlfn.SINGLE(INDEX(#REF!,'Annual Report'!AO320)),"")</f>
        <v/>
      </c>
      <c r="AQ320" s="6" t="str">
        <f ca="1">IFERROR(_xlfn.SINGLE(INDEX(#REF!,'Annual Report'!AO320)),"")</f>
        <v/>
      </c>
      <c r="AS320" s="6" t="str">
        <f ca="1">IFERROR(MATCH($L$115,OFFSET(#REF!,AS319,0,1000000),0)+AS319,"")</f>
        <v/>
      </c>
      <c r="AT320" s="156" t="str">
        <f ca="1">IFERROR(_xlfn.SINGLE(INDEX(#REF!,'Annual Report'!AS320)),"")</f>
        <v/>
      </c>
      <c r="AU320" s="6" t="str">
        <f ca="1">IFERROR(_xlfn.SINGLE(INDEX(#REF!,'Annual Report'!AS320)),"")</f>
        <v/>
      </c>
    </row>
    <row r="321" spans="41:47">
      <c r="AO321" s="6" t="str">
        <f ca="1">IFERROR(MATCH($B$114,OFFSET(#REF!,AO320,0,1000000),0)+AO320,"")</f>
        <v/>
      </c>
      <c r="AP321" s="156" t="str">
        <f ca="1">IFERROR(_xlfn.SINGLE(INDEX(#REF!,'Annual Report'!AO321)),"")</f>
        <v/>
      </c>
      <c r="AQ321" s="6" t="str">
        <f ca="1">IFERROR(_xlfn.SINGLE(INDEX(#REF!,'Annual Report'!AO321)),"")</f>
        <v/>
      </c>
      <c r="AS321" s="6" t="str">
        <f ca="1">IFERROR(MATCH($L$115,OFFSET(#REF!,AS320,0,1000000),0)+AS320,"")</f>
        <v/>
      </c>
      <c r="AT321" s="156" t="str">
        <f ca="1">IFERROR(_xlfn.SINGLE(INDEX(#REF!,'Annual Report'!AS321)),"")</f>
        <v/>
      </c>
      <c r="AU321" s="6" t="str">
        <f ca="1">IFERROR(_xlfn.SINGLE(INDEX(#REF!,'Annual Report'!AS321)),"")</f>
        <v/>
      </c>
    </row>
    <row r="322" spans="41:47">
      <c r="AO322" s="6" t="str">
        <f ca="1">IFERROR(MATCH($B$114,OFFSET(#REF!,AO321,0,1000000),0)+AO321,"")</f>
        <v/>
      </c>
      <c r="AP322" s="156" t="str">
        <f ca="1">IFERROR(_xlfn.SINGLE(INDEX(#REF!,'Annual Report'!AO322)),"")</f>
        <v/>
      </c>
      <c r="AQ322" s="6" t="str">
        <f ca="1">IFERROR(_xlfn.SINGLE(INDEX(#REF!,'Annual Report'!AO322)),"")</f>
        <v/>
      </c>
      <c r="AS322" s="6" t="str">
        <f ca="1">IFERROR(MATCH($L$115,OFFSET(#REF!,AS321,0,1000000),0)+AS321,"")</f>
        <v/>
      </c>
      <c r="AT322" s="156" t="str">
        <f ca="1">IFERROR(_xlfn.SINGLE(INDEX(#REF!,'Annual Report'!AS322)),"")</f>
        <v/>
      </c>
      <c r="AU322" s="6" t="str">
        <f ca="1">IFERROR(_xlfn.SINGLE(INDEX(#REF!,'Annual Report'!AS322)),"")</f>
        <v/>
      </c>
    </row>
    <row r="323" spans="41:47">
      <c r="AO323" s="6" t="str">
        <f ca="1">IFERROR(MATCH($B$114,OFFSET(#REF!,AO322,0,1000000),0)+AO322,"")</f>
        <v/>
      </c>
      <c r="AP323" s="156" t="str">
        <f ca="1">IFERROR(_xlfn.SINGLE(INDEX(#REF!,'Annual Report'!AO323)),"")</f>
        <v/>
      </c>
      <c r="AQ323" s="6" t="str">
        <f ca="1">IFERROR(_xlfn.SINGLE(INDEX(#REF!,'Annual Report'!AO323)),"")</f>
        <v/>
      </c>
      <c r="AS323" s="6" t="str">
        <f ca="1">IFERROR(MATCH($L$115,OFFSET(#REF!,AS322,0,1000000),0)+AS322,"")</f>
        <v/>
      </c>
      <c r="AT323" s="156" t="str">
        <f ca="1">IFERROR(_xlfn.SINGLE(INDEX(#REF!,'Annual Report'!AS323)),"")</f>
        <v/>
      </c>
      <c r="AU323" s="6" t="str">
        <f ca="1">IFERROR(_xlfn.SINGLE(INDEX(#REF!,'Annual Report'!AS323)),"")</f>
        <v/>
      </c>
    </row>
    <row r="324" spans="41:47">
      <c r="AO324" s="6" t="str">
        <f ca="1">IFERROR(MATCH($B$114,OFFSET(#REF!,AO323,0,1000000),0)+AO323,"")</f>
        <v/>
      </c>
      <c r="AP324" s="156" t="str">
        <f ca="1">IFERROR(_xlfn.SINGLE(INDEX(#REF!,'Annual Report'!AO324)),"")</f>
        <v/>
      </c>
      <c r="AQ324" s="6" t="str">
        <f ca="1">IFERROR(_xlfn.SINGLE(INDEX(#REF!,'Annual Report'!AO324)),"")</f>
        <v/>
      </c>
      <c r="AS324" s="6" t="str">
        <f ca="1">IFERROR(MATCH($L$115,OFFSET(#REF!,AS323,0,1000000),0)+AS323,"")</f>
        <v/>
      </c>
      <c r="AT324" s="156" t="str">
        <f ca="1">IFERROR(_xlfn.SINGLE(INDEX(#REF!,'Annual Report'!AS324)),"")</f>
        <v/>
      </c>
      <c r="AU324" s="6" t="str">
        <f ca="1">IFERROR(_xlfn.SINGLE(INDEX(#REF!,'Annual Report'!AS324)),"")</f>
        <v/>
      </c>
    </row>
    <row r="325" spans="41:47">
      <c r="AO325" s="6" t="str">
        <f ca="1">IFERROR(MATCH($B$114,OFFSET(#REF!,AO324,0,1000000),0)+AO324,"")</f>
        <v/>
      </c>
      <c r="AP325" s="156" t="str">
        <f ca="1">IFERROR(_xlfn.SINGLE(INDEX(#REF!,'Annual Report'!AO325)),"")</f>
        <v/>
      </c>
      <c r="AQ325" s="6" t="str">
        <f ca="1">IFERROR(_xlfn.SINGLE(INDEX(#REF!,'Annual Report'!AO325)),"")</f>
        <v/>
      </c>
      <c r="AS325" s="6" t="str">
        <f ca="1">IFERROR(MATCH($L$115,OFFSET(#REF!,AS324,0,1000000),0)+AS324,"")</f>
        <v/>
      </c>
      <c r="AT325" s="156" t="str">
        <f ca="1">IFERROR(_xlfn.SINGLE(INDEX(#REF!,'Annual Report'!AS325)),"")</f>
        <v/>
      </c>
      <c r="AU325" s="6" t="str">
        <f ca="1">IFERROR(_xlfn.SINGLE(INDEX(#REF!,'Annual Report'!AS325)),"")</f>
        <v/>
      </c>
    </row>
    <row r="326" spans="41:47">
      <c r="AO326" s="6" t="str">
        <f ca="1">IFERROR(MATCH($B$114,OFFSET(#REF!,AO325,0,1000000),0)+AO325,"")</f>
        <v/>
      </c>
      <c r="AP326" s="156" t="str">
        <f ca="1">IFERROR(_xlfn.SINGLE(INDEX(#REF!,'Annual Report'!AO326)),"")</f>
        <v/>
      </c>
      <c r="AQ326" s="6" t="str">
        <f ca="1">IFERROR(_xlfn.SINGLE(INDEX(#REF!,'Annual Report'!AO326)),"")</f>
        <v/>
      </c>
      <c r="AS326" s="6" t="str">
        <f ca="1">IFERROR(MATCH($L$115,OFFSET(#REF!,AS325,0,1000000),0)+AS325,"")</f>
        <v/>
      </c>
      <c r="AT326" s="156" t="str">
        <f ca="1">IFERROR(_xlfn.SINGLE(INDEX(#REF!,'Annual Report'!AS326)),"")</f>
        <v/>
      </c>
      <c r="AU326" s="6" t="str">
        <f ca="1">IFERROR(_xlfn.SINGLE(INDEX(#REF!,'Annual Report'!AS326)),"")</f>
        <v/>
      </c>
    </row>
    <row r="327" spans="41:47">
      <c r="AO327" s="6" t="str">
        <f ca="1">IFERROR(MATCH($B$114,OFFSET(#REF!,AO326,0,1000000),0)+AO326,"")</f>
        <v/>
      </c>
      <c r="AP327" s="156" t="str">
        <f ca="1">IFERROR(_xlfn.SINGLE(INDEX(#REF!,'Annual Report'!AO327)),"")</f>
        <v/>
      </c>
      <c r="AQ327" s="6" t="str">
        <f ca="1">IFERROR(_xlfn.SINGLE(INDEX(#REF!,'Annual Report'!AO327)),"")</f>
        <v/>
      </c>
      <c r="AS327" s="6" t="str">
        <f ca="1">IFERROR(MATCH($L$115,OFFSET(#REF!,AS326,0,1000000),0)+AS326,"")</f>
        <v/>
      </c>
      <c r="AT327" s="156" t="str">
        <f ca="1">IFERROR(_xlfn.SINGLE(INDEX(#REF!,'Annual Report'!AS327)),"")</f>
        <v/>
      </c>
      <c r="AU327" s="6" t="str">
        <f ca="1">IFERROR(_xlfn.SINGLE(INDEX(#REF!,'Annual Report'!AS327)),"")</f>
        <v/>
      </c>
    </row>
    <row r="328" spans="41:47">
      <c r="AO328" s="6" t="str">
        <f ca="1">IFERROR(MATCH($B$114,OFFSET(#REF!,AO327,0,1000000),0)+AO327,"")</f>
        <v/>
      </c>
      <c r="AP328" s="156" t="str">
        <f ca="1">IFERROR(_xlfn.SINGLE(INDEX(#REF!,'Annual Report'!AO328)),"")</f>
        <v/>
      </c>
      <c r="AQ328" s="6" t="str">
        <f ca="1">IFERROR(_xlfn.SINGLE(INDEX(#REF!,'Annual Report'!AO328)),"")</f>
        <v/>
      </c>
      <c r="AS328" s="6" t="str">
        <f ca="1">IFERROR(MATCH($L$115,OFFSET(#REF!,AS327,0,1000000),0)+AS327,"")</f>
        <v/>
      </c>
      <c r="AT328" s="156" t="str">
        <f ca="1">IFERROR(_xlfn.SINGLE(INDEX(#REF!,'Annual Report'!AS328)),"")</f>
        <v/>
      </c>
      <c r="AU328" s="6" t="str">
        <f ca="1">IFERROR(_xlfn.SINGLE(INDEX(#REF!,'Annual Report'!AS328)),"")</f>
        <v/>
      </c>
    </row>
    <row r="329" spans="41:47">
      <c r="AO329" s="6" t="str">
        <f ca="1">IFERROR(MATCH($B$114,OFFSET(#REF!,AO328,0,1000000),0)+AO328,"")</f>
        <v/>
      </c>
      <c r="AP329" s="156" t="str">
        <f ca="1">IFERROR(_xlfn.SINGLE(INDEX(#REF!,'Annual Report'!AO329)),"")</f>
        <v/>
      </c>
      <c r="AQ329" s="6" t="str">
        <f ca="1">IFERROR(_xlfn.SINGLE(INDEX(#REF!,'Annual Report'!AO329)),"")</f>
        <v/>
      </c>
      <c r="AS329" s="6" t="str">
        <f ca="1">IFERROR(MATCH($L$115,OFFSET(#REF!,AS328,0,1000000),0)+AS328,"")</f>
        <v/>
      </c>
      <c r="AT329" s="156" t="str">
        <f ca="1">IFERROR(_xlfn.SINGLE(INDEX(#REF!,'Annual Report'!AS329)),"")</f>
        <v/>
      </c>
      <c r="AU329" s="6" t="str">
        <f ca="1">IFERROR(_xlfn.SINGLE(INDEX(#REF!,'Annual Report'!AS329)),"")</f>
        <v/>
      </c>
    </row>
    <row r="330" spans="41:47">
      <c r="AO330" s="6" t="str">
        <f ca="1">IFERROR(MATCH($B$114,OFFSET(#REF!,AO329,0,1000000),0)+AO329,"")</f>
        <v/>
      </c>
      <c r="AP330" s="156" t="str">
        <f ca="1">IFERROR(_xlfn.SINGLE(INDEX(#REF!,'Annual Report'!AO330)),"")</f>
        <v/>
      </c>
      <c r="AQ330" s="6" t="str">
        <f ca="1">IFERROR(_xlfn.SINGLE(INDEX(#REF!,'Annual Report'!AO330)),"")</f>
        <v/>
      </c>
      <c r="AS330" s="6" t="str">
        <f ca="1">IFERROR(MATCH($L$115,OFFSET(#REF!,AS329,0,1000000),0)+AS329,"")</f>
        <v/>
      </c>
      <c r="AT330" s="156" t="str">
        <f ca="1">IFERROR(_xlfn.SINGLE(INDEX(#REF!,'Annual Report'!AS330)),"")</f>
        <v/>
      </c>
      <c r="AU330" s="6" t="str">
        <f ca="1">IFERROR(_xlfn.SINGLE(INDEX(#REF!,'Annual Report'!AS330)),"")</f>
        <v/>
      </c>
    </row>
    <row r="331" spans="41:47">
      <c r="AO331" s="6" t="str">
        <f ca="1">IFERROR(MATCH($B$114,OFFSET(#REF!,AO330,0,1000000),0)+AO330,"")</f>
        <v/>
      </c>
      <c r="AP331" s="156" t="str">
        <f ca="1">IFERROR(_xlfn.SINGLE(INDEX(#REF!,'Annual Report'!AO331)),"")</f>
        <v/>
      </c>
      <c r="AQ331" s="6" t="str">
        <f ca="1">IFERROR(_xlfn.SINGLE(INDEX(#REF!,'Annual Report'!AO331)),"")</f>
        <v/>
      </c>
      <c r="AS331" s="6" t="str">
        <f ca="1">IFERROR(MATCH($L$115,OFFSET(#REF!,AS330,0,1000000),0)+AS330,"")</f>
        <v/>
      </c>
      <c r="AT331" s="156" t="str">
        <f ca="1">IFERROR(_xlfn.SINGLE(INDEX(#REF!,'Annual Report'!AS331)),"")</f>
        <v/>
      </c>
      <c r="AU331" s="6" t="str">
        <f ca="1">IFERROR(_xlfn.SINGLE(INDEX(#REF!,'Annual Report'!AS331)),"")</f>
        <v/>
      </c>
    </row>
    <row r="332" spans="41:47">
      <c r="AO332" s="6" t="str">
        <f ca="1">IFERROR(MATCH($B$114,OFFSET(#REF!,AO331,0,1000000),0)+AO331,"")</f>
        <v/>
      </c>
      <c r="AP332" s="156" t="str">
        <f ca="1">IFERROR(_xlfn.SINGLE(INDEX(#REF!,'Annual Report'!AO332)),"")</f>
        <v/>
      </c>
      <c r="AQ332" s="6" t="str">
        <f ca="1">IFERROR(_xlfn.SINGLE(INDEX(#REF!,'Annual Report'!AO332)),"")</f>
        <v/>
      </c>
      <c r="AS332" s="6" t="str">
        <f ca="1">IFERROR(MATCH($L$115,OFFSET(#REF!,AS331,0,1000000),0)+AS331,"")</f>
        <v/>
      </c>
      <c r="AT332" s="156" t="str">
        <f ca="1">IFERROR(_xlfn.SINGLE(INDEX(#REF!,'Annual Report'!AS332)),"")</f>
        <v/>
      </c>
      <c r="AU332" s="6" t="str">
        <f ca="1">IFERROR(_xlfn.SINGLE(INDEX(#REF!,'Annual Report'!AS332)),"")</f>
        <v/>
      </c>
    </row>
    <row r="333" spans="41:47">
      <c r="AO333" s="6" t="str">
        <f ca="1">IFERROR(MATCH($B$114,OFFSET(#REF!,AO332,0,1000000),0)+AO332,"")</f>
        <v/>
      </c>
      <c r="AP333" s="156" t="str">
        <f ca="1">IFERROR(_xlfn.SINGLE(INDEX(#REF!,'Annual Report'!AO333)),"")</f>
        <v/>
      </c>
      <c r="AQ333" s="6" t="str">
        <f ca="1">IFERROR(_xlfn.SINGLE(INDEX(#REF!,'Annual Report'!AO333)),"")</f>
        <v/>
      </c>
      <c r="AS333" s="6" t="str">
        <f ca="1">IFERROR(MATCH($L$115,OFFSET(#REF!,AS332,0,1000000),0)+AS332,"")</f>
        <v/>
      </c>
      <c r="AT333" s="156" t="str">
        <f ca="1">IFERROR(_xlfn.SINGLE(INDEX(#REF!,'Annual Report'!AS333)),"")</f>
        <v/>
      </c>
      <c r="AU333" s="6" t="str">
        <f ca="1">IFERROR(_xlfn.SINGLE(INDEX(#REF!,'Annual Report'!AS333)),"")</f>
        <v/>
      </c>
    </row>
    <row r="334" spans="41:47">
      <c r="AO334" s="6" t="str">
        <f ca="1">IFERROR(MATCH($B$114,OFFSET(#REF!,AO333,0,1000000),0)+AO333,"")</f>
        <v/>
      </c>
      <c r="AP334" s="156" t="str">
        <f ca="1">IFERROR(_xlfn.SINGLE(INDEX(#REF!,'Annual Report'!AO334)),"")</f>
        <v/>
      </c>
      <c r="AQ334" s="6" t="str">
        <f ca="1">IFERROR(_xlfn.SINGLE(INDEX(#REF!,'Annual Report'!AO334)),"")</f>
        <v/>
      </c>
      <c r="AS334" s="6" t="str">
        <f ca="1">IFERROR(MATCH($L$115,OFFSET(#REF!,AS333,0,1000000),0)+AS333,"")</f>
        <v/>
      </c>
      <c r="AT334" s="156" t="str">
        <f ca="1">IFERROR(_xlfn.SINGLE(INDEX(#REF!,'Annual Report'!AS334)),"")</f>
        <v/>
      </c>
      <c r="AU334" s="6" t="str">
        <f ca="1">IFERROR(_xlfn.SINGLE(INDEX(#REF!,'Annual Report'!AS334)),"")</f>
        <v/>
      </c>
    </row>
    <row r="335" spans="41:47">
      <c r="AO335" s="6" t="str">
        <f ca="1">IFERROR(MATCH($B$114,OFFSET(#REF!,AO334,0,1000000),0)+AO334,"")</f>
        <v/>
      </c>
      <c r="AP335" s="156" t="str">
        <f ca="1">IFERROR(_xlfn.SINGLE(INDEX(#REF!,'Annual Report'!AO335)),"")</f>
        <v/>
      </c>
      <c r="AQ335" s="6" t="str">
        <f ca="1">IFERROR(_xlfn.SINGLE(INDEX(#REF!,'Annual Report'!AO335)),"")</f>
        <v/>
      </c>
      <c r="AS335" s="6" t="str">
        <f ca="1">IFERROR(MATCH($L$115,OFFSET(#REF!,AS334,0,1000000),0)+AS334,"")</f>
        <v/>
      </c>
      <c r="AT335" s="156" t="str">
        <f ca="1">IFERROR(_xlfn.SINGLE(INDEX(#REF!,'Annual Report'!AS335)),"")</f>
        <v/>
      </c>
      <c r="AU335" s="6" t="str">
        <f ca="1">IFERROR(_xlfn.SINGLE(INDEX(#REF!,'Annual Report'!AS335)),"")</f>
        <v/>
      </c>
    </row>
    <row r="336" spans="41:47">
      <c r="AO336" s="6" t="str">
        <f ca="1">IFERROR(MATCH($B$114,OFFSET(#REF!,AO335,0,1000000),0)+AO335,"")</f>
        <v/>
      </c>
      <c r="AP336" s="156" t="str">
        <f ca="1">IFERROR(_xlfn.SINGLE(INDEX(#REF!,'Annual Report'!AO336)),"")</f>
        <v/>
      </c>
      <c r="AQ336" s="6" t="str">
        <f ca="1">IFERROR(_xlfn.SINGLE(INDEX(#REF!,'Annual Report'!AO336)),"")</f>
        <v/>
      </c>
      <c r="AS336" s="6" t="str">
        <f ca="1">IFERROR(MATCH($L$115,OFFSET(#REF!,AS335,0,1000000),0)+AS335,"")</f>
        <v/>
      </c>
      <c r="AT336" s="156" t="str">
        <f ca="1">IFERROR(_xlfn.SINGLE(INDEX(#REF!,'Annual Report'!AS336)),"")</f>
        <v/>
      </c>
      <c r="AU336" s="6" t="str">
        <f ca="1">IFERROR(_xlfn.SINGLE(INDEX(#REF!,'Annual Report'!AS336)),"")</f>
        <v/>
      </c>
    </row>
    <row r="337" spans="41:47">
      <c r="AO337" s="6" t="str">
        <f ca="1">IFERROR(MATCH($B$114,OFFSET(#REF!,AO336,0,1000000),0)+AO336,"")</f>
        <v/>
      </c>
      <c r="AP337" s="156" t="str">
        <f ca="1">IFERROR(_xlfn.SINGLE(INDEX(#REF!,'Annual Report'!AO337)),"")</f>
        <v/>
      </c>
      <c r="AQ337" s="6" t="str">
        <f ca="1">IFERROR(_xlfn.SINGLE(INDEX(#REF!,'Annual Report'!AO337)),"")</f>
        <v/>
      </c>
      <c r="AS337" s="6" t="str">
        <f ca="1">IFERROR(MATCH($L$115,OFFSET(#REF!,AS336,0,1000000),0)+AS336,"")</f>
        <v/>
      </c>
      <c r="AT337" s="156" t="str">
        <f ca="1">IFERROR(_xlfn.SINGLE(INDEX(#REF!,'Annual Report'!AS337)),"")</f>
        <v/>
      </c>
      <c r="AU337" s="6" t="str">
        <f ca="1">IFERROR(_xlfn.SINGLE(INDEX(#REF!,'Annual Report'!AS337)),"")</f>
        <v/>
      </c>
    </row>
    <row r="338" spans="41:47">
      <c r="AO338" s="6" t="str">
        <f ca="1">IFERROR(MATCH($B$114,OFFSET(#REF!,AO337,0,1000000),0)+AO337,"")</f>
        <v/>
      </c>
      <c r="AP338" s="156" t="str">
        <f ca="1">IFERROR(_xlfn.SINGLE(INDEX(#REF!,'Annual Report'!AO338)),"")</f>
        <v/>
      </c>
      <c r="AQ338" s="6" t="str">
        <f ca="1">IFERROR(_xlfn.SINGLE(INDEX(#REF!,'Annual Report'!AO338)),"")</f>
        <v/>
      </c>
      <c r="AS338" s="6" t="str">
        <f ca="1">IFERROR(MATCH($L$115,OFFSET(#REF!,AS337,0,1000000),0)+AS337,"")</f>
        <v/>
      </c>
      <c r="AT338" s="156" t="str">
        <f ca="1">IFERROR(_xlfn.SINGLE(INDEX(#REF!,'Annual Report'!AS338)),"")</f>
        <v/>
      </c>
      <c r="AU338" s="6" t="str">
        <f ca="1">IFERROR(_xlfn.SINGLE(INDEX(#REF!,'Annual Report'!AS338)),"")</f>
        <v/>
      </c>
    </row>
    <row r="339" spans="41:47">
      <c r="AO339" s="6" t="str">
        <f ca="1">IFERROR(MATCH($B$114,OFFSET(#REF!,AO338,0,1000000),0)+AO338,"")</f>
        <v/>
      </c>
      <c r="AP339" s="156" t="str">
        <f ca="1">IFERROR(_xlfn.SINGLE(INDEX(#REF!,'Annual Report'!AO339)),"")</f>
        <v/>
      </c>
      <c r="AQ339" s="6" t="str">
        <f ca="1">IFERROR(_xlfn.SINGLE(INDEX(#REF!,'Annual Report'!AO339)),"")</f>
        <v/>
      </c>
      <c r="AS339" s="6" t="str">
        <f ca="1">IFERROR(MATCH($L$115,OFFSET(#REF!,AS338,0,1000000),0)+AS338,"")</f>
        <v/>
      </c>
      <c r="AT339" s="156" t="str">
        <f ca="1">IFERROR(_xlfn.SINGLE(INDEX(#REF!,'Annual Report'!AS339)),"")</f>
        <v/>
      </c>
      <c r="AU339" s="6" t="str">
        <f ca="1">IFERROR(_xlfn.SINGLE(INDEX(#REF!,'Annual Report'!AS339)),"")</f>
        <v/>
      </c>
    </row>
    <row r="340" spans="41:47">
      <c r="AO340" s="6" t="str">
        <f ca="1">IFERROR(MATCH($B$114,OFFSET(#REF!,AO339,0,1000000),0)+AO339,"")</f>
        <v/>
      </c>
      <c r="AP340" s="156" t="str">
        <f ca="1">IFERROR(_xlfn.SINGLE(INDEX(#REF!,'Annual Report'!AO340)),"")</f>
        <v/>
      </c>
      <c r="AQ340" s="6" t="str">
        <f ca="1">IFERROR(_xlfn.SINGLE(INDEX(#REF!,'Annual Report'!AO340)),"")</f>
        <v/>
      </c>
      <c r="AS340" s="6" t="str">
        <f ca="1">IFERROR(MATCH($L$115,OFFSET(#REF!,AS339,0,1000000),0)+AS339,"")</f>
        <v/>
      </c>
      <c r="AT340" s="156" t="str">
        <f ca="1">IFERROR(_xlfn.SINGLE(INDEX(#REF!,'Annual Report'!AS340)),"")</f>
        <v/>
      </c>
      <c r="AU340" s="6" t="str">
        <f ca="1">IFERROR(_xlfn.SINGLE(INDEX(#REF!,'Annual Report'!AS340)),"")</f>
        <v/>
      </c>
    </row>
    <row r="341" spans="41:47">
      <c r="AO341" s="6" t="str">
        <f ca="1">IFERROR(MATCH($B$114,OFFSET(#REF!,AO340,0,1000000),0)+AO340,"")</f>
        <v/>
      </c>
      <c r="AP341" s="156" t="str">
        <f ca="1">IFERROR(_xlfn.SINGLE(INDEX(#REF!,'Annual Report'!AO341)),"")</f>
        <v/>
      </c>
      <c r="AQ341" s="6" t="str">
        <f ca="1">IFERROR(_xlfn.SINGLE(INDEX(#REF!,'Annual Report'!AO341)),"")</f>
        <v/>
      </c>
      <c r="AS341" s="6" t="str">
        <f ca="1">IFERROR(MATCH($L$115,OFFSET(#REF!,AS340,0,1000000),0)+AS340,"")</f>
        <v/>
      </c>
      <c r="AT341" s="156" t="str">
        <f ca="1">IFERROR(_xlfn.SINGLE(INDEX(#REF!,'Annual Report'!AS341)),"")</f>
        <v/>
      </c>
      <c r="AU341" s="6" t="str">
        <f ca="1">IFERROR(_xlfn.SINGLE(INDEX(#REF!,'Annual Report'!AS341)),"")</f>
        <v/>
      </c>
    </row>
    <row r="342" spans="41:47">
      <c r="AO342" s="6" t="str">
        <f ca="1">IFERROR(MATCH($B$114,OFFSET(#REF!,AO341,0,1000000),0)+AO341,"")</f>
        <v/>
      </c>
      <c r="AP342" s="156" t="str">
        <f ca="1">IFERROR(_xlfn.SINGLE(INDEX(#REF!,'Annual Report'!AO342)),"")</f>
        <v/>
      </c>
      <c r="AQ342" s="6" t="str">
        <f ca="1">IFERROR(_xlfn.SINGLE(INDEX(#REF!,'Annual Report'!AO342)),"")</f>
        <v/>
      </c>
      <c r="AS342" s="6" t="str">
        <f ca="1">IFERROR(MATCH($L$115,OFFSET(#REF!,AS341,0,1000000),0)+AS341,"")</f>
        <v/>
      </c>
      <c r="AT342" s="156" t="str">
        <f ca="1">IFERROR(_xlfn.SINGLE(INDEX(#REF!,'Annual Report'!AS342)),"")</f>
        <v/>
      </c>
      <c r="AU342" s="6" t="str">
        <f ca="1">IFERROR(_xlfn.SINGLE(INDEX(#REF!,'Annual Report'!AS342)),"")</f>
        <v/>
      </c>
    </row>
    <row r="343" spans="41:47">
      <c r="AO343" s="6" t="str">
        <f ca="1">IFERROR(MATCH($B$114,OFFSET(#REF!,AO342,0,1000000),0)+AO342,"")</f>
        <v/>
      </c>
      <c r="AP343" s="156" t="str">
        <f ca="1">IFERROR(_xlfn.SINGLE(INDEX(#REF!,'Annual Report'!AO343)),"")</f>
        <v/>
      </c>
      <c r="AQ343" s="6" t="str">
        <f ca="1">IFERROR(_xlfn.SINGLE(INDEX(#REF!,'Annual Report'!AO343)),"")</f>
        <v/>
      </c>
      <c r="AS343" s="6" t="str">
        <f ca="1">IFERROR(MATCH($L$115,OFFSET(#REF!,AS342,0,1000000),0)+AS342,"")</f>
        <v/>
      </c>
      <c r="AT343" s="156" t="str">
        <f ca="1">IFERROR(_xlfn.SINGLE(INDEX(#REF!,'Annual Report'!AS343)),"")</f>
        <v/>
      </c>
      <c r="AU343" s="6" t="str">
        <f ca="1">IFERROR(_xlfn.SINGLE(INDEX(#REF!,'Annual Report'!AS343)),"")</f>
        <v/>
      </c>
    </row>
    <row r="344" spans="41:47">
      <c r="AO344" s="6" t="str">
        <f ca="1">IFERROR(MATCH($B$114,OFFSET(#REF!,AO343,0,1000000),0)+AO343,"")</f>
        <v/>
      </c>
      <c r="AP344" s="156" t="str">
        <f ca="1">IFERROR(_xlfn.SINGLE(INDEX(#REF!,'Annual Report'!AO344)),"")</f>
        <v/>
      </c>
      <c r="AQ344" s="6" t="str">
        <f ca="1">IFERROR(_xlfn.SINGLE(INDEX(#REF!,'Annual Report'!AO344)),"")</f>
        <v/>
      </c>
      <c r="AS344" s="6" t="str">
        <f ca="1">IFERROR(MATCH($L$115,OFFSET(#REF!,AS343,0,1000000),0)+AS343,"")</f>
        <v/>
      </c>
      <c r="AT344" s="156" t="str">
        <f ca="1">IFERROR(_xlfn.SINGLE(INDEX(#REF!,'Annual Report'!AS344)),"")</f>
        <v/>
      </c>
      <c r="AU344" s="6" t="str">
        <f ca="1">IFERROR(_xlfn.SINGLE(INDEX(#REF!,'Annual Report'!AS344)),"")</f>
        <v/>
      </c>
    </row>
    <row r="345" spans="41:47">
      <c r="AO345" s="6" t="str">
        <f ca="1">IFERROR(MATCH($B$114,OFFSET(#REF!,AO344,0,1000000),0)+AO344,"")</f>
        <v/>
      </c>
      <c r="AP345" s="156" t="str">
        <f ca="1">IFERROR(_xlfn.SINGLE(INDEX(#REF!,'Annual Report'!AO345)),"")</f>
        <v/>
      </c>
      <c r="AQ345" s="6" t="str">
        <f ca="1">IFERROR(_xlfn.SINGLE(INDEX(#REF!,'Annual Report'!AO345)),"")</f>
        <v/>
      </c>
      <c r="AS345" s="6" t="str">
        <f ca="1">IFERROR(MATCH($L$115,OFFSET(#REF!,AS344,0,1000000),0)+AS344,"")</f>
        <v/>
      </c>
      <c r="AT345" s="156" t="str">
        <f ca="1">IFERROR(_xlfn.SINGLE(INDEX(#REF!,'Annual Report'!AS345)),"")</f>
        <v/>
      </c>
      <c r="AU345" s="6" t="str">
        <f ca="1">IFERROR(_xlfn.SINGLE(INDEX(#REF!,'Annual Report'!AS345)),"")</f>
        <v/>
      </c>
    </row>
    <row r="346" spans="41:47">
      <c r="AO346" s="6" t="str">
        <f ca="1">IFERROR(MATCH($B$114,OFFSET(#REF!,AO345,0,1000000),0)+AO345,"")</f>
        <v/>
      </c>
      <c r="AP346" s="156" t="str">
        <f ca="1">IFERROR(_xlfn.SINGLE(INDEX(#REF!,'Annual Report'!AO346)),"")</f>
        <v/>
      </c>
      <c r="AQ346" s="6" t="str">
        <f ca="1">IFERROR(_xlfn.SINGLE(INDEX(#REF!,'Annual Report'!AO346)),"")</f>
        <v/>
      </c>
      <c r="AS346" s="6" t="str">
        <f ca="1">IFERROR(MATCH($L$115,OFFSET(#REF!,AS345,0,1000000),0)+AS345,"")</f>
        <v/>
      </c>
      <c r="AT346" s="156" t="str">
        <f ca="1">IFERROR(_xlfn.SINGLE(INDEX(#REF!,'Annual Report'!AS346)),"")</f>
        <v/>
      </c>
      <c r="AU346" s="6" t="str">
        <f ca="1">IFERROR(_xlfn.SINGLE(INDEX(#REF!,'Annual Report'!AS346)),"")</f>
        <v/>
      </c>
    </row>
    <row r="347" spans="41:47">
      <c r="AO347" s="6" t="str">
        <f ca="1">IFERROR(MATCH($B$114,OFFSET(#REF!,AO346,0,1000000),0)+AO346,"")</f>
        <v/>
      </c>
      <c r="AP347" s="156" t="str">
        <f ca="1">IFERROR(_xlfn.SINGLE(INDEX(#REF!,'Annual Report'!AO347)),"")</f>
        <v/>
      </c>
      <c r="AQ347" s="6" t="str">
        <f ca="1">IFERROR(_xlfn.SINGLE(INDEX(#REF!,'Annual Report'!AO347)),"")</f>
        <v/>
      </c>
      <c r="AS347" s="6" t="str">
        <f ca="1">IFERROR(MATCH($L$115,OFFSET(#REF!,AS346,0,1000000),0)+AS346,"")</f>
        <v/>
      </c>
      <c r="AT347" s="156" t="str">
        <f ca="1">IFERROR(_xlfn.SINGLE(INDEX(#REF!,'Annual Report'!AS347)),"")</f>
        <v/>
      </c>
      <c r="AU347" s="6" t="str">
        <f ca="1">IFERROR(_xlfn.SINGLE(INDEX(#REF!,'Annual Report'!AS347)),"")</f>
        <v/>
      </c>
    </row>
    <row r="348" spans="41:47">
      <c r="AO348" s="6" t="str">
        <f ca="1">IFERROR(MATCH($B$114,OFFSET(#REF!,AO347,0,1000000),0)+AO347,"")</f>
        <v/>
      </c>
      <c r="AP348" s="156" t="str">
        <f ca="1">IFERROR(_xlfn.SINGLE(INDEX(#REF!,'Annual Report'!AO348)),"")</f>
        <v/>
      </c>
      <c r="AQ348" s="6" t="str">
        <f ca="1">IFERROR(_xlfn.SINGLE(INDEX(#REF!,'Annual Report'!AO348)),"")</f>
        <v/>
      </c>
      <c r="AS348" s="6" t="str">
        <f ca="1">IFERROR(MATCH($L$115,OFFSET(#REF!,AS347,0,1000000),0)+AS347,"")</f>
        <v/>
      </c>
      <c r="AT348" s="156" t="str">
        <f ca="1">IFERROR(_xlfn.SINGLE(INDEX(#REF!,'Annual Report'!AS348)),"")</f>
        <v/>
      </c>
      <c r="AU348" s="6" t="str">
        <f ca="1">IFERROR(_xlfn.SINGLE(INDEX(#REF!,'Annual Report'!AS348)),"")</f>
        <v/>
      </c>
    </row>
    <row r="349" spans="41:47">
      <c r="AO349" s="6" t="str">
        <f ca="1">IFERROR(MATCH($B$114,OFFSET(#REF!,AO348,0,1000000),0)+AO348,"")</f>
        <v/>
      </c>
      <c r="AP349" s="156" t="str">
        <f ca="1">IFERROR(_xlfn.SINGLE(INDEX(#REF!,'Annual Report'!AO349)),"")</f>
        <v/>
      </c>
      <c r="AQ349" s="6" t="str">
        <f ca="1">IFERROR(_xlfn.SINGLE(INDEX(#REF!,'Annual Report'!AO349)),"")</f>
        <v/>
      </c>
      <c r="AS349" s="6" t="str">
        <f ca="1">IFERROR(MATCH($L$115,OFFSET(#REF!,AS348,0,1000000),0)+AS348,"")</f>
        <v/>
      </c>
      <c r="AT349" s="156" t="str">
        <f ca="1">IFERROR(_xlfn.SINGLE(INDEX(#REF!,'Annual Report'!AS349)),"")</f>
        <v/>
      </c>
      <c r="AU349" s="6" t="str">
        <f ca="1">IFERROR(_xlfn.SINGLE(INDEX(#REF!,'Annual Report'!AS349)),"")</f>
        <v/>
      </c>
    </row>
    <row r="350" spans="41:47">
      <c r="AO350" s="6" t="str">
        <f ca="1">IFERROR(MATCH($B$114,OFFSET(#REF!,AO349,0,1000000),0)+AO349,"")</f>
        <v/>
      </c>
      <c r="AP350" s="156" t="str">
        <f ca="1">IFERROR(_xlfn.SINGLE(INDEX(#REF!,'Annual Report'!AO350)),"")</f>
        <v/>
      </c>
      <c r="AQ350" s="6" t="str">
        <f ca="1">IFERROR(_xlfn.SINGLE(INDEX(#REF!,'Annual Report'!AO350)),"")</f>
        <v/>
      </c>
      <c r="AS350" s="6" t="str">
        <f ca="1">IFERROR(MATCH($L$115,OFFSET(#REF!,AS349,0,1000000),0)+AS349,"")</f>
        <v/>
      </c>
      <c r="AT350" s="156" t="str">
        <f ca="1">IFERROR(_xlfn.SINGLE(INDEX(#REF!,'Annual Report'!AS350)),"")</f>
        <v/>
      </c>
      <c r="AU350" s="6" t="str">
        <f ca="1">IFERROR(_xlfn.SINGLE(INDEX(#REF!,'Annual Report'!AS350)),"")</f>
        <v/>
      </c>
    </row>
    <row r="351" spans="41:47">
      <c r="AO351" s="6" t="str">
        <f ca="1">IFERROR(MATCH($B$114,OFFSET(#REF!,AO350,0,1000000),0)+AO350,"")</f>
        <v/>
      </c>
      <c r="AP351" s="156" t="str">
        <f ca="1">IFERROR(_xlfn.SINGLE(INDEX(#REF!,'Annual Report'!AO351)),"")</f>
        <v/>
      </c>
      <c r="AQ351" s="6" t="str">
        <f ca="1">IFERROR(_xlfn.SINGLE(INDEX(#REF!,'Annual Report'!AO351)),"")</f>
        <v/>
      </c>
      <c r="AS351" s="6" t="str">
        <f ca="1">IFERROR(MATCH($L$115,OFFSET(#REF!,AS350,0,1000000),0)+AS350,"")</f>
        <v/>
      </c>
      <c r="AT351" s="156" t="str">
        <f ca="1">IFERROR(_xlfn.SINGLE(INDEX(#REF!,'Annual Report'!AS351)),"")</f>
        <v/>
      </c>
      <c r="AU351" s="6" t="str">
        <f ca="1">IFERROR(_xlfn.SINGLE(INDEX(#REF!,'Annual Report'!AS351)),"")</f>
        <v/>
      </c>
    </row>
    <row r="352" spans="41:47">
      <c r="AO352" s="6" t="str">
        <f ca="1">IFERROR(MATCH($B$114,OFFSET(#REF!,AO351,0,1000000),0)+AO351,"")</f>
        <v/>
      </c>
      <c r="AP352" s="156" t="str">
        <f ca="1">IFERROR(_xlfn.SINGLE(INDEX(#REF!,'Annual Report'!AO352)),"")</f>
        <v/>
      </c>
      <c r="AQ352" s="6" t="str">
        <f ca="1">IFERROR(_xlfn.SINGLE(INDEX(#REF!,'Annual Report'!AO352)),"")</f>
        <v/>
      </c>
      <c r="AS352" s="6" t="str">
        <f ca="1">IFERROR(MATCH($L$115,OFFSET(#REF!,AS351,0,1000000),0)+AS351,"")</f>
        <v/>
      </c>
      <c r="AT352" s="156" t="str">
        <f ca="1">IFERROR(_xlfn.SINGLE(INDEX(#REF!,'Annual Report'!AS352)),"")</f>
        <v/>
      </c>
      <c r="AU352" s="6" t="str">
        <f ca="1">IFERROR(_xlfn.SINGLE(INDEX(#REF!,'Annual Report'!AS352)),"")</f>
        <v/>
      </c>
    </row>
    <row r="353" spans="41:47">
      <c r="AO353" s="6" t="str">
        <f ca="1">IFERROR(MATCH($B$114,OFFSET(#REF!,AO352,0,1000000),0)+AO352,"")</f>
        <v/>
      </c>
      <c r="AP353" s="156" t="str">
        <f ca="1">IFERROR(_xlfn.SINGLE(INDEX(#REF!,'Annual Report'!AO353)),"")</f>
        <v/>
      </c>
      <c r="AQ353" s="6" t="str">
        <f ca="1">IFERROR(_xlfn.SINGLE(INDEX(#REF!,'Annual Report'!AO353)),"")</f>
        <v/>
      </c>
      <c r="AS353" s="6" t="str">
        <f ca="1">IFERROR(MATCH($L$115,OFFSET(#REF!,AS352,0,1000000),0)+AS352,"")</f>
        <v/>
      </c>
      <c r="AT353" s="156" t="str">
        <f ca="1">IFERROR(_xlfn.SINGLE(INDEX(#REF!,'Annual Report'!AS353)),"")</f>
        <v/>
      </c>
      <c r="AU353" s="6" t="str">
        <f ca="1">IFERROR(_xlfn.SINGLE(INDEX(#REF!,'Annual Report'!AS353)),"")</f>
        <v/>
      </c>
    </row>
    <row r="354" spans="41:47">
      <c r="AO354" s="6" t="str">
        <f ca="1">IFERROR(MATCH($B$114,OFFSET(#REF!,AO353,0,1000000),0)+AO353,"")</f>
        <v/>
      </c>
      <c r="AP354" s="156" t="str">
        <f ca="1">IFERROR(_xlfn.SINGLE(INDEX(#REF!,'Annual Report'!AO354)),"")</f>
        <v/>
      </c>
      <c r="AQ354" s="6" t="str">
        <f ca="1">IFERROR(_xlfn.SINGLE(INDEX(#REF!,'Annual Report'!AO354)),"")</f>
        <v/>
      </c>
      <c r="AS354" s="6" t="str">
        <f ca="1">IFERROR(MATCH($L$115,OFFSET(#REF!,AS353,0,1000000),0)+AS353,"")</f>
        <v/>
      </c>
      <c r="AT354" s="156" t="str">
        <f ca="1">IFERROR(_xlfn.SINGLE(INDEX(#REF!,'Annual Report'!AS354)),"")</f>
        <v/>
      </c>
      <c r="AU354" s="6" t="str">
        <f ca="1">IFERROR(_xlfn.SINGLE(INDEX(#REF!,'Annual Report'!AS354)),"")</f>
        <v/>
      </c>
    </row>
    <row r="355" spans="41:47">
      <c r="AO355" s="6" t="str">
        <f ca="1">IFERROR(MATCH($B$114,OFFSET(#REF!,AO354,0,1000000),0)+AO354,"")</f>
        <v/>
      </c>
      <c r="AP355" s="156" t="str">
        <f ca="1">IFERROR(_xlfn.SINGLE(INDEX(#REF!,'Annual Report'!AO355)),"")</f>
        <v/>
      </c>
      <c r="AQ355" s="6" t="str">
        <f ca="1">IFERROR(_xlfn.SINGLE(INDEX(#REF!,'Annual Report'!AO355)),"")</f>
        <v/>
      </c>
      <c r="AS355" s="6" t="str">
        <f ca="1">IFERROR(MATCH($L$115,OFFSET(#REF!,AS354,0,1000000),0)+AS354,"")</f>
        <v/>
      </c>
      <c r="AT355" s="156" t="str">
        <f ca="1">IFERROR(_xlfn.SINGLE(INDEX(#REF!,'Annual Report'!AS355)),"")</f>
        <v/>
      </c>
      <c r="AU355" s="6" t="str">
        <f ca="1">IFERROR(_xlfn.SINGLE(INDEX(#REF!,'Annual Report'!AS355)),"")</f>
        <v/>
      </c>
    </row>
    <row r="356" spans="41:47">
      <c r="AO356" s="6" t="str">
        <f ca="1">IFERROR(MATCH($B$114,OFFSET(#REF!,AO355,0,1000000),0)+AO355,"")</f>
        <v/>
      </c>
      <c r="AP356" s="156" t="str">
        <f ca="1">IFERROR(_xlfn.SINGLE(INDEX(#REF!,'Annual Report'!AO356)),"")</f>
        <v/>
      </c>
      <c r="AQ356" s="6" t="str">
        <f ca="1">IFERROR(_xlfn.SINGLE(INDEX(#REF!,'Annual Report'!AO356)),"")</f>
        <v/>
      </c>
      <c r="AS356" s="6" t="str">
        <f ca="1">IFERROR(MATCH($L$115,OFFSET(#REF!,AS355,0,1000000),0)+AS355,"")</f>
        <v/>
      </c>
      <c r="AT356" s="156" t="str">
        <f ca="1">IFERROR(_xlfn.SINGLE(INDEX(#REF!,'Annual Report'!AS356)),"")</f>
        <v/>
      </c>
      <c r="AU356" s="6" t="str">
        <f ca="1">IFERROR(_xlfn.SINGLE(INDEX(#REF!,'Annual Report'!AS356)),"")</f>
        <v/>
      </c>
    </row>
    <row r="357" spans="41:47">
      <c r="AO357" s="6" t="str">
        <f ca="1">IFERROR(MATCH($B$114,OFFSET(#REF!,AO356,0,1000000),0)+AO356,"")</f>
        <v/>
      </c>
      <c r="AP357" s="156" t="str">
        <f ca="1">IFERROR(_xlfn.SINGLE(INDEX(#REF!,'Annual Report'!AO357)),"")</f>
        <v/>
      </c>
      <c r="AQ357" s="6" t="str">
        <f ca="1">IFERROR(_xlfn.SINGLE(INDEX(#REF!,'Annual Report'!AO357)),"")</f>
        <v/>
      </c>
      <c r="AS357" s="6" t="str">
        <f ca="1">IFERROR(MATCH($L$115,OFFSET(#REF!,AS356,0,1000000),0)+AS356,"")</f>
        <v/>
      </c>
      <c r="AT357" s="156" t="str">
        <f ca="1">IFERROR(_xlfn.SINGLE(INDEX(#REF!,'Annual Report'!AS357)),"")</f>
        <v/>
      </c>
      <c r="AU357" s="6" t="str">
        <f ca="1">IFERROR(_xlfn.SINGLE(INDEX(#REF!,'Annual Report'!AS357)),"")</f>
        <v/>
      </c>
    </row>
    <row r="358" spans="41:47">
      <c r="AO358" s="6" t="str">
        <f ca="1">IFERROR(MATCH($B$114,OFFSET(#REF!,AO357,0,1000000),0)+AO357,"")</f>
        <v/>
      </c>
      <c r="AP358" s="156" t="str">
        <f ca="1">IFERROR(_xlfn.SINGLE(INDEX(#REF!,'Annual Report'!AO358)),"")</f>
        <v/>
      </c>
      <c r="AQ358" s="6" t="str">
        <f ca="1">IFERROR(_xlfn.SINGLE(INDEX(#REF!,'Annual Report'!AO358)),"")</f>
        <v/>
      </c>
      <c r="AS358" s="6" t="str">
        <f ca="1">IFERROR(MATCH($L$115,OFFSET(#REF!,AS357,0,1000000),0)+AS357,"")</f>
        <v/>
      </c>
      <c r="AT358" s="156" t="str">
        <f ca="1">IFERROR(_xlfn.SINGLE(INDEX(#REF!,'Annual Report'!AS358)),"")</f>
        <v/>
      </c>
      <c r="AU358" s="6" t="str">
        <f ca="1">IFERROR(_xlfn.SINGLE(INDEX(#REF!,'Annual Report'!AS358)),"")</f>
        <v/>
      </c>
    </row>
    <row r="359" spans="41:47">
      <c r="AO359" s="6" t="str">
        <f ca="1">IFERROR(MATCH($B$114,OFFSET(#REF!,AO358,0,1000000),0)+AO358,"")</f>
        <v/>
      </c>
      <c r="AP359" s="156" t="str">
        <f ca="1">IFERROR(_xlfn.SINGLE(INDEX(#REF!,'Annual Report'!AO359)),"")</f>
        <v/>
      </c>
      <c r="AQ359" s="6" t="str">
        <f ca="1">IFERROR(_xlfn.SINGLE(INDEX(#REF!,'Annual Report'!AO359)),"")</f>
        <v/>
      </c>
      <c r="AS359" s="6" t="str">
        <f ca="1">IFERROR(MATCH($L$115,OFFSET(#REF!,AS358,0,1000000),0)+AS358,"")</f>
        <v/>
      </c>
      <c r="AT359" s="156" t="str">
        <f ca="1">IFERROR(_xlfn.SINGLE(INDEX(#REF!,'Annual Report'!AS359)),"")</f>
        <v/>
      </c>
      <c r="AU359" s="6" t="str">
        <f ca="1">IFERROR(_xlfn.SINGLE(INDEX(#REF!,'Annual Report'!AS359)),"")</f>
        <v/>
      </c>
    </row>
    <row r="360" spans="41:47">
      <c r="AO360" s="6" t="str">
        <f ca="1">IFERROR(MATCH($B$114,OFFSET(#REF!,AO359,0,1000000),0)+AO359,"")</f>
        <v/>
      </c>
      <c r="AP360" s="156" t="str">
        <f ca="1">IFERROR(_xlfn.SINGLE(INDEX(#REF!,'Annual Report'!AO360)),"")</f>
        <v/>
      </c>
      <c r="AQ360" s="6" t="str">
        <f ca="1">IFERROR(_xlfn.SINGLE(INDEX(#REF!,'Annual Report'!AO360)),"")</f>
        <v/>
      </c>
      <c r="AS360" s="6" t="str">
        <f ca="1">IFERROR(MATCH($L$115,OFFSET(#REF!,AS359,0,1000000),0)+AS359,"")</f>
        <v/>
      </c>
      <c r="AT360" s="156" t="str">
        <f ca="1">IFERROR(_xlfn.SINGLE(INDEX(#REF!,'Annual Report'!AS360)),"")</f>
        <v/>
      </c>
      <c r="AU360" s="6" t="str">
        <f ca="1">IFERROR(_xlfn.SINGLE(INDEX(#REF!,'Annual Report'!AS360)),"")</f>
        <v/>
      </c>
    </row>
    <row r="361" spans="41:47">
      <c r="AO361" s="6" t="str">
        <f ca="1">IFERROR(MATCH($B$114,OFFSET(#REF!,AO360,0,1000000),0)+AO360,"")</f>
        <v/>
      </c>
      <c r="AP361" s="156" t="str">
        <f ca="1">IFERROR(_xlfn.SINGLE(INDEX(#REF!,'Annual Report'!AO361)),"")</f>
        <v/>
      </c>
      <c r="AQ361" s="6" t="str">
        <f ca="1">IFERROR(_xlfn.SINGLE(INDEX(#REF!,'Annual Report'!AO361)),"")</f>
        <v/>
      </c>
      <c r="AS361" s="6" t="str">
        <f ca="1">IFERROR(MATCH($L$115,OFFSET(#REF!,AS360,0,1000000),0)+AS360,"")</f>
        <v/>
      </c>
      <c r="AT361" s="156" t="str">
        <f ca="1">IFERROR(_xlfn.SINGLE(INDEX(#REF!,'Annual Report'!AS361)),"")</f>
        <v/>
      </c>
      <c r="AU361" s="6" t="str">
        <f ca="1">IFERROR(_xlfn.SINGLE(INDEX(#REF!,'Annual Report'!AS361)),"")</f>
        <v/>
      </c>
    </row>
    <row r="362" spans="41:47">
      <c r="AO362" s="6" t="str">
        <f ca="1">IFERROR(MATCH($B$114,OFFSET(#REF!,AO361,0,1000000),0)+AO361,"")</f>
        <v/>
      </c>
      <c r="AP362" s="156" t="str">
        <f ca="1">IFERROR(_xlfn.SINGLE(INDEX(#REF!,'Annual Report'!AO362)),"")</f>
        <v/>
      </c>
      <c r="AQ362" s="6" t="str">
        <f ca="1">IFERROR(_xlfn.SINGLE(INDEX(#REF!,'Annual Report'!AO362)),"")</f>
        <v/>
      </c>
      <c r="AS362" s="6" t="str">
        <f ca="1">IFERROR(MATCH($L$115,OFFSET(#REF!,AS361,0,1000000),0)+AS361,"")</f>
        <v/>
      </c>
      <c r="AT362" s="156" t="str">
        <f ca="1">IFERROR(_xlfn.SINGLE(INDEX(#REF!,'Annual Report'!AS362)),"")</f>
        <v/>
      </c>
      <c r="AU362" s="6" t="str">
        <f ca="1">IFERROR(_xlfn.SINGLE(INDEX(#REF!,'Annual Report'!AS362)),"")</f>
        <v/>
      </c>
    </row>
    <row r="363" spans="41:47">
      <c r="AO363" s="6" t="str">
        <f ca="1">IFERROR(MATCH($B$114,OFFSET(#REF!,AO362,0,1000000),0)+AO362,"")</f>
        <v/>
      </c>
      <c r="AP363" s="156" t="str">
        <f ca="1">IFERROR(_xlfn.SINGLE(INDEX(#REF!,'Annual Report'!AO363)),"")</f>
        <v/>
      </c>
      <c r="AQ363" s="6" t="str">
        <f ca="1">IFERROR(_xlfn.SINGLE(INDEX(#REF!,'Annual Report'!AO363)),"")</f>
        <v/>
      </c>
      <c r="AS363" s="6" t="str">
        <f ca="1">IFERROR(MATCH($L$115,OFFSET(#REF!,AS362,0,1000000),0)+AS362,"")</f>
        <v/>
      </c>
      <c r="AT363" s="156" t="str">
        <f ca="1">IFERROR(_xlfn.SINGLE(INDEX(#REF!,'Annual Report'!AS363)),"")</f>
        <v/>
      </c>
      <c r="AU363" s="6" t="str">
        <f ca="1">IFERROR(_xlfn.SINGLE(INDEX(#REF!,'Annual Report'!AS363)),"")</f>
        <v/>
      </c>
    </row>
    <row r="364" spans="41:47">
      <c r="AO364" s="6" t="str">
        <f ca="1">IFERROR(MATCH($B$114,OFFSET(#REF!,AO363,0,1000000),0)+AO363,"")</f>
        <v/>
      </c>
      <c r="AP364" s="156" t="str">
        <f ca="1">IFERROR(_xlfn.SINGLE(INDEX(#REF!,'Annual Report'!AO364)),"")</f>
        <v/>
      </c>
      <c r="AQ364" s="6" t="str">
        <f ca="1">IFERROR(_xlfn.SINGLE(INDEX(#REF!,'Annual Report'!AO364)),"")</f>
        <v/>
      </c>
      <c r="AS364" s="6" t="str">
        <f ca="1">IFERROR(MATCH($L$115,OFFSET(#REF!,AS363,0,1000000),0)+AS363,"")</f>
        <v/>
      </c>
      <c r="AT364" s="156" t="str">
        <f ca="1">IFERROR(_xlfn.SINGLE(INDEX(#REF!,'Annual Report'!AS364)),"")</f>
        <v/>
      </c>
      <c r="AU364" s="6" t="str">
        <f ca="1">IFERROR(_xlfn.SINGLE(INDEX(#REF!,'Annual Report'!AS364)),"")</f>
        <v/>
      </c>
    </row>
    <row r="365" spans="41:47">
      <c r="AO365" s="6" t="str">
        <f ca="1">IFERROR(MATCH($B$114,OFFSET(#REF!,AO364,0,1000000),0)+AO364,"")</f>
        <v/>
      </c>
      <c r="AP365" s="156" t="str">
        <f ca="1">IFERROR(_xlfn.SINGLE(INDEX(#REF!,'Annual Report'!AO365)),"")</f>
        <v/>
      </c>
      <c r="AQ365" s="6" t="str">
        <f ca="1">IFERROR(_xlfn.SINGLE(INDEX(#REF!,'Annual Report'!AO365)),"")</f>
        <v/>
      </c>
      <c r="AS365" s="6" t="str">
        <f ca="1">IFERROR(MATCH($L$115,OFFSET(#REF!,AS364,0,1000000),0)+AS364,"")</f>
        <v/>
      </c>
      <c r="AT365" s="156" t="str">
        <f ca="1">IFERROR(_xlfn.SINGLE(INDEX(#REF!,'Annual Report'!AS365)),"")</f>
        <v/>
      </c>
      <c r="AU365" s="6" t="str">
        <f ca="1">IFERROR(_xlfn.SINGLE(INDEX(#REF!,'Annual Report'!AS365)),"")</f>
        <v/>
      </c>
    </row>
    <row r="366" spans="41:47">
      <c r="AO366" s="6" t="str">
        <f ca="1">IFERROR(MATCH($B$114,OFFSET(#REF!,AO365,0,1000000),0)+AO365,"")</f>
        <v/>
      </c>
      <c r="AP366" s="156" t="str">
        <f ca="1">IFERROR(_xlfn.SINGLE(INDEX(#REF!,'Annual Report'!AO366)),"")</f>
        <v/>
      </c>
      <c r="AQ366" s="6" t="str">
        <f ca="1">IFERROR(_xlfn.SINGLE(INDEX(#REF!,'Annual Report'!AO366)),"")</f>
        <v/>
      </c>
      <c r="AS366" s="6" t="str">
        <f ca="1">IFERROR(MATCH($L$115,OFFSET(#REF!,AS365,0,1000000),0)+AS365,"")</f>
        <v/>
      </c>
      <c r="AT366" s="156" t="str">
        <f ca="1">IFERROR(_xlfn.SINGLE(INDEX(#REF!,'Annual Report'!AS366)),"")</f>
        <v/>
      </c>
      <c r="AU366" s="6" t="str">
        <f ca="1">IFERROR(_xlfn.SINGLE(INDEX(#REF!,'Annual Report'!AS366)),"")</f>
        <v/>
      </c>
    </row>
    <row r="367" spans="41:47">
      <c r="AO367" s="6" t="str">
        <f ca="1">IFERROR(MATCH($B$114,OFFSET(#REF!,AO366,0,1000000),0)+AO366,"")</f>
        <v/>
      </c>
      <c r="AP367" s="156" t="str">
        <f ca="1">IFERROR(_xlfn.SINGLE(INDEX(#REF!,'Annual Report'!AO367)),"")</f>
        <v/>
      </c>
      <c r="AQ367" s="6" t="str">
        <f ca="1">IFERROR(_xlfn.SINGLE(INDEX(#REF!,'Annual Report'!AO367)),"")</f>
        <v/>
      </c>
      <c r="AS367" s="6" t="str">
        <f ca="1">IFERROR(MATCH($L$115,OFFSET(#REF!,AS366,0,1000000),0)+AS366,"")</f>
        <v/>
      </c>
      <c r="AT367" s="156" t="str">
        <f ca="1">IFERROR(_xlfn.SINGLE(INDEX(#REF!,'Annual Report'!AS367)),"")</f>
        <v/>
      </c>
      <c r="AU367" s="6" t="str">
        <f ca="1">IFERROR(_xlfn.SINGLE(INDEX(#REF!,'Annual Report'!AS367)),"")</f>
        <v/>
      </c>
    </row>
    <row r="368" spans="41:47">
      <c r="AO368" s="6" t="str">
        <f ca="1">IFERROR(MATCH($B$114,OFFSET(#REF!,AO367,0,1000000),0)+AO367,"")</f>
        <v/>
      </c>
      <c r="AP368" s="156" t="str">
        <f ca="1">IFERROR(_xlfn.SINGLE(INDEX(#REF!,'Annual Report'!AO368)),"")</f>
        <v/>
      </c>
      <c r="AQ368" s="6" t="str">
        <f ca="1">IFERROR(_xlfn.SINGLE(INDEX(#REF!,'Annual Report'!AO368)),"")</f>
        <v/>
      </c>
      <c r="AS368" s="6" t="str">
        <f ca="1">IFERROR(MATCH($L$115,OFFSET(#REF!,AS367,0,1000000),0)+AS367,"")</f>
        <v/>
      </c>
      <c r="AT368" s="156" t="str">
        <f ca="1">IFERROR(_xlfn.SINGLE(INDEX(#REF!,'Annual Report'!AS368)),"")</f>
        <v/>
      </c>
      <c r="AU368" s="6" t="str">
        <f ca="1">IFERROR(_xlfn.SINGLE(INDEX(#REF!,'Annual Report'!AS368)),"")</f>
        <v/>
      </c>
    </row>
    <row r="369" spans="41:47">
      <c r="AO369" s="6" t="str">
        <f ca="1">IFERROR(MATCH($B$114,OFFSET(#REF!,AO368,0,1000000),0)+AO368,"")</f>
        <v/>
      </c>
      <c r="AP369" s="156" t="str">
        <f ca="1">IFERROR(_xlfn.SINGLE(INDEX(#REF!,'Annual Report'!AO369)),"")</f>
        <v/>
      </c>
      <c r="AQ369" s="6" t="str">
        <f ca="1">IFERROR(_xlfn.SINGLE(INDEX(#REF!,'Annual Report'!AO369)),"")</f>
        <v/>
      </c>
      <c r="AS369" s="6" t="str">
        <f ca="1">IFERROR(MATCH($L$115,OFFSET(#REF!,AS368,0,1000000),0)+AS368,"")</f>
        <v/>
      </c>
      <c r="AT369" s="156" t="str">
        <f ca="1">IFERROR(_xlfn.SINGLE(INDEX(#REF!,'Annual Report'!AS369)),"")</f>
        <v/>
      </c>
      <c r="AU369" s="6" t="str">
        <f ca="1">IFERROR(_xlfn.SINGLE(INDEX(#REF!,'Annual Report'!AS369)),"")</f>
        <v/>
      </c>
    </row>
    <row r="370" spans="41:47">
      <c r="AO370" s="6" t="str">
        <f ca="1">IFERROR(MATCH($B$114,OFFSET(#REF!,AO369,0,1000000),0)+AO369,"")</f>
        <v/>
      </c>
      <c r="AP370" s="156" t="str">
        <f ca="1">IFERROR(_xlfn.SINGLE(INDEX(#REF!,'Annual Report'!AO370)),"")</f>
        <v/>
      </c>
      <c r="AQ370" s="6" t="str">
        <f ca="1">IFERROR(_xlfn.SINGLE(INDEX(#REF!,'Annual Report'!AO370)),"")</f>
        <v/>
      </c>
      <c r="AS370" s="6" t="str">
        <f ca="1">IFERROR(MATCH($L$115,OFFSET(#REF!,AS369,0,1000000),0)+AS369,"")</f>
        <v/>
      </c>
      <c r="AT370" s="156" t="str">
        <f ca="1">IFERROR(_xlfn.SINGLE(INDEX(#REF!,'Annual Report'!AS370)),"")</f>
        <v/>
      </c>
      <c r="AU370" s="6" t="str">
        <f ca="1">IFERROR(_xlfn.SINGLE(INDEX(#REF!,'Annual Report'!AS370)),"")</f>
        <v/>
      </c>
    </row>
    <row r="371" spans="41:47">
      <c r="AO371" s="6" t="str">
        <f ca="1">IFERROR(MATCH($B$114,OFFSET(#REF!,AO370,0,1000000),0)+AO370,"")</f>
        <v/>
      </c>
      <c r="AP371" s="156" t="str">
        <f ca="1">IFERROR(_xlfn.SINGLE(INDEX(#REF!,'Annual Report'!AO371)),"")</f>
        <v/>
      </c>
      <c r="AQ371" s="6" t="str">
        <f ca="1">IFERROR(_xlfn.SINGLE(INDEX(#REF!,'Annual Report'!AO371)),"")</f>
        <v/>
      </c>
      <c r="AS371" s="6" t="str">
        <f ca="1">IFERROR(MATCH($L$115,OFFSET(#REF!,AS370,0,1000000),0)+AS370,"")</f>
        <v/>
      </c>
      <c r="AT371" s="156" t="str">
        <f ca="1">IFERROR(_xlfn.SINGLE(INDEX(#REF!,'Annual Report'!AS371)),"")</f>
        <v/>
      </c>
      <c r="AU371" s="6" t="str">
        <f ca="1">IFERROR(_xlfn.SINGLE(INDEX(#REF!,'Annual Report'!AS371)),"")</f>
        <v/>
      </c>
    </row>
    <row r="372" spans="41:47">
      <c r="AO372" s="6" t="str">
        <f ca="1">IFERROR(MATCH($B$114,OFFSET(#REF!,AO371,0,1000000),0)+AO371,"")</f>
        <v/>
      </c>
      <c r="AP372" s="156" t="str">
        <f ca="1">IFERROR(_xlfn.SINGLE(INDEX(#REF!,'Annual Report'!AO372)),"")</f>
        <v/>
      </c>
      <c r="AQ372" s="6" t="str">
        <f ca="1">IFERROR(_xlfn.SINGLE(INDEX(#REF!,'Annual Report'!AO372)),"")</f>
        <v/>
      </c>
      <c r="AS372" s="6" t="str">
        <f ca="1">IFERROR(MATCH($L$115,OFFSET(#REF!,AS371,0,1000000),0)+AS371,"")</f>
        <v/>
      </c>
      <c r="AT372" s="156" t="str">
        <f ca="1">IFERROR(_xlfn.SINGLE(INDEX(#REF!,'Annual Report'!AS372)),"")</f>
        <v/>
      </c>
      <c r="AU372" s="6" t="str">
        <f ca="1">IFERROR(_xlfn.SINGLE(INDEX(#REF!,'Annual Report'!AS372)),"")</f>
        <v/>
      </c>
    </row>
    <row r="373" spans="41:47">
      <c r="AO373" s="6" t="str">
        <f ca="1">IFERROR(MATCH($B$114,OFFSET(#REF!,AO372,0,1000000),0)+AO372,"")</f>
        <v/>
      </c>
      <c r="AP373" s="156" t="str">
        <f ca="1">IFERROR(_xlfn.SINGLE(INDEX(#REF!,'Annual Report'!AO373)),"")</f>
        <v/>
      </c>
      <c r="AQ373" s="6" t="str">
        <f ca="1">IFERROR(_xlfn.SINGLE(INDEX(#REF!,'Annual Report'!AO373)),"")</f>
        <v/>
      </c>
      <c r="AS373" s="6" t="str">
        <f ca="1">IFERROR(MATCH($L$115,OFFSET(#REF!,AS372,0,1000000),0)+AS372,"")</f>
        <v/>
      </c>
      <c r="AT373" s="156" t="str">
        <f ca="1">IFERROR(_xlfn.SINGLE(INDEX(#REF!,'Annual Report'!AS373)),"")</f>
        <v/>
      </c>
      <c r="AU373" s="6" t="str">
        <f ca="1">IFERROR(_xlfn.SINGLE(INDEX(#REF!,'Annual Report'!AS373)),"")</f>
        <v/>
      </c>
    </row>
    <row r="374" spans="41:47">
      <c r="AO374" s="6" t="str">
        <f ca="1">IFERROR(MATCH($B$114,OFFSET(#REF!,AO373,0,1000000),0)+AO373,"")</f>
        <v/>
      </c>
      <c r="AP374" s="156" t="str">
        <f ca="1">IFERROR(_xlfn.SINGLE(INDEX(#REF!,'Annual Report'!AO374)),"")</f>
        <v/>
      </c>
      <c r="AQ374" s="6" t="str">
        <f ca="1">IFERROR(_xlfn.SINGLE(INDEX(#REF!,'Annual Report'!AO374)),"")</f>
        <v/>
      </c>
      <c r="AS374" s="6" t="str">
        <f ca="1">IFERROR(MATCH($L$115,OFFSET(#REF!,AS373,0,1000000),0)+AS373,"")</f>
        <v/>
      </c>
      <c r="AT374" s="156" t="str">
        <f ca="1">IFERROR(_xlfn.SINGLE(INDEX(#REF!,'Annual Report'!AS374)),"")</f>
        <v/>
      </c>
      <c r="AU374" s="6" t="str">
        <f ca="1">IFERROR(_xlfn.SINGLE(INDEX(#REF!,'Annual Report'!AS374)),"")</f>
        <v/>
      </c>
    </row>
    <row r="375" spans="41:47">
      <c r="AO375" s="6" t="str">
        <f ca="1">IFERROR(MATCH($B$114,OFFSET(#REF!,AO374,0,1000000),0)+AO374,"")</f>
        <v/>
      </c>
      <c r="AP375" s="156" t="str">
        <f ca="1">IFERROR(_xlfn.SINGLE(INDEX(#REF!,'Annual Report'!AO375)),"")</f>
        <v/>
      </c>
      <c r="AQ375" s="6" t="str">
        <f ca="1">IFERROR(_xlfn.SINGLE(INDEX(#REF!,'Annual Report'!AO375)),"")</f>
        <v/>
      </c>
      <c r="AS375" s="6" t="str">
        <f ca="1">IFERROR(MATCH($L$115,OFFSET(#REF!,AS374,0,1000000),0)+AS374,"")</f>
        <v/>
      </c>
      <c r="AT375" s="156" t="str">
        <f ca="1">IFERROR(_xlfn.SINGLE(INDEX(#REF!,'Annual Report'!AS375)),"")</f>
        <v/>
      </c>
      <c r="AU375" s="6" t="str">
        <f ca="1">IFERROR(_xlfn.SINGLE(INDEX(#REF!,'Annual Report'!AS375)),"")</f>
        <v/>
      </c>
    </row>
    <row r="376" spans="41:47">
      <c r="AO376" s="6" t="str">
        <f ca="1">IFERROR(MATCH($B$114,OFFSET(#REF!,AO375,0,1000000),0)+AO375,"")</f>
        <v/>
      </c>
      <c r="AP376" s="156" t="str">
        <f ca="1">IFERROR(_xlfn.SINGLE(INDEX(#REF!,'Annual Report'!AO376)),"")</f>
        <v/>
      </c>
      <c r="AQ376" s="6" t="str">
        <f ca="1">IFERROR(_xlfn.SINGLE(INDEX(#REF!,'Annual Report'!AO376)),"")</f>
        <v/>
      </c>
      <c r="AS376" s="6" t="str">
        <f ca="1">IFERROR(MATCH($L$115,OFFSET(#REF!,AS375,0,1000000),0)+AS375,"")</f>
        <v/>
      </c>
      <c r="AT376" s="156" t="str">
        <f ca="1">IFERROR(_xlfn.SINGLE(INDEX(#REF!,'Annual Report'!AS376)),"")</f>
        <v/>
      </c>
      <c r="AU376" s="6" t="str">
        <f ca="1">IFERROR(_xlfn.SINGLE(INDEX(#REF!,'Annual Report'!AS376)),"")</f>
        <v/>
      </c>
    </row>
    <row r="377" spans="41:47">
      <c r="AO377" s="6" t="str">
        <f ca="1">IFERROR(MATCH($B$114,OFFSET(#REF!,AO376,0,1000000),0)+AO376,"")</f>
        <v/>
      </c>
      <c r="AP377" s="156" t="str">
        <f ca="1">IFERROR(_xlfn.SINGLE(INDEX(#REF!,'Annual Report'!AO377)),"")</f>
        <v/>
      </c>
      <c r="AQ377" s="6" t="str">
        <f ca="1">IFERROR(_xlfn.SINGLE(INDEX(#REF!,'Annual Report'!AO377)),"")</f>
        <v/>
      </c>
      <c r="AS377" s="6" t="str">
        <f ca="1">IFERROR(MATCH($L$115,OFFSET(#REF!,AS376,0,1000000),0)+AS376,"")</f>
        <v/>
      </c>
      <c r="AT377" s="156" t="str">
        <f ca="1">IFERROR(_xlfn.SINGLE(INDEX(#REF!,'Annual Report'!AS377)),"")</f>
        <v/>
      </c>
      <c r="AU377" s="6" t="str">
        <f ca="1">IFERROR(_xlfn.SINGLE(INDEX(#REF!,'Annual Report'!AS377)),"")</f>
        <v/>
      </c>
    </row>
    <row r="378" spans="41:47">
      <c r="AO378" s="6" t="str">
        <f ca="1">IFERROR(MATCH($B$114,OFFSET(#REF!,AO377,0,1000000),0)+AO377,"")</f>
        <v/>
      </c>
      <c r="AP378" s="156" t="str">
        <f ca="1">IFERROR(_xlfn.SINGLE(INDEX(#REF!,'Annual Report'!AO378)),"")</f>
        <v/>
      </c>
      <c r="AQ378" s="6" t="str">
        <f ca="1">IFERROR(_xlfn.SINGLE(INDEX(#REF!,'Annual Report'!AO378)),"")</f>
        <v/>
      </c>
      <c r="AS378" s="6" t="str">
        <f ca="1">IFERROR(MATCH($L$115,OFFSET(#REF!,AS377,0,1000000),0)+AS377,"")</f>
        <v/>
      </c>
      <c r="AT378" s="156" t="str">
        <f ca="1">IFERROR(_xlfn.SINGLE(INDEX(#REF!,'Annual Report'!AS378)),"")</f>
        <v/>
      </c>
      <c r="AU378" s="6" t="str">
        <f ca="1">IFERROR(_xlfn.SINGLE(INDEX(#REF!,'Annual Report'!AS378)),"")</f>
        <v/>
      </c>
    </row>
    <row r="379" spans="41:47">
      <c r="AO379" s="6" t="str">
        <f ca="1">IFERROR(MATCH($B$114,OFFSET(#REF!,AO378,0,1000000),0)+AO378,"")</f>
        <v/>
      </c>
      <c r="AP379" s="156" t="str">
        <f ca="1">IFERROR(_xlfn.SINGLE(INDEX(#REF!,'Annual Report'!AO379)),"")</f>
        <v/>
      </c>
      <c r="AQ379" s="6" t="str">
        <f ca="1">IFERROR(_xlfn.SINGLE(INDEX(#REF!,'Annual Report'!AO379)),"")</f>
        <v/>
      </c>
      <c r="AS379" s="6" t="str">
        <f ca="1">IFERROR(MATCH($L$115,OFFSET(#REF!,AS378,0,1000000),0)+AS378,"")</f>
        <v/>
      </c>
      <c r="AT379" s="156" t="str">
        <f ca="1">IFERROR(_xlfn.SINGLE(INDEX(#REF!,'Annual Report'!AS379)),"")</f>
        <v/>
      </c>
      <c r="AU379" s="6" t="str">
        <f ca="1">IFERROR(_xlfn.SINGLE(INDEX(#REF!,'Annual Report'!AS379)),"")</f>
        <v/>
      </c>
    </row>
    <row r="380" spans="41:47">
      <c r="AO380" s="6" t="str">
        <f ca="1">IFERROR(MATCH($B$114,OFFSET(#REF!,AO379,0,1000000),0)+AO379,"")</f>
        <v/>
      </c>
      <c r="AP380" s="156" t="str">
        <f ca="1">IFERROR(_xlfn.SINGLE(INDEX(#REF!,'Annual Report'!AO380)),"")</f>
        <v/>
      </c>
      <c r="AQ380" s="6" t="str">
        <f ca="1">IFERROR(_xlfn.SINGLE(INDEX(#REF!,'Annual Report'!AO380)),"")</f>
        <v/>
      </c>
      <c r="AS380" s="6" t="str">
        <f ca="1">IFERROR(MATCH($L$115,OFFSET(#REF!,AS379,0,1000000),0)+AS379,"")</f>
        <v/>
      </c>
      <c r="AT380" s="156" t="str">
        <f ca="1">IFERROR(_xlfn.SINGLE(INDEX(#REF!,'Annual Report'!AS380)),"")</f>
        <v/>
      </c>
      <c r="AU380" s="6" t="str">
        <f ca="1">IFERROR(_xlfn.SINGLE(INDEX(#REF!,'Annual Report'!AS380)),"")</f>
        <v/>
      </c>
    </row>
    <row r="381" spans="41:47">
      <c r="AO381" s="6" t="str">
        <f ca="1">IFERROR(MATCH($B$114,OFFSET(#REF!,AO380,0,1000000),0)+AO380,"")</f>
        <v/>
      </c>
      <c r="AP381" s="156" t="str">
        <f ca="1">IFERROR(_xlfn.SINGLE(INDEX(#REF!,'Annual Report'!AO381)),"")</f>
        <v/>
      </c>
      <c r="AQ381" s="6" t="str">
        <f ca="1">IFERROR(_xlfn.SINGLE(INDEX(#REF!,'Annual Report'!AO381)),"")</f>
        <v/>
      </c>
      <c r="AS381" s="6" t="str">
        <f ca="1">IFERROR(MATCH($L$115,OFFSET(#REF!,AS380,0,1000000),0)+AS380,"")</f>
        <v/>
      </c>
      <c r="AT381" s="156" t="str">
        <f ca="1">IFERROR(_xlfn.SINGLE(INDEX(#REF!,'Annual Report'!AS381)),"")</f>
        <v/>
      </c>
      <c r="AU381" s="6" t="str">
        <f ca="1">IFERROR(_xlfn.SINGLE(INDEX(#REF!,'Annual Report'!AS381)),"")</f>
        <v/>
      </c>
    </row>
    <row r="382" spans="41:47">
      <c r="AO382" s="6" t="str">
        <f ca="1">IFERROR(MATCH($B$114,OFFSET(#REF!,AO381,0,1000000),0)+AO381,"")</f>
        <v/>
      </c>
      <c r="AP382" s="156" t="str">
        <f ca="1">IFERROR(_xlfn.SINGLE(INDEX(#REF!,'Annual Report'!AO382)),"")</f>
        <v/>
      </c>
      <c r="AQ382" s="6" t="str">
        <f ca="1">IFERROR(_xlfn.SINGLE(INDEX(#REF!,'Annual Report'!AO382)),"")</f>
        <v/>
      </c>
      <c r="AS382" s="6" t="str">
        <f ca="1">IFERROR(MATCH($L$115,OFFSET(#REF!,AS381,0,1000000),0)+AS381,"")</f>
        <v/>
      </c>
      <c r="AT382" s="156" t="str">
        <f ca="1">IFERROR(_xlfn.SINGLE(INDEX(#REF!,'Annual Report'!AS382)),"")</f>
        <v/>
      </c>
      <c r="AU382" s="6" t="str">
        <f ca="1">IFERROR(_xlfn.SINGLE(INDEX(#REF!,'Annual Report'!AS382)),"")</f>
        <v/>
      </c>
    </row>
    <row r="383" spans="41:47">
      <c r="AO383" s="6" t="str">
        <f ca="1">IFERROR(MATCH($B$114,OFFSET(#REF!,AO382,0,1000000),0)+AO382,"")</f>
        <v/>
      </c>
      <c r="AP383" s="156" t="str">
        <f ca="1">IFERROR(_xlfn.SINGLE(INDEX(#REF!,'Annual Report'!AO383)),"")</f>
        <v/>
      </c>
      <c r="AQ383" s="6" t="str">
        <f ca="1">IFERROR(_xlfn.SINGLE(INDEX(#REF!,'Annual Report'!AO383)),"")</f>
        <v/>
      </c>
      <c r="AS383" s="6" t="str">
        <f ca="1">IFERROR(MATCH($L$115,OFFSET(#REF!,AS382,0,1000000),0)+AS382,"")</f>
        <v/>
      </c>
      <c r="AT383" s="156" t="str">
        <f ca="1">IFERROR(_xlfn.SINGLE(INDEX(#REF!,'Annual Report'!AS383)),"")</f>
        <v/>
      </c>
      <c r="AU383" s="6" t="str">
        <f ca="1">IFERROR(_xlfn.SINGLE(INDEX(#REF!,'Annual Report'!AS383)),"")</f>
        <v/>
      </c>
    </row>
    <row r="384" spans="41:47">
      <c r="AO384" s="6" t="str">
        <f ca="1">IFERROR(MATCH($B$114,OFFSET(#REF!,AO383,0,1000000),0)+AO383,"")</f>
        <v/>
      </c>
      <c r="AP384" s="156" t="str">
        <f ca="1">IFERROR(_xlfn.SINGLE(INDEX(#REF!,'Annual Report'!AO384)),"")</f>
        <v/>
      </c>
      <c r="AQ384" s="6" t="str">
        <f ca="1">IFERROR(_xlfn.SINGLE(INDEX(#REF!,'Annual Report'!AO384)),"")</f>
        <v/>
      </c>
      <c r="AS384" s="6" t="str">
        <f ca="1">IFERROR(MATCH($L$115,OFFSET(#REF!,AS383,0,1000000),0)+AS383,"")</f>
        <v/>
      </c>
      <c r="AT384" s="156" t="str">
        <f ca="1">IFERROR(_xlfn.SINGLE(INDEX(#REF!,'Annual Report'!AS384)),"")</f>
        <v/>
      </c>
      <c r="AU384" s="6" t="str">
        <f ca="1">IFERROR(_xlfn.SINGLE(INDEX(#REF!,'Annual Report'!AS384)),"")</f>
        <v/>
      </c>
    </row>
    <row r="385" spans="41:47">
      <c r="AO385" s="6" t="str">
        <f ca="1">IFERROR(MATCH($B$114,OFFSET(#REF!,AO384,0,1000000),0)+AO384,"")</f>
        <v/>
      </c>
      <c r="AP385" s="156" t="str">
        <f ca="1">IFERROR(_xlfn.SINGLE(INDEX(#REF!,'Annual Report'!AO385)),"")</f>
        <v/>
      </c>
      <c r="AQ385" s="6" t="str">
        <f ca="1">IFERROR(_xlfn.SINGLE(INDEX(#REF!,'Annual Report'!AO385)),"")</f>
        <v/>
      </c>
      <c r="AS385" s="6" t="str">
        <f ca="1">IFERROR(MATCH($L$115,OFFSET(#REF!,AS384,0,1000000),0)+AS384,"")</f>
        <v/>
      </c>
      <c r="AT385" s="156" t="str">
        <f ca="1">IFERROR(_xlfn.SINGLE(INDEX(#REF!,'Annual Report'!AS385)),"")</f>
        <v/>
      </c>
      <c r="AU385" s="6" t="str">
        <f ca="1">IFERROR(_xlfn.SINGLE(INDEX(#REF!,'Annual Report'!AS385)),"")</f>
        <v/>
      </c>
    </row>
    <row r="386" spans="41:47">
      <c r="AO386" s="6" t="str">
        <f ca="1">IFERROR(MATCH($B$114,OFFSET(#REF!,AO385,0,1000000),0)+AO385,"")</f>
        <v/>
      </c>
      <c r="AP386" s="156" t="str">
        <f ca="1">IFERROR(_xlfn.SINGLE(INDEX(#REF!,'Annual Report'!AO386)),"")</f>
        <v/>
      </c>
      <c r="AQ386" s="6" t="str">
        <f ca="1">IFERROR(_xlfn.SINGLE(INDEX(#REF!,'Annual Report'!AO386)),"")</f>
        <v/>
      </c>
      <c r="AS386" s="6" t="str">
        <f ca="1">IFERROR(MATCH($L$115,OFFSET(#REF!,AS385,0,1000000),0)+AS385,"")</f>
        <v/>
      </c>
      <c r="AT386" s="156" t="str">
        <f ca="1">IFERROR(_xlfn.SINGLE(INDEX(#REF!,'Annual Report'!AS386)),"")</f>
        <v/>
      </c>
      <c r="AU386" s="6" t="str">
        <f ca="1">IFERROR(_xlfn.SINGLE(INDEX(#REF!,'Annual Report'!AS386)),"")</f>
        <v/>
      </c>
    </row>
    <row r="387" spans="41:47">
      <c r="AO387" s="6" t="str">
        <f ca="1">IFERROR(MATCH($B$114,OFFSET(#REF!,AO386,0,1000000),0)+AO386,"")</f>
        <v/>
      </c>
      <c r="AP387" s="156" t="str">
        <f ca="1">IFERROR(_xlfn.SINGLE(INDEX(#REF!,'Annual Report'!AO387)),"")</f>
        <v/>
      </c>
      <c r="AQ387" s="6" t="str">
        <f ca="1">IFERROR(_xlfn.SINGLE(INDEX(#REF!,'Annual Report'!AO387)),"")</f>
        <v/>
      </c>
      <c r="AS387" s="6" t="str">
        <f ca="1">IFERROR(MATCH($L$115,OFFSET(#REF!,AS386,0,1000000),0)+AS386,"")</f>
        <v/>
      </c>
      <c r="AT387" s="156" t="str">
        <f ca="1">IFERROR(_xlfn.SINGLE(INDEX(#REF!,'Annual Report'!AS387)),"")</f>
        <v/>
      </c>
      <c r="AU387" s="6" t="str">
        <f ca="1">IFERROR(_xlfn.SINGLE(INDEX(#REF!,'Annual Report'!AS387)),"")</f>
        <v/>
      </c>
    </row>
    <row r="388" spans="41:47">
      <c r="AO388" s="6" t="str">
        <f ca="1">IFERROR(MATCH($B$114,OFFSET(#REF!,AO387,0,1000000),0)+AO387,"")</f>
        <v/>
      </c>
      <c r="AP388" s="156" t="str">
        <f ca="1">IFERROR(_xlfn.SINGLE(INDEX(#REF!,'Annual Report'!AO388)),"")</f>
        <v/>
      </c>
      <c r="AQ388" s="6" t="str">
        <f ca="1">IFERROR(_xlfn.SINGLE(INDEX(#REF!,'Annual Report'!AO388)),"")</f>
        <v/>
      </c>
      <c r="AS388" s="6" t="str">
        <f ca="1">IFERROR(MATCH($L$115,OFFSET(#REF!,AS387,0,1000000),0)+AS387,"")</f>
        <v/>
      </c>
      <c r="AT388" s="156" t="str">
        <f ca="1">IFERROR(_xlfn.SINGLE(INDEX(#REF!,'Annual Report'!AS388)),"")</f>
        <v/>
      </c>
      <c r="AU388" s="6" t="str">
        <f ca="1">IFERROR(_xlfn.SINGLE(INDEX(#REF!,'Annual Report'!AS388)),"")</f>
        <v/>
      </c>
    </row>
    <row r="389" spans="41:47">
      <c r="AO389" s="6" t="str">
        <f ca="1">IFERROR(MATCH($B$114,OFFSET(#REF!,AO388,0,1000000),0)+AO388,"")</f>
        <v/>
      </c>
      <c r="AP389" s="156" t="str">
        <f ca="1">IFERROR(_xlfn.SINGLE(INDEX(#REF!,'Annual Report'!AO389)),"")</f>
        <v/>
      </c>
      <c r="AQ389" s="6" t="str">
        <f ca="1">IFERROR(_xlfn.SINGLE(INDEX(#REF!,'Annual Report'!AO389)),"")</f>
        <v/>
      </c>
      <c r="AS389" s="6" t="str">
        <f ca="1">IFERROR(MATCH($L$115,OFFSET(#REF!,AS388,0,1000000),0)+AS388,"")</f>
        <v/>
      </c>
      <c r="AT389" s="156" t="str">
        <f ca="1">IFERROR(_xlfn.SINGLE(INDEX(#REF!,'Annual Report'!AS389)),"")</f>
        <v/>
      </c>
      <c r="AU389" s="6" t="str">
        <f ca="1">IFERROR(_xlfn.SINGLE(INDEX(#REF!,'Annual Report'!AS389)),"")</f>
        <v/>
      </c>
    </row>
    <row r="390" spans="41:47">
      <c r="AO390" s="6" t="str">
        <f ca="1">IFERROR(MATCH($B$114,OFFSET(#REF!,AO389,0,1000000),0)+AO389,"")</f>
        <v/>
      </c>
      <c r="AP390" s="156" t="str">
        <f ca="1">IFERROR(_xlfn.SINGLE(INDEX(#REF!,'Annual Report'!AO390)),"")</f>
        <v/>
      </c>
      <c r="AQ390" s="6" t="str">
        <f ca="1">IFERROR(_xlfn.SINGLE(INDEX(#REF!,'Annual Report'!AO390)),"")</f>
        <v/>
      </c>
      <c r="AS390" s="6" t="str">
        <f ca="1">IFERROR(MATCH($L$115,OFFSET(#REF!,AS389,0,1000000),0)+AS389,"")</f>
        <v/>
      </c>
      <c r="AT390" s="156" t="str">
        <f ca="1">IFERROR(_xlfn.SINGLE(INDEX(#REF!,'Annual Report'!AS390)),"")</f>
        <v/>
      </c>
      <c r="AU390" s="6" t="str">
        <f ca="1">IFERROR(_xlfn.SINGLE(INDEX(#REF!,'Annual Report'!AS390)),"")</f>
        <v/>
      </c>
    </row>
    <row r="391" spans="41:47">
      <c r="AO391" s="6" t="str">
        <f ca="1">IFERROR(MATCH($B$114,OFFSET(#REF!,AO390,0,1000000),0)+AO390,"")</f>
        <v/>
      </c>
      <c r="AP391" s="156" t="str">
        <f ca="1">IFERROR(_xlfn.SINGLE(INDEX(#REF!,'Annual Report'!AO391)),"")</f>
        <v/>
      </c>
      <c r="AQ391" s="6" t="str">
        <f ca="1">IFERROR(_xlfn.SINGLE(INDEX(#REF!,'Annual Report'!AO391)),"")</f>
        <v/>
      </c>
      <c r="AS391" s="6" t="str">
        <f ca="1">IFERROR(MATCH($L$115,OFFSET(#REF!,AS390,0,1000000),0)+AS390,"")</f>
        <v/>
      </c>
      <c r="AT391" s="156" t="str">
        <f ca="1">IFERROR(_xlfn.SINGLE(INDEX(#REF!,'Annual Report'!AS391)),"")</f>
        <v/>
      </c>
      <c r="AU391" s="6" t="str">
        <f ca="1">IFERROR(_xlfn.SINGLE(INDEX(#REF!,'Annual Report'!AS391)),"")</f>
        <v/>
      </c>
    </row>
    <row r="392" spans="41:47">
      <c r="AO392" s="6" t="str">
        <f ca="1">IFERROR(MATCH($B$114,OFFSET(#REF!,AO391,0,1000000),0)+AO391,"")</f>
        <v/>
      </c>
      <c r="AP392" s="156" t="str">
        <f ca="1">IFERROR(_xlfn.SINGLE(INDEX(#REF!,'Annual Report'!AO392)),"")</f>
        <v/>
      </c>
      <c r="AQ392" s="6" t="str">
        <f ca="1">IFERROR(_xlfn.SINGLE(INDEX(#REF!,'Annual Report'!AO392)),"")</f>
        <v/>
      </c>
      <c r="AS392" s="6" t="str">
        <f ca="1">IFERROR(MATCH($L$115,OFFSET(#REF!,AS391,0,1000000),0)+AS391,"")</f>
        <v/>
      </c>
      <c r="AT392" s="156" t="str">
        <f ca="1">IFERROR(_xlfn.SINGLE(INDEX(#REF!,'Annual Report'!AS392)),"")</f>
        <v/>
      </c>
      <c r="AU392" s="6" t="str">
        <f ca="1">IFERROR(_xlfn.SINGLE(INDEX(#REF!,'Annual Report'!AS392)),"")</f>
        <v/>
      </c>
    </row>
    <row r="393" spans="41:47">
      <c r="AO393" s="6" t="str">
        <f ca="1">IFERROR(MATCH($B$114,OFFSET(#REF!,AO392,0,1000000),0)+AO392,"")</f>
        <v/>
      </c>
      <c r="AP393" s="156" t="str">
        <f ca="1">IFERROR(_xlfn.SINGLE(INDEX(#REF!,'Annual Report'!AO393)),"")</f>
        <v/>
      </c>
      <c r="AQ393" s="6" t="str">
        <f ca="1">IFERROR(_xlfn.SINGLE(INDEX(#REF!,'Annual Report'!AO393)),"")</f>
        <v/>
      </c>
      <c r="AS393" s="6" t="str">
        <f ca="1">IFERROR(MATCH($L$115,OFFSET(#REF!,AS392,0,1000000),0)+AS392,"")</f>
        <v/>
      </c>
      <c r="AT393" s="156" t="str">
        <f ca="1">IFERROR(_xlfn.SINGLE(INDEX(#REF!,'Annual Report'!AS393)),"")</f>
        <v/>
      </c>
      <c r="AU393" s="6" t="str">
        <f ca="1">IFERROR(_xlfn.SINGLE(INDEX(#REF!,'Annual Report'!AS393)),"")</f>
        <v/>
      </c>
    </row>
    <row r="394" spans="41:47">
      <c r="AO394" s="6" t="str">
        <f ca="1">IFERROR(MATCH($B$114,OFFSET(#REF!,AO393,0,1000000),0)+AO393,"")</f>
        <v/>
      </c>
      <c r="AP394" s="156" t="str">
        <f ca="1">IFERROR(_xlfn.SINGLE(INDEX(#REF!,'Annual Report'!AO394)),"")</f>
        <v/>
      </c>
      <c r="AQ394" s="6" t="str">
        <f ca="1">IFERROR(_xlfn.SINGLE(INDEX(#REF!,'Annual Report'!AO394)),"")</f>
        <v/>
      </c>
      <c r="AS394" s="6" t="str">
        <f ca="1">IFERROR(MATCH($L$115,OFFSET(#REF!,AS393,0,1000000),0)+AS393,"")</f>
        <v/>
      </c>
      <c r="AT394" s="156" t="str">
        <f ca="1">IFERROR(_xlfn.SINGLE(INDEX(#REF!,'Annual Report'!AS394)),"")</f>
        <v/>
      </c>
      <c r="AU394" s="6" t="str">
        <f ca="1">IFERROR(_xlfn.SINGLE(INDEX(#REF!,'Annual Report'!AS394)),"")</f>
        <v/>
      </c>
    </row>
    <row r="395" spans="41:47">
      <c r="AO395" s="6" t="str">
        <f ca="1">IFERROR(MATCH($B$114,OFFSET(#REF!,AO394,0,1000000),0)+AO394,"")</f>
        <v/>
      </c>
      <c r="AP395" s="156" t="str">
        <f ca="1">IFERROR(_xlfn.SINGLE(INDEX(#REF!,'Annual Report'!AO395)),"")</f>
        <v/>
      </c>
      <c r="AQ395" s="6" t="str">
        <f ca="1">IFERROR(_xlfn.SINGLE(INDEX(#REF!,'Annual Report'!AO395)),"")</f>
        <v/>
      </c>
      <c r="AS395" s="6" t="str">
        <f ca="1">IFERROR(MATCH($L$115,OFFSET(#REF!,AS394,0,1000000),0)+AS394,"")</f>
        <v/>
      </c>
      <c r="AT395" s="156" t="str">
        <f ca="1">IFERROR(_xlfn.SINGLE(INDEX(#REF!,'Annual Report'!AS395)),"")</f>
        <v/>
      </c>
      <c r="AU395" s="6" t="str">
        <f ca="1">IFERROR(_xlfn.SINGLE(INDEX(#REF!,'Annual Report'!AS395)),"")</f>
        <v/>
      </c>
    </row>
    <row r="396" spans="41:47">
      <c r="AO396" s="6" t="str">
        <f ca="1">IFERROR(MATCH($B$114,OFFSET(#REF!,AO395,0,1000000),0)+AO395,"")</f>
        <v/>
      </c>
      <c r="AP396" s="156" t="str">
        <f ca="1">IFERROR(_xlfn.SINGLE(INDEX(#REF!,'Annual Report'!AO396)),"")</f>
        <v/>
      </c>
      <c r="AQ396" s="6" t="str">
        <f ca="1">IFERROR(_xlfn.SINGLE(INDEX(#REF!,'Annual Report'!AO396)),"")</f>
        <v/>
      </c>
      <c r="AS396" s="6" t="str">
        <f ca="1">IFERROR(MATCH($L$115,OFFSET(#REF!,AS395,0,1000000),0)+AS395,"")</f>
        <v/>
      </c>
      <c r="AT396" s="156" t="str">
        <f ca="1">IFERROR(_xlfn.SINGLE(INDEX(#REF!,'Annual Report'!AS396)),"")</f>
        <v/>
      </c>
      <c r="AU396" s="6" t="str">
        <f ca="1">IFERROR(_xlfn.SINGLE(INDEX(#REF!,'Annual Report'!AS396)),"")</f>
        <v/>
      </c>
    </row>
    <row r="397" spans="41:47">
      <c r="AO397" s="6" t="str">
        <f ca="1">IFERROR(MATCH($B$114,OFFSET(#REF!,AO396,0,1000000),0)+AO396,"")</f>
        <v/>
      </c>
      <c r="AP397" s="156" t="str">
        <f ca="1">IFERROR(_xlfn.SINGLE(INDEX(#REF!,'Annual Report'!AO397)),"")</f>
        <v/>
      </c>
      <c r="AQ397" s="6" t="str">
        <f ca="1">IFERROR(_xlfn.SINGLE(INDEX(#REF!,'Annual Report'!AO397)),"")</f>
        <v/>
      </c>
      <c r="AS397" s="6" t="str">
        <f ca="1">IFERROR(MATCH($L$115,OFFSET(#REF!,AS396,0,1000000),0)+AS396,"")</f>
        <v/>
      </c>
      <c r="AT397" s="156" t="str">
        <f ca="1">IFERROR(_xlfn.SINGLE(INDEX(#REF!,'Annual Report'!AS397)),"")</f>
        <v/>
      </c>
      <c r="AU397" s="6" t="str">
        <f ca="1">IFERROR(_xlfn.SINGLE(INDEX(#REF!,'Annual Report'!AS397)),"")</f>
        <v/>
      </c>
    </row>
    <row r="398" spans="41:47">
      <c r="AO398" s="6" t="str">
        <f ca="1">IFERROR(MATCH($B$114,OFFSET(#REF!,AO397,0,1000000),0)+AO397,"")</f>
        <v/>
      </c>
      <c r="AP398" s="156" t="str">
        <f ca="1">IFERROR(_xlfn.SINGLE(INDEX(#REF!,'Annual Report'!AO398)),"")</f>
        <v/>
      </c>
      <c r="AQ398" s="6" t="str">
        <f ca="1">IFERROR(_xlfn.SINGLE(INDEX(#REF!,'Annual Report'!AO398)),"")</f>
        <v/>
      </c>
      <c r="AS398" s="6" t="str">
        <f ca="1">IFERROR(MATCH($L$115,OFFSET(#REF!,AS397,0,1000000),0)+AS397,"")</f>
        <v/>
      </c>
      <c r="AT398" s="156" t="str">
        <f ca="1">IFERROR(_xlfn.SINGLE(INDEX(#REF!,'Annual Report'!AS398)),"")</f>
        <v/>
      </c>
      <c r="AU398" s="6" t="str">
        <f ca="1">IFERROR(_xlfn.SINGLE(INDEX(#REF!,'Annual Report'!AS398)),"")</f>
        <v/>
      </c>
    </row>
    <row r="399" spans="41:47">
      <c r="AO399" s="6" t="str">
        <f ca="1">IFERROR(MATCH($B$114,OFFSET(#REF!,AO398,0,1000000),0)+AO398,"")</f>
        <v/>
      </c>
      <c r="AP399" s="156" t="str">
        <f ca="1">IFERROR(_xlfn.SINGLE(INDEX(#REF!,'Annual Report'!AO399)),"")</f>
        <v/>
      </c>
      <c r="AQ399" s="6" t="str">
        <f ca="1">IFERROR(_xlfn.SINGLE(INDEX(#REF!,'Annual Report'!AO399)),"")</f>
        <v/>
      </c>
      <c r="AS399" s="6" t="str">
        <f ca="1">IFERROR(MATCH($L$115,OFFSET(#REF!,AS398,0,1000000),0)+AS398,"")</f>
        <v/>
      </c>
      <c r="AT399" s="156" t="str">
        <f ca="1">IFERROR(_xlfn.SINGLE(INDEX(#REF!,'Annual Report'!AS399)),"")</f>
        <v/>
      </c>
      <c r="AU399" s="6" t="str">
        <f ca="1">IFERROR(_xlfn.SINGLE(INDEX(#REF!,'Annual Report'!AS399)),"")</f>
        <v/>
      </c>
    </row>
    <row r="400" spans="41:47">
      <c r="AO400" s="6" t="str">
        <f ca="1">IFERROR(MATCH($B$114,OFFSET(#REF!,AO399,0,1000000),0)+AO399,"")</f>
        <v/>
      </c>
      <c r="AP400" s="156" t="str">
        <f ca="1">IFERROR(_xlfn.SINGLE(INDEX(#REF!,'Annual Report'!AO400)),"")</f>
        <v/>
      </c>
      <c r="AQ400" s="6" t="str">
        <f ca="1">IFERROR(_xlfn.SINGLE(INDEX(#REF!,'Annual Report'!AO400)),"")</f>
        <v/>
      </c>
      <c r="AS400" s="6" t="str">
        <f ca="1">IFERROR(MATCH($L$115,OFFSET(#REF!,AS399,0,1000000),0)+AS399,"")</f>
        <v/>
      </c>
      <c r="AT400" s="156" t="str">
        <f ca="1">IFERROR(_xlfn.SINGLE(INDEX(#REF!,'Annual Report'!AS400)),"")</f>
        <v/>
      </c>
      <c r="AU400" s="6" t="str">
        <f ca="1">IFERROR(_xlfn.SINGLE(INDEX(#REF!,'Annual Report'!AS400)),"")</f>
        <v/>
      </c>
    </row>
    <row r="401" spans="41:47">
      <c r="AO401" s="6" t="str">
        <f ca="1">IFERROR(MATCH($B$114,OFFSET(#REF!,AO400,0,1000000),0)+AO400,"")</f>
        <v/>
      </c>
      <c r="AP401" s="156" t="str">
        <f ca="1">IFERROR(_xlfn.SINGLE(INDEX(#REF!,'Annual Report'!AO401)),"")</f>
        <v/>
      </c>
      <c r="AQ401" s="6" t="str">
        <f ca="1">IFERROR(_xlfn.SINGLE(INDEX(#REF!,'Annual Report'!AO401)),"")</f>
        <v/>
      </c>
      <c r="AS401" s="6" t="str">
        <f ca="1">IFERROR(MATCH($L$115,OFFSET(#REF!,AS400,0,1000000),0)+AS400,"")</f>
        <v/>
      </c>
      <c r="AT401" s="156" t="str">
        <f ca="1">IFERROR(_xlfn.SINGLE(INDEX(#REF!,'Annual Report'!AS401)),"")</f>
        <v/>
      </c>
      <c r="AU401" s="6" t="str">
        <f ca="1">IFERROR(_xlfn.SINGLE(INDEX(#REF!,'Annual Report'!AS401)),"")</f>
        <v/>
      </c>
    </row>
    <row r="402" spans="41:47">
      <c r="AO402" s="6" t="str">
        <f ca="1">IFERROR(MATCH($B$114,OFFSET(#REF!,AO401,0,1000000),0)+AO401,"")</f>
        <v/>
      </c>
      <c r="AP402" s="156" t="str">
        <f ca="1">IFERROR(_xlfn.SINGLE(INDEX(#REF!,'Annual Report'!AO402)),"")</f>
        <v/>
      </c>
      <c r="AQ402" s="6" t="str">
        <f ca="1">IFERROR(_xlfn.SINGLE(INDEX(#REF!,'Annual Report'!AO402)),"")</f>
        <v/>
      </c>
      <c r="AS402" s="6" t="str">
        <f ca="1">IFERROR(MATCH($L$115,OFFSET(#REF!,AS401,0,1000000),0)+AS401,"")</f>
        <v/>
      </c>
      <c r="AT402" s="156" t="str">
        <f ca="1">IFERROR(_xlfn.SINGLE(INDEX(#REF!,'Annual Report'!AS402)),"")</f>
        <v/>
      </c>
      <c r="AU402" s="6" t="str">
        <f ca="1">IFERROR(_xlfn.SINGLE(INDEX(#REF!,'Annual Report'!AS402)),"")</f>
        <v/>
      </c>
    </row>
    <row r="403" spans="41:47">
      <c r="AO403" s="6" t="str">
        <f ca="1">IFERROR(MATCH($B$114,OFFSET(#REF!,AO402,0,1000000),0)+AO402,"")</f>
        <v/>
      </c>
      <c r="AP403" s="156" t="str">
        <f ca="1">IFERROR(_xlfn.SINGLE(INDEX(#REF!,'Annual Report'!AO403)),"")</f>
        <v/>
      </c>
      <c r="AQ403" s="6" t="str">
        <f ca="1">IFERROR(_xlfn.SINGLE(INDEX(#REF!,'Annual Report'!AO403)),"")</f>
        <v/>
      </c>
      <c r="AS403" s="6" t="str">
        <f ca="1">IFERROR(MATCH($L$115,OFFSET(#REF!,AS402,0,1000000),0)+AS402,"")</f>
        <v/>
      </c>
      <c r="AT403" s="156" t="str">
        <f ca="1">IFERROR(_xlfn.SINGLE(INDEX(#REF!,'Annual Report'!AS403)),"")</f>
        <v/>
      </c>
      <c r="AU403" s="6" t="str">
        <f ca="1">IFERROR(_xlfn.SINGLE(INDEX(#REF!,'Annual Report'!AS403)),"")</f>
        <v/>
      </c>
    </row>
    <row r="404" spans="41:47">
      <c r="AO404" s="6" t="str">
        <f ca="1">IFERROR(MATCH($B$114,OFFSET(#REF!,AO403,0,1000000),0)+AO403,"")</f>
        <v/>
      </c>
      <c r="AP404" s="156" t="str">
        <f ca="1">IFERROR(_xlfn.SINGLE(INDEX(#REF!,'Annual Report'!AO404)),"")</f>
        <v/>
      </c>
      <c r="AQ404" s="6" t="str">
        <f ca="1">IFERROR(_xlfn.SINGLE(INDEX(#REF!,'Annual Report'!AO404)),"")</f>
        <v/>
      </c>
      <c r="AS404" s="6" t="str">
        <f ca="1">IFERROR(MATCH($L$115,OFFSET(#REF!,AS403,0,1000000),0)+AS403,"")</f>
        <v/>
      </c>
      <c r="AT404" s="156" t="str">
        <f ca="1">IFERROR(_xlfn.SINGLE(INDEX(#REF!,'Annual Report'!AS404)),"")</f>
        <v/>
      </c>
      <c r="AU404" s="6" t="str">
        <f ca="1">IFERROR(_xlfn.SINGLE(INDEX(#REF!,'Annual Report'!AS404)),"")</f>
        <v/>
      </c>
    </row>
    <row r="405" spans="41:47">
      <c r="AO405" s="6" t="str">
        <f ca="1">IFERROR(MATCH($B$114,OFFSET(#REF!,AO404,0,1000000),0)+AO404,"")</f>
        <v/>
      </c>
      <c r="AP405" s="156" t="str">
        <f ca="1">IFERROR(_xlfn.SINGLE(INDEX(#REF!,'Annual Report'!AO405)),"")</f>
        <v/>
      </c>
      <c r="AQ405" s="6" t="str">
        <f ca="1">IFERROR(_xlfn.SINGLE(INDEX(#REF!,'Annual Report'!AO405)),"")</f>
        <v/>
      </c>
      <c r="AS405" s="6" t="str">
        <f ca="1">IFERROR(MATCH($L$115,OFFSET(#REF!,AS404,0,1000000),0)+AS404,"")</f>
        <v/>
      </c>
      <c r="AT405" s="156" t="str">
        <f ca="1">IFERROR(_xlfn.SINGLE(INDEX(#REF!,'Annual Report'!AS405)),"")</f>
        <v/>
      </c>
      <c r="AU405" s="6" t="str">
        <f ca="1">IFERROR(_xlfn.SINGLE(INDEX(#REF!,'Annual Report'!AS405)),"")</f>
        <v/>
      </c>
    </row>
    <row r="406" spans="41:47">
      <c r="AO406" s="6" t="str">
        <f ca="1">IFERROR(MATCH($B$114,OFFSET(#REF!,AO405,0,1000000),0)+AO405,"")</f>
        <v/>
      </c>
      <c r="AP406" s="156" t="str">
        <f ca="1">IFERROR(_xlfn.SINGLE(INDEX(#REF!,'Annual Report'!AO406)),"")</f>
        <v/>
      </c>
      <c r="AQ406" s="6" t="str">
        <f ca="1">IFERROR(_xlfn.SINGLE(INDEX(#REF!,'Annual Report'!AO406)),"")</f>
        <v/>
      </c>
      <c r="AS406" s="6" t="str">
        <f ca="1">IFERROR(MATCH($L$115,OFFSET(#REF!,AS405,0,1000000),0)+AS405,"")</f>
        <v/>
      </c>
      <c r="AT406" s="156" t="str">
        <f ca="1">IFERROR(_xlfn.SINGLE(INDEX(#REF!,'Annual Report'!AS406)),"")</f>
        <v/>
      </c>
      <c r="AU406" s="6" t="str">
        <f ca="1">IFERROR(_xlfn.SINGLE(INDEX(#REF!,'Annual Report'!AS406)),"")</f>
        <v/>
      </c>
    </row>
    <row r="407" spans="41:47">
      <c r="AO407" s="6" t="str">
        <f ca="1">IFERROR(MATCH($B$114,OFFSET(#REF!,AO406,0,1000000),0)+AO406,"")</f>
        <v/>
      </c>
      <c r="AP407" s="156" t="str">
        <f ca="1">IFERROR(_xlfn.SINGLE(INDEX(#REF!,'Annual Report'!AO407)),"")</f>
        <v/>
      </c>
      <c r="AQ407" s="6" t="str">
        <f ca="1">IFERROR(_xlfn.SINGLE(INDEX(#REF!,'Annual Report'!AO407)),"")</f>
        <v/>
      </c>
      <c r="AS407" s="6" t="str">
        <f ca="1">IFERROR(MATCH($L$115,OFFSET(#REF!,AS406,0,1000000),0)+AS406,"")</f>
        <v/>
      </c>
      <c r="AT407" s="156" t="str">
        <f ca="1">IFERROR(_xlfn.SINGLE(INDEX(#REF!,'Annual Report'!AS407)),"")</f>
        <v/>
      </c>
      <c r="AU407" s="6" t="str">
        <f ca="1">IFERROR(_xlfn.SINGLE(INDEX(#REF!,'Annual Report'!AS407)),"")</f>
        <v/>
      </c>
    </row>
    <row r="408" spans="41:47">
      <c r="AO408" s="6" t="str">
        <f ca="1">IFERROR(MATCH($B$114,OFFSET(#REF!,AO407,0,1000000),0)+AO407,"")</f>
        <v/>
      </c>
      <c r="AP408" s="156" t="str">
        <f ca="1">IFERROR(_xlfn.SINGLE(INDEX(#REF!,'Annual Report'!AO408)),"")</f>
        <v/>
      </c>
      <c r="AQ408" s="6" t="str">
        <f ca="1">IFERROR(_xlfn.SINGLE(INDEX(#REF!,'Annual Report'!AO408)),"")</f>
        <v/>
      </c>
      <c r="AS408" s="6" t="str">
        <f ca="1">IFERROR(MATCH($L$115,OFFSET(#REF!,AS407,0,1000000),0)+AS407,"")</f>
        <v/>
      </c>
      <c r="AT408" s="156" t="str">
        <f ca="1">IFERROR(_xlfn.SINGLE(INDEX(#REF!,'Annual Report'!AS408)),"")</f>
        <v/>
      </c>
      <c r="AU408" s="6" t="str">
        <f ca="1">IFERROR(_xlfn.SINGLE(INDEX(#REF!,'Annual Report'!AS408)),"")</f>
        <v/>
      </c>
    </row>
    <row r="409" spans="41:47">
      <c r="AO409" s="6" t="str">
        <f ca="1">IFERROR(MATCH($B$114,OFFSET(#REF!,AO408,0,1000000),0)+AO408,"")</f>
        <v/>
      </c>
      <c r="AP409" s="156" t="str">
        <f ca="1">IFERROR(_xlfn.SINGLE(INDEX(#REF!,'Annual Report'!AO409)),"")</f>
        <v/>
      </c>
      <c r="AQ409" s="6" t="str">
        <f ca="1">IFERROR(_xlfn.SINGLE(INDEX(#REF!,'Annual Report'!AO409)),"")</f>
        <v/>
      </c>
      <c r="AS409" s="6" t="str">
        <f ca="1">IFERROR(MATCH($L$115,OFFSET(#REF!,AS408,0,1000000),0)+AS408,"")</f>
        <v/>
      </c>
      <c r="AT409" s="156" t="str">
        <f ca="1">IFERROR(_xlfn.SINGLE(INDEX(#REF!,'Annual Report'!AS409)),"")</f>
        <v/>
      </c>
      <c r="AU409" s="6" t="str">
        <f ca="1">IFERROR(_xlfn.SINGLE(INDEX(#REF!,'Annual Report'!AS409)),"")</f>
        <v/>
      </c>
    </row>
    <row r="410" spans="41:47">
      <c r="AO410" s="6" t="str">
        <f ca="1">IFERROR(MATCH($B$114,OFFSET(#REF!,AO409,0,1000000),0)+AO409,"")</f>
        <v/>
      </c>
      <c r="AP410" s="156" t="str">
        <f ca="1">IFERROR(_xlfn.SINGLE(INDEX(#REF!,'Annual Report'!AO410)),"")</f>
        <v/>
      </c>
      <c r="AQ410" s="6" t="str">
        <f ca="1">IFERROR(_xlfn.SINGLE(INDEX(#REF!,'Annual Report'!AO410)),"")</f>
        <v/>
      </c>
      <c r="AS410" s="6" t="str">
        <f ca="1">IFERROR(MATCH($L$115,OFFSET(#REF!,AS409,0,1000000),0)+AS409,"")</f>
        <v/>
      </c>
      <c r="AT410" s="156" t="str">
        <f ca="1">IFERROR(_xlfn.SINGLE(INDEX(#REF!,'Annual Report'!AS410)),"")</f>
        <v/>
      </c>
      <c r="AU410" s="6" t="str">
        <f ca="1">IFERROR(_xlfn.SINGLE(INDEX(#REF!,'Annual Report'!AS410)),"")</f>
        <v/>
      </c>
    </row>
    <row r="411" spans="41:47">
      <c r="AO411" s="6" t="str">
        <f ca="1">IFERROR(MATCH($B$114,OFFSET(#REF!,AO410,0,1000000),0)+AO410,"")</f>
        <v/>
      </c>
      <c r="AP411" s="156" t="str">
        <f ca="1">IFERROR(_xlfn.SINGLE(INDEX(#REF!,'Annual Report'!AO411)),"")</f>
        <v/>
      </c>
      <c r="AQ411" s="6" t="str">
        <f ca="1">IFERROR(_xlfn.SINGLE(INDEX(#REF!,'Annual Report'!AO411)),"")</f>
        <v/>
      </c>
      <c r="AS411" s="6" t="str">
        <f ca="1">IFERROR(MATCH($L$115,OFFSET(#REF!,AS410,0,1000000),0)+AS410,"")</f>
        <v/>
      </c>
      <c r="AT411" s="156" t="str">
        <f ca="1">IFERROR(_xlfn.SINGLE(INDEX(#REF!,'Annual Report'!AS411)),"")</f>
        <v/>
      </c>
      <c r="AU411" s="6" t="str">
        <f ca="1">IFERROR(_xlfn.SINGLE(INDEX(#REF!,'Annual Report'!AS411)),"")</f>
        <v/>
      </c>
    </row>
    <row r="412" spans="41:47">
      <c r="AO412" s="6" t="str">
        <f ca="1">IFERROR(MATCH($B$114,OFFSET(#REF!,AO411,0,1000000),0)+AO411,"")</f>
        <v/>
      </c>
      <c r="AP412" s="156" t="str">
        <f ca="1">IFERROR(_xlfn.SINGLE(INDEX(#REF!,'Annual Report'!AO412)),"")</f>
        <v/>
      </c>
      <c r="AQ412" s="6" t="str">
        <f ca="1">IFERROR(_xlfn.SINGLE(INDEX(#REF!,'Annual Report'!AO412)),"")</f>
        <v/>
      </c>
      <c r="AS412" s="6" t="str">
        <f ca="1">IFERROR(MATCH($L$115,OFFSET(#REF!,AS411,0,1000000),0)+AS411,"")</f>
        <v/>
      </c>
      <c r="AT412" s="156" t="str">
        <f ca="1">IFERROR(_xlfn.SINGLE(INDEX(#REF!,'Annual Report'!AS412)),"")</f>
        <v/>
      </c>
      <c r="AU412" s="6" t="str">
        <f ca="1">IFERROR(_xlfn.SINGLE(INDEX(#REF!,'Annual Report'!AS412)),"")</f>
        <v/>
      </c>
    </row>
    <row r="413" spans="41:47">
      <c r="AO413" s="6" t="str">
        <f ca="1">IFERROR(MATCH($B$114,OFFSET(#REF!,AO412,0,1000000),0)+AO412,"")</f>
        <v/>
      </c>
      <c r="AP413" s="156" t="str">
        <f ca="1">IFERROR(_xlfn.SINGLE(INDEX(#REF!,'Annual Report'!AO413)),"")</f>
        <v/>
      </c>
      <c r="AQ413" s="6" t="str">
        <f ca="1">IFERROR(_xlfn.SINGLE(INDEX(#REF!,'Annual Report'!AO413)),"")</f>
        <v/>
      </c>
      <c r="AS413" s="6" t="str">
        <f ca="1">IFERROR(MATCH($L$115,OFFSET(#REF!,AS412,0,1000000),0)+AS412,"")</f>
        <v/>
      </c>
      <c r="AT413" s="156" t="str">
        <f ca="1">IFERROR(_xlfn.SINGLE(INDEX(#REF!,'Annual Report'!AS413)),"")</f>
        <v/>
      </c>
      <c r="AU413" s="6" t="str">
        <f ca="1">IFERROR(_xlfn.SINGLE(INDEX(#REF!,'Annual Report'!AS413)),"")</f>
        <v/>
      </c>
    </row>
    <row r="414" spans="41:47">
      <c r="AO414" s="6" t="str">
        <f ca="1">IFERROR(MATCH($B$114,OFFSET(#REF!,AO413,0,1000000),0)+AO413,"")</f>
        <v/>
      </c>
      <c r="AP414" s="156" t="str">
        <f ca="1">IFERROR(_xlfn.SINGLE(INDEX(#REF!,'Annual Report'!AO414)),"")</f>
        <v/>
      </c>
      <c r="AQ414" s="6" t="str">
        <f ca="1">IFERROR(_xlfn.SINGLE(INDEX(#REF!,'Annual Report'!AO414)),"")</f>
        <v/>
      </c>
      <c r="AS414" s="6" t="str">
        <f ca="1">IFERROR(MATCH($L$115,OFFSET(#REF!,AS413,0,1000000),0)+AS413,"")</f>
        <v/>
      </c>
      <c r="AT414" s="156" t="str">
        <f ca="1">IFERROR(_xlfn.SINGLE(INDEX(#REF!,'Annual Report'!AS414)),"")</f>
        <v/>
      </c>
      <c r="AU414" s="6" t="str">
        <f ca="1">IFERROR(_xlfn.SINGLE(INDEX(#REF!,'Annual Report'!AS414)),"")</f>
        <v/>
      </c>
    </row>
    <row r="415" spans="41:47">
      <c r="AO415" s="6" t="str">
        <f ca="1">IFERROR(MATCH($B$114,OFFSET(#REF!,AO414,0,1000000),0)+AO414,"")</f>
        <v/>
      </c>
      <c r="AP415" s="156" t="str">
        <f ca="1">IFERROR(_xlfn.SINGLE(INDEX(#REF!,'Annual Report'!AO415)),"")</f>
        <v/>
      </c>
      <c r="AQ415" s="6" t="str">
        <f ca="1">IFERROR(_xlfn.SINGLE(INDEX(#REF!,'Annual Report'!AO415)),"")</f>
        <v/>
      </c>
      <c r="AS415" s="6" t="str">
        <f ca="1">IFERROR(MATCH($L$115,OFFSET(#REF!,AS414,0,1000000),0)+AS414,"")</f>
        <v/>
      </c>
      <c r="AT415" s="156" t="str">
        <f ca="1">IFERROR(_xlfn.SINGLE(INDEX(#REF!,'Annual Report'!AS415)),"")</f>
        <v/>
      </c>
      <c r="AU415" s="6" t="str">
        <f ca="1">IFERROR(_xlfn.SINGLE(INDEX(#REF!,'Annual Report'!AS415)),"")</f>
        <v/>
      </c>
    </row>
    <row r="416" spans="41:47">
      <c r="AO416" s="6" t="str">
        <f ca="1">IFERROR(MATCH($B$114,OFFSET(#REF!,AO415,0,1000000),0)+AO415,"")</f>
        <v/>
      </c>
      <c r="AP416" s="156" t="str">
        <f ca="1">IFERROR(_xlfn.SINGLE(INDEX(#REF!,'Annual Report'!AO416)),"")</f>
        <v/>
      </c>
      <c r="AQ416" s="6" t="str">
        <f ca="1">IFERROR(_xlfn.SINGLE(INDEX(#REF!,'Annual Report'!AO416)),"")</f>
        <v/>
      </c>
      <c r="AS416" s="6" t="str">
        <f ca="1">IFERROR(MATCH($L$115,OFFSET(#REF!,AS415,0,1000000),0)+AS415,"")</f>
        <v/>
      </c>
      <c r="AT416" s="156" t="str">
        <f ca="1">IFERROR(_xlfn.SINGLE(INDEX(#REF!,'Annual Report'!AS416)),"")</f>
        <v/>
      </c>
      <c r="AU416" s="6" t="str">
        <f ca="1">IFERROR(_xlfn.SINGLE(INDEX(#REF!,'Annual Report'!AS416)),"")</f>
        <v/>
      </c>
    </row>
    <row r="417" spans="41:47">
      <c r="AO417" s="6" t="str">
        <f ca="1">IFERROR(MATCH($B$114,OFFSET(#REF!,AO416,0,1000000),0)+AO416,"")</f>
        <v/>
      </c>
      <c r="AP417" s="156" t="str">
        <f ca="1">IFERROR(_xlfn.SINGLE(INDEX(#REF!,'Annual Report'!AO417)),"")</f>
        <v/>
      </c>
      <c r="AQ417" s="6" t="str">
        <f ca="1">IFERROR(_xlfn.SINGLE(INDEX(#REF!,'Annual Report'!AO417)),"")</f>
        <v/>
      </c>
      <c r="AS417" s="6" t="str">
        <f ca="1">IFERROR(MATCH($L$115,OFFSET(#REF!,AS416,0,1000000),0)+AS416,"")</f>
        <v/>
      </c>
      <c r="AT417" s="156" t="str">
        <f ca="1">IFERROR(_xlfn.SINGLE(INDEX(#REF!,'Annual Report'!AS417)),"")</f>
        <v/>
      </c>
      <c r="AU417" s="6" t="str">
        <f ca="1">IFERROR(_xlfn.SINGLE(INDEX(#REF!,'Annual Report'!AS417)),"")</f>
        <v/>
      </c>
    </row>
    <row r="418" spans="41:47">
      <c r="AO418" s="6" t="str">
        <f ca="1">IFERROR(MATCH($B$114,OFFSET(#REF!,AO417,0,1000000),0)+AO417,"")</f>
        <v/>
      </c>
      <c r="AP418" s="156" t="str">
        <f ca="1">IFERROR(_xlfn.SINGLE(INDEX(#REF!,'Annual Report'!AO418)),"")</f>
        <v/>
      </c>
      <c r="AQ418" s="6" t="str">
        <f ca="1">IFERROR(_xlfn.SINGLE(INDEX(#REF!,'Annual Report'!AO418)),"")</f>
        <v/>
      </c>
      <c r="AS418" s="6" t="str">
        <f ca="1">IFERROR(MATCH($L$115,OFFSET(#REF!,AS417,0,1000000),0)+AS417,"")</f>
        <v/>
      </c>
      <c r="AT418" s="156" t="str">
        <f ca="1">IFERROR(_xlfn.SINGLE(INDEX(#REF!,'Annual Report'!AS418)),"")</f>
        <v/>
      </c>
      <c r="AU418" s="6" t="str">
        <f ca="1">IFERROR(_xlfn.SINGLE(INDEX(#REF!,'Annual Report'!AS418)),"")</f>
        <v/>
      </c>
    </row>
    <row r="419" spans="41:47">
      <c r="AO419" s="6" t="str">
        <f ca="1">IFERROR(MATCH($B$114,OFFSET(#REF!,AO418,0,1000000),0)+AO418,"")</f>
        <v/>
      </c>
      <c r="AP419" s="156" t="str">
        <f ca="1">IFERROR(_xlfn.SINGLE(INDEX(#REF!,'Annual Report'!AO419)),"")</f>
        <v/>
      </c>
      <c r="AQ419" s="6" t="str">
        <f ca="1">IFERROR(_xlfn.SINGLE(INDEX(#REF!,'Annual Report'!AO419)),"")</f>
        <v/>
      </c>
      <c r="AS419" s="6" t="str">
        <f ca="1">IFERROR(MATCH($L$115,OFFSET(#REF!,AS418,0,1000000),0)+AS418,"")</f>
        <v/>
      </c>
      <c r="AT419" s="156" t="str">
        <f ca="1">IFERROR(_xlfn.SINGLE(INDEX(#REF!,'Annual Report'!AS419)),"")</f>
        <v/>
      </c>
      <c r="AU419" s="6" t="str">
        <f ca="1">IFERROR(_xlfn.SINGLE(INDEX(#REF!,'Annual Report'!AS419)),"")</f>
        <v/>
      </c>
    </row>
    <row r="420" spans="41:47">
      <c r="AO420" s="6" t="str">
        <f ca="1">IFERROR(MATCH($B$114,OFFSET(#REF!,AO419,0,1000000),0)+AO419,"")</f>
        <v/>
      </c>
      <c r="AP420" s="156" t="str">
        <f ca="1">IFERROR(_xlfn.SINGLE(INDEX(#REF!,'Annual Report'!AO420)),"")</f>
        <v/>
      </c>
      <c r="AQ420" s="6" t="str">
        <f ca="1">IFERROR(_xlfn.SINGLE(INDEX(#REF!,'Annual Report'!AO420)),"")</f>
        <v/>
      </c>
      <c r="AS420" s="6" t="str">
        <f ca="1">IFERROR(MATCH($L$115,OFFSET(#REF!,AS419,0,1000000),0)+AS419,"")</f>
        <v/>
      </c>
      <c r="AT420" s="156" t="str">
        <f ca="1">IFERROR(_xlfn.SINGLE(INDEX(#REF!,'Annual Report'!AS420)),"")</f>
        <v/>
      </c>
      <c r="AU420" s="6" t="str">
        <f ca="1">IFERROR(_xlfn.SINGLE(INDEX(#REF!,'Annual Report'!AS420)),"")</f>
        <v/>
      </c>
    </row>
    <row r="421" spans="41:47">
      <c r="AO421" s="6" t="str">
        <f ca="1">IFERROR(MATCH($B$114,OFFSET(#REF!,AO420,0,1000000),0)+AO420,"")</f>
        <v/>
      </c>
      <c r="AP421" s="156" t="str">
        <f ca="1">IFERROR(_xlfn.SINGLE(INDEX(#REF!,'Annual Report'!AO421)),"")</f>
        <v/>
      </c>
      <c r="AQ421" s="6" t="str">
        <f ca="1">IFERROR(_xlfn.SINGLE(INDEX(#REF!,'Annual Report'!AO421)),"")</f>
        <v/>
      </c>
      <c r="AS421" s="6" t="str">
        <f ca="1">IFERROR(MATCH($L$115,OFFSET(#REF!,AS420,0,1000000),0)+AS420,"")</f>
        <v/>
      </c>
      <c r="AT421" s="156" t="str">
        <f ca="1">IFERROR(_xlfn.SINGLE(INDEX(#REF!,'Annual Report'!AS421)),"")</f>
        <v/>
      </c>
      <c r="AU421" s="6" t="str">
        <f ca="1">IFERROR(_xlfn.SINGLE(INDEX(#REF!,'Annual Report'!AS421)),"")</f>
        <v/>
      </c>
    </row>
    <row r="422" spans="41:47">
      <c r="AO422" s="6" t="str">
        <f ca="1">IFERROR(MATCH($B$114,OFFSET(#REF!,AO421,0,1000000),0)+AO421,"")</f>
        <v/>
      </c>
      <c r="AP422" s="156" t="str">
        <f ca="1">IFERROR(_xlfn.SINGLE(INDEX(#REF!,'Annual Report'!AO422)),"")</f>
        <v/>
      </c>
      <c r="AQ422" s="6" t="str">
        <f ca="1">IFERROR(_xlfn.SINGLE(INDEX(#REF!,'Annual Report'!AO422)),"")</f>
        <v/>
      </c>
      <c r="AS422" s="6" t="str">
        <f ca="1">IFERROR(MATCH($L$115,OFFSET(#REF!,AS421,0,1000000),0)+AS421,"")</f>
        <v/>
      </c>
      <c r="AT422" s="156" t="str">
        <f ca="1">IFERROR(_xlfn.SINGLE(INDEX(#REF!,'Annual Report'!AS422)),"")</f>
        <v/>
      </c>
      <c r="AU422" s="6" t="str">
        <f ca="1">IFERROR(_xlfn.SINGLE(INDEX(#REF!,'Annual Report'!AS422)),"")</f>
        <v/>
      </c>
    </row>
    <row r="423" spans="41:47">
      <c r="AO423" s="6" t="str">
        <f ca="1">IFERROR(MATCH($B$114,OFFSET(#REF!,AO422,0,1000000),0)+AO422,"")</f>
        <v/>
      </c>
      <c r="AP423" s="156" t="str">
        <f ca="1">IFERROR(_xlfn.SINGLE(INDEX(#REF!,'Annual Report'!AO423)),"")</f>
        <v/>
      </c>
      <c r="AQ423" s="6" t="str">
        <f ca="1">IFERROR(_xlfn.SINGLE(INDEX(#REF!,'Annual Report'!AO423)),"")</f>
        <v/>
      </c>
      <c r="AS423" s="6" t="str">
        <f ca="1">IFERROR(MATCH($L$115,OFFSET(#REF!,AS422,0,1000000),0)+AS422,"")</f>
        <v/>
      </c>
      <c r="AT423" s="156" t="str">
        <f ca="1">IFERROR(_xlfn.SINGLE(INDEX(#REF!,'Annual Report'!AS423)),"")</f>
        <v/>
      </c>
      <c r="AU423" s="6" t="str">
        <f ca="1">IFERROR(_xlfn.SINGLE(INDEX(#REF!,'Annual Report'!AS423)),"")</f>
        <v/>
      </c>
    </row>
    <row r="424" spans="41:47">
      <c r="AO424" s="6" t="str">
        <f ca="1">IFERROR(MATCH($B$114,OFFSET(#REF!,AO423,0,1000000),0)+AO423,"")</f>
        <v/>
      </c>
      <c r="AP424" s="156" t="str">
        <f ca="1">IFERROR(_xlfn.SINGLE(INDEX(#REF!,'Annual Report'!AO424)),"")</f>
        <v/>
      </c>
      <c r="AQ424" s="6" t="str">
        <f ca="1">IFERROR(_xlfn.SINGLE(INDEX(#REF!,'Annual Report'!AO424)),"")</f>
        <v/>
      </c>
      <c r="AS424" s="6" t="str">
        <f ca="1">IFERROR(MATCH($L$115,OFFSET(#REF!,AS423,0,1000000),0)+AS423,"")</f>
        <v/>
      </c>
      <c r="AT424" s="156" t="str">
        <f ca="1">IFERROR(_xlfn.SINGLE(INDEX(#REF!,'Annual Report'!AS424)),"")</f>
        <v/>
      </c>
      <c r="AU424" s="6" t="str">
        <f ca="1">IFERROR(_xlfn.SINGLE(INDEX(#REF!,'Annual Report'!AS424)),"")</f>
        <v/>
      </c>
    </row>
    <row r="425" spans="41:47">
      <c r="AO425" s="6" t="str">
        <f ca="1">IFERROR(MATCH($B$114,OFFSET(#REF!,AO424,0,1000000),0)+AO424,"")</f>
        <v/>
      </c>
      <c r="AP425" s="156" t="str">
        <f ca="1">IFERROR(_xlfn.SINGLE(INDEX(#REF!,'Annual Report'!AO425)),"")</f>
        <v/>
      </c>
      <c r="AQ425" s="6" t="str">
        <f ca="1">IFERROR(_xlfn.SINGLE(INDEX(#REF!,'Annual Report'!AO425)),"")</f>
        <v/>
      </c>
      <c r="AS425" s="6" t="str">
        <f ca="1">IFERROR(MATCH($L$115,OFFSET(#REF!,AS424,0,1000000),0)+AS424,"")</f>
        <v/>
      </c>
      <c r="AT425" s="156" t="str">
        <f ca="1">IFERROR(_xlfn.SINGLE(INDEX(#REF!,'Annual Report'!AS425)),"")</f>
        <v/>
      </c>
      <c r="AU425" s="6" t="str">
        <f ca="1">IFERROR(_xlfn.SINGLE(INDEX(#REF!,'Annual Report'!AS425)),"")</f>
        <v/>
      </c>
    </row>
    <row r="426" spans="41:47">
      <c r="AO426" s="6" t="str">
        <f ca="1">IFERROR(MATCH($B$114,OFFSET(#REF!,AO425,0,1000000),0)+AO425,"")</f>
        <v/>
      </c>
      <c r="AP426" s="156" t="str">
        <f ca="1">IFERROR(_xlfn.SINGLE(INDEX(#REF!,'Annual Report'!AO426)),"")</f>
        <v/>
      </c>
      <c r="AQ426" s="6" t="str">
        <f ca="1">IFERROR(_xlfn.SINGLE(INDEX(#REF!,'Annual Report'!AO426)),"")</f>
        <v/>
      </c>
      <c r="AS426" s="6" t="str">
        <f ca="1">IFERROR(MATCH($L$115,OFFSET(#REF!,AS425,0,1000000),0)+AS425,"")</f>
        <v/>
      </c>
      <c r="AT426" s="156" t="str">
        <f ca="1">IFERROR(_xlfn.SINGLE(INDEX(#REF!,'Annual Report'!AS426)),"")</f>
        <v/>
      </c>
      <c r="AU426" s="6" t="str">
        <f ca="1">IFERROR(_xlfn.SINGLE(INDEX(#REF!,'Annual Report'!AS426)),"")</f>
        <v/>
      </c>
    </row>
    <row r="427" spans="41:47">
      <c r="AO427" s="6" t="str">
        <f ca="1">IFERROR(MATCH($B$114,OFFSET(#REF!,AO426,0,1000000),0)+AO426,"")</f>
        <v/>
      </c>
      <c r="AP427" s="156" t="str">
        <f ca="1">IFERROR(_xlfn.SINGLE(INDEX(#REF!,'Annual Report'!AO427)),"")</f>
        <v/>
      </c>
      <c r="AQ427" s="6" t="str">
        <f ca="1">IFERROR(_xlfn.SINGLE(INDEX(#REF!,'Annual Report'!AO427)),"")</f>
        <v/>
      </c>
      <c r="AS427" s="6" t="str">
        <f ca="1">IFERROR(MATCH($L$115,OFFSET(#REF!,AS426,0,1000000),0)+AS426,"")</f>
        <v/>
      </c>
      <c r="AT427" s="156" t="str">
        <f ca="1">IFERROR(_xlfn.SINGLE(INDEX(#REF!,'Annual Report'!AS427)),"")</f>
        <v/>
      </c>
      <c r="AU427" s="6" t="str">
        <f ca="1">IFERROR(_xlfn.SINGLE(INDEX(#REF!,'Annual Report'!AS427)),"")</f>
        <v/>
      </c>
    </row>
    <row r="428" spans="41:47">
      <c r="AO428" s="6" t="str">
        <f ca="1">IFERROR(MATCH($B$114,OFFSET(#REF!,AO427,0,1000000),0)+AO427,"")</f>
        <v/>
      </c>
      <c r="AP428" s="156" t="str">
        <f ca="1">IFERROR(_xlfn.SINGLE(INDEX(#REF!,'Annual Report'!AO428)),"")</f>
        <v/>
      </c>
      <c r="AQ428" s="6" t="str">
        <f ca="1">IFERROR(_xlfn.SINGLE(INDEX(#REF!,'Annual Report'!AO428)),"")</f>
        <v/>
      </c>
      <c r="AS428" s="6" t="str">
        <f ca="1">IFERROR(MATCH($L$115,OFFSET(#REF!,AS427,0,1000000),0)+AS427,"")</f>
        <v/>
      </c>
      <c r="AT428" s="156" t="str">
        <f ca="1">IFERROR(_xlfn.SINGLE(INDEX(#REF!,'Annual Report'!AS428)),"")</f>
        <v/>
      </c>
      <c r="AU428" s="6" t="str">
        <f ca="1">IFERROR(_xlfn.SINGLE(INDEX(#REF!,'Annual Report'!AS428)),"")</f>
        <v/>
      </c>
    </row>
    <row r="429" spans="41:47">
      <c r="AO429" s="6" t="str">
        <f ca="1">IFERROR(MATCH($B$114,OFFSET(#REF!,AO428,0,1000000),0)+AO428,"")</f>
        <v/>
      </c>
      <c r="AP429" s="156" t="str">
        <f ca="1">IFERROR(_xlfn.SINGLE(INDEX(#REF!,'Annual Report'!AO429)),"")</f>
        <v/>
      </c>
      <c r="AQ429" s="6" t="str">
        <f ca="1">IFERROR(_xlfn.SINGLE(INDEX(#REF!,'Annual Report'!AO429)),"")</f>
        <v/>
      </c>
      <c r="AS429" s="6" t="str">
        <f ca="1">IFERROR(MATCH($L$115,OFFSET(#REF!,AS428,0,1000000),0)+AS428,"")</f>
        <v/>
      </c>
      <c r="AT429" s="156" t="str">
        <f ca="1">IFERROR(_xlfn.SINGLE(INDEX(#REF!,'Annual Report'!AS429)),"")</f>
        <v/>
      </c>
      <c r="AU429" s="6" t="str">
        <f ca="1">IFERROR(_xlfn.SINGLE(INDEX(#REF!,'Annual Report'!AS429)),"")</f>
        <v/>
      </c>
    </row>
    <row r="430" spans="41:47">
      <c r="AO430" s="6" t="str">
        <f ca="1">IFERROR(MATCH($B$114,OFFSET(#REF!,AO429,0,1000000),0)+AO429,"")</f>
        <v/>
      </c>
      <c r="AP430" s="156" t="str">
        <f ca="1">IFERROR(_xlfn.SINGLE(INDEX(#REF!,'Annual Report'!AO430)),"")</f>
        <v/>
      </c>
      <c r="AQ430" s="6" t="str">
        <f ca="1">IFERROR(_xlfn.SINGLE(INDEX(#REF!,'Annual Report'!AO430)),"")</f>
        <v/>
      </c>
      <c r="AS430" s="6" t="str">
        <f ca="1">IFERROR(MATCH($L$115,OFFSET(#REF!,AS429,0,1000000),0)+AS429,"")</f>
        <v/>
      </c>
      <c r="AT430" s="156" t="str">
        <f ca="1">IFERROR(_xlfn.SINGLE(INDEX(#REF!,'Annual Report'!AS430)),"")</f>
        <v/>
      </c>
      <c r="AU430" s="6" t="str">
        <f ca="1">IFERROR(_xlfn.SINGLE(INDEX(#REF!,'Annual Report'!AS430)),"")</f>
        <v/>
      </c>
    </row>
    <row r="431" spans="41:47">
      <c r="AO431" s="6" t="str">
        <f ca="1">IFERROR(MATCH($B$114,OFFSET(#REF!,AO430,0,1000000),0)+AO430,"")</f>
        <v/>
      </c>
      <c r="AP431" s="156" t="str">
        <f ca="1">IFERROR(_xlfn.SINGLE(INDEX(#REF!,'Annual Report'!AO431)),"")</f>
        <v/>
      </c>
      <c r="AQ431" s="6" t="str">
        <f ca="1">IFERROR(_xlfn.SINGLE(INDEX(#REF!,'Annual Report'!AO431)),"")</f>
        <v/>
      </c>
      <c r="AS431" s="6" t="str">
        <f ca="1">IFERROR(MATCH($L$115,OFFSET(#REF!,AS430,0,1000000),0)+AS430,"")</f>
        <v/>
      </c>
      <c r="AT431" s="156" t="str">
        <f ca="1">IFERROR(_xlfn.SINGLE(INDEX(#REF!,'Annual Report'!AS431)),"")</f>
        <v/>
      </c>
      <c r="AU431" s="6" t="str">
        <f ca="1">IFERROR(_xlfn.SINGLE(INDEX(#REF!,'Annual Report'!AS431)),"")</f>
        <v/>
      </c>
    </row>
    <row r="432" spans="41:47">
      <c r="AO432" s="6" t="str">
        <f ca="1">IFERROR(MATCH($B$114,OFFSET(#REF!,AO431,0,1000000),0)+AO431,"")</f>
        <v/>
      </c>
      <c r="AP432" s="156" t="str">
        <f ca="1">IFERROR(_xlfn.SINGLE(INDEX(#REF!,'Annual Report'!AO432)),"")</f>
        <v/>
      </c>
      <c r="AQ432" s="6" t="str">
        <f ca="1">IFERROR(_xlfn.SINGLE(INDEX(#REF!,'Annual Report'!AO432)),"")</f>
        <v/>
      </c>
      <c r="AS432" s="6" t="str">
        <f ca="1">IFERROR(MATCH($L$115,OFFSET(#REF!,AS431,0,1000000),0)+AS431,"")</f>
        <v/>
      </c>
      <c r="AT432" s="156" t="str">
        <f ca="1">IFERROR(_xlfn.SINGLE(INDEX(#REF!,'Annual Report'!AS432)),"")</f>
        <v/>
      </c>
      <c r="AU432" s="6" t="str">
        <f ca="1">IFERROR(_xlfn.SINGLE(INDEX(#REF!,'Annual Report'!AS432)),"")</f>
        <v/>
      </c>
    </row>
    <row r="433" spans="41:47">
      <c r="AO433" s="6" t="str">
        <f ca="1">IFERROR(MATCH($B$114,OFFSET(#REF!,AO432,0,1000000),0)+AO432,"")</f>
        <v/>
      </c>
      <c r="AP433" s="156" t="str">
        <f ca="1">IFERROR(_xlfn.SINGLE(INDEX(#REF!,'Annual Report'!AO433)),"")</f>
        <v/>
      </c>
      <c r="AQ433" s="6" t="str">
        <f ca="1">IFERROR(_xlfn.SINGLE(INDEX(#REF!,'Annual Report'!AO433)),"")</f>
        <v/>
      </c>
      <c r="AS433" s="6" t="str">
        <f ca="1">IFERROR(MATCH($L$115,OFFSET(#REF!,AS432,0,1000000),0)+AS432,"")</f>
        <v/>
      </c>
      <c r="AT433" s="156" t="str">
        <f ca="1">IFERROR(_xlfn.SINGLE(INDEX(#REF!,'Annual Report'!AS433)),"")</f>
        <v/>
      </c>
      <c r="AU433" s="6" t="str">
        <f ca="1">IFERROR(_xlfn.SINGLE(INDEX(#REF!,'Annual Report'!AS433)),"")</f>
        <v/>
      </c>
    </row>
    <row r="434" spans="41:47">
      <c r="AO434" s="6" t="str">
        <f ca="1">IFERROR(MATCH($B$114,OFFSET(#REF!,AO433,0,1000000),0)+AO433,"")</f>
        <v/>
      </c>
      <c r="AP434" s="156" t="str">
        <f ca="1">IFERROR(_xlfn.SINGLE(INDEX(#REF!,'Annual Report'!AO434)),"")</f>
        <v/>
      </c>
      <c r="AQ434" s="6" t="str">
        <f ca="1">IFERROR(_xlfn.SINGLE(INDEX(#REF!,'Annual Report'!AO434)),"")</f>
        <v/>
      </c>
      <c r="AS434" s="6" t="str">
        <f ca="1">IFERROR(MATCH($L$115,OFFSET(#REF!,AS433,0,1000000),0)+AS433,"")</f>
        <v/>
      </c>
      <c r="AT434" s="156" t="str">
        <f ca="1">IFERROR(_xlfn.SINGLE(INDEX(#REF!,'Annual Report'!AS434)),"")</f>
        <v/>
      </c>
      <c r="AU434" s="6" t="str">
        <f ca="1">IFERROR(_xlfn.SINGLE(INDEX(#REF!,'Annual Report'!AS434)),"")</f>
        <v/>
      </c>
    </row>
    <row r="435" spans="41:47">
      <c r="AO435" s="6" t="str">
        <f ca="1">IFERROR(MATCH($B$114,OFFSET(#REF!,AO434,0,1000000),0)+AO434,"")</f>
        <v/>
      </c>
      <c r="AP435" s="156" t="str">
        <f ca="1">IFERROR(_xlfn.SINGLE(INDEX(#REF!,'Annual Report'!AO435)),"")</f>
        <v/>
      </c>
      <c r="AQ435" s="6" t="str">
        <f ca="1">IFERROR(_xlfn.SINGLE(INDEX(#REF!,'Annual Report'!AO435)),"")</f>
        <v/>
      </c>
      <c r="AS435" s="6" t="str">
        <f ca="1">IFERROR(MATCH($L$115,OFFSET(#REF!,AS434,0,1000000),0)+AS434,"")</f>
        <v/>
      </c>
      <c r="AT435" s="156" t="str">
        <f ca="1">IFERROR(_xlfn.SINGLE(INDEX(#REF!,'Annual Report'!AS435)),"")</f>
        <v/>
      </c>
      <c r="AU435" s="6" t="str">
        <f ca="1">IFERROR(_xlfn.SINGLE(INDEX(#REF!,'Annual Report'!AS435)),"")</f>
        <v/>
      </c>
    </row>
    <row r="436" spans="41:47">
      <c r="AO436" s="6" t="str">
        <f ca="1">IFERROR(MATCH($B$114,OFFSET(#REF!,AO435,0,1000000),0)+AO435,"")</f>
        <v/>
      </c>
      <c r="AP436" s="156" t="str">
        <f ca="1">IFERROR(_xlfn.SINGLE(INDEX(#REF!,'Annual Report'!AO436)),"")</f>
        <v/>
      </c>
      <c r="AQ436" s="6" t="str">
        <f ca="1">IFERROR(_xlfn.SINGLE(INDEX(#REF!,'Annual Report'!AO436)),"")</f>
        <v/>
      </c>
      <c r="AS436" s="6" t="str">
        <f ca="1">IFERROR(MATCH($L$115,OFFSET(#REF!,AS435,0,1000000),0)+AS435,"")</f>
        <v/>
      </c>
      <c r="AT436" s="156" t="str">
        <f ca="1">IFERROR(_xlfn.SINGLE(INDEX(#REF!,'Annual Report'!AS436)),"")</f>
        <v/>
      </c>
      <c r="AU436" s="6" t="str">
        <f ca="1">IFERROR(_xlfn.SINGLE(INDEX(#REF!,'Annual Report'!AS436)),"")</f>
        <v/>
      </c>
    </row>
    <row r="437" spans="41:47">
      <c r="AO437" s="6" t="str">
        <f ca="1">IFERROR(MATCH($B$114,OFFSET(#REF!,AO436,0,1000000),0)+AO436,"")</f>
        <v/>
      </c>
      <c r="AP437" s="156" t="str">
        <f ca="1">IFERROR(_xlfn.SINGLE(INDEX(#REF!,'Annual Report'!AO437)),"")</f>
        <v/>
      </c>
      <c r="AQ437" s="6" t="str">
        <f ca="1">IFERROR(_xlfn.SINGLE(INDEX(#REF!,'Annual Report'!AO437)),"")</f>
        <v/>
      </c>
      <c r="AS437" s="6" t="str">
        <f ca="1">IFERROR(MATCH($L$115,OFFSET(#REF!,AS436,0,1000000),0)+AS436,"")</f>
        <v/>
      </c>
      <c r="AT437" s="156" t="str">
        <f ca="1">IFERROR(_xlfn.SINGLE(INDEX(#REF!,'Annual Report'!AS437)),"")</f>
        <v/>
      </c>
      <c r="AU437" s="6" t="str">
        <f ca="1">IFERROR(_xlfn.SINGLE(INDEX(#REF!,'Annual Report'!AS437)),"")</f>
        <v/>
      </c>
    </row>
    <row r="438" spans="41:47">
      <c r="AO438" s="6" t="str">
        <f ca="1">IFERROR(MATCH($B$114,OFFSET(#REF!,AO437,0,1000000),0)+AO437,"")</f>
        <v/>
      </c>
      <c r="AP438" s="156" t="str">
        <f ca="1">IFERROR(_xlfn.SINGLE(INDEX(#REF!,'Annual Report'!AO438)),"")</f>
        <v/>
      </c>
      <c r="AQ438" s="6" t="str">
        <f ca="1">IFERROR(_xlfn.SINGLE(INDEX(#REF!,'Annual Report'!AO438)),"")</f>
        <v/>
      </c>
      <c r="AS438" s="6" t="str">
        <f ca="1">IFERROR(MATCH($L$115,OFFSET(#REF!,AS437,0,1000000),0)+AS437,"")</f>
        <v/>
      </c>
      <c r="AT438" s="156" t="str">
        <f ca="1">IFERROR(_xlfn.SINGLE(INDEX(#REF!,'Annual Report'!AS438)),"")</f>
        <v/>
      </c>
      <c r="AU438" s="6" t="str">
        <f ca="1">IFERROR(_xlfn.SINGLE(INDEX(#REF!,'Annual Report'!AS438)),"")</f>
        <v/>
      </c>
    </row>
    <row r="439" spans="41:47">
      <c r="AO439" s="6" t="str">
        <f ca="1">IFERROR(MATCH($B$114,OFFSET(#REF!,AO438,0,1000000),0)+AO438,"")</f>
        <v/>
      </c>
      <c r="AP439" s="156" t="str">
        <f ca="1">IFERROR(_xlfn.SINGLE(INDEX(#REF!,'Annual Report'!AO439)),"")</f>
        <v/>
      </c>
      <c r="AQ439" s="6" t="str">
        <f ca="1">IFERROR(_xlfn.SINGLE(INDEX(#REF!,'Annual Report'!AO439)),"")</f>
        <v/>
      </c>
      <c r="AS439" s="6" t="str">
        <f ca="1">IFERROR(MATCH($L$115,OFFSET(#REF!,AS438,0,1000000),0)+AS438,"")</f>
        <v/>
      </c>
      <c r="AT439" s="156" t="str">
        <f ca="1">IFERROR(_xlfn.SINGLE(INDEX(#REF!,'Annual Report'!AS439)),"")</f>
        <v/>
      </c>
      <c r="AU439" s="6" t="str">
        <f ca="1">IFERROR(_xlfn.SINGLE(INDEX(#REF!,'Annual Report'!AS439)),"")</f>
        <v/>
      </c>
    </row>
    <row r="440" spans="41:47">
      <c r="AO440" s="6" t="str">
        <f ca="1">IFERROR(MATCH($B$114,OFFSET(#REF!,AO439,0,1000000),0)+AO439,"")</f>
        <v/>
      </c>
      <c r="AP440" s="156" t="str">
        <f ca="1">IFERROR(_xlfn.SINGLE(INDEX(#REF!,'Annual Report'!AO440)),"")</f>
        <v/>
      </c>
      <c r="AQ440" s="6" t="str">
        <f ca="1">IFERROR(_xlfn.SINGLE(INDEX(#REF!,'Annual Report'!AO440)),"")</f>
        <v/>
      </c>
      <c r="AS440" s="6" t="str">
        <f ca="1">IFERROR(MATCH($L$115,OFFSET(#REF!,AS439,0,1000000),0)+AS439,"")</f>
        <v/>
      </c>
      <c r="AT440" s="156" t="str">
        <f ca="1">IFERROR(_xlfn.SINGLE(INDEX(#REF!,'Annual Report'!AS440)),"")</f>
        <v/>
      </c>
      <c r="AU440" s="6" t="str">
        <f ca="1">IFERROR(_xlfn.SINGLE(INDEX(#REF!,'Annual Report'!AS440)),"")</f>
        <v/>
      </c>
    </row>
    <row r="441" spans="41:47">
      <c r="AO441" s="6" t="str">
        <f ca="1">IFERROR(MATCH($B$114,OFFSET(#REF!,AO440,0,1000000),0)+AO440,"")</f>
        <v/>
      </c>
      <c r="AP441" s="156" t="str">
        <f ca="1">IFERROR(_xlfn.SINGLE(INDEX(#REF!,'Annual Report'!AO441)),"")</f>
        <v/>
      </c>
      <c r="AQ441" s="6" t="str">
        <f ca="1">IFERROR(_xlfn.SINGLE(INDEX(#REF!,'Annual Report'!AO441)),"")</f>
        <v/>
      </c>
      <c r="AS441" s="6" t="str">
        <f ca="1">IFERROR(MATCH($L$115,OFFSET(#REF!,AS440,0,1000000),0)+AS440,"")</f>
        <v/>
      </c>
      <c r="AT441" s="156" t="str">
        <f ca="1">IFERROR(_xlfn.SINGLE(INDEX(#REF!,'Annual Report'!AS441)),"")</f>
        <v/>
      </c>
      <c r="AU441" s="6" t="str">
        <f ca="1">IFERROR(_xlfn.SINGLE(INDEX(#REF!,'Annual Report'!AS441)),"")</f>
        <v/>
      </c>
    </row>
    <row r="442" spans="41:47">
      <c r="AO442" s="6" t="str">
        <f ca="1">IFERROR(MATCH($B$114,OFFSET(#REF!,AO441,0,1000000),0)+AO441,"")</f>
        <v/>
      </c>
      <c r="AP442" s="156" t="str">
        <f ca="1">IFERROR(_xlfn.SINGLE(INDEX(#REF!,'Annual Report'!AO442)),"")</f>
        <v/>
      </c>
      <c r="AQ442" s="6" t="str">
        <f ca="1">IFERROR(_xlfn.SINGLE(INDEX(#REF!,'Annual Report'!AO442)),"")</f>
        <v/>
      </c>
      <c r="AS442" s="6" t="str">
        <f ca="1">IFERROR(MATCH($L$115,OFFSET(#REF!,AS441,0,1000000),0)+AS441,"")</f>
        <v/>
      </c>
      <c r="AT442" s="156" t="str">
        <f ca="1">IFERROR(_xlfn.SINGLE(INDEX(#REF!,'Annual Report'!AS442)),"")</f>
        <v/>
      </c>
      <c r="AU442" s="6" t="str">
        <f ca="1">IFERROR(_xlfn.SINGLE(INDEX(#REF!,'Annual Report'!AS442)),"")</f>
        <v/>
      </c>
    </row>
    <row r="443" spans="41:47">
      <c r="AO443" s="6" t="str">
        <f ca="1">IFERROR(MATCH($B$114,OFFSET(#REF!,AO442,0,1000000),0)+AO442,"")</f>
        <v/>
      </c>
      <c r="AP443" s="156" t="str">
        <f ca="1">IFERROR(_xlfn.SINGLE(INDEX(#REF!,'Annual Report'!AO443)),"")</f>
        <v/>
      </c>
      <c r="AQ443" s="6" t="str">
        <f ca="1">IFERROR(_xlfn.SINGLE(INDEX(#REF!,'Annual Report'!AO443)),"")</f>
        <v/>
      </c>
      <c r="AS443" s="6" t="str">
        <f ca="1">IFERROR(MATCH($L$115,OFFSET(#REF!,AS442,0,1000000),0)+AS442,"")</f>
        <v/>
      </c>
      <c r="AT443" s="156" t="str">
        <f ca="1">IFERROR(_xlfn.SINGLE(INDEX(#REF!,'Annual Report'!AS443)),"")</f>
        <v/>
      </c>
      <c r="AU443" s="6" t="str">
        <f ca="1">IFERROR(_xlfn.SINGLE(INDEX(#REF!,'Annual Report'!AS443)),"")</f>
        <v/>
      </c>
    </row>
    <row r="444" spans="41:47">
      <c r="AO444" s="6" t="str">
        <f ca="1">IFERROR(MATCH($B$114,OFFSET(#REF!,AO443,0,1000000),0)+AO443,"")</f>
        <v/>
      </c>
      <c r="AP444" s="156" t="str">
        <f ca="1">IFERROR(_xlfn.SINGLE(INDEX(#REF!,'Annual Report'!AO444)),"")</f>
        <v/>
      </c>
      <c r="AQ444" s="6" t="str">
        <f ca="1">IFERROR(_xlfn.SINGLE(INDEX(#REF!,'Annual Report'!AO444)),"")</f>
        <v/>
      </c>
      <c r="AS444" s="6" t="str">
        <f ca="1">IFERROR(MATCH($L$115,OFFSET(#REF!,AS443,0,1000000),0)+AS443,"")</f>
        <v/>
      </c>
      <c r="AT444" s="156" t="str">
        <f ca="1">IFERROR(_xlfn.SINGLE(INDEX(#REF!,'Annual Report'!AS444)),"")</f>
        <v/>
      </c>
      <c r="AU444" s="6" t="str">
        <f ca="1">IFERROR(_xlfn.SINGLE(INDEX(#REF!,'Annual Report'!AS444)),"")</f>
        <v/>
      </c>
    </row>
    <row r="445" spans="41:47">
      <c r="AO445" s="6" t="str">
        <f ca="1">IFERROR(MATCH($B$114,OFFSET(#REF!,AO444,0,1000000),0)+AO444,"")</f>
        <v/>
      </c>
      <c r="AP445" s="156" t="str">
        <f ca="1">IFERROR(_xlfn.SINGLE(INDEX(#REF!,'Annual Report'!AO445)),"")</f>
        <v/>
      </c>
      <c r="AQ445" s="6" t="str">
        <f ca="1">IFERROR(_xlfn.SINGLE(INDEX(#REF!,'Annual Report'!AO445)),"")</f>
        <v/>
      </c>
      <c r="AS445" s="6" t="str">
        <f ca="1">IFERROR(MATCH($L$115,OFFSET(#REF!,AS444,0,1000000),0)+AS444,"")</f>
        <v/>
      </c>
      <c r="AT445" s="156" t="str">
        <f ca="1">IFERROR(_xlfn.SINGLE(INDEX(#REF!,'Annual Report'!AS445)),"")</f>
        <v/>
      </c>
      <c r="AU445" s="6" t="str">
        <f ca="1">IFERROR(_xlfn.SINGLE(INDEX(#REF!,'Annual Report'!AS445)),"")</f>
        <v/>
      </c>
    </row>
    <row r="446" spans="41:47">
      <c r="AO446" s="6" t="str">
        <f ca="1">IFERROR(MATCH($B$114,OFFSET(#REF!,AO445,0,1000000),0)+AO445,"")</f>
        <v/>
      </c>
      <c r="AP446" s="156" t="str">
        <f ca="1">IFERROR(_xlfn.SINGLE(INDEX(#REF!,'Annual Report'!AO446)),"")</f>
        <v/>
      </c>
      <c r="AQ446" s="6" t="str">
        <f ca="1">IFERROR(_xlfn.SINGLE(INDEX(#REF!,'Annual Report'!AO446)),"")</f>
        <v/>
      </c>
      <c r="AS446" s="6" t="str">
        <f ca="1">IFERROR(MATCH($L$115,OFFSET(#REF!,AS445,0,1000000),0)+AS445,"")</f>
        <v/>
      </c>
      <c r="AT446" s="156" t="str">
        <f ca="1">IFERROR(_xlfn.SINGLE(INDEX(#REF!,'Annual Report'!AS446)),"")</f>
        <v/>
      </c>
      <c r="AU446" s="6" t="str">
        <f ca="1">IFERROR(_xlfn.SINGLE(INDEX(#REF!,'Annual Report'!AS446)),"")</f>
        <v/>
      </c>
    </row>
    <row r="447" spans="41:47">
      <c r="AO447" s="6" t="str">
        <f ca="1">IFERROR(MATCH($B$114,OFFSET(#REF!,AO446,0,1000000),0)+AO446,"")</f>
        <v/>
      </c>
      <c r="AP447" s="156" t="str">
        <f ca="1">IFERROR(_xlfn.SINGLE(INDEX(#REF!,'Annual Report'!AO447)),"")</f>
        <v/>
      </c>
      <c r="AQ447" s="6" t="str">
        <f ca="1">IFERROR(_xlfn.SINGLE(INDEX(#REF!,'Annual Report'!AO447)),"")</f>
        <v/>
      </c>
      <c r="AS447" s="6" t="str">
        <f ca="1">IFERROR(MATCH($L$115,OFFSET(#REF!,AS446,0,1000000),0)+AS446,"")</f>
        <v/>
      </c>
      <c r="AT447" s="156" t="str">
        <f ca="1">IFERROR(_xlfn.SINGLE(INDEX(#REF!,'Annual Report'!AS447)),"")</f>
        <v/>
      </c>
      <c r="AU447" s="6" t="str">
        <f ca="1">IFERROR(_xlfn.SINGLE(INDEX(#REF!,'Annual Report'!AS447)),"")</f>
        <v/>
      </c>
    </row>
    <row r="448" spans="41:47">
      <c r="AO448" s="6" t="str">
        <f ca="1">IFERROR(MATCH($B$114,OFFSET(#REF!,AO447,0,1000000),0)+AO447,"")</f>
        <v/>
      </c>
      <c r="AP448" s="156" t="str">
        <f ca="1">IFERROR(_xlfn.SINGLE(INDEX(#REF!,'Annual Report'!AO448)),"")</f>
        <v/>
      </c>
      <c r="AQ448" s="6" t="str">
        <f ca="1">IFERROR(_xlfn.SINGLE(INDEX(#REF!,'Annual Report'!AO448)),"")</f>
        <v/>
      </c>
      <c r="AS448" s="6" t="str">
        <f ca="1">IFERROR(MATCH($L$115,OFFSET(#REF!,AS447,0,1000000),0)+AS447,"")</f>
        <v/>
      </c>
      <c r="AT448" s="156" t="str">
        <f ca="1">IFERROR(_xlfn.SINGLE(INDEX(#REF!,'Annual Report'!AS448)),"")</f>
        <v/>
      </c>
      <c r="AU448" s="6" t="str">
        <f ca="1">IFERROR(_xlfn.SINGLE(INDEX(#REF!,'Annual Report'!AS448)),"")</f>
        <v/>
      </c>
    </row>
    <row r="449" spans="41:47">
      <c r="AO449" s="6" t="str">
        <f ca="1">IFERROR(MATCH($B$114,OFFSET(#REF!,AO448,0,1000000),0)+AO448,"")</f>
        <v/>
      </c>
      <c r="AP449" s="156" t="str">
        <f ca="1">IFERROR(_xlfn.SINGLE(INDEX(#REF!,'Annual Report'!AO449)),"")</f>
        <v/>
      </c>
      <c r="AQ449" s="6" t="str">
        <f ca="1">IFERROR(_xlfn.SINGLE(INDEX(#REF!,'Annual Report'!AO449)),"")</f>
        <v/>
      </c>
      <c r="AS449" s="6" t="str">
        <f ca="1">IFERROR(MATCH($L$115,OFFSET(#REF!,AS448,0,1000000),0)+AS448,"")</f>
        <v/>
      </c>
      <c r="AT449" s="156" t="str">
        <f ca="1">IFERROR(_xlfn.SINGLE(INDEX(#REF!,'Annual Report'!AS449)),"")</f>
        <v/>
      </c>
      <c r="AU449" s="6" t="str">
        <f ca="1">IFERROR(_xlfn.SINGLE(INDEX(#REF!,'Annual Report'!AS449)),"")</f>
        <v/>
      </c>
    </row>
    <row r="450" spans="41:47">
      <c r="AO450" s="6" t="str">
        <f ca="1">IFERROR(MATCH($B$114,OFFSET(#REF!,AO449,0,1000000),0)+AO449,"")</f>
        <v/>
      </c>
      <c r="AP450" s="156" t="str">
        <f ca="1">IFERROR(_xlfn.SINGLE(INDEX(#REF!,'Annual Report'!AO450)),"")</f>
        <v/>
      </c>
      <c r="AQ450" s="6" t="str">
        <f ca="1">IFERROR(_xlfn.SINGLE(INDEX(#REF!,'Annual Report'!AO450)),"")</f>
        <v/>
      </c>
      <c r="AS450" s="6" t="str">
        <f ca="1">IFERROR(MATCH($L$115,OFFSET(#REF!,AS449,0,1000000),0)+AS449,"")</f>
        <v/>
      </c>
      <c r="AT450" s="156" t="str">
        <f ca="1">IFERROR(_xlfn.SINGLE(INDEX(#REF!,'Annual Report'!AS450)),"")</f>
        <v/>
      </c>
      <c r="AU450" s="6" t="str">
        <f ca="1">IFERROR(_xlfn.SINGLE(INDEX(#REF!,'Annual Report'!AS450)),"")</f>
        <v/>
      </c>
    </row>
    <row r="451" spans="41:47">
      <c r="AO451" s="6" t="str">
        <f ca="1">IFERROR(MATCH($B$114,OFFSET(#REF!,AO450,0,1000000),0)+AO450,"")</f>
        <v/>
      </c>
      <c r="AP451" s="156" t="str">
        <f ca="1">IFERROR(_xlfn.SINGLE(INDEX(#REF!,'Annual Report'!AO451)),"")</f>
        <v/>
      </c>
      <c r="AQ451" s="6" t="str">
        <f ca="1">IFERROR(_xlfn.SINGLE(INDEX(#REF!,'Annual Report'!AO451)),"")</f>
        <v/>
      </c>
      <c r="AS451" s="6" t="str">
        <f ca="1">IFERROR(MATCH($L$115,OFFSET(#REF!,AS450,0,1000000),0)+AS450,"")</f>
        <v/>
      </c>
      <c r="AT451" s="156" t="str">
        <f ca="1">IFERROR(_xlfn.SINGLE(INDEX(#REF!,'Annual Report'!AS451)),"")</f>
        <v/>
      </c>
      <c r="AU451" s="6" t="str">
        <f ca="1">IFERROR(_xlfn.SINGLE(INDEX(#REF!,'Annual Report'!AS451)),"")</f>
        <v/>
      </c>
    </row>
    <row r="452" spans="41:47">
      <c r="AO452" s="6" t="str">
        <f ca="1">IFERROR(MATCH($B$114,OFFSET(#REF!,AO451,0,1000000),0)+AO451,"")</f>
        <v/>
      </c>
      <c r="AP452" s="156" t="str">
        <f ca="1">IFERROR(_xlfn.SINGLE(INDEX(#REF!,'Annual Report'!AO452)),"")</f>
        <v/>
      </c>
      <c r="AQ452" s="6" t="str">
        <f ca="1">IFERROR(_xlfn.SINGLE(INDEX(#REF!,'Annual Report'!AO452)),"")</f>
        <v/>
      </c>
      <c r="AS452" s="6" t="str">
        <f ca="1">IFERROR(MATCH($L$115,OFFSET(#REF!,AS451,0,1000000),0)+AS451,"")</f>
        <v/>
      </c>
      <c r="AT452" s="156" t="str">
        <f ca="1">IFERROR(_xlfn.SINGLE(INDEX(#REF!,'Annual Report'!AS452)),"")</f>
        <v/>
      </c>
      <c r="AU452" s="6" t="str">
        <f ca="1">IFERROR(_xlfn.SINGLE(INDEX(#REF!,'Annual Report'!AS452)),"")</f>
        <v/>
      </c>
    </row>
    <row r="453" spans="41:47">
      <c r="AO453" s="6" t="str">
        <f ca="1">IFERROR(MATCH($B$114,OFFSET(#REF!,AO452,0,1000000),0)+AO452,"")</f>
        <v/>
      </c>
      <c r="AP453" s="156" t="str">
        <f ca="1">IFERROR(_xlfn.SINGLE(INDEX(#REF!,'Annual Report'!AO453)),"")</f>
        <v/>
      </c>
      <c r="AQ453" s="6" t="str">
        <f ca="1">IFERROR(_xlfn.SINGLE(INDEX(#REF!,'Annual Report'!AO453)),"")</f>
        <v/>
      </c>
      <c r="AS453" s="6" t="str">
        <f ca="1">IFERROR(MATCH($L$115,OFFSET(#REF!,AS452,0,1000000),0)+AS452,"")</f>
        <v/>
      </c>
      <c r="AT453" s="156" t="str">
        <f ca="1">IFERROR(_xlfn.SINGLE(INDEX(#REF!,'Annual Report'!AS453)),"")</f>
        <v/>
      </c>
      <c r="AU453" s="6" t="str">
        <f ca="1">IFERROR(_xlfn.SINGLE(INDEX(#REF!,'Annual Report'!AS453)),"")</f>
        <v/>
      </c>
    </row>
    <row r="454" spans="41:47">
      <c r="AO454" s="6" t="str">
        <f ca="1">IFERROR(MATCH($B$114,OFFSET(#REF!,AO453,0,1000000),0)+AO453,"")</f>
        <v/>
      </c>
      <c r="AP454" s="156" t="str">
        <f ca="1">IFERROR(_xlfn.SINGLE(INDEX(#REF!,'Annual Report'!AO454)),"")</f>
        <v/>
      </c>
      <c r="AQ454" s="6" t="str">
        <f ca="1">IFERROR(_xlfn.SINGLE(INDEX(#REF!,'Annual Report'!AO454)),"")</f>
        <v/>
      </c>
      <c r="AS454" s="6" t="str">
        <f ca="1">IFERROR(MATCH($L$115,OFFSET(#REF!,AS453,0,1000000),0)+AS453,"")</f>
        <v/>
      </c>
      <c r="AT454" s="156" t="str">
        <f ca="1">IFERROR(_xlfn.SINGLE(INDEX(#REF!,'Annual Report'!AS454)),"")</f>
        <v/>
      </c>
      <c r="AU454" s="6" t="str">
        <f ca="1">IFERROR(_xlfn.SINGLE(INDEX(#REF!,'Annual Report'!AS454)),"")</f>
        <v/>
      </c>
    </row>
    <row r="455" spans="41:47">
      <c r="AO455" s="6" t="str">
        <f ca="1">IFERROR(MATCH($B$114,OFFSET(#REF!,AO454,0,1000000),0)+AO454,"")</f>
        <v/>
      </c>
      <c r="AP455" s="156" t="str">
        <f ca="1">IFERROR(_xlfn.SINGLE(INDEX(#REF!,'Annual Report'!AO455)),"")</f>
        <v/>
      </c>
      <c r="AQ455" s="6" t="str">
        <f ca="1">IFERROR(_xlfn.SINGLE(INDEX(#REF!,'Annual Report'!AO455)),"")</f>
        <v/>
      </c>
      <c r="AS455" s="6" t="str">
        <f ca="1">IFERROR(MATCH($L$115,OFFSET(#REF!,AS454,0,1000000),0)+AS454,"")</f>
        <v/>
      </c>
      <c r="AT455" s="156" t="str">
        <f ca="1">IFERROR(_xlfn.SINGLE(INDEX(#REF!,'Annual Report'!AS455)),"")</f>
        <v/>
      </c>
      <c r="AU455" s="6" t="str">
        <f ca="1">IFERROR(_xlfn.SINGLE(INDEX(#REF!,'Annual Report'!AS455)),"")</f>
        <v/>
      </c>
    </row>
    <row r="456" spans="41:47">
      <c r="AO456" s="6" t="str">
        <f ca="1">IFERROR(MATCH($B$114,OFFSET(#REF!,AO455,0,1000000),0)+AO455,"")</f>
        <v/>
      </c>
      <c r="AP456" s="156" t="str">
        <f ca="1">IFERROR(_xlfn.SINGLE(INDEX(#REF!,'Annual Report'!AO456)),"")</f>
        <v/>
      </c>
      <c r="AQ456" s="6" t="str">
        <f ca="1">IFERROR(_xlfn.SINGLE(INDEX(#REF!,'Annual Report'!AO456)),"")</f>
        <v/>
      </c>
      <c r="AS456" s="6" t="str">
        <f ca="1">IFERROR(MATCH($L$115,OFFSET(#REF!,AS455,0,1000000),0)+AS455,"")</f>
        <v/>
      </c>
      <c r="AT456" s="156" t="str">
        <f ca="1">IFERROR(_xlfn.SINGLE(INDEX(#REF!,'Annual Report'!AS456)),"")</f>
        <v/>
      </c>
      <c r="AU456" s="6" t="str">
        <f ca="1">IFERROR(_xlfn.SINGLE(INDEX(#REF!,'Annual Report'!AS456)),"")</f>
        <v/>
      </c>
    </row>
    <row r="457" spans="41:47">
      <c r="AO457" s="6" t="str">
        <f ca="1">IFERROR(MATCH($B$114,OFFSET(#REF!,AO456,0,1000000),0)+AO456,"")</f>
        <v/>
      </c>
      <c r="AP457" s="156" t="str">
        <f ca="1">IFERROR(_xlfn.SINGLE(INDEX(#REF!,'Annual Report'!AO457)),"")</f>
        <v/>
      </c>
      <c r="AQ457" s="6" t="str">
        <f ca="1">IFERROR(_xlfn.SINGLE(INDEX(#REF!,'Annual Report'!AO457)),"")</f>
        <v/>
      </c>
      <c r="AS457" s="6" t="str">
        <f ca="1">IFERROR(MATCH($L$115,OFFSET(#REF!,AS456,0,1000000),0)+AS456,"")</f>
        <v/>
      </c>
      <c r="AT457" s="156" t="str">
        <f ca="1">IFERROR(_xlfn.SINGLE(INDEX(#REF!,'Annual Report'!AS457)),"")</f>
        <v/>
      </c>
      <c r="AU457" s="6" t="str">
        <f ca="1">IFERROR(_xlfn.SINGLE(INDEX(#REF!,'Annual Report'!AS457)),"")</f>
        <v/>
      </c>
    </row>
    <row r="458" spans="41:47">
      <c r="AO458" s="6" t="str">
        <f ca="1">IFERROR(MATCH($B$114,OFFSET(#REF!,AO457,0,1000000),0)+AO457,"")</f>
        <v/>
      </c>
      <c r="AP458" s="156" t="str">
        <f ca="1">IFERROR(_xlfn.SINGLE(INDEX(#REF!,'Annual Report'!AO458)),"")</f>
        <v/>
      </c>
      <c r="AQ458" s="6" t="str">
        <f ca="1">IFERROR(_xlfn.SINGLE(INDEX(#REF!,'Annual Report'!AO458)),"")</f>
        <v/>
      </c>
      <c r="AS458" s="6" t="str">
        <f ca="1">IFERROR(MATCH($L$115,OFFSET(#REF!,AS457,0,1000000),0)+AS457,"")</f>
        <v/>
      </c>
      <c r="AT458" s="156" t="str">
        <f ca="1">IFERROR(_xlfn.SINGLE(INDEX(#REF!,'Annual Report'!AS458)),"")</f>
        <v/>
      </c>
      <c r="AU458" s="6" t="str">
        <f ca="1">IFERROR(_xlfn.SINGLE(INDEX(#REF!,'Annual Report'!AS458)),"")</f>
        <v/>
      </c>
    </row>
    <row r="459" spans="41:47">
      <c r="AO459" s="6" t="str">
        <f ca="1">IFERROR(MATCH($B$114,OFFSET(#REF!,AO458,0,1000000),0)+AO458,"")</f>
        <v/>
      </c>
      <c r="AP459" s="156" t="str">
        <f ca="1">IFERROR(_xlfn.SINGLE(INDEX(#REF!,'Annual Report'!AO459)),"")</f>
        <v/>
      </c>
      <c r="AQ459" s="6" t="str">
        <f ca="1">IFERROR(_xlfn.SINGLE(INDEX(#REF!,'Annual Report'!AO459)),"")</f>
        <v/>
      </c>
      <c r="AS459" s="6" t="str">
        <f ca="1">IFERROR(MATCH($L$115,OFFSET(#REF!,AS458,0,1000000),0)+AS458,"")</f>
        <v/>
      </c>
      <c r="AT459" s="156" t="str">
        <f ca="1">IFERROR(_xlfn.SINGLE(INDEX(#REF!,'Annual Report'!AS459)),"")</f>
        <v/>
      </c>
      <c r="AU459" s="6" t="str">
        <f ca="1">IFERROR(_xlfn.SINGLE(INDEX(#REF!,'Annual Report'!AS459)),"")</f>
        <v/>
      </c>
    </row>
    <row r="460" spans="41:47">
      <c r="AO460" s="6" t="str">
        <f ca="1">IFERROR(MATCH($B$114,OFFSET(#REF!,AO459,0,1000000),0)+AO459,"")</f>
        <v/>
      </c>
      <c r="AP460" s="156" t="str">
        <f ca="1">IFERROR(_xlfn.SINGLE(INDEX(#REF!,'Annual Report'!AO460)),"")</f>
        <v/>
      </c>
      <c r="AQ460" s="6" t="str">
        <f ca="1">IFERROR(_xlfn.SINGLE(INDEX(#REF!,'Annual Report'!AO460)),"")</f>
        <v/>
      </c>
      <c r="AS460" s="6" t="str">
        <f ca="1">IFERROR(MATCH($L$115,OFFSET(#REF!,AS459,0,1000000),0)+AS459,"")</f>
        <v/>
      </c>
      <c r="AT460" s="156" t="str">
        <f ca="1">IFERROR(_xlfn.SINGLE(INDEX(#REF!,'Annual Report'!AS460)),"")</f>
        <v/>
      </c>
      <c r="AU460" s="6" t="str">
        <f ca="1">IFERROR(_xlfn.SINGLE(INDEX(#REF!,'Annual Report'!AS460)),"")</f>
        <v/>
      </c>
    </row>
    <row r="461" spans="41:47">
      <c r="AO461" s="6" t="str">
        <f ca="1">IFERROR(MATCH($B$114,OFFSET(#REF!,AO460,0,1000000),0)+AO460,"")</f>
        <v/>
      </c>
      <c r="AP461" s="156" t="str">
        <f ca="1">IFERROR(_xlfn.SINGLE(INDEX(#REF!,'Annual Report'!AO461)),"")</f>
        <v/>
      </c>
      <c r="AQ461" s="6" t="str">
        <f ca="1">IFERROR(_xlfn.SINGLE(INDEX(#REF!,'Annual Report'!AO461)),"")</f>
        <v/>
      </c>
      <c r="AS461" s="6" t="str">
        <f ca="1">IFERROR(MATCH($L$115,OFFSET(#REF!,AS460,0,1000000),0)+AS460,"")</f>
        <v/>
      </c>
      <c r="AT461" s="156" t="str">
        <f ca="1">IFERROR(_xlfn.SINGLE(INDEX(#REF!,'Annual Report'!AS461)),"")</f>
        <v/>
      </c>
      <c r="AU461" s="6" t="str">
        <f ca="1">IFERROR(_xlfn.SINGLE(INDEX(#REF!,'Annual Report'!AS461)),"")</f>
        <v/>
      </c>
    </row>
    <row r="462" spans="41:47">
      <c r="AO462" s="6" t="str">
        <f ca="1">IFERROR(MATCH($B$114,OFFSET(#REF!,AO461,0,1000000),0)+AO461,"")</f>
        <v/>
      </c>
      <c r="AP462" s="156" t="str">
        <f ca="1">IFERROR(_xlfn.SINGLE(INDEX(#REF!,'Annual Report'!AO462)),"")</f>
        <v/>
      </c>
      <c r="AQ462" s="6" t="str">
        <f ca="1">IFERROR(_xlfn.SINGLE(INDEX(#REF!,'Annual Report'!AO462)),"")</f>
        <v/>
      </c>
      <c r="AS462" s="6" t="str">
        <f ca="1">IFERROR(MATCH($L$115,OFFSET(#REF!,AS461,0,1000000),0)+AS461,"")</f>
        <v/>
      </c>
      <c r="AT462" s="156" t="str">
        <f ca="1">IFERROR(_xlfn.SINGLE(INDEX(#REF!,'Annual Report'!AS462)),"")</f>
        <v/>
      </c>
      <c r="AU462" s="6" t="str">
        <f ca="1">IFERROR(_xlfn.SINGLE(INDEX(#REF!,'Annual Report'!AS462)),"")</f>
        <v/>
      </c>
    </row>
    <row r="463" spans="41:47">
      <c r="AO463" s="6" t="str">
        <f ca="1">IFERROR(MATCH($B$114,OFFSET(#REF!,AO462,0,1000000),0)+AO462,"")</f>
        <v/>
      </c>
      <c r="AP463" s="156" t="str">
        <f ca="1">IFERROR(_xlfn.SINGLE(INDEX(#REF!,'Annual Report'!AO463)),"")</f>
        <v/>
      </c>
      <c r="AQ463" s="6" t="str">
        <f ca="1">IFERROR(_xlfn.SINGLE(INDEX(#REF!,'Annual Report'!AO463)),"")</f>
        <v/>
      </c>
      <c r="AS463" s="6" t="str">
        <f ca="1">IFERROR(MATCH($L$115,OFFSET(#REF!,AS462,0,1000000),0)+AS462,"")</f>
        <v/>
      </c>
      <c r="AT463" s="156" t="str">
        <f ca="1">IFERROR(_xlfn.SINGLE(INDEX(#REF!,'Annual Report'!AS463)),"")</f>
        <v/>
      </c>
      <c r="AU463" s="6" t="str">
        <f ca="1">IFERROR(_xlfn.SINGLE(INDEX(#REF!,'Annual Report'!AS463)),"")</f>
        <v/>
      </c>
    </row>
    <row r="464" spans="41:47">
      <c r="AO464" s="6" t="str">
        <f ca="1">IFERROR(MATCH($B$114,OFFSET(#REF!,AO463,0,1000000),0)+AO463,"")</f>
        <v/>
      </c>
      <c r="AP464" s="156" t="str">
        <f ca="1">IFERROR(_xlfn.SINGLE(INDEX(#REF!,'Annual Report'!AO464)),"")</f>
        <v/>
      </c>
      <c r="AQ464" s="6" t="str">
        <f ca="1">IFERROR(_xlfn.SINGLE(INDEX(#REF!,'Annual Report'!AO464)),"")</f>
        <v/>
      </c>
      <c r="AS464" s="6" t="str">
        <f ca="1">IFERROR(MATCH($L$115,OFFSET(#REF!,AS463,0,1000000),0)+AS463,"")</f>
        <v/>
      </c>
      <c r="AT464" s="156" t="str">
        <f ca="1">IFERROR(_xlfn.SINGLE(INDEX(#REF!,'Annual Report'!AS464)),"")</f>
        <v/>
      </c>
      <c r="AU464" s="6" t="str">
        <f ca="1">IFERROR(_xlfn.SINGLE(INDEX(#REF!,'Annual Report'!AS464)),"")</f>
        <v/>
      </c>
    </row>
    <row r="465" spans="41:47">
      <c r="AO465" s="6" t="str">
        <f ca="1">IFERROR(MATCH($B$114,OFFSET(#REF!,AO464,0,1000000),0)+AO464,"")</f>
        <v/>
      </c>
      <c r="AP465" s="156" t="str">
        <f ca="1">IFERROR(_xlfn.SINGLE(INDEX(#REF!,'Annual Report'!AO465)),"")</f>
        <v/>
      </c>
      <c r="AQ465" s="6" t="str">
        <f ca="1">IFERROR(_xlfn.SINGLE(INDEX(#REF!,'Annual Report'!AO465)),"")</f>
        <v/>
      </c>
      <c r="AS465" s="6" t="str">
        <f ca="1">IFERROR(MATCH($L$115,OFFSET(#REF!,AS464,0,1000000),0)+AS464,"")</f>
        <v/>
      </c>
      <c r="AT465" s="156" t="str">
        <f ca="1">IFERROR(_xlfn.SINGLE(INDEX(#REF!,'Annual Report'!AS465)),"")</f>
        <v/>
      </c>
      <c r="AU465" s="6" t="str">
        <f ca="1">IFERROR(_xlfn.SINGLE(INDEX(#REF!,'Annual Report'!AS465)),"")</f>
        <v/>
      </c>
    </row>
    <row r="466" spans="41:47">
      <c r="AO466" s="6" t="str">
        <f ca="1">IFERROR(MATCH($B$114,OFFSET(#REF!,AO465,0,1000000),0)+AO465,"")</f>
        <v/>
      </c>
      <c r="AP466" s="156" t="str">
        <f ca="1">IFERROR(_xlfn.SINGLE(INDEX(#REF!,'Annual Report'!AO466)),"")</f>
        <v/>
      </c>
      <c r="AQ466" s="6" t="str">
        <f ca="1">IFERROR(_xlfn.SINGLE(INDEX(#REF!,'Annual Report'!AO466)),"")</f>
        <v/>
      </c>
      <c r="AS466" s="6" t="str">
        <f ca="1">IFERROR(MATCH($L$115,OFFSET(#REF!,AS465,0,1000000),0)+AS465,"")</f>
        <v/>
      </c>
      <c r="AT466" s="156" t="str">
        <f ca="1">IFERROR(_xlfn.SINGLE(INDEX(#REF!,'Annual Report'!AS466)),"")</f>
        <v/>
      </c>
      <c r="AU466" s="6" t="str">
        <f ca="1">IFERROR(_xlfn.SINGLE(INDEX(#REF!,'Annual Report'!AS466)),"")</f>
        <v/>
      </c>
    </row>
    <row r="467" spans="41:47">
      <c r="AO467" s="6" t="str">
        <f ca="1">IFERROR(MATCH($B$114,OFFSET(#REF!,AO466,0,1000000),0)+AO466,"")</f>
        <v/>
      </c>
      <c r="AP467" s="156" t="str">
        <f ca="1">IFERROR(_xlfn.SINGLE(INDEX(#REF!,'Annual Report'!AO467)),"")</f>
        <v/>
      </c>
      <c r="AQ467" s="6" t="str">
        <f ca="1">IFERROR(_xlfn.SINGLE(INDEX(#REF!,'Annual Report'!AO467)),"")</f>
        <v/>
      </c>
      <c r="AS467" s="6" t="str">
        <f ca="1">IFERROR(MATCH($L$115,OFFSET(#REF!,AS466,0,1000000),0)+AS466,"")</f>
        <v/>
      </c>
      <c r="AT467" s="156" t="str">
        <f ca="1">IFERROR(_xlfn.SINGLE(INDEX(#REF!,'Annual Report'!AS467)),"")</f>
        <v/>
      </c>
      <c r="AU467" s="6" t="str">
        <f ca="1">IFERROR(_xlfn.SINGLE(INDEX(#REF!,'Annual Report'!AS467)),"")</f>
        <v/>
      </c>
    </row>
    <row r="468" spans="41:47">
      <c r="AO468" s="6" t="str">
        <f ca="1">IFERROR(MATCH($B$114,OFFSET(#REF!,AO467,0,1000000),0)+AO467,"")</f>
        <v/>
      </c>
      <c r="AP468" s="156" t="str">
        <f ca="1">IFERROR(_xlfn.SINGLE(INDEX(#REF!,'Annual Report'!AO468)),"")</f>
        <v/>
      </c>
      <c r="AQ468" s="6" t="str">
        <f ca="1">IFERROR(_xlfn.SINGLE(INDEX(#REF!,'Annual Report'!AO468)),"")</f>
        <v/>
      </c>
      <c r="AS468" s="6" t="str">
        <f ca="1">IFERROR(MATCH($L$115,OFFSET(#REF!,AS467,0,1000000),0)+AS467,"")</f>
        <v/>
      </c>
      <c r="AT468" s="156" t="str">
        <f ca="1">IFERROR(_xlfn.SINGLE(INDEX(#REF!,'Annual Report'!AS468)),"")</f>
        <v/>
      </c>
      <c r="AU468" s="6" t="str">
        <f ca="1">IFERROR(_xlfn.SINGLE(INDEX(#REF!,'Annual Report'!AS468)),"")</f>
        <v/>
      </c>
    </row>
    <row r="469" spans="41:47">
      <c r="AO469" s="6" t="str">
        <f ca="1">IFERROR(MATCH($B$114,OFFSET(#REF!,AO468,0,1000000),0)+AO468,"")</f>
        <v/>
      </c>
      <c r="AP469" s="156" t="str">
        <f ca="1">IFERROR(_xlfn.SINGLE(INDEX(#REF!,'Annual Report'!AO469)),"")</f>
        <v/>
      </c>
      <c r="AQ469" s="6" t="str">
        <f ca="1">IFERROR(_xlfn.SINGLE(INDEX(#REF!,'Annual Report'!AO469)),"")</f>
        <v/>
      </c>
      <c r="AS469" s="6" t="str">
        <f ca="1">IFERROR(MATCH($L$115,OFFSET(#REF!,AS468,0,1000000),0)+AS468,"")</f>
        <v/>
      </c>
      <c r="AT469" s="156" t="str">
        <f ca="1">IFERROR(_xlfn.SINGLE(INDEX(#REF!,'Annual Report'!AS469)),"")</f>
        <v/>
      </c>
      <c r="AU469" s="6" t="str">
        <f ca="1">IFERROR(_xlfn.SINGLE(INDEX(#REF!,'Annual Report'!AS469)),"")</f>
        <v/>
      </c>
    </row>
    <row r="470" spans="41:47">
      <c r="AO470" s="6" t="str">
        <f ca="1">IFERROR(MATCH($B$114,OFFSET(#REF!,AO469,0,1000000),0)+AO469,"")</f>
        <v/>
      </c>
      <c r="AP470" s="156" t="str">
        <f ca="1">IFERROR(_xlfn.SINGLE(INDEX(#REF!,'Annual Report'!AO470)),"")</f>
        <v/>
      </c>
      <c r="AQ470" s="6" t="str">
        <f ca="1">IFERROR(_xlfn.SINGLE(INDEX(#REF!,'Annual Report'!AO470)),"")</f>
        <v/>
      </c>
      <c r="AS470" s="6" t="str">
        <f ca="1">IFERROR(MATCH($L$115,OFFSET(#REF!,AS469,0,1000000),0)+AS469,"")</f>
        <v/>
      </c>
      <c r="AT470" s="156" t="str">
        <f ca="1">IFERROR(_xlfn.SINGLE(INDEX(#REF!,'Annual Report'!AS470)),"")</f>
        <v/>
      </c>
      <c r="AU470" s="6" t="str">
        <f ca="1">IFERROR(_xlfn.SINGLE(INDEX(#REF!,'Annual Report'!AS470)),"")</f>
        <v/>
      </c>
    </row>
    <row r="471" spans="41:47">
      <c r="AO471" s="6" t="str">
        <f ca="1">IFERROR(MATCH($B$114,OFFSET(#REF!,AO470,0,1000000),0)+AO470,"")</f>
        <v/>
      </c>
      <c r="AP471" s="156" t="str">
        <f ca="1">IFERROR(_xlfn.SINGLE(INDEX(#REF!,'Annual Report'!AO471)),"")</f>
        <v/>
      </c>
      <c r="AQ471" s="6" t="str">
        <f ca="1">IFERROR(_xlfn.SINGLE(INDEX(#REF!,'Annual Report'!AO471)),"")</f>
        <v/>
      </c>
      <c r="AS471" s="6" t="str">
        <f ca="1">IFERROR(MATCH($L$115,OFFSET(#REF!,AS470,0,1000000),0)+AS470,"")</f>
        <v/>
      </c>
      <c r="AT471" s="156" t="str">
        <f ca="1">IFERROR(_xlfn.SINGLE(INDEX(#REF!,'Annual Report'!AS471)),"")</f>
        <v/>
      </c>
      <c r="AU471" s="6" t="str">
        <f ca="1">IFERROR(_xlfn.SINGLE(INDEX(#REF!,'Annual Report'!AS471)),"")</f>
        <v/>
      </c>
    </row>
    <row r="472" spans="41:47">
      <c r="AO472" s="6" t="str">
        <f ca="1">IFERROR(MATCH($B$114,OFFSET(#REF!,AO471,0,1000000),0)+AO471,"")</f>
        <v/>
      </c>
      <c r="AP472" s="156" t="str">
        <f ca="1">IFERROR(_xlfn.SINGLE(INDEX(#REF!,'Annual Report'!AO472)),"")</f>
        <v/>
      </c>
      <c r="AQ472" s="6" t="str">
        <f ca="1">IFERROR(_xlfn.SINGLE(INDEX(#REF!,'Annual Report'!AO472)),"")</f>
        <v/>
      </c>
      <c r="AS472" s="6" t="str">
        <f ca="1">IFERROR(MATCH($L$115,OFFSET(#REF!,AS471,0,1000000),0)+AS471,"")</f>
        <v/>
      </c>
      <c r="AT472" s="156" t="str">
        <f ca="1">IFERROR(_xlfn.SINGLE(INDEX(#REF!,'Annual Report'!AS472)),"")</f>
        <v/>
      </c>
      <c r="AU472" s="6" t="str">
        <f ca="1">IFERROR(_xlfn.SINGLE(INDEX(#REF!,'Annual Report'!AS472)),"")</f>
        <v/>
      </c>
    </row>
    <row r="473" spans="41:47">
      <c r="AO473" s="6" t="str">
        <f ca="1">IFERROR(MATCH($B$114,OFFSET(#REF!,AO472,0,1000000),0)+AO472,"")</f>
        <v/>
      </c>
      <c r="AP473" s="156" t="str">
        <f ca="1">IFERROR(_xlfn.SINGLE(INDEX(#REF!,'Annual Report'!AO473)),"")</f>
        <v/>
      </c>
      <c r="AQ473" s="6" t="str">
        <f ca="1">IFERROR(_xlfn.SINGLE(INDEX(#REF!,'Annual Report'!AO473)),"")</f>
        <v/>
      </c>
      <c r="AS473" s="6" t="str">
        <f ca="1">IFERROR(MATCH($L$115,OFFSET(#REF!,AS472,0,1000000),0)+AS472,"")</f>
        <v/>
      </c>
      <c r="AT473" s="156" t="str">
        <f ca="1">IFERROR(_xlfn.SINGLE(INDEX(#REF!,'Annual Report'!AS473)),"")</f>
        <v/>
      </c>
      <c r="AU473" s="6" t="str">
        <f ca="1">IFERROR(_xlfn.SINGLE(INDEX(#REF!,'Annual Report'!AS473)),"")</f>
        <v/>
      </c>
    </row>
    <row r="474" spans="41:47">
      <c r="AO474" s="6" t="str">
        <f ca="1">IFERROR(MATCH($B$114,OFFSET(#REF!,AO473,0,1000000),0)+AO473,"")</f>
        <v/>
      </c>
      <c r="AP474" s="156" t="str">
        <f ca="1">IFERROR(_xlfn.SINGLE(INDEX(#REF!,'Annual Report'!AO474)),"")</f>
        <v/>
      </c>
      <c r="AQ474" s="6" t="str">
        <f ca="1">IFERROR(_xlfn.SINGLE(INDEX(#REF!,'Annual Report'!AO474)),"")</f>
        <v/>
      </c>
      <c r="AS474" s="6" t="str">
        <f ca="1">IFERROR(MATCH($L$115,OFFSET(#REF!,AS473,0,1000000),0)+AS473,"")</f>
        <v/>
      </c>
      <c r="AT474" s="156" t="str">
        <f ca="1">IFERROR(_xlfn.SINGLE(INDEX(#REF!,'Annual Report'!AS474)),"")</f>
        <v/>
      </c>
      <c r="AU474" s="6" t="str">
        <f ca="1">IFERROR(_xlfn.SINGLE(INDEX(#REF!,'Annual Report'!AS474)),"")</f>
        <v/>
      </c>
    </row>
    <row r="475" spans="41:47">
      <c r="AO475" s="6" t="str">
        <f ca="1">IFERROR(MATCH($B$114,OFFSET(#REF!,AO474,0,1000000),0)+AO474,"")</f>
        <v/>
      </c>
      <c r="AP475" s="156" t="str">
        <f ca="1">IFERROR(_xlfn.SINGLE(INDEX(#REF!,'Annual Report'!AO475)),"")</f>
        <v/>
      </c>
      <c r="AQ475" s="6" t="str">
        <f ca="1">IFERROR(_xlfn.SINGLE(INDEX(#REF!,'Annual Report'!AO475)),"")</f>
        <v/>
      </c>
      <c r="AS475" s="6" t="str">
        <f ca="1">IFERROR(MATCH($L$115,OFFSET(#REF!,AS474,0,1000000),0)+AS474,"")</f>
        <v/>
      </c>
      <c r="AT475" s="156" t="str">
        <f ca="1">IFERROR(_xlfn.SINGLE(INDEX(#REF!,'Annual Report'!AS475)),"")</f>
        <v/>
      </c>
      <c r="AU475" s="6" t="str">
        <f ca="1">IFERROR(_xlfn.SINGLE(INDEX(#REF!,'Annual Report'!AS475)),"")</f>
        <v/>
      </c>
    </row>
    <row r="476" spans="41:47">
      <c r="AO476" s="6" t="str">
        <f ca="1">IFERROR(MATCH($B$114,OFFSET(#REF!,AO475,0,1000000),0)+AO475,"")</f>
        <v/>
      </c>
      <c r="AP476" s="156" t="str">
        <f ca="1">IFERROR(_xlfn.SINGLE(INDEX(#REF!,'Annual Report'!AO476)),"")</f>
        <v/>
      </c>
      <c r="AQ476" s="6" t="str">
        <f ca="1">IFERROR(_xlfn.SINGLE(INDEX(#REF!,'Annual Report'!AO476)),"")</f>
        <v/>
      </c>
      <c r="AS476" s="6" t="str">
        <f ca="1">IFERROR(MATCH($L$115,OFFSET(#REF!,AS475,0,1000000),0)+AS475,"")</f>
        <v/>
      </c>
      <c r="AT476" s="156" t="str">
        <f ca="1">IFERROR(_xlfn.SINGLE(INDEX(#REF!,'Annual Report'!AS476)),"")</f>
        <v/>
      </c>
      <c r="AU476" s="6" t="str">
        <f ca="1">IFERROR(_xlfn.SINGLE(INDEX(#REF!,'Annual Report'!AS476)),"")</f>
        <v/>
      </c>
    </row>
    <row r="477" spans="41:47">
      <c r="AO477" s="6" t="str">
        <f ca="1">IFERROR(MATCH($B$114,OFFSET(#REF!,AO476,0,1000000),0)+AO476,"")</f>
        <v/>
      </c>
      <c r="AP477" s="156" t="str">
        <f ca="1">IFERROR(_xlfn.SINGLE(INDEX(#REF!,'Annual Report'!AO477)),"")</f>
        <v/>
      </c>
      <c r="AQ477" s="6" t="str">
        <f ca="1">IFERROR(_xlfn.SINGLE(INDEX(#REF!,'Annual Report'!AO477)),"")</f>
        <v/>
      </c>
      <c r="AS477" s="6" t="str">
        <f ca="1">IFERROR(MATCH($L$115,OFFSET(#REF!,AS476,0,1000000),0)+AS476,"")</f>
        <v/>
      </c>
      <c r="AT477" s="156" t="str">
        <f ca="1">IFERROR(_xlfn.SINGLE(INDEX(#REF!,'Annual Report'!AS477)),"")</f>
        <v/>
      </c>
      <c r="AU477" s="6" t="str">
        <f ca="1">IFERROR(_xlfn.SINGLE(INDEX(#REF!,'Annual Report'!AS477)),"")</f>
        <v/>
      </c>
    </row>
    <row r="478" spans="41:47">
      <c r="AO478" s="6" t="str">
        <f ca="1">IFERROR(MATCH($B$114,OFFSET(#REF!,AO477,0,1000000),0)+AO477,"")</f>
        <v/>
      </c>
      <c r="AP478" s="156" t="str">
        <f ca="1">IFERROR(_xlfn.SINGLE(INDEX(#REF!,'Annual Report'!AO478)),"")</f>
        <v/>
      </c>
      <c r="AQ478" s="6" t="str">
        <f ca="1">IFERROR(_xlfn.SINGLE(INDEX(#REF!,'Annual Report'!AO478)),"")</f>
        <v/>
      </c>
      <c r="AS478" s="6" t="str">
        <f ca="1">IFERROR(MATCH($L$115,OFFSET(#REF!,AS477,0,1000000),0)+AS477,"")</f>
        <v/>
      </c>
      <c r="AT478" s="156" t="str">
        <f ca="1">IFERROR(_xlfn.SINGLE(INDEX(#REF!,'Annual Report'!AS478)),"")</f>
        <v/>
      </c>
      <c r="AU478" s="6" t="str">
        <f ca="1">IFERROR(_xlfn.SINGLE(INDEX(#REF!,'Annual Report'!AS478)),"")</f>
        <v/>
      </c>
    </row>
    <row r="479" spans="41:47">
      <c r="AO479" s="6" t="str">
        <f ca="1">IFERROR(MATCH($B$114,OFFSET(#REF!,AO478,0,1000000),0)+AO478,"")</f>
        <v/>
      </c>
      <c r="AP479" s="156" t="str">
        <f ca="1">IFERROR(_xlfn.SINGLE(INDEX(#REF!,'Annual Report'!AO479)),"")</f>
        <v/>
      </c>
      <c r="AQ479" s="6" t="str">
        <f ca="1">IFERROR(_xlfn.SINGLE(INDEX(#REF!,'Annual Report'!AO479)),"")</f>
        <v/>
      </c>
      <c r="AS479" s="6" t="str">
        <f ca="1">IFERROR(MATCH($L$115,OFFSET(#REF!,AS478,0,1000000),0)+AS478,"")</f>
        <v/>
      </c>
      <c r="AT479" s="156" t="str">
        <f ca="1">IFERROR(_xlfn.SINGLE(INDEX(#REF!,'Annual Report'!AS479)),"")</f>
        <v/>
      </c>
      <c r="AU479" s="6" t="str">
        <f ca="1">IFERROR(_xlfn.SINGLE(INDEX(#REF!,'Annual Report'!AS479)),"")</f>
        <v/>
      </c>
    </row>
    <row r="480" spans="41:47">
      <c r="AO480" s="6" t="str">
        <f ca="1">IFERROR(MATCH($B$114,OFFSET(#REF!,AO479,0,1000000),0)+AO479,"")</f>
        <v/>
      </c>
      <c r="AP480" s="156" t="str">
        <f ca="1">IFERROR(_xlfn.SINGLE(INDEX(#REF!,'Annual Report'!AO480)),"")</f>
        <v/>
      </c>
      <c r="AQ480" s="6" t="str">
        <f ca="1">IFERROR(_xlfn.SINGLE(INDEX(#REF!,'Annual Report'!AO480)),"")</f>
        <v/>
      </c>
      <c r="AS480" s="6" t="str">
        <f ca="1">IFERROR(MATCH($L$115,OFFSET(#REF!,AS479,0,1000000),0)+AS479,"")</f>
        <v/>
      </c>
      <c r="AT480" s="156" t="str">
        <f ca="1">IFERROR(_xlfn.SINGLE(INDEX(#REF!,'Annual Report'!AS480)),"")</f>
        <v/>
      </c>
      <c r="AU480" s="6" t="str">
        <f ca="1">IFERROR(_xlfn.SINGLE(INDEX(#REF!,'Annual Report'!AS480)),"")</f>
        <v/>
      </c>
    </row>
    <row r="481" spans="41:47">
      <c r="AO481" s="6" t="str">
        <f ca="1">IFERROR(MATCH($B$114,OFFSET(#REF!,AO480,0,1000000),0)+AO480,"")</f>
        <v/>
      </c>
      <c r="AP481" s="156" t="str">
        <f ca="1">IFERROR(_xlfn.SINGLE(INDEX(#REF!,'Annual Report'!AO481)),"")</f>
        <v/>
      </c>
      <c r="AQ481" s="6" t="str">
        <f ca="1">IFERROR(_xlfn.SINGLE(INDEX(#REF!,'Annual Report'!AO481)),"")</f>
        <v/>
      </c>
      <c r="AS481" s="6" t="str">
        <f ca="1">IFERROR(MATCH($L$115,OFFSET(#REF!,AS480,0,1000000),0)+AS480,"")</f>
        <v/>
      </c>
      <c r="AT481" s="156" t="str">
        <f ca="1">IFERROR(_xlfn.SINGLE(INDEX(#REF!,'Annual Report'!AS481)),"")</f>
        <v/>
      </c>
      <c r="AU481" s="6" t="str">
        <f ca="1">IFERROR(_xlfn.SINGLE(INDEX(#REF!,'Annual Report'!AS481)),"")</f>
        <v/>
      </c>
    </row>
    <row r="482" spans="41:47">
      <c r="AO482" s="6" t="str">
        <f ca="1">IFERROR(MATCH($B$114,OFFSET(#REF!,AO481,0,1000000),0)+AO481,"")</f>
        <v/>
      </c>
      <c r="AP482" s="156" t="str">
        <f ca="1">IFERROR(_xlfn.SINGLE(INDEX(#REF!,'Annual Report'!AO482)),"")</f>
        <v/>
      </c>
      <c r="AQ482" s="6" t="str">
        <f ca="1">IFERROR(_xlfn.SINGLE(INDEX(#REF!,'Annual Report'!AO482)),"")</f>
        <v/>
      </c>
      <c r="AS482" s="6" t="str">
        <f ca="1">IFERROR(MATCH($L$115,OFFSET(#REF!,AS481,0,1000000),0)+AS481,"")</f>
        <v/>
      </c>
      <c r="AT482" s="156" t="str">
        <f ca="1">IFERROR(_xlfn.SINGLE(INDEX(#REF!,'Annual Report'!AS482)),"")</f>
        <v/>
      </c>
      <c r="AU482" s="6" t="str">
        <f ca="1">IFERROR(_xlfn.SINGLE(INDEX(#REF!,'Annual Report'!AS482)),"")</f>
        <v/>
      </c>
    </row>
    <row r="483" spans="41:47">
      <c r="AO483" s="6" t="str">
        <f ca="1">IFERROR(MATCH($B$114,OFFSET(#REF!,AO482,0,1000000),0)+AO482,"")</f>
        <v/>
      </c>
      <c r="AP483" s="156" t="str">
        <f ca="1">IFERROR(_xlfn.SINGLE(INDEX(#REF!,'Annual Report'!AO483)),"")</f>
        <v/>
      </c>
      <c r="AQ483" s="6" t="str">
        <f ca="1">IFERROR(_xlfn.SINGLE(INDEX(#REF!,'Annual Report'!AO483)),"")</f>
        <v/>
      </c>
      <c r="AS483" s="6" t="str">
        <f ca="1">IFERROR(MATCH($L$115,OFFSET(#REF!,AS482,0,1000000),0)+AS482,"")</f>
        <v/>
      </c>
      <c r="AT483" s="156" t="str">
        <f ca="1">IFERROR(_xlfn.SINGLE(INDEX(#REF!,'Annual Report'!AS483)),"")</f>
        <v/>
      </c>
      <c r="AU483" s="6" t="str">
        <f ca="1">IFERROR(_xlfn.SINGLE(INDEX(#REF!,'Annual Report'!AS483)),"")</f>
        <v/>
      </c>
    </row>
    <row r="484" spans="41:47">
      <c r="AO484" s="6" t="str">
        <f ca="1">IFERROR(MATCH($B$114,OFFSET(#REF!,AO483,0,1000000),0)+AO483,"")</f>
        <v/>
      </c>
      <c r="AP484" s="156" t="str">
        <f ca="1">IFERROR(_xlfn.SINGLE(INDEX(#REF!,'Annual Report'!AO484)),"")</f>
        <v/>
      </c>
      <c r="AQ484" s="6" t="str">
        <f ca="1">IFERROR(_xlfn.SINGLE(INDEX(#REF!,'Annual Report'!AO484)),"")</f>
        <v/>
      </c>
      <c r="AS484" s="6" t="str">
        <f ca="1">IFERROR(MATCH($L$115,OFFSET(#REF!,AS483,0,1000000),0)+AS483,"")</f>
        <v/>
      </c>
      <c r="AT484" s="156" t="str">
        <f ca="1">IFERROR(_xlfn.SINGLE(INDEX(#REF!,'Annual Report'!AS484)),"")</f>
        <v/>
      </c>
      <c r="AU484" s="6" t="str">
        <f ca="1">IFERROR(_xlfn.SINGLE(INDEX(#REF!,'Annual Report'!AS484)),"")</f>
        <v/>
      </c>
    </row>
    <row r="485" spans="41:47">
      <c r="AO485" s="6" t="str">
        <f ca="1">IFERROR(MATCH($B$114,OFFSET(#REF!,AO484,0,1000000),0)+AO484,"")</f>
        <v/>
      </c>
      <c r="AP485" s="156" t="str">
        <f ca="1">IFERROR(_xlfn.SINGLE(INDEX(#REF!,'Annual Report'!AO485)),"")</f>
        <v/>
      </c>
      <c r="AQ485" s="6" t="str">
        <f ca="1">IFERROR(_xlfn.SINGLE(INDEX(#REF!,'Annual Report'!AO485)),"")</f>
        <v/>
      </c>
      <c r="AS485" s="6" t="str">
        <f ca="1">IFERROR(MATCH($L$115,OFFSET(#REF!,AS484,0,1000000),0)+AS484,"")</f>
        <v/>
      </c>
      <c r="AT485" s="156" t="str">
        <f ca="1">IFERROR(_xlfn.SINGLE(INDEX(#REF!,'Annual Report'!AS485)),"")</f>
        <v/>
      </c>
      <c r="AU485" s="6" t="str">
        <f ca="1">IFERROR(_xlfn.SINGLE(INDEX(#REF!,'Annual Report'!AS485)),"")</f>
        <v/>
      </c>
    </row>
    <row r="486" spans="41:47">
      <c r="AO486" s="6" t="str">
        <f ca="1">IFERROR(MATCH($B$114,OFFSET(#REF!,AO485,0,1000000),0)+AO485,"")</f>
        <v/>
      </c>
      <c r="AP486" s="156" t="str">
        <f ca="1">IFERROR(_xlfn.SINGLE(INDEX(#REF!,'Annual Report'!AO486)),"")</f>
        <v/>
      </c>
      <c r="AQ486" s="6" t="str">
        <f ca="1">IFERROR(_xlfn.SINGLE(INDEX(#REF!,'Annual Report'!AO486)),"")</f>
        <v/>
      </c>
      <c r="AS486" s="6" t="str">
        <f ca="1">IFERROR(MATCH($L$115,OFFSET(#REF!,AS485,0,1000000),0)+AS485,"")</f>
        <v/>
      </c>
      <c r="AT486" s="156" t="str">
        <f ca="1">IFERROR(_xlfn.SINGLE(INDEX(#REF!,'Annual Report'!AS486)),"")</f>
        <v/>
      </c>
      <c r="AU486" s="6" t="str">
        <f ca="1">IFERROR(_xlfn.SINGLE(INDEX(#REF!,'Annual Report'!AS486)),"")</f>
        <v/>
      </c>
    </row>
    <row r="487" spans="41:47">
      <c r="AO487" s="6" t="str">
        <f ca="1">IFERROR(MATCH($B$114,OFFSET(#REF!,AO486,0,1000000),0)+AO486,"")</f>
        <v/>
      </c>
      <c r="AP487" s="156" t="str">
        <f ca="1">IFERROR(_xlfn.SINGLE(INDEX(#REF!,'Annual Report'!AO487)),"")</f>
        <v/>
      </c>
      <c r="AQ487" s="6" t="str">
        <f ca="1">IFERROR(_xlfn.SINGLE(INDEX(#REF!,'Annual Report'!AO487)),"")</f>
        <v/>
      </c>
      <c r="AS487" s="6" t="str">
        <f ca="1">IFERROR(MATCH($L$115,OFFSET(#REF!,AS486,0,1000000),0)+AS486,"")</f>
        <v/>
      </c>
      <c r="AT487" s="156" t="str">
        <f ca="1">IFERROR(_xlfn.SINGLE(INDEX(#REF!,'Annual Report'!AS487)),"")</f>
        <v/>
      </c>
      <c r="AU487" s="6" t="str">
        <f ca="1">IFERROR(_xlfn.SINGLE(INDEX(#REF!,'Annual Report'!AS487)),"")</f>
        <v/>
      </c>
    </row>
    <row r="488" spans="41:47">
      <c r="AO488" s="6" t="str">
        <f ca="1">IFERROR(MATCH($B$114,OFFSET(#REF!,AO487,0,1000000),0)+AO487,"")</f>
        <v/>
      </c>
      <c r="AP488" s="156" t="str">
        <f ca="1">IFERROR(_xlfn.SINGLE(INDEX(#REF!,'Annual Report'!AO488)),"")</f>
        <v/>
      </c>
      <c r="AQ488" s="6" t="str">
        <f ca="1">IFERROR(_xlfn.SINGLE(INDEX(#REF!,'Annual Report'!AO488)),"")</f>
        <v/>
      </c>
      <c r="AS488" s="6" t="str">
        <f ca="1">IFERROR(MATCH($L$115,OFFSET(#REF!,AS487,0,1000000),0)+AS487,"")</f>
        <v/>
      </c>
      <c r="AT488" s="156" t="str">
        <f ca="1">IFERROR(_xlfn.SINGLE(INDEX(#REF!,'Annual Report'!AS488)),"")</f>
        <v/>
      </c>
      <c r="AU488" s="6" t="str">
        <f ca="1">IFERROR(_xlfn.SINGLE(INDEX(#REF!,'Annual Report'!AS488)),"")</f>
        <v/>
      </c>
    </row>
    <row r="489" spans="41:47">
      <c r="AO489" s="6" t="str">
        <f ca="1">IFERROR(MATCH($B$114,OFFSET(#REF!,AO488,0,1000000),0)+AO488,"")</f>
        <v/>
      </c>
      <c r="AP489" s="156" t="str">
        <f ca="1">IFERROR(_xlfn.SINGLE(INDEX(#REF!,'Annual Report'!AO489)),"")</f>
        <v/>
      </c>
      <c r="AQ489" s="6" t="str">
        <f ca="1">IFERROR(_xlfn.SINGLE(INDEX(#REF!,'Annual Report'!AO489)),"")</f>
        <v/>
      </c>
      <c r="AS489" s="6" t="str">
        <f ca="1">IFERROR(MATCH($L$115,OFFSET(#REF!,AS488,0,1000000),0)+AS488,"")</f>
        <v/>
      </c>
      <c r="AT489" s="156" t="str">
        <f ca="1">IFERROR(_xlfn.SINGLE(INDEX(#REF!,'Annual Report'!AS489)),"")</f>
        <v/>
      </c>
      <c r="AU489" s="6" t="str">
        <f ca="1">IFERROR(_xlfn.SINGLE(INDEX(#REF!,'Annual Report'!AS489)),"")</f>
        <v/>
      </c>
    </row>
    <row r="490" spans="41:47">
      <c r="AO490" s="6" t="str">
        <f ca="1">IFERROR(MATCH($B$114,OFFSET(#REF!,AO489,0,1000000),0)+AO489,"")</f>
        <v/>
      </c>
      <c r="AP490" s="156" t="str">
        <f ca="1">IFERROR(_xlfn.SINGLE(INDEX(#REF!,'Annual Report'!AO490)),"")</f>
        <v/>
      </c>
      <c r="AQ490" s="6" t="str">
        <f ca="1">IFERROR(_xlfn.SINGLE(INDEX(#REF!,'Annual Report'!AO490)),"")</f>
        <v/>
      </c>
      <c r="AS490" s="6" t="str">
        <f ca="1">IFERROR(MATCH($L$115,OFFSET(#REF!,AS489,0,1000000),0)+AS489,"")</f>
        <v/>
      </c>
      <c r="AT490" s="156" t="str">
        <f ca="1">IFERROR(_xlfn.SINGLE(INDEX(#REF!,'Annual Report'!AS490)),"")</f>
        <v/>
      </c>
      <c r="AU490" s="6" t="str">
        <f ca="1">IFERROR(_xlfn.SINGLE(INDEX(#REF!,'Annual Report'!AS490)),"")</f>
        <v/>
      </c>
    </row>
    <row r="491" spans="41:47">
      <c r="AO491" s="6" t="str">
        <f ca="1">IFERROR(MATCH($B$114,OFFSET(#REF!,AO490,0,1000000),0)+AO490,"")</f>
        <v/>
      </c>
      <c r="AP491" s="156" t="str">
        <f ca="1">IFERROR(_xlfn.SINGLE(INDEX(#REF!,'Annual Report'!AO491)),"")</f>
        <v/>
      </c>
      <c r="AQ491" s="6" t="str">
        <f ca="1">IFERROR(_xlfn.SINGLE(INDEX(#REF!,'Annual Report'!AO491)),"")</f>
        <v/>
      </c>
      <c r="AS491" s="6" t="str">
        <f ca="1">IFERROR(MATCH($L$115,OFFSET(#REF!,AS490,0,1000000),0)+AS490,"")</f>
        <v/>
      </c>
      <c r="AT491" s="156" t="str">
        <f ca="1">IFERROR(_xlfn.SINGLE(INDEX(#REF!,'Annual Report'!AS491)),"")</f>
        <v/>
      </c>
      <c r="AU491" s="6" t="str">
        <f ca="1">IFERROR(_xlfn.SINGLE(INDEX(#REF!,'Annual Report'!AS491)),"")</f>
        <v/>
      </c>
    </row>
    <row r="492" spans="41:47">
      <c r="AO492" s="6" t="str">
        <f ca="1">IFERROR(MATCH($B$114,OFFSET(#REF!,AO491,0,1000000),0)+AO491,"")</f>
        <v/>
      </c>
      <c r="AP492" s="156" t="str">
        <f ca="1">IFERROR(_xlfn.SINGLE(INDEX(#REF!,'Annual Report'!AO492)),"")</f>
        <v/>
      </c>
      <c r="AQ492" s="6" t="str">
        <f ca="1">IFERROR(_xlfn.SINGLE(INDEX(#REF!,'Annual Report'!AO492)),"")</f>
        <v/>
      </c>
      <c r="AS492" s="6" t="str">
        <f ca="1">IFERROR(MATCH($L$115,OFFSET(#REF!,AS491,0,1000000),0)+AS491,"")</f>
        <v/>
      </c>
      <c r="AT492" s="156" t="str">
        <f ca="1">IFERROR(_xlfn.SINGLE(INDEX(#REF!,'Annual Report'!AS492)),"")</f>
        <v/>
      </c>
      <c r="AU492" s="6" t="str">
        <f ca="1">IFERROR(_xlfn.SINGLE(INDEX(#REF!,'Annual Report'!AS492)),"")</f>
        <v/>
      </c>
    </row>
    <row r="493" spans="41:47">
      <c r="AO493" s="6" t="str">
        <f ca="1">IFERROR(MATCH($B$114,OFFSET(#REF!,AO492,0,1000000),0)+AO492,"")</f>
        <v/>
      </c>
      <c r="AP493" s="156" t="str">
        <f ca="1">IFERROR(_xlfn.SINGLE(INDEX(#REF!,'Annual Report'!AO493)),"")</f>
        <v/>
      </c>
      <c r="AQ493" s="6" t="str">
        <f ca="1">IFERROR(_xlfn.SINGLE(INDEX(#REF!,'Annual Report'!AO493)),"")</f>
        <v/>
      </c>
      <c r="AS493" s="6" t="str">
        <f ca="1">IFERROR(MATCH($L$115,OFFSET(#REF!,AS492,0,1000000),0)+AS492,"")</f>
        <v/>
      </c>
      <c r="AT493" s="156" t="str">
        <f ca="1">IFERROR(_xlfn.SINGLE(INDEX(#REF!,'Annual Report'!AS493)),"")</f>
        <v/>
      </c>
      <c r="AU493" s="6" t="str">
        <f ca="1">IFERROR(_xlfn.SINGLE(INDEX(#REF!,'Annual Report'!AS493)),"")</f>
        <v/>
      </c>
    </row>
    <row r="494" spans="41:47">
      <c r="AO494" s="6" t="str">
        <f ca="1">IFERROR(MATCH($B$114,OFFSET(#REF!,AO493,0,1000000),0)+AO493,"")</f>
        <v/>
      </c>
      <c r="AP494" s="156" t="str">
        <f ca="1">IFERROR(_xlfn.SINGLE(INDEX(#REF!,'Annual Report'!AO494)),"")</f>
        <v/>
      </c>
      <c r="AQ494" s="6" t="str">
        <f ca="1">IFERROR(_xlfn.SINGLE(INDEX(#REF!,'Annual Report'!AO494)),"")</f>
        <v/>
      </c>
      <c r="AS494" s="6" t="str">
        <f ca="1">IFERROR(MATCH($L$115,OFFSET(#REF!,AS493,0,1000000),0)+AS493,"")</f>
        <v/>
      </c>
      <c r="AT494" s="156" t="str">
        <f ca="1">IFERROR(_xlfn.SINGLE(INDEX(#REF!,'Annual Report'!AS494)),"")</f>
        <v/>
      </c>
      <c r="AU494" s="6" t="str">
        <f ca="1">IFERROR(_xlfn.SINGLE(INDEX(#REF!,'Annual Report'!AS494)),"")</f>
        <v/>
      </c>
    </row>
    <row r="495" spans="41:47">
      <c r="AO495" s="6" t="str">
        <f ca="1">IFERROR(MATCH($B$114,OFFSET(#REF!,AO494,0,1000000),0)+AO494,"")</f>
        <v/>
      </c>
      <c r="AP495" s="156" t="str">
        <f ca="1">IFERROR(_xlfn.SINGLE(INDEX(#REF!,'Annual Report'!AO495)),"")</f>
        <v/>
      </c>
      <c r="AQ495" s="6" t="str">
        <f ca="1">IFERROR(_xlfn.SINGLE(INDEX(#REF!,'Annual Report'!AO495)),"")</f>
        <v/>
      </c>
      <c r="AS495" s="6" t="str">
        <f ca="1">IFERROR(MATCH($L$115,OFFSET(#REF!,AS494,0,1000000),0)+AS494,"")</f>
        <v/>
      </c>
      <c r="AT495" s="156" t="str">
        <f ca="1">IFERROR(_xlfn.SINGLE(INDEX(#REF!,'Annual Report'!AS495)),"")</f>
        <v/>
      </c>
      <c r="AU495" s="6" t="str">
        <f ca="1">IFERROR(_xlfn.SINGLE(INDEX(#REF!,'Annual Report'!AS495)),"")</f>
        <v/>
      </c>
    </row>
    <row r="496" spans="41:47">
      <c r="AO496" s="6" t="str">
        <f ca="1">IFERROR(MATCH($B$114,OFFSET(#REF!,AO495,0,1000000),0)+AO495,"")</f>
        <v/>
      </c>
      <c r="AP496" s="156" t="str">
        <f ca="1">IFERROR(_xlfn.SINGLE(INDEX(#REF!,'Annual Report'!AO496)),"")</f>
        <v/>
      </c>
      <c r="AQ496" s="6" t="str">
        <f ca="1">IFERROR(_xlfn.SINGLE(INDEX(#REF!,'Annual Report'!AO496)),"")</f>
        <v/>
      </c>
      <c r="AS496" s="6" t="str">
        <f ca="1">IFERROR(MATCH($L$115,OFFSET(#REF!,AS495,0,1000000),0)+AS495,"")</f>
        <v/>
      </c>
      <c r="AT496" s="156" t="str">
        <f ca="1">IFERROR(_xlfn.SINGLE(INDEX(#REF!,'Annual Report'!AS496)),"")</f>
        <v/>
      </c>
      <c r="AU496" s="6" t="str">
        <f ca="1">IFERROR(_xlfn.SINGLE(INDEX(#REF!,'Annual Report'!AS496)),"")</f>
        <v/>
      </c>
    </row>
    <row r="497" spans="41:47">
      <c r="AO497" s="6" t="str">
        <f ca="1">IFERROR(MATCH($B$114,OFFSET(#REF!,AO496,0,1000000),0)+AO496,"")</f>
        <v/>
      </c>
      <c r="AP497" s="156" t="str">
        <f ca="1">IFERROR(_xlfn.SINGLE(INDEX(#REF!,'Annual Report'!AO497)),"")</f>
        <v/>
      </c>
      <c r="AQ497" s="6" t="str">
        <f ca="1">IFERROR(_xlfn.SINGLE(INDEX(#REF!,'Annual Report'!AO497)),"")</f>
        <v/>
      </c>
      <c r="AS497" s="6" t="str">
        <f ca="1">IFERROR(MATCH($L$115,OFFSET(#REF!,AS496,0,1000000),0)+AS496,"")</f>
        <v/>
      </c>
      <c r="AT497" s="156" t="str">
        <f ca="1">IFERROR(_xlfn.SINGLE(INDEX(#REF!,'Annual Report'!AS497)),"")</f>
        <v/>
      </c>
      <c r="AU497" s="6" t="str">
        <f ca="1">IFERROR(_xlfn.SINGLE(INDEX(#REF!,'Annual Report'!AS497)),"")</f>
        <v/>
      </c>
    </row>
    <row r="498" spans="41:47">
      <c r="AO498" s="6" t="str">
        <f ca="1">IFERROR(MATCH($B$114,OFFSET(#REF!,AO497,0,1000000),0)+AO497,"")</f>
        <v/>
      </c>
      <c r="AP498" s="156" t="str">
        <f ca="1">IFERROR(_xlfn.SINGLE(INDEX(#REF!,'Annual Report'!AO498)),"")</f>
        <v/>
      </c>
      <c r="AQ498" s="6" t="str">
        <f ca="1">IFERROR(_xlfn.SINGLE(INDEX(#REF!,'Annual Report'!AO498)),"")</f>
        <v/>
      </c>
      <c r="AS498" s="6" t="str">
        <f ca="1">IFERROR(MATCH($L$115,OFFSET(#REF!,AS497,0,1000000),0)+AS497,"")</f>
        <v/>
      </c>
      <c r="AT498" s="156" t="str">
        <f ca="1">IFERROR(_xlfn.SINGLE(INDEX(#REF!,'Annual Report'!AS498)),"")</f>
        <v/>
      </c>
      <c r="AU498" s="6" t="str">
        <f ca="1">IFERROR(_xlfn.SINGLE(INDEX(#REF!,'Annual Report'!AS498)),"")</f>
        <v/>
      </c>
    </row>
    <row r="499" spans="41:47">
      <c r="AO499" s="6" t="str">
        <f ca="1">IFERROR(MATCH($B$114,OFFSET(#REF!,AO498,0,1000000),0)+AO498,"")</f>
        <v/>
      </c>
      <c r="AP499" s="156" t="str">
        <f ca="1">IFERROR(_xlfn.SINGLE(INDEX(#REF!,'Annual Report'!AO499)),"")</f>
        <v/>
      </c>
      <c r="AQ499" s="6" t="str">
        <f ca="1">IFERROR(_xlfn.SINGLE(INDEX(#REF!,'Annual Report'!AO499)),"")</f>
        <v/>
      </c>
      <c r="AS499" s="6" t="str">
        <f ca="1">IFERROR(MATCH($L$115,OFFSET(#REF!,AS498,0,1000000),0)+AS498,"")</f>
        <v/>
      </c>
      <c r="AT499" s="156" t="str">
        <f ca="1">IFERROR(_xlfn.SINGLE(INDEX(#REF!,'Annual Report'!AS499)),"")</f>
        <v/>
      </c>
      <c r="AU499" s="6" t="str">
        <f ca="1">IFERROR(_xlfn.SINGLE(INDEX(#REF!,'Annual Report'!AS499)),"")</f>
        <v/>
      </c>
    </row>
    <row r="500" spans="41:47">
      <c r="AO500" s="6" t="str">
        <f ca="1">IFERROR(MATCH($B$114,OFFSET(#REF!,AO499,0,1000000),0)+AO499,"")</f>
        <v/>
      </c>
      <c r="AP500" s="156" t="str">
        <f ca="1">IFERROR(_xlfn.SINGLE(INDEX(#REF!,'Annual Report'!AO500)),"")</f>
        <v/>
      </c>
      <c r="AQ500" s="6" t="str">
        <f ca="1">IFERROR(_xlfn.SINGLE(INDEX(#REF!,'Annual Report'!AO500)),"")</f>
        <v/>
      </c>
      <c r="AS500" s="6" t="str">
        <f ca="1">IFERROR(MATCH($L$115,OFFSET(#REF!,AS499,0,1000000),0)+AS499,"")</f>
        <v/>
      </c>
      <c r="AT500" s="156" t="str">
        <f ca="1">IFERROR(_xlfn.SINGLE(INDEX(#REF!,'Annual Report'!AS500)),"")</f>
        <v/>
      </c>
      <c r="AU500" s="6" t="str">
        <f ca="1">IFERROR(_xlfn.SINGLE(INDEX(#REF!,'Annual Report'!AS500)),"")</f>
        <v/>
      </c>
    </row>
    <row r="501" spans="41:47">
      <c r="AO501" s="6" t="str">
        <f ca="1">IFERROR(MATCH($B$114,OFFSET(#REF!,AO500,0,1000000),0)+AO500,"")</f>
        <v/>
      </c>
      <c r="AP501" s="156" t="str">
        <f ca="1">IFERROR(_xlfn.SINGLE(INDEX(#REF!,'Annual Report'!AO501)),"")</f>
        <v/>
      </c>
      <c r="AQ501" s="6" t="str">
        <f ca="1">IFERROR(_xlfn.SINGLE(INDEX(#REF!,'Annual Report'!AO501)),"")</f>
        <v/>
      </c>
      <c r="AS501" s="6" t="str">
        <f ca="1">IFERROR(MATCH($L$115,OFFSET(#REF!,AS500,0,1000000),0)+AS500,"")</f>
        <v/>
      </c>
      <c r="AT501" s="156" t="str">
        <f ca="1">IFERROR(_xlfn.SINGLE(INDEX(#REF!,'Annual Report'!AS501)),"")</f>
        <v/>
      </c>
      <c r="AU501" s="6" t="str">
        <f ca="1">IFERROR(_xlfn.SINGLE(INDEX(#REF!,'Annual Report'!AS501)),"")</f>
        <v/>
      </c>
    </row>
    <row r="502" spans="41:47">
      <c r="AO502" s="6" t="str">
        <f ca="1">IFERROR(MATCH($B$114,OFFSET(#REF!,AO501,0,1000000),0)+AO501,"")</f>
        <v/>
      </c>
      <c r="AP502" s="156" t="str">
        <f ca="1">IFERROR(_xlfn.SINGLE(INDEX(#REF!,'Annual Report'!AO502)),"")</f>
        <v/>
      </c>
      <c r="AQ502" s="6" t="str">
        <f ca="1">IFERROR(_xlfn.SINGLE(INDEX(#REF!,'Annual Report'!AO502)),"")</f>
        <v/>
      </c>
      <c r="AS502" s="6" t="str">
        <f ca="1">IFERROR(MATCH($L$115,OFFSET(#REF!,AS501,0,1000000),0)+AS501,"")</f>
        <v/>
      </c>
      <c r="AT502" s="156" t="str">
        <f ca="1">IFERROR(_xlfn.SINGLE(INDEX(#REF!,'Annual Report'!AS502)),"")</f>
        <v/>
      </c>
      <c r="AU502" s="6" t="str">
        <f ca="1">IFERROR(_xlfn.SINGLE(INDEX(#REF!,'Annual Report'!AS502)),"")</f>
        <v/>
      </c>
    </row>
    <row r="503" spans="41:47">
      <c r="AO503" s="6" t="str">
        <f ca="1">IFERROR(MATCH($B$114,OFFSET(#REF!,AO502,0,1000000),0)+AO502,"")</f>
        <v/>
      </c>
      <c r="AP503" s="156" t="str">
        <f ca="1">IFERROR(_xlfn.SINGLE(INDEX(#REF!,'Annual Report'!AO503)),"")</f>
        <v/>
      </c>
      <c r="AQ503" s="6" t="str">
        <f ca="1">IFERROR(_xlfn.SINGLE(INDEX(#REF!,'Annual Report'!AO503)),"")</f>
        <v/>
      </c>
      <c r="AS503" s="6" t="str">
        <f ca="1">IFERROR(MATCH($L$115,OFFSET(#REF!,AS502,0,1000000),0)+AS502,"")</f>
        <v/>
      </c>
      <c r="AT503" s="156" t="str">
        <f ca="1">IFERROR(_xlfn.SINGLE(INDEX(#REF!,'Annual Report'!AS503)),"")</f>
        <v/>
      </c>
      <c r="AU503" s="6" t="str">
        <f ca="1">IFERROR(_xlfn.SINGLE(INDEX(#REF!,'Annual Report'!AS503)),"")</f>
        <v/>
      </c>
    </row>
    <row r="504" spans="41:47">
      <c r="AO504" s="6" t="str">
        <f ca="1">IFERROR(MATCH($B$114,OFFSET(#REF!,AO503,0,1000000),0)+AO503,"")</f>
        <v/>
      </c>
      <c r="AP504" s="156" t="str">
        <f ca="1">IFERROR(_xlfn.SINGLE(INDEX(#REF!,'Annual Report'!AO504)),"")</f>
        <v/>
      </c>
      <c r="AQ504" s="6" t="str">
        <f ca="1">IFERROR(_xlfn.SINGLE(INDEX(#REF!,'Annual Report'!AO504)),"")</f>
        <v/>
      </c>
      <c r="AS504" s="6" t="str">
        <f ca="1">IFERROR(MATCH($L$115,OFFSET(#REF!,AS503,0,1000000),0)+AS503,"")</f>
        <v/>
      </c>
      <c r="AT504" s="156" t="str">
        <f ca="1">IFERROR(_xlfn.SINGLE(INDEX(#REF!,'Annual Report'!AS504)),"")</f>
        <v/>
      </c>
      <c r="AU504" s="6" t="str">
        <f ca="1">IFERROR(_xlfn.SINGLE(INDEX(#REF!,'Annual Report'!AS504)),"")</f>
        <v/>
      </c>
    </row>
    <row r="505" spans="41:47">
      <c r="AO505" s="6" t="str">
        <f ca="1">IFERROR(MATCH($B$114,OFFSET(#REF!,AO504,0,1000000),0)+AO504,"")</f>
        <v/>
      </c>
      <c r="AP505" s="156" t="str">
        <f ca="1">IFERROR(_xlfn.SINGLE(INDEX(#REF!,'Annual Report'!AO505)),"")</f>
        <v/>
      </c>
      <c r="AQ505" s="6" t="str">
        <f ca="1">IFERROR(_xlfn.SINGLE(INDEX(#REF!,'Annual Report'!AO505)),"")</f>
        <v/>
      </c>
      <c r="AS505" s="6" t="str">
        <f ca="1">IFERROR(MATCH($L$115,OFFSET(#REF!,AS504,0,1000000),0)+AS504,"")</f>
        <v/>
      </c>
      <c r="AT505" s="156" t="str">
        <f ca="1">IFERROR(_xlfn.SINGLE(INDEX(#REF!,'Annual Report'!AS505)),"")</f>
        <v/>
      </c>
      <c r="AU505" s="6" t="str">
        <f ca="1">IFERROR(_xlfn.SINGLE(INDEX(#REF!,'Annual Report'!AS505)),"")</f>
        <v/>
      </c>
    </row>
    <row r="506" spans="41:47">
      <c r="AO506" s="6" t="str">
        <f ca="1">IFERROR(MATCH($B$114,OFFSET(#REF!,AO505,0,1000000),0)+AO505,"")</f>
        <v/>
      </c>
      <c r="AP506" s="156" t="str">
        <f ca="1">IFERROR(_xlfn.SINGLE(INDEX(#REF!,'Annual Report'!AO506)),"")</f>
        <v/>
      </c>
      <c r="AQ506" s="6" t="str">
        <f ca="1">IFERROR(_xlfn.SINGLE(INDEX(#REF!,'Annual Report'!AO506)),"")</f>
        <v/>
      </c>
      <c r="AS506" s="6" t="str">
        <f ca="1">IFERROR(MATCH($L$115,OFFSET(#REF!,AS505,0,1000000),0)+AS505,"")</f>
        <v/>
      </c>
      <c r="AT506" s="156" t="str">
        <f ca="1">IFERROR(_xlfn.SINGLE(INDEX(#REF!,'Annual Report'!AS506)),"")</f>
        <v/>
      </c>
      <c r="AU506" s="6" t="str">
        <f ca="1">IFERROR(_xlfn.SINGLE(INDEX(#REF!,'Annual Report'!AS506)),"")</f>
        <v/>
      </c>
    </row>
    <row r="507" spans="41:47">
      <c r="AO507" s="6" t="str">
        <f ca="1">IFERROR(MATCH($B$114,OFFSET(#REF!,AO506,0,1000000),0)+AO506,"")</f>
        <v/>
      </c>
      <c r="AP507" s="156" t="str">
        <f ca="1">IFERROR(_xlfn.SINGLE(INDEX(#REF!,'Annual Report'!AO507)),"")</f>
        <v/>
      </c>
      <c r="AQ507" s="6" t="str">
        <f ca="1">IFERROR(_xlfn.SINGLE(INDEX(#REF!,'Annual Report'!AO507)),"")</f>
        <v/>
      </c>
      <c r="AS507" s="6" t="str">
        <f ca="1">IFERROR(MATCH($L$115,OFFSET(#REF!,AS506,0,1000000),0)+AS506,"")</f>
        <v/>
      </c>
      <c r="AT507" s="156" t="str">
        <f ca="1">IFERROR(_xlfn.SINGLE(INDEX(#REF!,'Annual Report'!AS507)),"")</f>
        <v/>
      </c>
      <c r="AU507" s="6" t="str">
        <f ca="1">IFERROR(_xlfn.SINGLE(INDEX(#REF!,'Annual Report'!AS507)),"")</f>
        <v/>
      </c>
    </row>
    <row r="508" spans="41:47">
      <c r="AO508" s="6" t="str">
        <f ca="1">IFERROR(MATCH($B$114,OFFSET(#REF!,AO507,0,1000000),0)+AO507,"")</f>
        <v/>
      </c>
      <c r="AP508" s="156" t="str">
        <f ca="1">IFERROR(_xlfn.SINGLE(INDEX(#REF!,'Annual Report'!AO508)),"")</f>
        <v/>
      </c>
      <c r="AQ508" s="6" t="str">
        <f ca="1">IFERROR(_xlfn.SINGLE(INDEX(#REF!,'Annual Report'!AO508)),"")</f>
        <v/>
      </c>
      <c r="AS508" s="6" t="str">
        <f ca="1">IFERROR(MATCH($L$115,OFFSET(#REF!,AS507,0,1000000),0)+AS507,"")</f>
        <v/>
      </c>
      <c r="AT508" s="156" t="str">
        <f ca="1">IFERROR(_xlfn.SINGLE(INDEX(#REF!,'Annual Report'!AS508)),"")</f>
        <v/>
      </c>
      <c r="AU508" s="6" t="str">
        <f ca="1">IFERROR(_xlfn.SINGLE(INDEX(#REF!,'Annual Report'!AS508)),"")</f>
        <v/>
      </c>
    </row>
    <row r="509" spans="41:47">
      <c r="AO509" s="6" t="str">
        <f ca="1">IFERROR(MATCH($B$114,OFFSET(#REF!,AO508,0,1000000),0)+AO508,"")</f>
        <v/>
      </c>
      <c r="AP509" s="156" t="str">
        <f ca="1">IFERROR(_xlfn.SINGLE(INDEX(#REF!,'Annual Report'!AO509)),"")</f>
        <v/>
      </c>
      <c r="AQ509" s="6" t="str">
        <f ca="1">IFERROR(_xlfn.SINGLE(INDEX(#REF!,'Annual Report'!AO509)),"")</f>
        <v/>
      </c>
      <c r="AS509" s="6" t="str">
        <f ca="1">IFERROR(MATCH($L$115,OFFSET(#REF!,AS508,0,1000000),0)+AS508,"")</f>
        <v/>
      </c>
      <c r="AT509" s="156" t="str">
        <f ca="1">IFERROR(_xlfn.SINGLE(INDEX(#REF!,'Annual Report'!AS509)),"")</f>
        <v/>
      </c>
      <c r="AU509" s="6" t="str">
        <f ca="1">IFERROR(_xlfn.SINGLE(INDEX(#REF!,'Annual Report'!AS509)),"")</f>
        <v/>
      </c>
    </row>
    <row r="510" spans="41:47">
      <c r="AO510" s="6" t="str">
        <f ca="1">IFERROR(MATCH($B$114,OFFSET(#REF!,AO509,0,1000000),0)+AO509,"")</f>
        <v/>
      </c>
      <c r="AP510" s="156" t="str">
        <f ca="1">IFERROR(_xlfn.SINGLE(INDEX(#REF!,'Annual Report'!AO510)),"")</f>
        <v/>
      </c>
      <c r="AQ510" s="6" t="str">
        <f ca="1">IFERROR(_xlfn.SINGLE(INDEX(#REF!,'Annual Report'!AO510)),"")</f>
        <v/>
      </c>
      <c r="AS510" s="6" t="str">
        <f ca="1">IFERROR(MATCH($L$115,OFFSET(#REF!,AS509,0,1000000),0)+AS509,"")</f>
        <v/>
      </c>
      <c r="AT510" s="156" t="str">
        <f ca="1">IFERROR(_xlfn.SINGLE(INDEX(#REF!,'Annual Report'!AS510)),"")</f>
        <v/>
      </c>
      <c r="AU510" s="6" t="str">
        <f ca="1">IFERROR(_xlfn.SINGLE(INDEX(#REF!,'Annual Report'!AS510)),"")</f>
        <v/>
      </c>
    </row>
    <row r="511" spans="41:47">
      <c r="AO511" s="6" t="str">
        <f ca="1">IFERROR(MATCH($B$114,OFFSET(#REF!,AO510,0,1000000),0)+AO510,"")</f>
        <v/>
      </c>
      <c r="AP511" s="156" t="str">
        <f ca="1">IFERROR(_xlfn.SINGLE(INDEX(#REF!,'Annual Report'!AO511)),"")</f>
        <v/>
      </c>
      <c r="AQ511" s="6" t="str">
        <f ca="1">IFERROR(_xlfn.SINGLE(INDEX(#REF!,'Annual Report'!AO511)),"")</f>
        <v/>
      </c>
      <c r="AS511" s="6" t="str">
        <f ca="1">IFERROR(MATCH($L$115,OFFSET(#REF!,AS510,0,1000000),0)+AS510,"")</f>
        <v/>
      </c>
      <c r="AT511" s="156" t="str">
        <f ca="1">IFERROR(_xlfn.SINGLE(INDEX(#REF!,'Annual Report'!AS511)),"")</f>
        <v/>
      </c>
      <c r="AU511" s="6" t="str">
        <f ca="1">IFERROR(_xlfn.SINGLE(INDEX(#REF!,'Annual Report'!AS511)),"")</f>
        <v/>
      </c>
    </row>
    <row r="512" spans="41:47">
      <c r="AO512" s="6" t="str">
        <f ca="1">IFERROR(MATCH($B$114,OFFSET(#REF!,AO511,0,1000000),0)+AO511,"")</f>
        <v/>
      </c>
      <c r="AP512" s="156" t="str">
        <f ca="1">IFERROR(_xlfn.SINGLE(INDEX(#REF!,'Annual Report'!AO512)),"")</f>
        <v/>
      </c>
      <c r="AQ512" s="6" t="str">
        <f ca="1">IFERROR(_xlfn.SINGLE(INDEX(#REF!,'Annual Report'!AO512)),"")</f>
        <v/>
      </c>
      <c r="AS512" s="6" t="str">
        <f ca="1">IFERROR(MATCH($L$115,OFFSET(#REF!,AS511,0,1000000),0)+AS511,"")</f>
        <v/>
      </c>
      <c r="AT512" s="156" t="str">
        <f ca="1">IFERROR(_xlfn.SINGLE(INDEX(#REF!,'Annual Report'!AS512)),"")</f>
        <v/>
      </c>
      <c r="AU512" s="6" t="str">
        <f ca="1">IFERROR(_xlfn.SINGLE(INDEX(#REF!,'Annual Report'!AS512)),"")</f>
        <v/>
      </c>
    </row>
    <row r="513" spans="41:47">
      <c r="AO513" s="6" t="str">
        <f ca="1">IFERROR(MATCH($B$114,OFFSET(#REF!,AO512,0,1000000),0)+AO512,"")</f>
        <v/>
      </c>
      <c r="AP513" s="156" t="str">
        <f ca="1">IFERROR(_xlfn.SINGLE(INDEX(#REF!,'Annual Report'!AO513)),"")</f>
        <v/>
      </c>
      <c r="AQ513" s="6" t="str">
        <f ca="1">IFERROR(_xlfn.SINGLE(INDEX(#REF!,'Annual Report'!AO513)),"")</f>
        <v/>
      </c>
      <c r="AS513" s="6" t="str">
        <f ca="1">IFERROR(MATCH($L$115,OFFSET(#REF!,AS512,0,1000000),0)+AS512,"")</f>
        <v/>
      </c>
      <c r="AT513" s="156" t="str">
        <f ca="1">IFERROR(_xlfn.SINGLE(INDEX(#REF!,'Annual Report'!AS513)),"")</f>
        <v/>
      </c>
      <c r="AU513" s="6" t="str">
        <f ca="1">IFERROR(_xlfn.SINGLE(INDEX(#REF!,'Annual Report'!AS513)),"")</f>
        <v/>
      </c>
    </row>
    <row r="514" spans="41:47">
      <c r="AO514" s="6" t="str">
        <f ca="1">IFERROR(MATCH($B$114,OFFSET(#REF!,AO513,0,1000000),0)+AO513,"")</f>
        <v/>
      </c>
      <c r="AP514" s="156" t="str">
        <f ca="1">IFERROR(_xlfn.SINGLE(INDEX(#REF!,'Annual Report'!AO514)),"")</f>
        <v/>
      </c>
      <c r="AQ514" s="6" t="str">
        <f ca="1">IFERROR(_xlfn.SINGLE(INDEX(#REF!,'Annual Report'!AO514)),"")</f>
        <v/>
      </c>
      <c r="AS514" s="6" t="str">
        <f ca="1">IFERROR(MATCH($L$115,OFFSET(#REF!,AS513,0,1000000),0)+AS513,"")</f>
        <v/>
      </c>
      <c r="AT514" s="156" t="str">
        <f ca="1">IFERROR(_xlfn.SINGLE(INDEX(#REF!,'Annual Report'!AS514)),"")</f>
        <v/>
      </c>
      <c r="AU514" s="6" t="str">
        <f ca="1">IFERROR(_xlfn.SINGLE(INDEX(#REF!,'Annual Report'!AS514)),"")</f>
        <v/>
      </c>
    </row>
    <row r="515" spans="41:47">
      <c r="AO515" s="6" t="str">
        <f ca="1">IFERROR(MATCH($B$114,OFFSET(#REF!,AO514,0,1000000),0)+AO514,"")</f>
        <v/>
      </c>
      <c r="AP515" s="156" t="str">
        <f ca="1">IFERROR(_xlfn.SINGLE(INDEX(#REF!,'Annual Report'!AO515)),"")</f>
        <v/>
      </c>
      <c r="AQ515" s="6" t="str">
        <f ca="1">IFERROR(_xlfn.SINGLE(INDEX(#REF!,'Annual Report'!AO515)),"")</f>
        <v/>
      </c>
      <c r="AS515" s="6" t="str">
        <f ca="1">IFERROR(MATCH($L$115,OFFSET(#REF!,AS514,0,1000000),0)+AS514,"")</f>
        <v/>
      </c>
      <c r="AT515" s="156" t="str">
        <f ca="1">IFERROR(_xlfn.SINGLE(INDEX(#REF!,'Annual Report'!AS515)),"")</f>
        <v/>
      </c>
      <c r="AU515" s="6" t="str">
        <f ca="1">IFERROR(_xlfn.SINGLE(INDEX(#REF!,'Annual Report'!AS515)),"")</f>
        <v/>
      </c>
    </row>
    <row r="516" spans="41:47">
      <c r="AO516" s="6" t="str">
        <f ca="1">IFERROR(MATCH($B$114,OFFSET(#REF!,AO515,0,1000000),0)+AO515,"")</f>
        <v/>
      </c>
      <c r="AP516" s="156" t="str">
        <f ca="1">IFERROR(_xlfn.SINGLE(INDEX(#REF!,'Annual Report'!AO516)),"")</f>
        <v/>
      </c>
      <c r="AQ516" s="6" t="str">
        <f ca="1">IFERROR(_xlfn.SINGLE(INDEX(#REF!,'Annual Report'!AO516)),"")</f>
        <v/>
      </c>
      <c r="AS516" s="6" t="str">
        <f ca="1">IFERROR(MATCH($L$115,OFFSET(#REF!,AS515,0,1000000),0)+AS515,"")</f>
        <v/>
      </c>
      <c r="AT516" s="156" t="str">
        <f ca="1">IFERROR(_xlfn.SINGLE(INDEX(#REF!,'Annual Report'!AS516)),"")</f>
        <v/>
      </c>
      <c r="AU516" s="6" t="str">
        <f ca="1">IFERROR(_xlfn.SINGLE(INDEX(#REF!,'Annual Report'!AS516)),"")</f>
        <v/>
      </c>
    </row>
    <row r="517" spans="41:47">
      <c r="AO517" s="6" t="str">
        <f ca="1">IFERROR(MATCH($B$114,OFFSET(#REF!,AO516,0,1000000),0)+AO516,"")</f>
        <v/>
      </c>
      <c r="AP517" s="156" t="str">
        <f ca="1">IFERROR(_xlfn.SINGLE(INDEX(#REF!,'Annual Report'!AO517)),"")</f>
        <v/>
      </c>
      <c r="AQ517" s="6" t="str">
        <f ca="1">IFERROR(_xlfn.SINGLE(INDEX(#REF!,'Annual Report'!AO517)),"")</f>
        <v/>
      </c>
      <c r="AS517" s="6" t="str">
        <f ca="1">IFERROR(MATCH($L$115,OFFSET(#REF!,AS516,0,1000000),0)+AS516,"")</f>
        <v/>
      </c>
      <c r="AT517" s="156" t="str">
        <f ca="1">IFERROR(_xlfn.SINGLE(INDEX(#REF!,'Annual Report'!AS517)),"")</f>
        <v/>
      </c>
      <c r="AU517" s="6" t="str">
        <f ca="1">IFERROR(_xlfn.SINGLE(INDEX(#REF!,'Annual Report'!AS517)),"")</f>
        <v/>
      </c>
    </row>
    <row r="518" spans="41:47">
      <c r="AO518" s="6" t="str">
        <f ca="1">IFERROR(MATCH($B$114,OFFSET(#REF!,AO517,0,1000000),0)+AO517,"")</f>
        <v/>
      </c>
      <c r="AP518" s="156" t="str">
        <f ca="1">IFERROR(_xlfn.SINGLE(INDEX(#REF!,'Annual Report'!AO518)),"")</f>
        <v/>
      </c>
      <c r="AQ518" s="6" t="str">
        <f ca="1">IFERROR(_xlfn.SINGLE(INDEX(#REF!,'Annual Report'!AO518)),"")</f>
        <v/>
      </c>
      <c r="AS518" s="6" t="str">
        <f ca="1">IFERROR(MATCH($L$115,OFFSET(#REF!,AS517,0,1000000),0)+AS517,"")</f>
        <v/>
      </c>
      <c r="AT518" s="156" t="str">
        <f ca="1">IFERROR(_xlfn.SINGLE(INDEX(#REF!,'Annual Report'!AS518)),"")</f>
        <v/>
      </c>
      <c r="AU518" s="6" t="str">
        <f ca="1">IFERROR(_xlfn.SINGLE(INDEX(#REF!,'Annual Report'!AS518)),"")</f>
        <v/>
      </c>
    </row>
    <row r="519" spans="41:47">
      <c r="AO519" s="6" t="str">
        <f ca="1">IFERROR(MATCH($B$114,OFFSET(#REF!,AO518,0,1000000),0)+AO518,"")</f>
        <v/>
      </c>
      <c r="AP519" s="156" t="str">
        <f ca="1">IFERROR(_xlfn.SINGLE(INDEX(#REF!,'Annual Report'!AO519)),"")</f>
        <v/>
      </c>
      <c r="AQ519" s="6" t="str">
        <f ca="1">IFERROR(_xlfn.SINGLE(INDEX(#REF!,'Annual Report'!AO519)),"")</f>
        <v/>
      </c>
      <c r="AS519" s="6" t="str">
        <f ca="1">IFERROR(MATCH($L$115,OFFSET(#REF!,AS518,0,1000000),0)+AS518,"")</f>
        <v/>
      </c>
      <c r="AT519" s="156" t="str">
        <f ca="1">IFERROR(_xlfn.SINGLE(INDEX(#REF!,'Annual Report'!AS519)),"")</f>
        <v/>
      </c>
      <c r="AU519" s="6" t="str">
        <f ca="1">IFERROR(_xlfn.SINGLE(INDEX(#REF!,'Annual Report'!AS519)),"")</f>
        <v/>
      </c>
    </row>
    <row r="520" spans="41:47">
      <c r="AO520" s="6" t="str">
        <f ca="1">IFERROR(MATCH($B$114,OFFSET(#REF!,AO519,0,1000000),0)+AO519,"")</f>
        <v/>
      </c>
      <c r="AP520" s="156" t="str">
        <f ca="1">IFERROR(_xlfn.SINGLE(INDEX(#REF!,'Annual Report'!AO520)),"")</f>
        <v/>
      </c>
      <c r="AQ520" s="6" t="str">
        <f ca="1">IFERROR(_xlfn.SINGLE(INDEX(#REF!,'Annual Report'!AO520)),"")</f>
        <v/>
      </c>
      <c r="AS520" s="6" t="str">
        <f ca="1">IFERROR(MATCH($L$115,OFFSET(#REF!,AS519,0,1000000),0)+AS519,"")</f>
        <v/>
      </c>
      <c r="AT520" s="156" t="str">
        <f ca="1">IFERROR(_xlfn.SINGLE(INDEX(#REF!,'Annual Report'!AS520)),"")</f>
        <v/>
      </c>
      <c r="AU520" s="6" t="str">
        <f ca="1">IFERROR(_xlfn.SINGLE(INDEX(#REF!,'Annual Report'!AS520)),"")</f>
        <v/>
      </c>
    </row>
    <row r="521" spans="41:47">
      <c r="AO521" s="6" t="str">
        <f ca="1">IFERROR(MATCH($B$114,OFFSET(#REF!,AO520,0,1000000),0)+AO520,"")</f>
        <v/>
      </c>
      <c r="AP521" s="156" t="str">
        <f ca="1">IFERROR(_xlfn.SINGLE(INDEX(#REF!,'Annual Report'!AO521)),"")</f>
        <v/>
      </c>
      <c r="AQ521" s="6" t="str">
        <f ca="1">IFERROR(_xlfn.SINGLE(INDEX(#REF!,'Annual Report'!AO521)),"")</f>
        <v/>
      </c>
      <c r="AS521" s="6" t="str">
        <f ca="1">IFERROR(MATCH($L$115,OFFSET(#REF!,AS520,0,1000000),0)+AS520,"")</f>
        <v/>
      </c>
      <c r="AT521" s="156" t="str">
        <f ca="1">IFERROR(_xlfn.SINGLE(INDEX(#REF!,'Annual Report'!AS521)),"")</f>
        <v/>
      </c>
      <c r="AU521" s="6" t="str">
        <f ca="1">IFERROR(_xlfn.SINGLE(INDEX(#REF!,'Annual Report'!AS521)),"")</f>
        <v/>
      </c>
    </row>
    <row r="522" spans="41:47">
      <c r="AO522" s="6" t="str">
        <f ca="1">IFERROR(MATCH($B$114,OFFSET(#REF!,AO521,0,1000000),0)+AO521,"")</f>
        <v/>
      </c>
      <c r="AP522" s="156" t="str">
        <f ca="1">IFERROR(_xlfn.SINGLE(INDEX(#REF!,'Annual Report'!AO522)),"")</f>
        <v/>
      </c>
      <c r="AQ522" s="6" t="str">
        <f ca="1">IFERROR(_xlfn.SINGLE(INDEX(#REF!,'Annual Report'!AO522)),"")</f>
        <v/>
      </c>
      <c r="AS522" s="6" t="str">
        <f ca="1">IFERROR(MATCH($L$115,OFFSET(#REF!,AS521,0,1000000),0)+AS521,"")</f>
        <v/>
      </c>
      <c r="AT522" s="156" t="str">
        <f ca="1">IFERROR(_xlfn.SINGLE(INDEX(#REF!,'Annual Report'!AS522)),"")</f>
        <v/>
      </c>
      <c r="AU522" s="6" t="str">
        <f ca="1">IFERROR(_xlfn.SINGLE(INDEX(#REF!,'Annual Report'!AS522)),"")</f>
        <v/>
      </c>
    </row>
    <row r="523" spans="41:47">
      <c r="AO523" s="6" t="str">
        <f ca="1">IFERROR(MATCH($B$114,OFFSET(#REF!,AO522,0,1000000),0)+AO522,"")</f>
        <v/>
      </c>
      <c r="AP523" s="156" t="str">
        <f ca="1">IFERROR(_xlfn.SINGLE(INDEX(#REF!,'Annual Report'!AO523)),"")</f>
        <v/>
      </c>
      <c r="AQ523" s="6" t="str">
        <f ca="1">IFERROR(_xlfn.SINGLE(INDEX(#REF!,'Annual Report'!AO523)),"")</f>
        <v/>
      </c>
      <c r="AS523" s="6" t="str">
        <f ca="1">IFERROR(MATCH($L$115,OFFSET(#REF!,AS522,0,1000000),0)+AS522,"")</f>
        <v/>
      </c>
      <c r="AT523" s="156" t="str">
        <f ca="1">IFERROR(_xlfn.SINGLE(INDEX(#REF!,'Annual Report'!AS523)),"")</f>
        <v/>
      </c>
      <c r="AU523" s="6" t="str">
        <f ca="1">IFERROR(_xlfn.SINGLE(INDEX(#REF!,'Annual Report'!AS523)),"")</f>
        <v/>
      </c>
    </row>
    <row r="524" spans="41:47">
      <c r="AO524" s="6" t="str">
        <f ca="1">IFERROR(MATCH($B$114,OFFSET(#REF!,AO523,0,1000000),0)+AO523,"")</f>
        <v/>
      </c>
      <c r="AP524" s="156" t="str">
        <f ca="1">IFERROR(_xlfn.SINGLE(INDEX(#REF!,'Annual Report'!AO524)),"")</f>
        <v/>
      </c>
      <c r="AQ524" s="6" t="str">
        <f ca="1">IFERROR(_xlfn.SINGLE(INDEX(#REF!,'Annual Report'!AO524)),"")</f>
        <v/>
      </c>
      <c r="AS524" s="6" t="str">
        <f ca="1">IFERROR(MATCH($L$115,OFFSET(#REF!,AS523,0,1000000),0)+AS523,"")</f>
        <v/>
      </c>
      <c r="AT524" s="156" t="str">
        <f ca="1">IFERROR(_xlfn.SINGLE(INDEX(#REF!,'Annual Report'!AS524)),"")</f>
        <v/>
      </c>
      <c r="AU524" s="6" t="str">
        <f ca="1">IFERROR(_xlfn.SINGLE(INDEX(#REF!,'Annual Report'!AS524)),"")</f>
        <v/>
      </c>
    </row>
    <row r="525" spans="41:47">
      <c r="AO525" s="6" t="str">
        <f ca="1">IFERROR(MATCH($B$114,OFFSET(#REF!,AO524,0,1000000),0)+AO524,"")</f>
        <v/>
      </c>
      <c r="AP525" s="156" t="str">
        <f ca="1">IFERROR(_xlfn.SINGLE(INDEX(#REF!,'Annual Report'!AO525)),"")</f>
        <v/>
      </c>
      <c r="AQ525" s="6" t="str">
        <f ca="1">IFERROR(_xlfn.SINGLE(INDEX(#REF!,'Annual Report'!AO525)),"")</f>
        <v/>
      </c>
      <c r="AS525" s="6" t="str">
        <f ca="1">IFERROR(MATCH($L$115,OFFSET(#REF!,AS524,0,1000000),0)+AS524,"")</f>
        <v/>
      </c>
      <c r="AT525" s="156" t="str">
        <f ca="1">IFERROR(_xlfn.SINGLE(INDEX(#REF!,'Annual Report'!AS525)),"")</f>
        <v/>
      </c>
      <c r="AU525" s="6" t="str">
        <f ca="1">IFERROR(_xlfn.SINGLE(INDEX(#REF!,'Annual Report'!AS525)),"")</f>
        <v/>
      </c>
    </row>
    <row r="526" spans="41:47">
      <c r="AO526" s="6" t="str">
        <f ca="1">IFERROR(MATCH($B$114,OFFSET(#REF!,AO525,0,1000000),0)+AO525,"")</f>
        <v/>
      </c>
      <c r="AP526" s="156" t="str">
        <f ca="1">IFERROR(_xlfn.SINGLE(INDEX(#REF!,'Annual Report'!AO526)),"")</f>
        <v/>
      </c>
      <c r="AQ526" s="6" t="str">
        <f ca="1">IFERROR(_xlfn.SINGLE(INDEX(#REF!,'Annual Report'!AO526)),"")</f>
        <v/>
      </c>
      <c r="AS526" s="6" t="str">
        <f ca="1">IFERROR(MATCH($L$115,OFFSET(#REF!,AS525,0,1000000),0)+AS525,"")</f>
        <v/>
      </c>
      <c r="AT526" s="156" t="str">
        <f ca="1">IFERROR(_xlfn.SINGLE(INDEX(#REF!,'Annual Report'!AS526)),"")</f>
        <v/>
      </c>
      <c r="AU526" s="6" t="str">
        <f ca="1">IFERROR(_xlfn.SINGLE(INDEX(#REF!,'Annual Report'!AS526)),"")</f>
        <v/>
      </c>
    </row>
    <row r="527" spans="41:47">
      <c r="AO527" s="6" t="str">
        <f ca="1">IFERROR(MATCH($B$114,OFFSET(#REF!,AO526,0,1000000),0)+AO526,"")</f>
        <v/>
      </c>
      <c r="AP527" s="156" t="str">
        <f ca="1">IFERROR(_xlfn.SINGLE(INDEX(#REF!,'Annual Report'!AO527)),"")</f>
        <v/>
      </c>
      <c r="AQ527" s="6" t="str">
        <f ca="1">IFERROR(_xlfn.SINGLE(INDEX(#REF!,'Annual Report'!AO527)),"")</f>
        <v/>
      </c>
      <c r="AS527" s="6" t="str">
        <f ca="1">IFERROR(MATCH($L$115,OFFSET(#REF!,AS526,0,1000000),0)+AS526,"")</f>
        <v/>
      </c>
      <c r="AT527" s="156" t="str">
        <f ca="1">IFERROR(_xlfn.SINGLE(INDEX(#REF!,'Annual Report'!AS527)),"")</f>
        <v/>
      </c>
      <c r="AU527" s="6" t="str">
        <f ca="1">IFERROR(_xlfn.SINGLE(INDEX(#REF!,'Annual Report'!AS527)),"")</f>
        <v/>
      </c>
    </row>
    <row r="528" spans="41:47">
      <c r="AO528" s="6" t="str">
        <f ca="1">IFERROR(MATCH($B$114,OFFSET(#REF!,AO527,0,1000000),0)+AO527,"")</f>
        <v/>
      </c>
      <c r="AP528" s="156" t="str">
        <f ca="1">IFERROR(_xlfn.SINGLE(INDEX(#REF!,'Annual Report'!AO528)),"")</f>
        <v/>
      </c>
      <c r="AQ528" s="6" t="str">
        <f ca="1">IFERROR(_xlfn.SINGLE(INDEX(#REF!,'Annual Report'!AO528)),"")</f>
        <v/>
      </c>
      <c r="AS528" s="6" t="str">
        <f ca="1">IFERROR(MATCH($L$115,OFFSET(#REF!,AS527,0,1000000),0)+AS527,"")</f>
        <v/>
      </c>
      <c r="AT528" s="156" t="str">
        <f ca="1">IFERROR(_xlfn.SINGLE(INDEX(#REF!,'Annual Report'!AS528)),"")</f>
        <v/>
      </c>
      <c r="AU528" s="6" t="str">
        <f ca="1">IFERROR(_xlfn.SINGLE(INDEX(#REF!,'Annual Report'!AS528)),"")</f>
        <v/>
      </c>
    </row>
    <row r="529" spans="41:47">
      <c r="AO529" s="6" t="str">
        <f ca="1">IFERROR(MATCH($B$114,OFFSET(#REF!,AO528,0,1000000),0)+AO528,"")</f>
        <v/>
      </c>
      <c r="AP529" s="156" t="str">
        <f ca="1">IFERROR(_xlfn.SINGLE(INDEX(#REF!,'Annual Report'!AO529)),"")</f>
        <v/>
      </c>
      <c r="AQ529" s="6" t="str">
        <f ca="1">IFERROR(_xlfn.SINGLE(INDEX(#REF!,'Annual Report'!AO529)),"")</f>
        <v/>
      </c>
      <c r="AS529" s="6" t="str">
        <f ca="1">IFERROR(MATCH($L$115,OFFSET(#REF!,AS528,0,1000000),0)+AS528,"")</f>
        <v/>
      </c>
      <c r="AT529" s="156" t="str">
        <f ca="1">IFERROR(_xlfn.SINGLE(INDEX(#REF!,'Annual Report'!AS529)),"")</f>
        <v/>
      </c>
      <c r="AU529" s="6" t="str">
        <f ca="1">IFERROR(_xlfn.SINGLE(INDEX(#REF!,'Annual Report'!AS529)),"")</f>
        <v/>
      </c>
    </row>
    <row r="530" spans="41:47">
      <c r="AO530" s="6" t="str">
        <f ca="1">IFERROR(MATCH($B$114,OFFSET(#REF!,AO529,0,1000000),0)+AO529,"")</f>
        <v/>
      </c>
      <c r="AP530" s="156" t="str">
        <f ca="1">IFERROR(_xlfn.SINGLE(INDEX(#REF!,'Annual Report'!AO530)),"")</f>
        <v/>
      </c>
      <c r="AQ530" s="6" t="str">
        <f ca="1">IFERROR(_xlfn.SINGLE(INDEX(#REF!,'Annual Report'!AO530)),"")</f>
        <v/>
      </c>
      <c r="AS530" s="6" t="str">
        <f ca="1">IFERROR(MATCH($L$115,OFFSET(#REF!,AS529,0,1000000),0)+AS529,"")</f>
        <v/>
      </c>
      <c r="AT530" s="156" t="str">
        <f ca="1">IFERROR(_xlfn.SINGLE(INDEX(#REF!,'Annual Report'!AS530)),"")</f>
        <v/>
      </c>
      <c r="AU530" s="6" t="str">
        <f ca="1">IFERROR(_xlfn.SINGLE(INDEX(#REF!,'Annual Report'!AS530)),"")</f>
        <v/>
      </c>
    </row>
    <row r="531" spans="41:47">
      <c r="AO531" s="6" t="str">
        <f ca="1">IFERROR(MATCH($B$114,OFFSET(#REF!,AO530,0,1000000),0)+AO530,"")</f>
        <v/>
      </c>
      <c r="AP531" s="156" t="str">
        <f ca="1">IFERROR(_xlfn.SINGLE(INDEX(#REF!,'Annual Report'!AO531)),"")</f>
        <v/>
      </c>
      <c r="AQ531" s="6" t="str">
        <f ca="1">IFERROR(_xlfn.SINGLE(INDEX(#REF!,'Annual Report'!AO531)),"")</f>
        <v/>
      </c>
      <c r="AS531" s="6" t="str">
        <f ca="1">IFERROR(MATCH($L$115,OFFSET(#REF!,AS530,0,1000000),0)+AS530,"")</f>
        <v/>
      </c>
      <c r="AT531" s="156" t="str">
        <f ca="1">IFERROR(_xlfn.SINGLE(INDEX(#REF!,'Annual Report'!AS531)),"")</f>
        <v/>
      </c>
      <c r="AU531" s="6" t="str">
        <f ca="1">IFERROR(_xlfn.SINGLE(INDEX(#REF!,'Annual Report'!AS531)),"")</f>
        <v/>
      </c>
    </row>
    <row r="532" spans="41:47">
      <c r="AO532" s="6" t="str">
        <f ca="1">IFERROR(MATCH($B$114,OFFSET(#REF!,AO531,0,1000000),0)+AO531,"")</f>
        <v/>
      </c>
      <c r="AP532" s="156" t="str">
        <f ca="1">IFERROR(_xlfn.SINGLE(INDEX(#REF!,'Annual Report'!AO532)),"")</f>
        <v/>
      </c>
      <c r="AQ532" s="6" t="str">
        <f ca="1">IFERROR(_xlfn.SINGLE(INDEX(#REF!,'Annual Report'!AO532)),"")</f>
        <v/>
      </c>
      <c r="AS532" s="6" t="str">
        <f ca="1">IFERROR(MATCH($L$115,OFFSET(#REF!,AS531,0,1000000),0)+AS531,"")</f>
        <v/>
      </c>
      <c r="AT532" s="156" t="str">
        <f ca="1">IFERROR(_xlfn.SINGLE(INDEX(#REF!,'Annual Report'!AS532)),"")</f>
        <v/>
      </c>
      <c r="AU532" s="6" t="str">
        <f ca="1">IFERROR(_xlfn.SINGLE(INDEX(#REF!,'Annual Report'!AS532)),"")</f>
        <v/>
      </c>
    </row>
    <row r="533" spans="41:47">
      <c r="AO533" s="6" t="str">
        <f ca="1">IFERROR(MATCH($B$114,OFFSET(#REF!,AO532,0,1000000),0)+AO532,"")</f>
        <v/>
      </c>
      <c r="AP533" s="156" t="str">
        <f ca="1">IFERROR(_xlfn.SINGLE(INDEX(#REF!,'Annual Report'!AO533)),"")</f>
        <v/>
      </c>
      <c r="AQ533" s="6" t="str">
        <f ca="1">IFERROR(_xlfn.SINGLE(INDEX(#REF!,'Annual Report'!AO533)),"")</f>
        <v/>
      </c>
      <c r="AS533" s="6" t="str">
        <f ca="1">IFERROR(MATCH($L$115,OFFSET(#REF!,AS532,0,1000000),0)+AS532,"")</f>
        <v/>
      </c>
      <c r="AT533" s="156" t="str">
        <f ca="1">IFERROR(_xlfn.SINGLE(INDEX(#REF!,'Annual Report'!AS533)),"")</f>
        <v/>
      </c>
      <c r="AU533" s="6" t="str">
        <f ca="1">IFERROR(_xlfn.SINGLE(INDEX(#REF!,'Annual Report'!AS533)),"")</f>
        <v/>
      </c>
    </row>
    <row r="534" spans="41:47">
      <c r="AO534" s="6" t="str">
        <f ca="1">IFERROR(MATCH($B$114,OFFSET(#REF!,AO533,0,1000000),0)+AO533,"")</f>
        <v/>
      </c>
      <c r="AP534" s="156" t="str">
        <f ca="1">IFERROR(_xlfn.SINGLE(INDEX(#REF!,'Annual Report'!AO534)),"")</f>
        <v/>
      </c>
      <c r="AQ534" s="6" t="str">
        <f ca="1">IFERROR(_xlfn.SINGLE(INDEX(#REF!,'Annual Report'!AO534)),"")</f>
        <v/>
      </c>
      <c r="AS534" s="6" t="str">
        <f ca="1">IFERROR(MATCH($L$115,OFFSET(#REF!,AS533,0,1000000),0)+AS533,"")</f>
        <v/>
      </c>
      <c r="AT534" s="156" t="str">
        <f ca="1">IFERROR(_xlfn.SINGLE(INDEX(#REF!,'Annual Report'!AS534)),"")</f>
        <v/>
      </c>
      <c r="AU534" s="6" t="str">
        <f ca="1">IFERROR(_xlfn.SINGLE(INDEX(#REF!,'Annual Report'!AS534)),"")</f>
        <v/>
      </c>
    </row>
    <row r="535" spans="41:47">
      <c r="AO535" s="6" t="str">
        <f ca="1">IFERROR(MATCH($B$114,OFFSET(#REF!,AO534,0,1000000),0)+AO534,"")</f>
        <v/>
      </c>
      <c r="AP535" s="156" t="str">
        <f ca="1">IFERROR(_xlfn.SINGLE(INDEX(#REF!,'Annual Report'!AO535)),"")</f>
        <v/>
      </c>
      <c r="AQ535" s="6" t="str">
        <f ca="1">IFERROR(_xlfn.SINGLE(INDEX(#REF!,'Annual Report'!AO535)),"")</f>
        <v/>
      </c>
      <c r="AS535" s="6" t="str">
        <f ca="1">IFERROR(MATCH($L$115,OFFSET(#REF!,AS534,0,1000000),0)+AS534,"")</f>
        <v/>
      </c>
      <c r="AT535" s="156" t="str">
        <f ca="1">IFERROR(_xlfn.SINGLE(INDEX(#REF!,'Annual Report'!AS535)),"")</f>
        <v/>
      </c>
      <c r="AU535" s="6" t="str">
        <f ca="1">IFERROR(_xlfn.SINGLE(INDEX(#REF!,'Annual Report'!AS535)),"")</f>
        <v/>
      </c>
    </row>
    <row r="536" spans="41:47">
      <c r="AO536" s="6" t="str">
        <f ca="1">IFERROR(MATCH($B$114,OFFSET(#REF!,AO535,0,1000000),0)+AO535,"")</f>
        <v/>
      </c>
      <c r="AP536" s="156" t="str">
        <f ca="1">IFERROR(_xlfn.SINGLE(INDEX(#REF!,'Annual Report'!AO536)),"")</f>
        <v/>
      </c>
      <c r="AQ536" s="6" t="str">
        <f ca="1">IFERROR(_xlfn.SINGLE(INDEX(#REF!,'Annual Report'!AO536)),"")</f>
        <v/>
      </c>
      <c r="AS536" s="6" t="str">
        <f ca="1">IFERROR(MATCH($L$115,OFFSET(#REF!,AS535,0,1000000),0)+AS535,"")</f>
        <v/>
      </c>
      <c r="AT536" s="156" t="str">
        <f ca="1">IFERROR(_xlfn.SINGLE(INDEX(#REF!,'Annual Report'!AS536)),"")</f>
        <v/>
      </c>
      <c r="AU536" s="6" t="str">
        <f ca="1">IFERROR(_xlfn.SINGLE(INDEX(#REF!,'Annual Report'!AS536)),"")</f>
        <v/>
      </c>
    </row>
    <row r="537" spans="41:47">
      <c r="AO537" s="6" t="str">
        <f ca="1">IFERROR(MATCH($B$114,OFFSET(#REF!,AO536,0,1000000),0)+AO536,"")</f>
        <v/>
      </c>
      <c r="AP537" s="156" t="str">
        <f ca="1">IFERROR(_xlfn.SINGLE(INDEX(#REF!,'Annual Report'!AO537)),"")</f>
        <v/>
      </c>
      <c r="AQ537" s="6" t="str">
        <f ca="1">IFERROR(_xlfn.SINGLE(INDEX(#REF!,'Annual Report'!AO537)),"")</f>
        <v/>
      </c>
      <c r="AS537" s="6" t="str">
        <f ca="1">IFERROR(MATCH($L$115,OFFSET(#REF!,AS536,0,1000000),0)+AS536,"")</f>
        <v/>
      </c>
      <c r="AT537" s="156" t="str">
        <f ca="1">IFERROR(_xlfn.SINGLE(INDEX(#REF!,'Annual Report'!AS537)),"")</f>
        <v/>
      </c>
      <c r="AU537" s="6" t="str">
        <f ca="1">IFERROR(_xlfn.SINGLE(INDEX(#REF!,'Annual Report'!AS537)),"")</f>
        <v/>
      </c>
    </row>
    <row r="538" spans="41:47">
      <c r="AO538" s="6" t="str">
        <f ca="1">IFERROR(MATCH($B$114,OFFSET(#REF!,AO537,0,1000000),0)+AO537,"")</f>
        <v/>
      </c>
      <c r="AP538" s="156" t="str">
        <f ca="1">IFERROR(_xlfn.SINGLE(INDEX(#REF!,'Annual Report'!AO538)),"")</f>
        <v/>
      </c>
      <c r="AQ538" s="6" t="str">
        <f ca="1">IFERROR(_xlfn.SINGLE(INDEX(#REF!,'Annual Report'!AO538)),"")</f>
        <v/>
      </c>
      <c r="AS538" s="6" t="str">
        <f ca="1">IFERROR(MATCH($L$115,OFFSET(#REF!,AS537,0,1000000),0)+AS537,"")</f>
        <v/>
      </c>
      <c r="AT538" s="156" t="str">
        <f ca="1">IFERROR(_xlfn.SINGLE(INDEX(#REF!,'Annual Report'!AS538)),"")</f>
        <v/>
      </c>
      <c r="AU538" s="6" t="str">
        <f ca="1">IFERROR(_xlfn.SINGLE(INDEX(#REF!,'Annual Report'!AS538)),"")</f>
        <v/>
      </c>
    </row>
    <row r="539" spans="41:47">
      <c r="AO539" s="6" t="str">
        <f ca="1">IFERROR(MATCH($B$114,OFFSET(#REF!,AO538,0,1000000),0)+AO538,"")</f>
        <v/>
      </c>
      <c r="AP539" s="156" t="str">
        <f ca="1">IFERROR(_xlfn.SINGLE(INDEX(#REF!,'Annual Report'!AO539)),"")</f>
        <v/>
      </c>
      <c r="AQ539" s="6" t="str">
        <f ca="1">IFERROR(_xlfn.SINGLE(INDEX(#REF!,'Annual Report'!AO539)),"")</f>
        <v/>
      </c>
      <c r="AS539" s="6" t="str">
        <f ca="1">IFERROR(MATCH($L$115,OFFSET(#REF!,AS538,0,1000000),0)+AS538,"")</f>
        <v/>
      </c>
      <c r="AT539" s="156" t="str">
        <f ca="1">IFERROR(_xlfn.SINGLE(INDEX(#REF!,'Annual Report'!AS539)),"")</f>
        <v/>
      </c>
      <c r="AU539" s="6" t="str">
        <f ca="1">IFERROR(_xlfn.SINGLE(INDEX(#REF!,'Annual Report'!AS539)),"")</f>
        <v/>
      </c>
    </row>
    <row r="540" spans="41:47">
      <c r="AO540" s="6" t="str">
        <f ca="1">IFERROR(MATCH($B$114,OFFSET(#REF!,AO539,0,1000000),0)+AO539,"")</f>
        <v/>
      </c>
      <c r="AP540" s="156" t="str">
        <f ca="1">IFERROR(_xlfn.SINGLE(INDEX(#REF!,'Annual Report'!AO540)),"")</f>
        <v/>
      </c>
      <c r="AQ540" s="6" t="str">
        <f ca="1">IFERROR(_xlfn.SINGLE(INDEX(#REF!,'Annual Report'!AO540)),"")</f>
        <v/>
      </c>
      <c r="AS540" s="6" t="str">
        <f ca="1">IFERROR(MATCH($L$115,OFFSET(#REF!,AS539,0,1000000),0)+AS539,"")</f>
        <v/>
      </c>
      <c r="AT540" s="156" t="str">
        <f ca="1">IFERROR(_xlfn.SINGLE(INDEX(#REF!,'Annual Report'!AS540)),"")</f>
        <v/>
      </c>
      <c r="AU540" s="6" t="str">
        <f ca="1">IFERROR(_xlfn.SINGLE(INDEX(#REF!,'Annual Report'!AS540)),"")</f>
        <v/>
      </c>
    </row>
    <row r="541" spans="41:47">
      <c r="AO541" s="6" t="str">
        <f ca="1">IFERROR(MATCH($B$114,OFFSET(#REF!,AO540,0,1000000),0)+AO540,"")</f>
        <v/>
      </c>
      <c r="AP541" s="156" t="str">
        <f ca="1">IFERROR(_xlfn.SINGLE(INDEX(#REF!,'Annual Report'!AO541)),"")</f>
        <v/>
      </c>
      <c r="AQ541" s="6" t="str">
        <f ca="1">IFERROR(_xlfn.SINGLE(INDEX(#REF!,'Annual Report'!AO541)),"")</f>
        <v/>
      </c>
      <c r="AS541" s="6" t="str">
        <f ca="1">IFERROR(MATCH($L$115,OFFSET(#REF!,AS540,0,1000000),0)+AS540,"")</f>
        <v/>
      </c>
      <c r="AT541" s="156" t="str">
        <f ca="1">IFERROR(_xlfn.SINGLE(INDEX(#REF!,'Annual Report'!AS541)),"")</f>
        <v/>
      </c>
      <c r="AU541" s="6" t="str">
        <f ca="1">IFERROR(_xlfn.SINGLE(INDEX(#REF!,'Annual Report'!AS541)),"")</f>
        <v/>
      </c>
    </row>
    <row r="542" spans="41:47">
      <c r="AO542" s="6" t="str">
        <f ca="1">IFERROR(MATCH($B$114,OFFSET(#REF!,AO541,0,1000000),0)+AO541,"")</f>
        <v/>
      </c>
      <c r="AP542" s="156" t="str">
        <f ca="1">IFERROR(_xlfn.SINGLE(INDEX(#REF!,'Annual Report'!AO542)),"")</f>
        <v/>
      </c>
      <c r="AQ542" s="6" t="str">
        <f ca="1">IFERROR(_xlfn.SINGLE(INDEX(#REF!,'Annual Report'!AO542)),"")</f>
        <v/>
      </c>
      <c r="AS542" s="6" t="str">
        <f ca="1">IFERROR(MATCH($L$115,OFFSET(#REF!,AS541,0,1000000),0)+AS541,"")</f>
        <v/>
      </c>
      <c r="AT542" s="156" t="str">
        <f ca="1">IFERROR(_xlfn.SINGLE(INDEX(#REF!,'Annual Report'!AS542)),"")</f>
        <v/>
      </c>
      <c r="AU542" s="6" t="str">
        <f ca="1">IFERROR(_xlfn.SINGLE(INDEX(#REF!,'Annual Report'!AS542)),"")</f>
        <v/>
      </c>
    </row>
    <row r="543" spans="41:47">
      <c r="AO543" s="6" t="str">
        <f ca="1">IFERROR(MATCH($B$114,OFFSET(#REF!,AO542,0,1000000),0)+AO542,"")</f>
        <v/>
      </c>
      <c r="AP543" s="156" t="str">
        <f ca="1">IFERROR(_xlfn.SINGLE(INDEX(#REF!,'Annual Report'!AO543)),"")</f>
        <v/>
      </c>
      <c r="AQ543" s="6" t="str">
        <f ca="1">IFERROR(_xlfn.SINGLE(INDEX(#REF!,'Annual Report'!AO543)),"")</f>
        <v/>
      </c>
      <c r="AS543" s="6" t="str">
        <f ca="1">IFERROR(MATCH($L$115,OFFSET(#REF!,AS542,0,1000000),0)+AS542,"")</f>
        <v/>
      </c>
      <c r="AT543" s="156" t="str">
        <f ca="1">IFERROR(_xlfn.SINGLE(INDEX(#REF!,'Annual Report'!AS543)),"")</f>
        <v/>
      </c>
      <c r="AU543" s="6" t="str">
        <f ca="1">IFERROR(_xlfn.SINGLE(INDEX(#REF!,'Annual Report'!AS543)),"")</f>
        <v/>
      </c>
    </row>
    <row r="544" spans="41:47">
      <c r="AO544" s="6" t="str">
        <f ca="1">IFERROR(MATCH($B$114,OFFSET(#REF!,AO543,0,1000000),0)+AO543,"")</f>
        <v/>
      </c>
      <c r="AP544" s="156" t="str">
        <f ca="1">IFERROR(_xlfn.SINGLE(INDEX(#REF!,'Annual Report'!AO544)),"")</f>
        <v/>
      </c>
      <c r="AQ544" s="6" t="str">
        <f ca="1">IFERROR(_xlfn.SINGLE(INDEX(#REF!,'Annual Report'!AO544)),"")</f>
        <v/>
      </c>
      <c r="AS544" s="6" t="str">
        <f ca="1">IFERROR(MATCH($L$115,OFFSET(#REF!,AS543,0,1000000),0)+AS543,"")</f>
        <v/>
      </c>
      <c r="AT544" s="156" t="str">
        <f ca="1">IFERROR(_xlfn.SINGLE(INDEX(#REF!,'Annual Report'!AS544)),"")</f>
        <v/>
      </c>
      <c r="AU544" s="6" t="str">
        <f ca="1">IFERROR(_xlfn.SINGLE(INDEX(#REF!,'Annual Report'!AS544)),"")</f>
        <v/>
      </c>
    </row>
    <row r="545" spans="41:47">
      <c r="AO545" s="6" t="str">
        <f ca="1">IFERROR(MATCH($B$114,OFFSET(#REF!,AO544,0,1000000),0)+AO544,"")</f>
        <v/>
      </c>
      <c r="AP545" s="156" t="str">
        <f ca="1">IFERROR(_xlfn.SINGLE(INDEX(#REF!,'Annual Report'!AO545)),"")</f>
        <v/>
      </c>
      <c r="AQ545" s="6" t="str">
        <f ca="1">IFERROR(_xlfn.SINGLE(INDEX(#REF!,'Annual Report'!AO545)),"")</f>
        <v/>
      </c>
      <c r="AS545" s="6" t="str">
        <f ca="1">IFERROR(MATCH($L$115,OFFSET(#REF!,AS544,0,1000000),0)+AS544,"")</f>
        <v/>
      </c>
      <c r="AT545" s="156" t="str">
        <f ca="1">IFERROR(_xlfn.SINGLE(INDEX(#REF!,'Annual Report'!AS545)),"")</f>
        <v/>
      </c>
      <c r="AU545" s="6" t="str">
        <f ca="1">IFERROR(_xlfn.SINGLE(INDEX(#REF!,'Annual Report'!AS545)),"")</f>
        <v/>
      </c>
    </row>
    <row r="546" spans="41:47">
      <c r="AO546" s="6" t="str">
        <f ca="1">IFERROR(MATCH($B$114,OFFSET(#REF!,AO545,0,1000000),0)+AO545,"")</f>
        <v/>
      </c>
      <c r="AP546" s="156" t="str">
        <f ca="1">IFERROR(_xlfn.SINGLE(INDEX(#REF!,'Annual Report'!AO546)),"")</f>
        <v/>
      </c>
      <c r="AQ546" s="6" t="str">
        <f ca="1">IFERROR(_xlfn.SINGLE(INDEX(#REF!,'Annual Report'!AO546)),"")</f>
        <v/>
      </c>
      <c r="AS546" s="6" t="str">
        <f ca="1">IFERROR(MATCH($L$115,OFFSET(#REF!,AS545,0,1000000),0)+AS545,"")</f>
        <v/>
      </c>
      <c r="AT546" s="156" t="str">
        <f ca="1">IFERROR(_xlfn.SINGLE(INDEX(#REF!,'Annual Report'!AS546)),"")</f>
        <v/>
      </c>
      <c r="AU546" s="6" t="str">
        <f ca="1">IFERROR(_xlfn.SINGLE(INDEX(#REF!,'Annual Report'!AS546)),"")</f>
        <v/>
      </c>
    </row>
    <row r="547" spans="41:47">
      <c r="AO547" s="6" t="str">
        <f ca="1">IFERROR(MATCH($B$114,OFFSET(#REF!,AO546,0,1000000),0)+AO546,"")</f>
        <v/>
      </c>
      <c r="AP547" s="156" t="str">
        <f ca="1">IFERROR(_xlfn.SINGLE(INDEX(#REF!,'Annual Report'!AO547)),"")</f>
        <v/>
      </c>
      <c r="AQ547" s="6" t="str">
        <f ca="1">IFERROR(_xlfn.SINGLE(INDEX(#REF!,'Annual Report'!AO547)),"")</f>
        <v/>
      </c>
      <c r="AS547" s="6" t="str">
        <f ca="1">IFERROR(MATCH($L$115,OFFSET(#REF!,AS546,0,1000000),0)+AS546,"")</f>
        <v/>
      </c>
      <c r="AT547" s="156" t="str">
        <f ca="1">IFERROR(_xlfn.SINGLE(INDEX(#REF!,'Annual Report'!AS547)),"")</f>
        <v/>
      </c>
      <c r="AU547" s="6" t="str">
        <f ca="1">IFERROR(_xlfn.SINGLE(INDEX(#REF!,'Annual Report'!AS547)),"")</f>
        <v/>
      </c>
    </row>
    <row r="548" spans="41:47">
      <c r="AO548" s="6" t="str">
        <f ca="1">IFERROR(MATCH($B$114,OFFSET(#REF!,AO547,0,1000000),0)+AO547,"")</f>
        <v/>
      </c>
      <c r="AP548" s="156" t="str">
        <f ca="1">IFERROR(_xlfn.SINGLE(INDEX(#REF!,'Annual Report'!AO548)),"")</f>
        <v/>
      </c>
      <c r="AQ548" s="6" t="str">
        <f ca="1">IFERROR(_xlfn.SINGLE(INDEX(#REF!,'Annual Report'!AO548)),"")</f>
        <v/>
      </c>
      <c r="AS548" s="6" t="str">
        <f ca="1">IFERROR(MATCH($L$115,OFFSET(#REF!,AS547,0,1000000),0)+AS547,"")</f>
        <v/>
      </c>
      <c r="AT548" s="156" t="str">
        <f ca="1">IFERROR(_xlfn.SINGLE(INDEX(#REF!,'Annual Report'!AS548)),"")</f>
        <v/>
      </c>
      <c r="AU548" s="6" t="str">
        <f ca="1">IFERROR(_xlfn.SINGLE(INDEX(#REF!,'Annual Report'!AS548)),"")</f>
        <v/>
      </c>
    </row>
    <row r="549" spans="41:47">
      <c r="AO549" s="6" t="str">
        <f ca="1">IFERROR(MATCH($B$114,OFFSET(#REF!,AO548,0,1000000),0)+AO548,"")</f>
        <v/>
      </c>
      <c r="AP549" s="156" t="str">
        <f ca="1">IFERROR(_xlfn.SINGLE(INDEX(#REF!,'Annual Report'!AO549)),"")</f>
        <v/>
      </c>
      <c r="AQ549" s="6" t="str">
        <f ca="1">IFERROR(_xlfn.SINGLE(INDEX(#REF!,'Annual Report'!AO549)),"")</f>
        <v/>
      </c>
      <c r="AS549" s="6" t="str">
        <f ca="1">IFERROR(MATCH($L$115,OFFSET(#REF!,AS548,0,1000000),0)+AS548,"")</f>
        <v/>
      </c>
      <c r="AT549" s="156" t="str">
        <f ca="1">IFERROR(_xlfn.SINGLE(INDEX(#REF!,'Annual Report'!AS549)),"")</f>
        <v/>
      </c>
      <c r="AU549" s="6" t="str">
        <f ca="1">IFERROR(_xlfn.SINGLE(INDEX(#REF!,'Annual Report'!AS549)),"")</f>
        <v/>
      </c>
    </row>
    <row r="550" spans="41:47">
      <c r="AO550" s="6" t="str">
        <f ca="1">IFERROR(MATCH($B$114,OFFSET(#REF!,AO549,0,1000000),0)+AO549,"")</f>
        <v/>
      </c>
      <c r="AP550" s="156" t="str">
        <f ca="1">IFERROR(_xlfn.SINGLE(INDEX(#REF!,'Annual Report'!AO550)),"")</f>
        <v/>
      </c>
      <c r="AQ550" s="6" t="str">
        <f ca="1">IFERROR(_xlfn.SINGLE(INDEX(#REF!,'Annual Report'!AO550)),"")</f>
        <v/>
      </c>
      <c r="AS550" s="6" t="str">
        <f ca="1">IFERROR(MATCH($L$115,OFFSET(#REF!,AS549,0,1000000),0)+AS549,"")</f>
        <v/>
      </c>
      <c r="AT550" s="156" t="str">
        <f ca="1">IFERROR(_xlfn.SINGLE(INDEX(#REF!,'Annual Report'!AS550)),"")</f>
        <v/>
      </c>
      <c r="AU550" s="6" t="str">
        <f ca="1">IFERROR(_xlfn.SINGLE(INDEX(#REF!,'Annual Report'!AS550)),"")</f>
        <v/>
      </c>
    </row>
    <row r="551" spans="41:47">
      <c r="AO551" s="6" t="str">
        <f ca="1">IFERROR(MATCH($B$114,OFFSET(#REF!,AO550,0,1000000),0)+AO550,"")</f>
        <v/>
      </c>
      <c r="AP551" s="156" t="str">
        <f ca="1">IFERROR(_xlfn.SINGLE(INDEX(#REF!,'Annual Report'!AO551)),"")</f>
        <v/>
      </c>
      <c r="AQ551" s="6" t="str">
        <f ca="1">IFERROR(_xlfn.SINGLE(INDEX(#REF!,'Annual Report'!AO551)),"")</f>
        <v/>
      </c>
      <c r="AS551" s="6" t="str">
        <f ca="1">IFERROR(MATCH($L$115,OFFSET(#REF!,AS550,0,1000000),0)+AS550,"")</f>
        <v/>
      </c>
      <c r="AT551" s="156" t="str">
        <f ca="1">IFERROR(_xlfn.SINGLE(INDEX(#REF!,'Annual Report'!AS551)),"")</f>
        <v/>
      </c>
      <c r="AU551" s="6" t="str">
        <f ca="1">IFERROR(_xlfn.SINGLE(INDEX(#REF!,'Annual Report'!AS551)),"")</f>
        <v/>
      </c>
    </row>
    <row r="552" spans="41:47">
      <c r="AO552" s="6" t="str">
        <f ca="1">IFERROR(MATCH($B$114,OFFSET(#REF!,AO551,0,1000000),0)+AO551,"")</f>
        <v/>
      </c>
      <c r="AP552" s="156" t="str">
        <f ca="1">IFERROR(_xlfn.SINGLE(INDEX(#REF!,'Annual Report'!AO552)),"")</f>
        <v/>
      </c>
      <c r="AQ552" s="6" t="str">
        <f ca="1">IFERROR(_xlfn.SINGLE(INDEX(#REF!,'Annual Report'!AO552)),"")</f>
        <v/>
      </c>
      <c r="AS552" s="6" t="str">
        <f ca="1">IFERROR(MATCH($L$115,OFFSET(#REF!,AS551,0,1000000),0)+AS551,"")</f>
        <v/>
      </c>
      <c r="AT552" s="156" t="str">
        <f ca="1">IFERROR(_xlfn.SINGLE(INDEX(#REF!,'Annual Report'!AS552)),"")</f>
        <v/>
      </c>
      <c r="AU552" s="6" t="str">
        <f ca="1">IFERROR(_xlfn.SINGLE(INDEX(#REF!,'Annual Report'!AS552)),"")</f>
        <v/>
      </c>
    </row>
    <row r="553" spans="41:47">
      <c r="AO553" s="6" t="str">
        <f ca="1">IFERROR(MATCH($B$114,OFFSET(#REF!,AO552,0,1000000),0)+AO552,"")</f>
        <v/>
      </c>
      <c r="AP553" s="156" t="str">
        <f ca="1">IFERROR(_xlfn.SINGLE(INDEX(#REF!,'Annual Report'!AO553)),"")</f>
        <v/>
      </c>
      <c r="AQ553" s="6" t="str">
        <f ca="1">IFERROR(_xlfn.SINGLE(INDEX(#REF!,'Annual Report'!AO553)),"")</f>
        <v/>
      </c>
      <c r="AS553" s="6" t="str">
        <f ca="1">IFERROR(MATCH($L$115,OFFSET(#REF!,AS552,0,1000000),0)+AS552,"")</f>
        <v/>
      </c>
      <c r="AT553" s="156" t="str">
        <f ca="1">IFERROR(_xlfn.SINGLE(INDEX(#REF!,'Annual Report'!AS553)),"")</f>
        <v/>
      </c>
      <c r="AU553" s="6" t="str">
        <f ca="1">IFERROR(_xlfn.SINGLE(INDEX(#REF!,'Annual Report'!AS553)),"")</f>
        <v/>
      </c>
    </row>
    <row r="554" spans="41:47">
      <c r="AO554" s="6" t="str">
        <f ca="1">IFERROR(MATCH($B$114,OFFSET(#REF!,AO553,0,1000000),0)+AO553,"")</f>
        <v/>
      </c>
      <c r="AP554" s="156" t="str">
        <f ca="1">IFERROR(_xlfn.SINGLE(INDEX(#REF!,'Annual Report'!AO554)),"")</f>
        <v/>
      </c>
      <c r="AQ554" s="6" t="str">
        <f ca="1">IFERROR(_xlfn.SINGLE(INDEX(#REF!,'Annual Report'!AO554)),"")</f>
        <v/>
      </c>
      <c r="AS554" s="6" t="str">
        <f ca="1">IFERROR(MATCH($L$115,OFFSET(#REF!,AS553,0,1000000),0)+AS553,"")</f>
        <v/>
      </c>
      <c r="AT554" s="156" t="str">
        <f ca="1">IFERROR(_xlfn.SINGLE(INDEX(#REF!,'Annual Report'!AS554)),"")</f>
        <v/>
      </c>
      <c r="AU554" s="6" t="str">
        <f ca="1">IFERROR(_xlfn.SINGLE(INDEX(#REF!,'Annual Report'!AS554)),"")</f>
        <v/>
      </c>
    </row>
    <row r="555" spans="41:47">
      <c r="AO555" s="6" t="str">
        <f ca="1">IFERROR(MATCH($B$114,OFFSET(#REF!,AO554,0,1000000),0)+AO554,"")</f>
        <v/>
      </c>
      <c r="AP555" s="156" t="str">
        <f ca="1">IFERROR(_xlfn.SINGLE(INDEX(#REF!,'Annual Report'!AO555)),"")</f>
        <v/>
      </c>
      <c r="AQ555" s="6" t="str">
        <f ca="1">IFERROR(_xlfn.SINGLE(INDEX(#REF!,'Annual Report'!AO555)),"")</f>
        <v/>
      </c>
      <c r="AS555" s="6" t="str">
        <f ca="1">IFERROR(MATCH($L$115,OFFSET(#REF!,AS554,0,1000000),0)+AS554,"")</f>
        <v/>
      </c>
      <c r="AT555" s="156" t="str">
        <f ca="1">IFERROR(_xlfn.SINGLE(INDEX(#REF!,'Annual Report'!AS555)),"")</f>
        <v/>
      </c>
      <c r="AU555" s="6" t="str">
        <f ca="1">IFERROR(_xlfn.SINGLE(INDEX(#REF!,'Annual Report'!AS555)),"")</f>
        <v/>
      </c>
    </row>
    <row r="556" spans="41:47">
      <c r="AO556" s="6" t="str">
        <f ca="1">IFERROR(MATCH($B$114,OFFSET(#REF!,AO555,0,1000000),0)+AO555,"")</f>
        <v/>
      </c>
      <c r="AP556" s="156" t="str">
        <f ca="1">IFERROR(_xlfn.SINGLE(INDEX(#REF!,'Annual Report'!AO556)),"")</f>
        <v/>
      </c>
      <c r="AQ556" s="6" t="str">
        <f ca="1">IFERROR(_xlfn.SINGLE(INDEX(#REF!,'Annual Report'!AO556)),"")</f>
        <v/>
      </c>
      <c r="AS556" s="6" t="str">
        <f ca="1">IFERROR(MATCH($L$115,OFFSET(#REF!,AS555,0,1000000),0)+AS555,"")</f>
        <v/>
      </c>
      <c r="AT556" s="156" t="str">
        <f ca="1">IFERROR(_xlfn.SINGLE(INDEX(#REF!,'Annual Report'!AS556)),"")</f>
        <v/>
      </c>
      <c r="AU556" s="6" t="str">
        <f ca="1">IFERROR(_xlfn.SINGLE(INDEX(#REF!,'Annual Report'!AS556)),"")</f>
        <v/>
      </c>
    </row>
    <row r="557" spans="41:47">
      <c r="AO557" s="6" t="str">
        <f ca="1">IFERROR(MATCH($B$114,OFFSET(#REF!,AO556,0,1000000),0)+AO556,"")</f>
        <v/>
      </c>
      <c r="AP557" s="156" t="str">
        <f ca="1">IFERROR(_xlfn.SINGLE(INDEX(#REF!,'Annual Report'!AO557)),"")</f>
        <v/>
      </c>
      <c r="AQ557" s="6" t="str">
        <f ca="1">IFERROR(_xlfn.SINGLE(INDEX(#REF!,'Annual Report'!AO557)),"")</f>
        <v/>
      </c>
      <c r="AS557" s="6" t="str">
        <f ca="1">IFERROR(MATCH($L$115,OFFSET(#REF!,AS556,0,1000000),0)+AS556,"")</f>
        <v/>
      </c>
      <c r="AT557" s="156" t="str">
        <f ca="1">IFERROR(_xlfn.SINGLE(INDEX(#REF!,'Annual Report'!AS557)),"")</f>
        <v/>
      </c>
      <c r="AU557" s="6" t="str">
        <f ca="1">IFERROR(_xlfn.SINGLE(INDEX(#REF!,'Annual Report'!AS557)),"")</f>
        <v/>
      </c>
    </row>
    <row r="558" spans="41:47">
      <c r="AO558" s="6" t="str">
        <f ca="1">IFERROR(MATCH($B$114,OFFSET(#REF!,AO557,0,1000000),0)+AO557,"")</f>
        <v/>
      </c>
      <c r="AP558" s="156" t="str">
        <f ca="1">IFERROR(_xlfn.SINGLE(INDEX(#REF!,'Annual Report'!AO558)),"")</f>
        <v/>
      </c>
      <c r="AQ558" s="6" t="str">
        <f ca="1">IFERROR(_xlfn.SINGLE(INDEX(#REF!,'Annual Report'!AO558)),"")</f>
        <v/>
      </c>
      <c r="AS558" s="6" t="str">
        <f ca="1">IFERROR(MATCH($L$115,OFFSET(#REF!,AS557,0,1000000),0)+AS557,"")</f>
        <v/>
      </c>
      <c r="AT558" s="156" t="str">
        <f ca="1">IFERROR(_xlfn.SINGLE(INDEX(#REF!,'Annual Report'!AS558)),"")</f>
        <v/>
      </c>
      <c r="AU558" s="6" t="str">
        <f ca="1">IFERROR(_xlfn.SINGLE(INDEX(#REF!,'Annual Report'!AS558)),"")</f>
        <v/>
      </c>
    </row>
    <row r="559" spans="41:47">
      <c r="AO559" s="6" t="str">
        <f ca="1">IFERROR(MATCH($B$114,OFFSET(#REF!,AO558,0,1000000),0)+AO558,"")</f>
        <v/>
      </c>
      <c r="AP559" s="156" t="str">
        <f ca="1">IFERROR(_xlfn.SINGLE(INDEX(#REF!,'Annual Report'!AO559)),"")</f>
        <v/>
      </c>
      <c r="AQ559" s="6" t="str">
        <f ca="1">IFERROR(_xlfn.SINGLE(INDEX(#REF!,'Annual Report'!AO559)),"")</f>
        <v/>
      </c>
      <c r="AS559" s="6" t="str">
        <f ca="1">IFERROR(MATCH($L$115,OFFSET(#REF!,AS558,0,1000000),0)+AS558,"")</f>
        <v/>
      </c>
      <c r="AT559" s="156" t="str">
        <f ca="1">IFERROR(_xlfn.SINGLE(INDEX(#REF!,'Annual Report'!AS559)),"")</f>
        <v/>
      </c>
      <c r="AU559" s="6" t="str">
        <f ca="1">IFERROR(_xlfn.SINGLE(INDEX(#REF!,'Annual Report'!AS559)),"")</f>
        <v/>
      </c>
    </row>
    <row r="560" spans="41:47">
      <c r="AO560" s="6" t="str">
        <f ca="1">IFERROR(MATCH($B$114,OFFSET(#REF!,AO559,0,1000000),0)+AO559,"")</f>
        <v/>
      </c>
      <c r="AP560" s="156" t="str">
        <f ca="1">IFERROR(_xlfn.SINGLE(INDEX(#REF!,'Annual Report'!AO560)),"")</f>
        <v/>
      </c>
      <c r="AQ560" s="6" t="str">
        <f ca="1">IFERROR(_xlfn.SINGLE(INDEX(#REF!,'Annual Report'!AO560)),"")</f>
        <v/>
      </c>
      <c r="AS560" s="6" t="str">
        <f ca="1">IFERROR(MATCH($L$115,OFFSET(#REF!,AS559,0,1000000),0)+AS559,"")</f>
        <v/>
      </c>
      <c r="AT560" s="156" t="str">
        <f ca="1">IFERROR(_xlfn.SINGLE(INDEX(#REF!,'Annual Report'!AS560)),"")</f>
        <v/>
      </c>
      <c r="AU560" s="6" t="str">
        <f ca="1">IFERROR(_xlfn.SINGLE(INDEX(#REF!,'Annual Report'!AS560)),"")</f>
        <v/>
      </c>
    </row>
    <row r="561" spans="41:47">
      <c r="AO561" s="6" t="str">
        <f ca="1">IFERROR(MATCH($B$114,OFFSET(#REF!,AO560,0,1000000),0)+AO560,"")</f>
        <v/>
      </c>
      <c r="AP561" s="156" t="str">
        <f ca="1">IFERROR(_xlfn.SINGLE(INDEX(#REF!,'Annual Report'!AO561)),"")</f>
        <v/>
      </c>
      <c r="AQ561" s="6" t="str">
        <f ca="1">IFERROR(_xlfn.SINGLE(INDEX(#REF!,'Annual Report'!AO561)),"")</f>
        <v/>
      </c>
      <c r="AS561" s="6" t="str">
        <f ca="1">IFERROR(MATCH($L$115,OFFSET(#REF!,AS560,0,1000000),0)+AS560,"")</f>
        <v/>
      </c>
      <c r="AT561" s="156" t="str">
        <f ca="1">IFERROR(_xlfn.SINGLE(INDEX(#REF!,'Annual Report'!AS561)),"")</f>
        <v/>
      </c>
      <c r="AU561" s="6" t="str">
        <f ca="1">IFERROR(_xlfn.SINGLE(INDEX(#REF!,'Annual Report'!AS561)),"")</f>
        <v/>
      </c>
    </row>
    <row r="562" spans="41:47">
      <c r="AO562" s="6" t="str">
        <f ca="1">IFERROR(MATCH($B$114,OFFSET(#REF!,AO561,0,1000000),0)+AO561,"")</f>
        <v/>
      </c>
      <c r="AP562" s="156" t="str">
        <f ca="1">IFERROR(_xlfn.SINGLE(INDEX(#REF!,'Annual Report'!AO562)),"")</f>
        <v/>
      </c>
      <c r="AQ562" s="6" t="str">
        <f ca="1">IFERROR(_xlfn.SINGLE(INDEX(#REF!,'Annual Report'!AO562)),"")</f>
        <v/>
      </c>
      <c r="AS562" s="6" t="str">
        <f ca="1">IFERROR(MATCH($L$115,OFFSET(#REF!,AS561,0,1000000),0)+AS561,"")</f>
        <v/>
      </c>
      <c r="AT562" s="156" t="str">
        <f ca="1">IFERROR(_xlfn.SINGLE(INDEX(#REF!,'Annual Report'!AS562)),"")</f>
        <v/>
      </c>
      <c r="AU562" s="6" t="str">
        <f ca="1">IFERROR(_xlfn.SINGLE(INDEX(#REF!,'Annual Report'!AS562)),"")</f>
        <v/>
      </c>
    </row>
    <row r="563" spans="41:47">
      <c r="AO563" s="6" t="str">
        <f ca="1">IFERROR(MATCH($B$114,OFFSET(#REF!,AO562,0,1000000),0)+AO562,"")</f>
        <v/>
      </c>
      <c r="AP563" s="156" t="str">
        <f ca="1">IFERROR(_xlfn.SINGLE(INDEX(#REF!,'Annual Report'!AO563)),"")</f>
        <v/>
      </c>
      <c r="AQ563" s="6" t="str">
        <f ca="1">IFERROR(_xlfn.SINGLE(INDEX(#REF!,'Annual Report'!AO563)),"")</f>
        <v/>
      </c>
      <c r="AS563" s="6" t="str">
        <f ca="1">IFERROR(MATCH($L$115,OFFSET(#REF!,AS562,0,1000000),0)+AS562,"")</f>
        <v/>
      </c>
      <c r="AT563" s="156" t="str">
        <f ca="1">IFERROR(_xlfn.SINGLE(INDEX(#REF!,'Annual Report'!AS563)),"")</f>
        <v/>
      </c>
      <c r="AU563" s="6" t="str">
        <f ca="1">IFERROR(_xlfn.SINGLE(INDEX(#REF!,'Annual Report'!AS563)),"")</f>
        <v/>
      </c>
    </row>
    <row r="564" spans="41:47">
      <c r="AO564" s="6" t="str">
        <f ca="1">IFERROR(MATCH($B$114,OFFSET(#REF!,AO563,0,1000000),0)+AO563,"")</f>
        <v/>
      </c>
      <c r="AP564" s="156" t="str">
        <f ca="1">IFERROR(_xlfn.SINGLE(INDEX(#REF!,'Annual Report'!AO564)),"")</f>
        <v/>
      </c>
      <c r="AQ564" s="6" t="str">
        <f ca="1">IFERROR(_xlfn.SINGLE(INDEX(#REF!,'Annual Report'!AO564)),"")</f>
        <v/>
      </c>
      <c r="AS564" s="6" t="str">
        <f ca="1">IFERROR(MATCH($L$115,OFFSET(#REF!,AS563,0,1000000),0)+AS563,"")</f>
        <v/>
      </c>
      <c r="AT564" s="156" t="str">
        <f ca="1">IFERROR(_xlfn.SINGLE(INDEX(#REF!,'Annual Report'!AS564)),"")</f>
        <v/>
      </c>
      <c r="AU564" s="6" t="str">
        <f ca="1">IFERROR(_xlfn.SINGLE(INDEX(#REF!,'Annual Report'!AS564)),"")</f>
        <v/>
      </c>
    </row>
    <row r="565" spans="41:47">
      <c r="AO565" s="6" t="str">
        <f ca="1">IFERROR(MATCH($B$114,OFFSET(#REF!,AO564,0,1000000),0)+AO564,"")</f>
        <v/>
      </c>
      <c r="AP565" s="156" t="str">
        <f ca="1">IFERROR(_xlfn.SINGLE(INDEX(#REF!,'Annual Report'!AO565)),"")</f>
        <v/>
      </c>
      <c r="AQ565" s="6" t="str">
        <f ca="1">IFERROR(_xlfn.SINGLE(INDEX(#REF!,'Annual Report'!AO565)),"")</f>
        <v/>
      </c>
      <c r="AS565" s="6" t="str">
        <f ca="1">IFERROR(MATCH($L$115,OFFSET(#REF!,AS564,0,1000000),0)+AS564,"")</f>
        <v/>
      </c>
      <c r="AT565" s="156" t="str">
        <f ca="1">IFERROR(_xlfn.SINGLE(INDEX(#REF!,'Annual Report'!AS565)),"")</f>
        <v/>
      </c>
      <c r="AU565" s="6" t="str">
        <f ca="1">IFERROR(_xlfn.SINGLE(INDEX(#REF!,'Annual Report'!AS565)),"")</f>
        <v/>
      </c>
    </row>
    <row r="566" spans="41:47">
      <c r="AO566" s="6" t="str">
        <f ca="1">IFERROR(MATCH($B$114,OFFSET(#REF!,AO565,0,1000000),0)+AO565,"")</f>
        <v/>
      </c>
      <c r="AP566" s="156" t="str">
        <f ca="1">IFERROR(_xlfn.SINGLE(INDEX(#REF!,'Annual Report'!AO566)),"")</f>
        <v/>
      </c>
      <c r="AQ566" s="6" t="str">
        <f ca="1">IFERROR(_xlfn.SINGLE(INDEX(#REF!,'Annual Report'!AO566)),"")</f>
        <v/>
      </c>
      <c r="AS566" s="6" t="str">
        <f ca="1">IFERROR(MATCH($L$115,OFFSET(#REF!,AS565,0,1000000),0)+AS565,"")</f>
        <v/>
      </c>
      <c r="AT566" s="156" t="str">
        <f ca="1">IFERROR(_xlfn.SINGLE(INDEX(#REF!,'Annual Report'!AS566)),"")</f>
        <v/>
      </c>
      <c r="AU566" s="6" t="str">
        <f ca="1">IFERROR(_xlfn.SINGLE(INDEX(#REF!,'Annual Report'!AS566)),"")</f>
        <v/>
      </c>
    </row>
    <row r="567" spans="41:47">
      <c r="AO567" s="6" t="str">
        <f ca="1">IFERROR(MATCH($B$114,OFFSET(#REF!,AO566,0,1000000),0)+AO566,"")</f>
        <v/>
      </c>
      <c r="AP567" s="156" t="str">
        <f ca="1">IFERROR(_xlfn.SINGLE(INDEX(#REF!,'Annual Report'!AO567)),"")</f>
        <v/>
      </c>
      <c r="AQ567" s="6" t="str">
        <f ca="1">IFERROR(_xlfn.SINGLE(INDEX(#REF!,'Annual Report'!AO567)),"")</f>
        <v/>
      </c>
      <c r="AS567" s="6" t="str">
        <f ca="1">IFERROR(MATCH($L$115,OFFSET(#REF!,AS566,0,1000000),0)+AS566,"")</f>
        <v/>
      </c>
      <c r="AT567" s="156" t="str">
        <f ca="1">IFERROR(_xlfn.SINGLE(INDEX(#REF!,'Annual Report'!AS567)),"")</f>
        <v/>
      </c>
      <c r="AU567" s="6" t="str">
        <f ca="1">IFERROR(_xlfn.SINGLE(INDEX(#REF!,'Annual Report'!AS567)),"")</f>
        <v/>
      </c>
    </row>
    <row r="568" spans="41:47">
      <c r="AO568" s="6" t="str">
        <f ca="1">IFERROR(MATCH($B$114,OFFSET(#REF!,AO567,0,1000000),0)+AO567,"")</f>
        <v/>
      </c>
      <c r="AP568" s="156" t="str">
        <f ca="1">IFERROR(_xlfn.SINGLE(INDEX(#REF!,'Annual Report'!AO568)),"")</f>
        <v/>
      </c>
      <c r="AQ568" s="6" t="str">
        <f ca="1">IFERROR(_xlfn.SINGLE(INDEX(#REF!,'Annual Report'!AO568)),"")</f>
        <v/>
      </c>
      <c r="AS568" s="6" t="str">
        <f ca="1">IFERROR(MATCH($L$115,OFFSET(#REF!,AS567,0,1000000),0)+AS567,"")</f>
        <v/>
      </c>
      <c r="AT568" s="156" t="str">
        <f ca="1">IFERROR(_xlfn.SINGLE(INDEX(#REF!,'Annual Report'!AS568)),"")</f>
        <v/>
      </c>
      <c r="AU568" s="6" t="str">
        <f ca="1">IFERROR(_xlfn.SINGLE(INDEX(#REF!,'Annual Report'!AS568)),"")</f>
        <v/>
      </c>
    </row>
    <row r="569" spans="41:47">
      <c r="AO569" s="6" t="str">
        <f ca="1">IFERROR(MATCH($B$114,OFFSET(#REF!,AO568,0,1000000),0)+AO568,"")</f>
        <v/>
      </c>
      <c r="AP569" s="156" t="str">
        <f ca="1">IFERROR(_xlfn.SINGLE(INDEX(#REF!,'Annual Report'!AO569)),"")</f>
        <v/>
      </c>
      <c r="AQ569" s="6" t="str">
        <f ca="1">IFERROR(_xlfn.SINGLE(INDEX(#REF!,'Annual Report'!AO569)),"")</f>
        <v/>
      </c>
      <c r="AS569" s="6" t="str">
        <f ca="1">IFERROR(MATCH($L$115,OFFSET(#REF!,AS568,0,1000000),0)+AS568,"")</f>
        <v/>
      </c>
      <c r="AT569" s="156" t="str">
        <f ca="1">IFERROR(_xlfn.SINGLE(INDEX(#REF!,'Annual Report'!AS569)),"")</f>
        <v/>
      </c>
      <c r="AU569" s="6" t="str">
        <f ca="1">IFERROR(_xlfn.SINGLE(INDEX(#REF!,'Annual Report'!AS569)),"")</f>
        <v/>
      </c>
    </row>
    <row r="570" spans="41:47">
      <c r="AO570" s="6" t="str">
        <f ca="1">IFERROR(MATCH($B$114,OFFSET(#REF!,AO569,0,1000000),0)+AO569,"")</f>
        <v/>
      </c>
      <c r="AP570" s="156" t="str">
        <f ca="1">IFERROR(_xlfn.SINGLE(INDEX(#REF!,'Annual Report'!AO570)),"")</f>
        <v/>
      </c>
      <c r="AQ570" s="6" t="str">
        <f ca="1">IFERROR(_xlfn.SINGLE(INDEX(#REF!,'Annual Report'!AO570)),"")</f>
        <v/>
      </c>
      <c r="AS570" s="6" t="str">
        <f ca="1">IFERROR(MATCH($L$115,OFFSET(#REF!,AS569,0,1000000),0)+AS569,"")</f>
        <v/>
      </c>
      <c r="AT570" s="156" t="str">
        <f ca="1">IFERROR(_xlfn.SINGLE(INDEX(#REF!,'Annual Report'!AS570)),"")</f>
        <v/>
      </c>
      <c r="AU570" s="6" t="str">
        <f ca="1">IFERROR(_xlfn.SINGLE(INDEX(#REF!,'Annual Report'!AS570)),"")</f>
        <v/>
      </c>
    </row>
    <row r="571" spans="41:47">
      <c r="AO571" s="6" t="str">
        <f ca="1">IFERROR(MATCH($B$114,OFFSET(#REF!,AO570,0,1000000),0)+AO570,"")</f>
        <v/>
      </c>
      <c r="AP571" s="156" t="str">
        <f ca="1">IFERROR(_xlfn.SINGLE(INDEX(#REF!,'Annual Report'!AO571)),"")</f>
        <v/>
      </c>
      <c r="AQ571" s="6" t="str">
        <f ca="1">IFERROR(_xlfn.SINGLE(INDEX(#REF!,'Annual Report'!AO571)),"")</f>
        <v/>
      </c>
      <c r="AS571" s="6" t="str">
        <f ca="1">IFERROR(MATCH($L$115,OFFSET(#REF!,AS570,0,1000000),0)+AS570,"")</f>
        <v/>
      </c>
      <c r="AT571" s="156" t="str">
        <f ca="1">IFERROR(_xlfn.SINGLE(INDEX(#REF!,'Annual Report'!AS571)),"")</f>
        <v/>
      </c>
      <c r="AU571" s="6" t="str">
        <f ca="1">IFERROR(_xlfn.SINGLE(INDEX(#REF!,'Annual Report'!AS571)),"")</f>
        <v/>
      </c>
    </row>
    <row r="572" spans="41:47">
      <c r="AO572" s="6" t="str">
        <f ca="1">IFERROR(MATCH($B$114,OFFSET(#REF!,AO571,0,1000000),0)+AO571,"")</f>
        <v/>
      </c>
      <c r="AP572" s="156" t="str">
        <f ca="1">IFERROR(_xlfn.SINGLE(INDEX(#REF!,'Annual Report'!AO572)),"")</f>
        <v/>
      </c>
      <c r="AQ572" s="6" t="str">
        <f ca="1">IFERROR(_xlfn.SINGLE(INDEX(#REF!,'Annual Report'!AO572)),"")</f>
        <v/>
      </c>
      <c r="AS572" s="6" t="str">
        <f ca="1">IFERROR(MATCH($L$115,OFFSET(#REF!,AS571,0,1000000),0)+AS571,"")</f>
        <v/>
      </c>
      <c r="AT572" s="156" t="str">
        <f ca="1">IFERROR(_xlfn.SINGLE(INDEX(#REF!,'Annual Report'!AS572)),"")</f>
        <v/>
      </c>
      <c r="AU572" s="6" t="str">
        <f ca="1">IFERROR(_xlfn.SINGLE(INDEX(#REF!,'Annual Report'!AS572)),"")</f>
        <v/>
      </c>
    </row>
    <row r="573" spans="41:47">
      <c r="AO573" s="6" t="str">
        <f ca="1">IFERROR(MATCH($B$114,OFFSET(#REF!,AO572,0,1000000),0)+AO572,"")</f>
        <v/>
      </c>
      <c r="AP573" s="156" t="str">
        <f ca="1">IFERROR(_xlfn.SINGLE(INDEX(#REF!,'Annual Report'!AO573)),"")</f>
        <v/>
      </c>
      <c r="AQ573" s="6" t="str">
        <f ca="1">IFERROR(_xlfn.SINGLE(INDEX(#REF!,'Annual Report'!AO573)),"")</f>
        <v/>
      </c>
      <c r="AS573" s="6" t="str">
        <f ca="1">IFERROR(MATCH($L$115,OFFSET(#REF!,AS572,0,1000000),0)+AS572,"")</f>
        <v/>
      </c>
      <c r="AT573" s="156" t="str">
        <f ca="1">IFERROR(_xlfn.SINGLE(INDEX(#REF!,'Annual Report'!AS573)),"")</f>
        <v/>
      </c>
      <c r="AU573" s="6" t="str">
        <f ca="1">IFERROR(_xlfn.SINGLE(INDEX(#REF!,'Annual Report'!AS573)),"")</f>
        <v/>
      </c>
    </row>
    <row r="574" spans="41:47">
      <c r="AO574" s="6" t="str">
        <f ca="1">IFERROR(MATCH($B$114,OFFSET(#REF!,AO573,0,1000000),0)+AO573,"")</f>
        <v/>
      </c>
      <c r="AP574" s="156" t="str">
        <f ca="1">IFERROR(_xlfn.SINGLE(INDEX(#REF!,'Annual Report'!AO574)),"")</f>
        <v/>
      </c>
      <c r="AQ574" s="6" t="str">
        <f ca="1">IFERROR(_xlfn.SINGLE(INDEX(#REF!,'Annual Report'!AO574)),"")</f>
        <v/>
      </c>
      <c r="AS574" s="6" t="str">
        <f ca="1">IFERROR(MATCH($L$115,OFFSET(#REF!,AS573,0,1000000),0)+AS573,"")</f>
        <v/>
      </c>
      <c r="AT574" s="156" t="str">
        <f ca="1">IFERROR(_xlfn.SINGLE(INDEX(#REF!,'Annual Report'!AS574)),"")</f>
        <v/>
      </c>
      <c r="AU574" s="6" t="str">
        <f ca="1">IFERROR(_xlfn.SINGLE(INDEX(#REF!,'Annual Report'!AS574)),"")</f>
        <v/>
      </c>
    </row>
    <row r="575" spans="41:47">
      <c r="AO575" s="6" t="str">
        <f ca="1">IFERROR(MATCH($B$114,OFFSET(#REF!,AO574,0,1000000),0)+AO574,"")</f>
        <v/>
      </c>
      <c r="AP575" s="156" t="str">
        <f ca="1">IFERROR(_xlfn.SINGLE(INDEX(#REF!,'Annual Report'!AO575)),"")</f>
        <v/>
      </c>
      <c r="AQ575" s="6" t="str">
        <f ca="1">IFERROR(_xlfn.SINGLE(INDEX(#REF!,'Annual Report'!AO575)),"")</f>
        <v/>
      </c>
      <c r="AS575" s="6" t="str">
        <f ca="1">IFERROR(MATCH($L$115,OFFSET(#REF!,AS574,0,1000000),0)+AS574,"")</f>
        <v/>
      </c>
      <c r="AT575" s="156" t="str">
        <f ca="1">IFERROR(_xlfn.SINGLE(INDEX(#REF!,'Annual Report'!AS575)),"")</f>
        <v/>
      </c>
      <c r="AU575" s="6" t="str">
        <f ca="1">IFERROR(_xlfn.SINGLE(INDEX(#REF!,'Annual Report'!AS575)),"")</f>
        <v/>
      </c>
    </row>
    <row r="576" spans="41:47">
      <c r="AO576" s="6" t="str">
        <f ca="1">IFERROR(MATCH($B$114,OFFSET(#REF!,AO575,0,1000000),0)+AO575,"")</f>
        <v/>
      </c>
      <c r="AP576" s="156" t="str">
        <f ca="1">IFERROR(_xlfn.SINGLE(INDEX(#REF!,'Annual Report'!AO576)),"")</f>
        <v/>
      </c>
      <c r="AQ576" s="6" t="str">
        <f ca="1">IFERROR(_xlfn.SINGLE(INDEX(#REF!,'Annual Report'!AO576)),"")</f>
        <v/>
      </c>
      <c r="AS576" s="6" t="str">
        <f ca="1">IFERROR(MATCH($L$115,OFFSET(#REF!,AS575,0,1000000),0)+AS575,"")</f>
        <v/>
      </c>
      <c r="AT576" s="156" t="str">
        <f ca="1">IFERROR(_xlfn.SINGLE(INDEX(#REF!,'Annual Report'!AS576)),"")</f>
        <v/>
      </c>
      <c r="AU576" s="6" t="str">
        <f ca="1">IFERROR(_xlfn.SINGLE(INDEX(#REF!,'Annual Report'!AS576)),"")</f>
        <v/>
      </c>
    </row>
    <row r="577" spans="41:47">
      <c r="AO577" s="6" t="str">
        <f ca="1">IFERROR(MATCH($B$114,OFFSET(#REF!,AO576,0,1000000),0)+AO576,"")</f>
        <v/>
      </c>
      <c r="AP577" s="156" t="str">
        <f ca="1">IFERROR(_xlfn.SINGLE(INDEX(#REF!,'Annual Report'!AO577)),"")</f>
        <v/>
      </c>
      <c r="AQ577" s="6" t="str">
        <f ca="1">IFERROR(_xlfn.SINGLE(INDEX(#REF!,'Annual Report'!AO577)),"")</f>
        <v/>
      </c>
      <c r="AS577" s="6" t="str">
        <f ca="1">IFERROR(MATCH($L$115,OFFSET(#REF!,AS576,0,1000000),0)+AS576,"")</f>
        <v/>
      </c>
      <c r="AT577" s="156" t="str">
        <f ca="1">IFERROR(_xlfn.SINGLE(INDEX(#REF!,'Annual Report'!AS577)),"")</f>
        <v/>
      </c>
      <c r="AU577" s="6" t="str">
        <f ca="1">IFERROR(_xlfn.SINGLE(INDEX(#REF!,'Annual Report'!AS577)),"")</f>
        <v/>
      </c>
    </row>
    <row r="578" spans="41:47">
      <c r="AO578" s="6" t="str">
        <f ca="1">IFERROR(MATCH($B$114,OFFSET(#REF!,AO577,0,1000000),0)+AO577,"")</f>
        <v/>
      </c>
      <c r="AP578" s="156" t="str">
        <f ca="1">IFERROR(_xlfn.SINGLE(INDEX(#REF!,'Annual Report'!AO578)),"")</f>
        <v/>
      </c>
      <c r="AQ578" s="6" t="str">
        <f ca="1">IFERROR(_xlfn.SINGLE(INDEX(#REF!,'Annual Report'!AO578)),"")</f>
        <v/>
      </c>
      <c r="AS578" s="6" t="str">
        <f ca="1">IFERROR(MATCH($L$115,OFFSET(#REF!,AS577,0,1000000),0)+AS577,"")</f>
        <v/>
      </c>
      <c r="AT578" s="156" t="str">
        <f ca="1">IFERROR(_xlfn.SINGLE(INDEX(#REF!,'Annual Report'!AS578)),"")</f>
        <v/>
      </c>
      <c r="AU578" s="6" t="str">
        <f ca="1">IFERROR(_xlfn.SINGLE(INDEX(#REF!,'Annual Report'!AS578)),"")</f>
        <v/>
      </c>
    </row>
    <row r="579" spans="41:47">
      <c r="AO579" s="6" t="str">
        <f ca="1">IFERROR(MATCH($B$114,OFFSET(#REF!,AO578,0,1000000),0)+AO578,"")</f>
        <v/>
      </c>
      <c r="AP579" s="156" t="str">
        <f ca="1">IFERROR(_xlfn.SINGLE(INDEX(#REF!,'Annual Report'!AO579)),"")</f>
        <v/>
      </c>
      <c r="AQ579" s="6" t="str">
        <f ca="1">IFERROR(_xlfn.SINGLE(INDEX(#REF!,'Annual Report'!AO579)),"")</f>
        <v/>
      </c>
      <c r="AS579" s="6" t="str">
        <f ca="1">IFERROR(MATCH($L$115,OFFSET(#REF!,AS578,0,1000000),0)+AS578,"")</f>
        <v/>
      </c>
      <c r="AT579" s="156" t="str">
        <f ca="1">IFERROR(_xlfn.SINGLE(INDEX(#REF!,'Annual Report'!AS579)),"")</f>
        <v/>
      </c>
      <c r="AU579" s="6" t="str">
        <f ca="1">IFERROR(_xlfn.SINGLE(INDEX(#REF!,'Annual Report'!AS579)),"")</f>
        <v/>
      </c>
    </row>
    <row r="580" spans="41:47">
      <c r="AO580" s="6" t="str">
        <f ca="1">IFERROR(MATCH($B$114,OFFSET(#REF!,AO579,0,1000000),0)+AO579,"")</f>
        <v/>
      </c>
      <c r="AP580" s="156" t="str">
        <f ca="1">IFERROR(_xlfn.SINGLE(INDEX(#REF!,'Annual Report'!AO580)),"")</f>
        <v/>
      </c>
      <c r="AQ580" s="6" t="str">
        <f ca="1">IFERROR(_xlfn.SINGLE(INDEX(#REF!,'Annual Report'!AO580)),"")</f>
        <v/>
      </c>
      <c r="AS580" s="6" t="str">
        <f ca="1">IFERROR(MATCH($L$115,OFFSET(#REF!,AS579,0,1000000),0)+AS579,"")</f>
        <v/>
      </c>
      <c r="AT580" s="156" t="str">
        <f ca="1">IFERROR(_xlfn.SINGLE(INDEX(#REF!,'Annual Report'!AS580)),"")</f>
        <v/>
      </c>
      <c r="AU580" s="6" t="str">
        <f ca="1">IFERROR(_xlfn.SINGLE(INDEX(#REF!,'Annual Report'!AS580)),"")</f>
        <v/>
      </c>
    </row>
    <row r="581" spans="41:47">
      <c r="AO581" s="6" t="str">
        <f ca="1">IFERROR(MATCH($B$114,OFFSET(#REF!,AO580,0,1000000),0)+AO580,"")</f>
        <v/>
      </c>
      <c r="AP581" s="156" t="str">
        <f ca="1">IFERROR(_xlfn.SINGLE(INDEX(#REF!,'Annual Report'!AO581)),"")</f>
        <v/>
      </c>
      <c r="AQ581" s="6" t="str">
        <f ca="1">IFERROR(_xlfn.SINGLE(INDEX(#REF!,'Annual Report'!AO581)),"")</f>
        <v/>
      </c>
      <c r="AS581" s="6" t="str">
        <f ca="1">IFERROR(MATCH($L$115,OFFSET(#REF!,AS580,0,1000000),0)+AS580,"")</f>
        <v/>
      </c>
      <c r="AT581" s="156" t="str">
        <f ca="1">IFERROR(_xlfn.SINGLE(INDEX(#REF!,'Annual Report'!AS581)),"")</f>
        <v/>
      </c>
      <c r="AU581" s="6" t="str">
        <f ca="1">IFERROR(_xlfn.SINGLE(INDEX(#REF!,'Annual Report'!AS581)),"")</f>
        <v/>
      </c>
    </row>
    <row r="582" spans="41:47">
      <c r="AO582" s="6" t="str">
        <f ca="1">IFERROR(MATCH($B$114,OFFSET(#REF!,AO581,0,1000000),0)+AO581,"")</f>
        <v/>
      </c>
      <c r="AP582" s="156" t="str">
        <f ca="1">IFERROR(_xlfn.SINGLE(INDEX(#REF!,'Annual Report'!AO582)),"")</f>
        <v/>
      </c>
      <c r="AQ582" s="6" t="str">
        <f ca="1">IFERROR(_xlfn.SINGLE(INDEX(#REF!,'Annual Report'!AO582)),"")</f>
        <v/>
      </c>
      <c r="AS582" s="6" t="str">
        <f ca="1">IFERROR(MATCH($L$115,OFFSET(#REF!,AS581,0,1000000),0)+AS581,"")</f>
        <v/>
      </c>
      <c r="AT582" s="156" t="str">
        <f ca="1">IFERROR(_xlfn.SINGLE(INDEX(#REF!,'Annual Report'!AS582)),"")</f>
        <v/>
      </c>
      <c r="AU582" s="6" t="str">
        <f ca="1">IFERROR(_xlfn.SINGLE(INDEX(#REF!,'Annual Report'!AS582)),"")</f>
        <v/>
      </c>
    </row>
    <row r="583" spans="41:47">
      <c r="AO583" s="6" t="str">
        <f ca="1">IFERROR(MATCH($B$114,OFFSET(#REF!,AO582,0,1000000),0)+AO582,"")</f>
        <v/>
      </c>
      <c r="AP583" s="156" t="str">
        <f ca="1">IFERROR(_xlfn.SINGLE(INDEX(#REF!,'Annual Report'!AO583)),"")</f>
        <v/>
      </c>
      <c r="AQ583" s="6" t="str">
        <f ca="1">IFERROR(_xlfn.SINGLE(INDEX(#REF!,'Annual Report'!AO583)),"")</f>
        <v/>
      </c>
      <c r="AS583" s="6" t="str">
        <f ca="1">IFERROR(MATCH($L$115,OFFSET(#REF!,AS582,0,1000000),0)+AS582,"")</f>
        <v/>
      </c>
      <c r="AT583" s="156" t="str">
        <f ca="1">IFERROR(_xlfn.SINGLE(INDEX(#REF!,'Annual Report'!AS583)),"")</f>
        <v/>
      </c>
      <c r="AU583" s="6" t="str">
        <f ca="1">IFERROR(_xlfn.SINGLE(INDEX(#REF!,'Annual Report'!AS583)),"")</f>
        <v/>
      </c>
    </row>
    <row r="584" spans="41:47">
      <c r="AO584" s="6" t="str">
        <f ca="1">IFERROR(MATCH($B$114,OFFSET(#REF!,AO583,0,1000000),0)+AO583,"")</f>
        <v/>
      </c>
      <c r="AP584" s="156" t="str">
        <f ca="1">IFERROR(_xlfn.SINGLE(INDEX(#REF!,'Annual Report'!AO584)),"")</f>
        <v/>
      </c>
      <c r="AQ584" s="6" t="str">
        <f ca="1">IFERROR(_xlfn.SINGLE(INDEX(#REF!,'Annual Report'!AO584)),"")</f>
        <v/>
      </c>
      <c r="AS584" s="6" t="str">
        <f ca="1">IFERROR(MATCH($L$115,OFFSET(#REF!,AS583,0,1000000),0)+AS583,"")</f>
        <v/>
      </c>
      <c r="AT584" s="156" t="str">
        <f ca="1">IFERROR(_xlfn.SINGLE(INDEX(#REF!,'Annual Report'!AS584)),"")</f>
        <v/>
      </c>
      <c r="AU584" s="6" t="str">
        <f ca="1">IFERROR(_xlfn.SINGLE(INDEX(#REF!,'Annual Report'!AS584)),"")</f>
        <v/>
      </c>
    </row>
    <row r="585" spans="41:47">
      <c r="AO585" s="6" t="str">
        <f ca="1">IFERROR(MATCH($B$114,OFFSET(#REF!,AO584,0,1000000),0)+AO584,"")</f>
        <v/>
      </c>
      <c r="AP585" s="156" t="str">
        <f ca="1">IFERROR(_xlfn.SINGLE(INDEX(#REF!,'Annual Report'!AO585)),"")</f>
        <v/>
      </c>
      <c r="AQ585" s="6" t="str">
        <f ca="1">IFERROR(_xlfn.SINGLE(INDEX(#REF!,'Annual Report'!AO585)),"")</f>
        <v/>
      </c>
      <c r="AS585" s="6" t="str">
        <f ca="1">IFERROR(MATCH($L$115,OFFSET(#REF!,AS584,0,1000000),0)+AS584,"")</f>
        <v/>
      </c>
      <c r="AT585" s="156" t="str">
        <f ca="1">IFERROR(_xlfn.SINGLE(INDEX(#REF!,'Annual Report'!AS585)),"")</f>
        <v/>
      </c>
      <c r="AU585" s="6" t="str">
        <f ca="1">IFERROR(_xlfn.SINGLE(INDEX(#REF!,'Annual Report'!AS585)),"")</f>
        <v/>
      </c>
    </row>
    <row r="586" spans="41:47">
      <c r="AO586" s="6" t="str">
        <f ca="1">IFERROR(MATCH($B$114,OFFSET(#REF!,AO585,0,1000000),0)+AO585,"")</f>
        <v/>
      </c>
      <c r="AP586" s="156" t="str">
        <f ca="1">IFERROR(_xlfn.SINGLE(INDEX(#REF!,'Annual Report'!AO586)),"")</f>
        <v/>
      </c>
      <c r="AQ586" s="6" t="str">
        <f ca="1">IFERROR(_xlfn.SINGLE(INDEX(#REF!,'Annual Report'!AO586)),"")</f>
        <v/>
      </c>
      <c r="AS586" s="6" t="str">
        <f ca="1">IFERROR(MATCH($L$115,OFFSET(#REF!,AS585,0,1000000),0)+AS585,"")</f>
        <v/>
      </c>
      <c r="AT586" s="156" t="str">
        <f ca="1">IFERROR(_xlfn.SINGLE(INDEX(#REF!,'Annual Report'!AS586)),"")</f>
        <v/>
      </c>
      <c r="AU586" s="6" t="str">
        <f ca="1">IFERROR(_xlfn.SINGLE(INDEX(#REF!,'Annual Report'!AS586)),"")</f>
        <v/>
      </c>
    </row>
    <row r="587" spans="41:47">
      <c r="AO587" s="6" t="str">
        <f ca="1">IFERROR(MATCH($B$114,OFFSET(#REF!,AO586,0,1000000),0)+AO586,"")</f>
        <v/>
      </c>
      <c r="AP587" s="156" t="str">
        <f ca="1">IFERROR(_xlfn.SINGLE(INDEX(#REF!,'Annual Report'!AO587)),"")</f>
        <v/>
      </c>
      <c r="AQ587" s="6" t="str">
        <f ca="1">IFERROR(_xlfn.SINGLE(INDEX(#REF!,'Annual Report'!AO587)),"")</f>
        <v/>
      </c>
      <c r="AS587" s="6" t="str">
        <f ca="1">IFERROR(MATCH($L$115,OFFSET(#REF!,AS586,0,1000000),0)+AS586,"")</f>
        <v/>
      </c>
      <c r="AT587" s="156" t="str">
        <f ca="1">IFERROR(_xlfn.SINGLE(INDEX(#REF!,'Annual Report'!AS587)),"")</f>
        <v/>
      </c>
      <c r="AU587" s="6" t="str">
        <f ca="1">IFERROR(_xlfn.SINGLE(INDEX(#REF!,'Annual Report'!AS587)),"")</f>
        <v/>
      </c>
    </row>
    <row r="588" spans="41:47">
      <c r="AO588" s="6" t="str">
        <f ca="1">IFERROR(MATCH($B$114,OFFSET(#REF!,AO587,0,1000000),0)+AO587,"")</f>
        <v/>
      </c>
      <c r="AP588" s="156" t="str">
        <f ca="1">IFERROR(_xlfn.SINGLE(INDEX(#REF!,'Annual Report'!AO588)),"")</f>
        <v/>
      </c>
      <c r="AQ588" s="6" t="str">
        <f ca="1">IFERROR(_xlfn.SINGLE(INDEX(#REF!,'Annual Report'!AO588)),"")</f>
        <v/>
      </c>
      <c r="AS588" s="6" t="str">
        <f ca="1">IFERROR(MATCH($L$115,OFFSET(#REF!,AS587,0,1000000),0)+AS587,"")</f>
        <v/>
      </c>
      <c r="AT588" s="156" t="str">
        <f ca="1">IFERROR(_xlfn.SINGLE(INDEX(#REF!,'Annual Report'!AS588)),"")</f>
        <v/>
      </c>
      <c r="AU588" s="6" t="str">
        <f ca="1">IFERROR(_xlfn.SINGLE(INDEX(#REF!,'Annual Report'!AS588)),"")</f>
        <v/>
      </c>
    </row>
    <row r="589" spans="41:47">
      <c r="AO589" s="6" t="str">
        <f ca="1">IFERROR(MATCH($B$114,OFFSET(#REF!,AO588,0,1000000),0)+AO588,"")</f>
        <v/>
      </c>
      <c r="AP589" s="156" t="str">
        <f ca="1">IFERROR(_xlfn.SINGLE(INDEX(#REF!,'Annual Report'!AO589)),"")</f>
        <v/>
      </c>
      <c r="AQ589" s="6" t="str">
        <f ca="1">IFERROR(_xlfn.SINGLE(INDEX(#REF!,'Annual Report'!AO589)),"")</f>
        <v/>
      </c>
      <c r="AS589" s="6" t="str">
        <f ca="1">IFERROR(MATCH($L$115,OFFSET(#REF!,AS588,0,1000000),0)+AS588,"")</f>
        <v/>
      </c>
      <c r="AT589" s="156" t="str">
        <f ca="1">IFERROR(_xlfn.SINGLE(INDEX(#REF!,'Annual Report'!AS589)),"")</f>
        <v/>
      </c>
      <c r="AU589" s="6" t="str">
        <f ca="1">IFERROR(_xlfn.SINGLE(INDEX(#REF!,'Annual Report'!AS589)),"")</f>
        <v/>
      </c>
    </row>
    <row r="590" spans="41:47">
      <c r="AO590" s="6" t="str">
        <f ca="1">IFERROR(MATCH($B$114,OFFSET(#REF!,AO589,0,1000000),0)+AO589,"")</f>
        <v/>
      </c>
      <c r="AP590" s="156" t="str">
        <f ca="1">IFERROR(_xlfn.SINGLE(INDEX(#REF!,'Annual Report'!AO590)),"")</f>
        <v/>
      </c>
      <c r="AQ590" s="6" t="str">
        <f ca="1">IFERROR(_xlfn.SINGLE(INDEX(#REF!,'Annual Report'!AO590)),"")</f>
        <v/>
      </c>
      <c r="AS590" s="6" t="str">
        <f ca="1">IFERROR(MATCH($L$115,OFFSET(#REF!,AS589,0,1000000),0)+AS589,"")</f>
        <v/>
      </c>
      <c r="AT590" s="156" t="str">
        <f ca="1">IFERROR(_xlfn.SINGLE(INDEX(#REF!,'Annual Report'!AS590)),"")</f>
        <v/>
      </c>
      <c r="AU590" s="6" t="str">
        <f ca="1">IFERROR(_xlfn.SINGLE(INDEX(#REF!,'Annual Report'!AS590)),"")</f>
        <v/>
      </c>
    </row>
    <row r="591" spans="41:47">
      <c r="AO591" s="6" t="str">
        <f ca="1">IFERROR(MATCH($B$114,OFFSET(#REF!,AO590,0,1000000),0)+AO590,"")</f>
        <v/>
      </c>
      <c r="AP591" s="156" t="str">
        <f ca="1">IFERROR(_xlfn.SINGLE(INDEX(#REF!,'Annual Report'!AO591)),"")</f>
        <v/>
      </c>
      <c r="AQ591" s="6" t="str">
        <f ca="1">IFERROR(_xlfn.SINGLE(INDEX(#REF!,'Annual Report'!AO591)),"")</f>
        <v/>
      </c>
      <c r="AS591" s="6" t="str">
        <f ca="1">IFERROR(MATCH($L$115,OFFSET(#REF!,AS590,0,1000000),0)+AS590,"")</f>
        <v/>
      </c>
      <c r="AT591" s="156" t="str">
        <f ca="1">IFERROR(_xlfn.SINGLE(INDEX(#REF!,'Annual Report'!AS591)),"")</f>
        <v/>
      </c>
      <c r="AU591" s="6" t="str">
        <f ca="1">IFERROR(_xlfn.SINGLE(INDEX(#REF!,'Annual Report'!AS591)),"")</f>
        <v/>
      </c>
    </row>
    <row r="592" spans="41:47">
      <c r="AO592" s="6" t="str">
        <f ca="1">IFERROR(MATCH($B$114,OFFSET(#REF!,AO591,0,1000000),0)+AO591,"")</f>
        <v/>
      </c>
      <c r="AP592" s="156" t="str">
        <f ca="1">IFERROR(_xlfn.SINGLE(INDEX(#REF!,'Annual Report'!AO592)),"")</f>
        <v/>
      </c>
      <c r="AQ592" s="6" t="str">
        <f ca="1">IFERROR(_xlfn.SINGLE(INDEX(#REF!,'Annual Report'!AO592)),"")</f>
        <v/>
      </c>
      <c r="AS592" s="6" t="str">
        <f ca="1">IFERROR(MATCH($L$115,OFFSET(#REF!,AS591,0,1000000),0)+AS591,"")</f>
        <v/>
      </c>
      <c r="AT592" s="156" t="str">
        <f ca="1">IFERROR(_xlfn.SINGLE(INDEX(#REF!,'Annual Report'!AS592)),"")</f>
        <v/>
      </c>
      <c r="AU592" s="6" t="str">
        <f ca="1">IFERROR(_xlfn.SINGLE(INDEX(#REF!,'Annual Report'!AS592)),"")</f>
        <v/>
      </c>
    </row>
    <row r="593" spans="41:47">
      <c r="AO593" s="6" t="str">
        <f ca="1">IFERROR(MATCH($B$114,OFFSET(#REF!,AO592,0,1000000),0)+AO592,"")</f>
        <v/>
      </c>
      <c r="AP593" s="156" t="str">
        <f ca="1">IFERROR(_xlfn.SINGLE(INDEX(#REF!,'Annual Report'!AO593)),"")</f>
        <v/>
      </c>
      <c r="AQ593" s="6" t="str">
        <f ca="1">IFERROR(_xlfn.SINGLE(INDEX(#REF!,'Annual Report'!AO593)),"")</f>
        <v/>
      </c>
      <c r="AS593" s="6" t="str">
        <f ca="1">IFERROR(MATCH($L$115,OFFSET(#REF!,AS592,0,1000000),0)+AS592,"")</f>
        <v/>
      </c>
      <c r="AT593" s="156" t="str">
        <f ca="1">IFERROR(_xlfn.SINGLE(INDEX(#REF!,'Annual Report'!AS593)),"")</f>
        <v/>
      </c>
      <c r="AU593" s="6" t="str">
        <f ca="1">IFERROR(_xlfn.SINGLE(INDEX(#REF!,'Annual Report'!AS593)),"")</f>
        <v/>
      </c>
    </row>
    <row r="594" spans="41:47">
      <c r="AO594" s="6" t="str">
        <f ca="1">IFERROR(MATCH($B$114,OFFSET(#REF!,AO593,0,1000000),0)+AO593,"")</f>
        <v/>
      </c>
      <c r="AP594" s="156" t="str">
        <f ca="1">IFERROR(_xlfn.SINGLE(INDEX(#REF!,'Annual Report'!AO594)),"")</f>
        <v/>
      </c>
      <c r="AQ594" s="6" t="str">
        <f ca="1">IFERROR(_xlfn.SINGLE(INDEX(#REF!,'Annual Report'!AO594)),"")</f>
        <v/>
      </c>
      <c r="AS594" s="6" t="str">
        <f ca="1">IFERROR(MATCH($L$115,OFFSET(#REF!,AS593,0,1000000),0)+AS593,"")</f>
        <v/>
      </c>
      <c r="AT594" s="156" t="str">
        <f ca="1">IFERROR(_xlfn.SINGLE(INDEX(#REF!,'Annual Report'!AS594)),"")</f>
        <v/>
      </c>
      <c r="AU594" s="6" t="str">
        <f ca="1">IFERROR(_xlfn.SINGLE(INDEX(#REF!,'Annual Report'!AS594)),"")</f>
        <v/>
      </c>
    </row>
    <row r="595" spans="41:47">
      <c r="AO595" s="6" t="str">
        <f ca="1">IFERROR(MATCH($B$114,OFFSET(#REF!,AO594,0,1000000),0)+AO594,"")</f>
        <v/>
      </c>
      <c r="AP595" s="156" t="str">
        <f ca="1">IFERROR(_xlfn.SINGLE(INDEX(#REF!,'Annual Report'!AO595)),"")</f>
        <v/>
      </c>
      <c r="AQ595" s="6" t="str">
        <f ca="1">IFERROR(_xlfn.SINGLE(INDEX(#REF!,'Annual Report'!AO595)),"")</f>
        <v/>
      </c>
      <c r="AS595" s="6" t="str">
        <f ca="1">IFERROR(MATCH($L$115,OFFSET(#REF!,AS594,0,1000000),0)+AS594,"")</f>
        <v/>
      </c>
      <c r="AT595" s="156" t="str">
        <f ca="1">IFERROR(_xlfn.SINGLE(INDEX(#REF!,'Annual Report'!AS595)),"")</f>
        <v/>
      </c>
      <c r="AU595" s="6" t="str">
        <f ca="1">IFERROR(_xlfn.SINGLE(INDEX(#REF!,'Annual Report'!AS595)),"")</f>
        <v/>
      </c>
    </row>
    <row r="596" spans="41:47">
      <c r="AO596" s="6" t="str">
        <f ca="1">IFERROR(MATCH($B$114,OFFSET(#REF!,AO595,0,1000000),0)+AO595,"")</f>
        <v/>
      </c>
      <c r="AP596" s="156" t="str">
        <f ca="1">IFERROR(_xlfn.SINGLE(INDEX(#REF!,'Annual Report'!AO596)),"")</f>
        <v/>
      </c>
      <c r="AQ596" s="6" t="str">
        <f ca="1">IFERROR(_xlfn.SINGLE(INDEX(#REF!,'Annual Report'!AO596)),"")</f>
        <v/>
      </c>
      <c r="AS596" s="6" t="str">
        <f ca="1">IFERROR(MATCH($L$115,OFFSET(#REF!,AS595,0,1000000),0)+AS595,"")</f>
        <v/>
      </c>
      <c r="AT596" s="156" t="str">
        <f ca="1">IFERROR(_xlfn.SINGLE(INDEX(#REF!,'Annual Report'!AS596)),"")</f>
        <v/>
      </c>
      <c r="AU596" s="6" t="str">
        <f ca="1">IFERROR(_xlfn.SINGLE(INDEX(#REF!,'Annual Report'!AS596)),"")</f>
        <v/>
      </c>
    </row>
    <row r="597" spans="41:47">
      <c r="AO597" s="6" t="str">
        <f ca="1">IFERROR(MATCH($B$114,OFFSET(#REF!,AO596,0,1000000),0)+AO596,"")</f>
        <v/>
      </c>
      <c r="AP597" s="156" t="str">
        <f ca="1">IFERROR(_xlfn.SINGLE(INDEX(#REF!,'Annual Report'!AO597)),"")</f>
        <v/>
      </c>
      <c r="AQ597" s="6" t="str">
        <f ca="1">IFERROR(_xlfn.SINGLE(INDEX(#REF!,'Annual Report'!AO597)),"")</f>
        <v/>
      </c>
      <c r="AS597" s="6" t="str">
        <f ca="1">IFERROR(MATCH($L$115,OFFSET(#REF!,AS596,0,1000000),0)+AS596,"")</f>
        <v/>
      </c>
      <c r="AT597" s="156" t="str">
        <f ca="1">IFERROR(_xlfn.SINGLE(INDEX(#REF!,'Annual Report'!AS597)),"")</f>
        <v/>
      </c>
      <c r="AU597" s="6" t="str">
        <f ca="1">IFERROR(_xlfn.SINGLE(INDEX(#REF!,'Annual Report'!AS597)),"")</f>
        <v/>
      </c>
    </row>
    <row r="598" spans="41:47">
      <c r="AO598" s="6" t="str">
        <f ca="1">IFERROR(MATCH($B$114,OFFSET(#REF!,AO597,0,1000000),0)+AO597,"")</f>
        <v/>
      </c>
      <c r="AP598" s="156" t="str">
        <f ca="1">IFERROR(_xlfn.SINGLE(INDEX(#REF!,'Annual Report'!AO598)),"")</f>
        <v/>
      </c>
      <c r="AQ598" s="6" t="str">
        <f ca="1">IFERROR(_xlfn.SINGLE(INDEX(#REF!,'Annual Report'!AO598)),"")</f>
        <v/>
      </c>
      <c r="AS598" s="6" t="str">
        <f ca="1">IFERROR(MATCH($L$115,OFFSET(#REF!,AS597,0,1000000),0)+AS597,"")</f>
        <v/>
      </c>
      <c r="AT598" s="156" t="str">
        <f ca="1">IFERROR(_xlfn.SINGLE(INDEX(#REF!,'Annual Report'!AS598)),"")</f>
        <v/>
      </c>
      <c r="AU598" s="6" t="str">
        <f ca="1">IFERROR(_xlfn.SINGLE(INDEX(#REF!,'Annual Report'!AS598)),"")</f>
        <v/>
      </c>
    </row>
    <row r="599" spans="41:47">
      <c r="AO599" s="6" t="str">
        <f ca="1">IFERROR(MATCH($B$114,OFFSET(#REF!,AO598,0,1000000),0)+AO598,"")</f>
        <v/>
      </c>
      <c r="AP599" s="156" t="str">
        <f ca="1">IFERROR(_xlfn.SINGLE(INDEX(#REF!,'Annual Report'!AO599)),"")</f>
        <v/>
      </c>
      <c r="AQ599" s="6" t="str">
        <f ca="1">IFERROR(_xlfn.SINGLE(INDEX(#REF!,'Annual Report'!AO599)),"")</f>
        <v/>
      </c>
      <c r="AS599" s="6" t="str">
        <f ca="1">IFERROR(MATCH($L$115,OFFSET(#REF!,AS598,0,1000000),0)+AS598,"")</f>
        <v/>
      </c>
      <c r="AT599" s="156" t="str">
        <f ca="1">IFERROR(_xlfn.SINGLE(INDEX(#REF!,'Annual Report'!AS599)),"")</f>
        <v/>
      </c>
      <c r="AU599" s="6" t="str">
        <f ca="1">IFERROR(_xlfn.SINGLE(INDEX(#REF!,'Annual Report'!AS599)),"")</f>
        <v/>
      </c>
    </row>
    <row r="600" spans="41:47">
      <c r="AO600" s="6" t="str">
        <f ca="1">IFERROR(MATCH($B$114,OFFSET(#REF!,AO599,0,1000000),0)+AO599,"")</f>
        <v/>
      </c>
      <c r="AP600" s="156" t="str">
        <f ca="1">IFERROR(_xlfn.SINGLE(INDEX(#REF!,'Annual Report'!AO600)),"")</f>
        <v/>
      </c>
      <c r="AQ600" s="6" t="str">
        <f ca="1">IFERROR(_xlfn.SINGLE(INDEX(#REF!,'Annual Report'!AO600)),"")</f>
        <v/>
      </c>
      <c r="AS600" s="6" t="str">
        <f ca="1">IFERROR(MATCH($L$115,OFFSET(#REF!,AS599,0,1000000),0)+AS599,"")</f>
        <v/>
      </c>
      <c r="AT600" s="156" t="str">
        <f ca="1">IFERROR(_xlfn.SINGLE(INDEX(#REF!,'Annual Report'!AS600)),"")</f>
        <v/>
      </c>
      <c r="AU600" s="6" t="str">
        <f ca="1">IFERROR(_xlfn.SINGLE(INDEX(#REF!,'Annual Report'!AS600)),"")</f>
        <v/>
      </c>
    </row>
    <row r="601" spans="41:47">
      <c r="AO601" s="6" t="str">
        <f ca="1">IFERROR(MATCH($B$114,OFFSET(#REF!,AO600,0,1000000),0)+AO600,"")</f>
        <v/>
      </c>
      <c r="AP601" s="156" t="str">
        <f ca="1">IFERROR(_xlfn.SINGLE(INDEX(#REF!,'Annual Report'!AO601)),"")</f>
        <v/>
      </c>
      <c r="AQ601" s="6" t="str">
        <f ca="1">IFERROR(_xlfn.SINGLE(INDEX(#REF!,'Annual Report'!AO601)),"")</f>
        <v/>
      </c>
      <c r="AS601" s="6" t="str">
        <f ca="1">IFERROR(MATCH($L$115,OFFSET(#REF!,AS600,0,1000000),0)+AS600,"")</f>
        <v/>
      </c>
      <c r="AT601" s="156" t="str">
        <f ca="1">IFERROR(_xlfn.SINGLE(INDEX(#REF!,'Annual Report'!AS601)),"")</f>
        <v/>
      </c>
      <c r="AU601" s="6" t="str">
        <f ca="1">IFERROR(_xlfn.SINGLE(INDEX(#REF!,'Annual Report'!AS601)),"")</f>
        <v/>
      </c>
    </row>
    <row r="602" spans="41:47">
      <c r="AO602" s="6" t="str">
        <f ca="1">IFERROR(MATCH($B$114,OFFSET(#REF!,AO601,0,1000000),0)+AO601,"")</f>
        <v/>
      </c>
      <c r="AP602" s="156" t="str">
        <f ca="1">IFERROR(_xlfn.SINGLE(INDEX(#REF!,'Annual Report'!AO602)),"")</f>
        <v/>
      </c>
      <c r="AQ602" s="6" t="str">
        <f ca="1">IFERROR(_xlfn.SINGLE(INDEX(#REF!,'Annual Report'!AO602)),"")</f>
        <v/>
      </c>
      <c r="AS602" s="6" t="str">
        <f ca="1">IFERROR(MATCH($L$115,OFFSET(#REF!,AS601,0,1000000),0)+AS601,"")</f>
        <v/>
      </c>
      <c r="AT602" s="156" t="str">
        <f ca="1">IFERROR(_xlfn.SINGLE(INDEX(#REF!,'Annual Report'!AS602)),"")</f>
        <v/>
      </c>
      <c r="AU602" s="6" t="str">
        <f ca="1">IFERROR(_xlfn.SINGLE(INDEX(#REF!,'Annual Report'!AS602)),"")</f>
        <v/>
      </c>
    </row>
    <row r="603" spans="41:47">
      <c r="AO603" s="6" t="str">
        <f ca="1">IFERROR(MATCH($B$114,OFFSET(#REF!,AO602,0,1000000),0)+AO602,"")</f>
        <v/>
      </c>
      <c r="AP603" s="156" t="str">
        <f ca="1">IFERROR(_xlfn.SINGLE(INDEX(#REF!,'Annual Report'!AO603)),"")</f>
        <v/>
      </c>
      <c r="AQ603" s="6" t="str">
        <f ca="1">IFERROR(_xlfn.SINGLE(INDEX(#REF!,'Annual Report'!AO603)),"")</f>
        <v/>
      </c>
      <c r="AS603" s="6" t="str">
        <f ca="1">IFERROR(MATCH($L$115,OFFSET(#REF!,AS602,0,1000000),0)+AS602,"")</f>
        <v/>
      </c>
      <c r="AT603" s="156" t="str">
        <f ca="1">IFERROR(_xlfn.SINGLE(INDEX(#REF!,'Annual Report'!AS603)),"")</f>
        <v/>
      </c>
      <c r="AU603" s="6" t="str">
        <f ca="1">IFERROR(_xlfn.SINGLE(INDEX(#REF!,'Annual Report'!AS603)),"")</f>
        <v/>
      </c>
    </row>
    <row r="604" spans="41:47">
      <c r="AO604" s="6" t="str">
        <f ca="1">IFERROR(MATCH($B$114,OFFSET(#REF!,AO603,0,1000000),0)+AO603,"")</f>
        <v/>
      </c>
      <c r="AP604" s="156" t="str">
        <f ca="1">IFERROR(_xlfn.SINGLE(INDEX(#REF!,'Annual Report'!AO604)),"")</f>
        <v/>
      </c>
      <c r="AQ604" s="6" t="str">
        <f ca="1">IFERROR(_xlfn.SINGLE(INDEX(#REF!,'Annual Report'!AO604)),"")</f>
        <v/>
      </c>
      <c r="AS604" s="6" t="str">
        <f ca="1">IFERROR(MATCH($L$115,OFFSET(#REF!,AS603,0,1000000),0)+AS603,"")</f>
        <v/>
      </c>
      <c r="AT604" s="156" t="str">
        <f ca="1">IFERROR(_xlfn.SINGLE(INDEX(#REF!,'Annual Report'!AS604)),"")</f>
        <v/>
      </c>
      <c r="AU604" s="6" t="str">
        <f ca="1">IFERROR(_xlfn.SINGLE(INDEX(#REF!,'Annual Report'!AS604)),"")</f>
        <v/>
      </c>
    </row>
    <row r="605" spans="41:47">
      <c r="AO605" s="6" t="str">
        <f ca="1">IFERROR(MATCH($B$114,OFFSET(#REF!,AO604,0,1000000),0)+AO604,"")</f>
        <v/>
      </c>
      <c r="AP605" s="156" t="str">
        <f ca="1">IFERROR(_xlfn.SINGLE(INDEX(#REF!,'Annual Report'!AO605)),"")</f>
        <v/>
      </c>
      <c r="AQ605" s="6" t="str">
        <f ca="1">IFERROR(_xlfn.SINGLE(INDEX(#REF!,'Annual Report'!AO605)),"")</f>
        <v/>
      </c>
      <c r="AS605" s="6" t="str">
        <f ca="1">IFERROR(MATCH($L$115,OFFSET(#REF!,AS604,0,1000000),0)+AS604,"")</f>
        <v/>
      </c>
      <c r="AT605" s="156" t="str">
        <f ca="1">IFERROR(_xlfn.SINGLE(INDEX(#REF!,'Annual Report'!AS605)),"")</f>
        <v/>
      </c>
      <c r="AU605" s="6" t="str">
        <f ca="1">IFERROR(_xlfn.SINGLE(INDEX(#REF!,'Annual Report'!AS605)),"")</f>
        <v/>
      </c>
    </row>
    <row r="606" spans="41:47">
      <c r="AO606" s="6" t="str">
        <f ca="1">IFERROR(MATCH($B$114,OFFSET(#REF!,AO605,0,1000000),0)+AO605,"")</f>
        <v/>
      </c>
      <c r="AP606" s="156" t="str">
        <f ca="1">IFERROR(_xlfn.SINGLE(INDEX(#REF!,'Annual Report'!AO606)),"")</f>
        <v/>
      </c>
      <c r="AQ606" s="6" t="str">
        <f ca="1">IFERROR(_xlfn.SINGLE(INDEX(#REF!,'Annual Report'!AO606)),"")</f>
        <v/>
      </c>
      <c r="AS606" s="6" t="str">
        <f ca="1">IFERROR(MATCH($L$115,OFFSET(#REF!,AS605,0,1000000),0)+AS605,"")</f>
        <v/>
      </c>
      <c r="AT606" s="156" t="str">
        <f ca="1">IFERROR(_xlfn.SINGLE(INDEX(#REF!,'Annual Report'!AS606)),"")</f>
        <v/>
      </c>
      <c r="AU606" s="6" t="str">
        <f ca="1">IFERROR(_xlfn.SINGLE(INDEX(#REF!,'Annual Report'!AS606)),"")</f>
        <v/>
      </c>
    </row>
    <row r="607" spans="41:47">
      <c r="AO607" s="6" t="str">
        <f ca="1">IFERROR(MATCH($B$114,OFFSET(#REF!,AO606,0,1000000),0)+AO606,"")</f>
        <v/>
      </c>
      <c r="AP607" s="156" t="str">
        <f ca="1">IFERROR(_xlfn.SINGLE(INDEX(#REF!,'Annual Report'!AO607)),"")</f>
        <v/>
      </c>
      <c r="AQ607" s="6" t="str">
        <f ca="1">IFERROR(_xlfn.SINGLE(INDEX(#REF!,'Annual Report'!AO607)),"")</f>
        <v/>
      </c>
      <c r="AS607" s="6" t="str">
        <f ca="1">IFERROR(MATCH($L$115,OFFSET(#REF!,AS606,0,1000000),0)+AS606,"")</f>
        <v/>
      </c>
      <c r="AT607" s="156" t="str">
        <f ca="1">IFERROR(_xlfn.SINGLE(INDEX(#REF!,'Annual Report'!AS607)),"")</f>
        <v/>
      </c>
      <c r="AU607" s="6" t="str">
        <f ca="1">IFERROR(_xlfn.SINGLE(INDEX(#REF!,'Annual Report'!AS607)),"")</f>
        <v/>
      </c>
    </row>
    <row r="608" spans="41:47">
      <c r="AO608" s="6" t="str">
        <f ca="1">IFERROR(MATCH($B$114,OFFSET(#REF!,AO607,0,1000000),0)+AO607,"")</f>
        <v/>
      </c>
      <c r="AP608" s="156" t="str">
        <f ca="1">IFERROR(_xlfn.SINGLE(INDEX(#REF!,'Annual Report'!AO608)),"")</f>
        <v/>
      </c>
      <c r="AQ608" s="6" t="str">
        <f ca="1">IFERROR(_xlfn.SINGLE(INDEX(#REF!,'Annual Report'!AO608)),"")</f>
        <v/>
      </c>
      <c r="AS608" s="6" t="str">
        <f ca="1">IFERROR(MATCH($L$115,OFFSET(#REF!,AS607,0,1000000),0)+AS607,"")</f>
        <v/>
      </c>
      <c r="AT608" s="156" t="str">
        <f ca="1">IFERROR(_xlfn.SINGLE(INDEX(#REF!,'Annual Report'!AS608)),"")</f>
        <v/>
      </c>
      <c r="AU608" s="6" t="str">
        <f ca="1">IFERROR(_xlfn.SINGLE(INDEX(#REF!,'Annual Report'!AS608)),"")</f>
        <v/>
      </c>
    </row>
    <row r="609" spans="41:47">
      <c r="AO609" s="6" t="str">
        <f ca="1">IFERROR(MATCH($B$114,OFFSET(#REF!,AO608,0,1000000),0)+AO608,"")</f>
        <v/>
      </c>
      <c r="AP609" s="156" t="str">
        <f ca="1">IFERROR(_xlfn.SINGLE(INDEX(#REF!,'Annual Report'!AO609)),"")</f>
        <v/>
      </c>
      <c r="AQ609" s="6" t="str">
        <f ca="1">IFERROR(_xlfn.SINGLE(INDEX(#REF!,'Annual Report'!AO609)),"")</f>
        <v/>
      </c>
      <c r="AS609" s="6" t="str">
        <f ca="1">IFERROR(MATCH($L$115,OFFSET(#REF!,AS608,0,1000000),0)+AS608,"")</f>
        <v/>
      </c>
      <c r="AT609" s="156" t="str">
        <f ca="1">IFERROR(_xlfn.SINGLE(INDEX(#REF!,'Annual Report'!AS609)),"")</f>
        <v/>
      </c>
      <c r="AU609" s="6" t="str">
        <f ca="1">IFERROR(_xlfn.SINGLE(INDEX(#REF!,'Annual Report'!AS609)),"")</f>
        <v/>
      </c>
    </row>
    <row r="610" spans="41:47">
      <c r="AO610" s="6" t="str">
        <f ca="1">IFERROR(MATCH($B$114,OFFSET(#REF!,AO609,0,1000000),0)+AO609,"")</f>
        <v/>
      </c>
      <c r="AP610" s="156" t="str">
        <f ca="1">IFERROR(_xlfn.SINGLE(INDEX(#REF!,'Annual Report'!AO610)),"")</f>
        <v/>
      </c>
      <c r="AQ610" s="6" t="str">
        <f ca="1">IFERROR(_xlfn.SINGLE(INDEX(#REF!,'Annual Report'!AO610)),"")</f>
        <v/>
      </c>
      <c r="AS610" s="6" t="str">
        <f ca="1">IFERROR(MATCH($L$115,OFFSET(#REF!,AS609,0,1000000),0)+AS609,"")</f>
        <v/>
      </c>
      <c r="AT610" s="156" t="str">
        <f ca="1">IFERROR(_xlfn.SINGLE(INDEX(#REF!,'Annual Report'!AS610)),"")</f>
        <v/>
      </c>
      <c r="AU610" s="6" t="str">
        <f ca="1">IFERROR(_xlfn.SINGLE(INDEX(#REF!,'Annual Report'!AS610)),"")</f>
        <v/>
      </c>
    </row>
    <row r="611" spans="41:47">
      <c r="AO611" s="6" t="str">
        <f ca="1">IFERROR(MATCH($B$114,OFFSET(#REF!,AO610,0,1000000),0)+AO610,"")</f>
        <v/>
      </c>
      <c r="AP611" s="156" t="str">
        <f ca="1">IFERROR(_xlfn.SINGLE(INDEX(#REF!,'Annual Report'!AO611)),"")</f>
        <v/>
      </c>
      <c r="AQ611" s="6" t="str">
        <f ca="1">IFERROR(_xlfn.SINGLE(INDEX(#REF!,'Annual Report'!AO611)),"")</f>
        <v/>
      </c>
      <c r="AS611" s="6" t="str">
        <f ca="1">IFERROR(MATCH($L$115,OFFSET(#REF!,AS610,0,1000000),0)+AS610,"")</f>
        <v/>
      </c>
      <c r="AT611" s="156" t="str">
        <f ca="1">IFERROR(_xlfn.SINGLE(INDEX(#REF!,'Annual Report'!AS611)),"")</f>
        <v/>
      </c>
      <c r="AU611" s="6" t="str">
        <f ca="1">IFERROR(_xlfn.SINGLE(INDEX(#REF!,'Annual Report'!AS611)),"")</f>
        <v/>
      </c>
    </row>
    <row r="612" spans="41:47">
      <c r="AO612" s="6" t="str">
        <f ca="1">IFERROR(MATCH($B$114,OFFSET(#REF!,AO611,0,1000000),0)+AO611,"")</f>
        <v/>
      </c>
      <c r="AP612" s="156" t="str">
        <f ca="1">IFERROR(_xlfn.SINGLE(INDEX(#REF!,'Annual Report'!AO612)),"")</f>
        <v/>
      </c>
      <c r="AQ612" s="6" t="str">
        <f ca="1">IFERROR(_xlfn.SINGLE(INDEX(#REF!,'Annual Report'!AO612)),"")</f>
        <v/>
      </c>
      <c r="AS612" s="6" t="str">
        <f ca="1">IFERROR(MATCH($L$115,OFFSET(#REF!,AS611,0,1000000),0)+AS611,"")</f>
        <v/>
      </c>
      <c r="AT612" s="156" t="str">
        <f ca="1">IFERROR(_xlfn.SINGLE(INDEX(#REF!,'Annual Report'!AS612)),"")</f>
        <v/>
      </c>
      <c r="AU612" s="6" t="str">
        <f ca="1">IFERROR(_xlfn.SINGLE(INDEX(#REF!,'Annual Report'!AS612)),"")</f>
        <v/>
      </c>
    </row>
    <row r="613" spans="41:47">
      <c r="AO613" s="6" t="str">
        <f ca="1">IFERROR(MATCH($B$114,OFFSET(#REF!,AO612,0,1000000),0)+AO612,"")</f>
        <v/>
      </c>
      <c r="AP613" s="156" t="str">
        <f ca="1">IFERROR(_xlfn.SINGLE(INDEX(#REF!,'Annual Report'!AO613)),"")</f>
        <v/>
      </c>
      <c r="AQ613" s="6" t="str">
        <f ca="1">IFERROR(_xlfn.SINGLE(INDEX(#REF!,'Annual Report'!AO613)),"")</f>
        <v/>
      </c>
      <c r="AS613" s="6" t="str">
        <f ca="1">IFERROR(MATCH($L$115,OFFSET(#REF!,AS612,0,1000000),0)+AS612,"")</f>
        <v/>
      </c>
      <c r="AT613" s="156" t="str">
        <f ca="1">IFERROR(_xlfn.SINGLE(INDEX(#REF!,'Annual Report'!AS613)),"")</f>
        <v/>
      </c>
      <c r="AU613" s="6" t="str">
        <f ca="1">IFERROR(_xlfn.SINGLE(INDEX(#REF!,'Annual Report'!AS613)),"")</f>
        <v/>
      </c>
    </row>
    <row r="614" spans="41:47">
      <c r="AO614" s="6" t="str">
        <f ca="1">IFERROR(MATCH($B$114,OFFSET(#REF!,AO613,0,1000000),0)+AO613,"")</f>
        <v/>
      </c>
      <c r="AP614" s="156" t="str">
        <f ca="1">IFERROR(_xlfn.SINGLE(INDEX(#REF!,'Annual Report'!AO614)),"")</f>
        <v/>
      </c>
      <c r="AQ614" s="6" t="str">
        <f ca="1">IFERROR(_xlfn.SINGLE(INDEX(#REF!,'Annual Report'!AO614)),"")</f>
        <v/>
      </c>
      <c r="AS614" s="6" t="str">
        <f ca="1">IFERROR(MATCH($L$115,OFFSET(#REF!,AS613,0,1000000),0)+AS613,"")</f>
        <v/>
      </c>
      <c r="AT614" s="156" t="str">
        <f ca="1">IFERROR(_xlfn.SINGLE(INDEX(#REF!,'Annual Report'!AS614)),"")</f>
        <v/>
      </c>
      <c r="AU614" s="6" t="str">
        <f ca="1">IFERROR(_xlfn.SINGLE(INDEX(#REF!,'Annual Report'!AS614)),"")</f>
        <v/>
      </c>
    </row>
    <row r="615" spans="41:47">
      <c r="AO615" s="6" t="str">
        <f ca="1">IFERROR(MATCH($B$114,OFFSET(#REF!,AO614,0,1000000),0)+AO614,"")</f>
        <v/>
      </c>
      <c r="AP615" s="156" t="str">
        <f ca="1">IFERROR(_xlfn.SINGLE(INDEX(#REF!,'Annual Report'!AO615)),"")</f>
        <v/>
      </c>
      <c r="AQ615" s="6" t="str">
        <f ca="1">IFERROR(_xlfn.SINGLE(INDEX(#REF!,'Annual Report'!AO615)),"")</f>
        <v/>
      </c>
      <c r="AS615" s="6" t="str">
        <f ca="1">IFERROR(MATCH($L$115,OFFSET(#REF!,AS614,0,1000000),0)+AS614,"")</f>
        <v/>
      </c>
      <c r="AT615" s="156" t="str">
        <f ca="1">IFERROR(_xlfn.SINGLE(INDEX(#REF!,'Annual Report'!AS615)),"")</f>
        <v/>
      </c>
      <c r="AU615" s="6" t="str">
        <f ca="1">IFERROR(_xlfn.SINGLE(INDEX(#REF!,'Annual Report'!AS615)),"")</f>
        <v/>
      </c>
    </row>
    <row r="616" spans="41:47">
      <c r="AO616" s="6" t="str">
        <f ca="1">IFERROR(MATCH($B$114,OFFSET(#REF!,AO615,0,1000000),0)+AO615,"")</f>
        <v/>
      </c>
      <c r="AP616" s="156" t="str">
        <f ca="1">IFERROR(_xlfn.SINGLE(INDEX(#REF!,'Annual Report'!AO616)),"")</f>
        <v/>
      </c>
      <c r="AQ616" s="6" t="str">
        <f ca="1">IFERROR(_xlfn.SINGLE(INDEX(#REF!,'Annual Report'!AO616)),"")</f>
        <v/>
      </c>
      <c r="AS616" s="6" t="str">
        <f ca="1">IFERROR(MATCH($L$115,OFFSET(#REF!,AS615,0,1000000),0)+AS615,"")</f>
        <v/>
      </c>
      <c r="AT616" s="156" t="str">
        <f ca="1">IFERROR(_xlfn.SINGLE(INDEX(#REF!,'Annual Report'!AS616)),"")</f>
        <v/>
      </c>
      <c r="AU616" s="6" t="str">
        <f ca="1">IFERROR(_xlfn.SINGLE(INDEX(#REF!,'Annual Report'!AS616)),"")</f>
        <v/>
      </c>
    </row>
    <row r="617" spans="41:47">
      <c r="AO617" s="6" t="str">
        <f ca="1">IFERROR(MATCH($B$114,OFFSET(#REF!,AO616,0,1000000),0)+AO616,"")</f>
        <v/>
      </c>
      <c r="AP617" s="156" t="str">
        <f ca="1">IFERROR(_xlfn.SINGLE(INDEX(#REF!,'Annual Report'!AO617)),"")</f>
        <v/>
      </c>
      <c r="AQ617" s="6" t="str">
        <f ca="1">IFERROR(_xlfn.SINGLE(INDEX(#REF!,'Annual Report'!AO617)),"")</f>
        <v/>
      </c>
      <c r="AS617" s="6" t="str">
        <f ca="1">IFERROR(MATCH($L$115,OFFSET(#REF!,AS616,0,1000000),0)+AS616,"")</f>
        <v/>
      </c>
      <c r="AT617" s="156" t="str">
        <f ca="1">IFERROR(_xlfn.SINGLE(INDEX(#REF!,'Annual Report'!AS617)),"")</f>
        <v/>
      </c>
      <c r="AU617" s="6" t="str">
        <f ca="1">IFERROR(_xlfn.SINGLE(INDEX(#REF!,'Annual Report'!AS617)),"")</f>
        <v/>
      </c>
    </row>
    <row r="618" spans="41:47">
      <c r="AO618" s="6" t="str">
        <f ca="1">IFERROR(MATCH($B$114,OFFSET(#REF!,AO617,0,1000000),0)+AO617,"")</f>
        <v/>
      </c>
      <c r="AP618" s="156" t="str">
        <f ca="1">IFERROR(_xlfn.SINGLE(INDEX(#REF!,'Annual Report'!AO618)),"")</f>
        <v/>
      </c>
      <c r="AQ618" s="6" t="str">
        <f ca="1">IFERROR(_xlfn.SINGLE(INDEX(#REF!,'Annual Report'!AO618)),"")</f>
        <v/>
      </c>
      <c r="AS618" s="6" t="str">
        <f ca="1">IFERROR(MATCH($L$115,OFFSET(#REF!,AS617,0,1000000),0)+AS617,"")</f>
        <v/>
      </c>
      <c r="AT618" s="156" t="str">
        <f ca="1">IFERROR(_xlfn.SINGLE(INDEX(#REF!,'Annual Report'!AS618)),"")</f>
        <v/>
      </c>
      <c r="AU618" s="6" t="str">
        <f ca="1">IFERROR(_xlfn.SINGLE(INDEX(#REF!,'Annual Report'!AS618)),"")</f>
        <v/>
      </c>
    </row>
    <row r="619" spans="41:47">
      <c r="AO619" s="6" t="str">
        <f ca="1">IFERROR(MATCH($B$114,OFFSET(#REF!,AO618,0,1000000),0)+AO618,"")</f>
        <v/>
      </c>
      <c r="AP619" s="156" t="str">
        <f ca="1">IFERROR(_xlfn.SINGLE(INDEX(#REF!,'Annual Report'!AO619)),"")</f>
        <v/>
      </c>
      <c r="AQ619" s="6" t="str">
        <f ca="1">IFERROR(_xlfn.SINGLE(INDEX(#REF!,'Annual Report'!AO619)),"")</f>
        <v/>
      </c>
      <c r="AS619" s="6" t="str">
        <f ca="1">IFERROR(MATCH($L$115,OFFSET(#REF!,AS618,0,1000000),0)+AS618,"")</f>
        <v/>
      </c>
      <c r="AT619" s="156" t="str">
        <f ca="1">IFERROR(_xlfn.SINGLE(INDEX(#REF!,'Annual Report'!AS619)),"")</f>
        <v/>
      </c>
      <c r="AU619" s="6" t="str">
        <f ca="1">IFERROR(_xlfn.SINGLE(INDEX(#REF!,'Annual Report'!AS619)),"")</f>
        <v/>
      </c>
    </row>
    <row r="620" spans="41:47">
      <c r="AO620" s="6" t="str">
        <f ca="1">IFERROR(MATCH($B$114,OFFSET(#REF!,AO619,0,1000000),0)+AO619,"")</f>
        <v/>
      </c>
      <c r="AP620" s="156" t="str">
        <f ca="1">IFERROR(_xlfn.SINGLE(INDEX(#REF!,'Annual Report'!AO620)),"")</f>
        <v/>
      </c>
      <c r="AQ620" s="6" t="str">
        <f ca="1">IFERROR(_xlfn.SINGLE(INDEX(#REF!,'Annual Report'!AO620)),"")</f>
        <v/>
      </c>
      <c r="AS620" s="6" t="str">
        <f ca="1">IFERROR(MATCH($L$115,OFFSET(#REF!,AS619,0,1000000),0)+AS619,"")</f>
        <v/>
      </c>
      <c r="AT620" s="156" t="str">
        <f ca="1">IFERROR(_xlfn.SINGLE(INDEX(#REF!,'Annual Report'!AS620)),"")</f>
        <v/>
      </c>
      <c r="AU620" s="6" t="str">
        <f ca="1">IFERROR(_xlfn.SINGLE(INDEX(#REF!,'Annual Report'!AS620)),"")</f>
        <v/>
      </c>
    </row>
    <row r="621" spans="41:47">
      <c r="AO621" s="6" t="str">
        <f ca="1">IFERROR(MATCH($B$114,OFFSET(#REF!,AO620,0,1000000),0)+AO620,"")</f>
        <v/>
      </c>
      <c r="AP621" s="156" t="str">
        <f ca="1">IFERROR(_xlfn.SINGLE(INDEX(#REF!,'Annual Report'!AO621)),"")</f>
        <v/>
      </c>
      <c r="AQ621" s="6" t="str">
        <f ca="1">IFERROR(_xlfn.SINGLE(INDEX(#REF!,'Annual Report'!AO621)),"")</f>
        <v/>
      </c>
      <c r="AS621" s="6" t="str">
        <f ca="1">IFERROR(MATCH($L$115,OFFSET(#REF!,AS620,0,1000000),0)+AS620,"")</f>
        <v/>
      </c>
      <c r="AT621" s="156" t="str">
        <f ca="1">IFERROR(_xlfn.SINGLE(INDEX(#REF!,'Annual Report'!AS621)),"")</f>
        <v/>
      </c>
      <c r="AU621" s="6" t="str">
        <f ca="1">IFERROR(_xlfn.SINGLE(INDEX(#REF!,'Annual Report'!AS621)),"")</f>
        <v/>
      </c>
    </row>
    <row r="622" spans="41:47">
      <c r="AO622" s="6" t="str">
        <f ca="1">IFERROR(MATCH($B$114,OFFSET(#REF!,AO621,0,1000000),0)+AO621,"")</f>
        <v/>
      </c>
      <c r="AP622" s="156" t="str">
        <f ca="1">IFERROR(_xlfn.SINGLE(INDEX(#REF!,'Annual Report'!AO622)),"")</f>
        <v/>
      </c>
      <c r="AQ622" s="6" t="str">
        <f ca="1">IFERROR(_xlfn.SINGLE(INDEX(#REF!,'Annual Report'!AO622)),"")</f>
        <v/>
      </c>
      <c r="AS622" s="6" t="str">
        <f ca="1">IFERROR(MATCH($L$115,OFFSET(#REF!,AS621,0,1000000),0)+AS621,"")</f>
        <v/>
      </c>
      <c r="AT622" s="156" t="str">
        <f ca="1">IFERROR(_xlfn.SINGLE(INDEX(#REF!,'Annual Report'!AS622)),"")</f>
        <v/>
      </c>
      <c r="AU622" s="6" t="str">
        <f ca="1">IFERROR(_xlfn.SINGLE(INDEX(#REF!,'Annual Report'!AS622)),"")</f>
        <v/>
      </c>
    </row>
    <row r="623" spans="41:47">
      <c r="AO623" s="6" t="str">
        <f ca="1">IFERROR(MATCH($B$114,OFFSET(#REF!,AO622,0,1000000),0)+AO622,"")</f>
        <v/>
      </c>
      <c r="AP623" s="156" t="str">
        <f ca="1">IFERROR(_xlfn.SINGLE(INDEX(#REF!,'Annual Report'!AO623)),"")</f>
        <v/>
      </c>
      <c r="AQ623" s="6" t="str">
        <f ca="1">IFERROR(_xlfn.SINGLE(INDEX(#REF!,'Annual Report'!AO623)),"")</f>
        <v/>
      </c>
      <c r="AS623" s="6" t="str">
        <f ca="1">IFERROR(MATCH($L$115,OFFSET(#REF!,AS622,0,1000000),0)+AS622,"")</f>
        <v/>
      </c>
      <c r="AT623" s="156" t="str">
        <f ca="1">IFERROR(_xlfn.SINGLE(INDEX(#REF!,'Annual Report'!AS623)),"")</f>
        <v/>
      </c>
      <c r="AU623" s="6" t="str">
        <f ca="1">IFERROR(_xlfn.SINGLE(INDEX(#REF!,'Annual Report'!AS623)),"")</f>
        <v/>
      </c>
    </row>
    <row r="624" spans="41:47">
      <c r="AO624" s="6" t="str">
        <f ca="1">IFERROR(MATCH($B$114,OFFSET(#REF!,AO623,0,1000000),0)+AO623,"")</f>
        <v/>
      </c>
      <c r="AP624" s="156" t="str">
        <f ca="1">IFERROR(_xlfn.SINGLE(INDEX(#REF!,'Annual Report'!AO624)),"")</f>
        <v/>
      </c>
      <c r="AQ624" s="6" t="str">
        <f ca="1">IFERROR(_xlfn.SINGLE(INDEX(#REF!,'Annual Report'!AO624)),"")</f>
        <v/>
      </c>
      <c r="AS624" s="6" t="str">
        <f ca="1">IFERROR(MATCH($L$115,OFFSET(#REF!,AS623,0,1000000),0)+AS623,"")</f>
        <v/>
      </c>
      <c r="AT624" s="156" t="str">
        <f ca="1">IFERROR(_xlfn.SINGLE(INDEX(#REF!,'Annual Report'!AS624)),"")</f>
        <v/>
      </c>
      <c r="AU624" s="6" t="str">
        <f ca="1">IFERROR(_xlfn.SINGLE(INDEX(#REF!,'Annual Report'!AS624)),"")</f>
        <v/>
      </c>
    </row>
    <row r="625" spans="41:47">
      <c r="AO625" s="6" t="str">
        <f ca="1">IFERROR(MATCH($B$114,OFFSET(#REF!,AO624,0,1000000),0)+AO624,"")</f>
        <v/>
      </c>
      <c r="AP625" s="156" t="str">
        <f ca="1">IFERROR(_xlfn.SINGLE(INDEX(#REF!,'Annual Report'!AO625)),"")</f>
        <v/>
      </c>
      <c r="AQ625" s="6" t="str">
        <f ca="1">IFERROR(_xlfn.SINGLE(INDEX(#REF!,'Annual Report'!AO625)),"")</f>
        <v/>
      </c>
      <c r="AS625" s="6" t="str">
        <f ca="1">IFERROR(MATCH($L$115,OFFSET(#REF!,AS624,0,1000000),0)+AS624,"")</f>
        <v/>
      </c>
      <c r="AT625" s="156" t="str">
        <f ca="1">IFERROR(_xlfn.SINGLE(INDEX(#REF!,'Annual Report'!AS625)),"")</f>
        <v/>
      </c>
      <c r="AU625" s="6" t="str">
        <f ca="1">IFERROR(_xlfn.SINGLE(INDEX(#REF!,'Annual Report'!AS625)),"")</f>
        <v/>
      </c>
    </row>
    <row r="626" spans="41:47">
      <c r="AO626" s="6" t="str">
        <f ca="1">IFERROR(MATCH($B$114,OFFSET(#REF!,AO625,0,1000000),0)+AO625,"")</f>
        <v/>
      </c>
      <c r="AP626" s="156" t="str">
        <f ca="1">IFERROR(_xlfn.SINGLE(INDEX(#REF!,'Annual Report'!AO626)),"")</f>
        <v/>
      </c>
      <c r="AQ626" s="6" t="str">
        <f ca="1">IFERROR(_xlfn.SINGLE(INDEX(#REF!,'Annual Report'!AO626)),"")</f>
        <v/>
      </c>
      <c r="AS626" s="6" t="str">
        <f ca="1">IFERROR(MATCH($L$115,OFFSET(#REF!,AS625,0,1000000),0)+AS625,"")</f>
        <v/>
      </c>
      <c r="AT626" s="156" t="str">
        <f ca="1">IFERROR(_xlfn.SINGLE(INDEX(#REF!,'Annual Report'!AS626)),"")</f>
        <v/>
      </c>
      <c r="AU626" s="6" t="str">
        <f ca="1">IFERROR(_xlfn.SINGLE(INDEX(#REF!,'Annual Report'!AS626)),"")</f>
        <v/>
      </c>
    </row>
    <row r="627" spans="41:47">
      <c r="AO627" s="6" t="str">
        <f ca="1">IFERROR(MATCH($B$114,OFFSET(#REF!,AO626,0,1000000),0)+AO626,"")</f>
        <v/>
      </c>
      <c r="AP627" s="156" t="str">
        <f ca="1">IFERROR(_xlfn.SINGLE(INDEX(#REF!,'Annual Report'!AO627)),"")</f>
        <v/>
      </c>
      <c r="AQ627" s="6" t="str">
        <f ca="1">IFERROR(_xlfn.SINGLE(INDEX(#REF!,'Annual Report'!AO627)),"")</f>
        <v/>
      </c>
      <c r="AS627" s="6" t="str">
        <f ca="1">IFERROR(MATCH($L$115,OFFSET(#REF!,AS626,0,1000000),0)+AS626,"")</f>
        <v/>
      </c>
      <c r="AT627" s="156" t="str">
        <f ca="1">IFERROR(_xlfn.SINGLE(INDEX(#REF!,'Annual Report'!AS627)),"")</f>
        <v/>
      </c>
      <c r="AU627" s="6" t="str">
        <f ca="1">IFERROR(_xlfn.SINGLE(INDEX(#REF!,'Annual Report'!AS627)),"")</f>
        <v/>
      </c>
    </row>
    <row r="628" spans="41:47">
      <c r="AO628" s="6" t="str">
        <f ca="1">IFERROR(MATCH($B$114,OFFSET(#REF!,AO627,0,1000000),0)+AO627,"")</f>
        <v/>
      </c>
      <c r="AP628" s="156" t="str">
        <f ca="1">IFERROR(_xlfn.SINGLE(INDEX(#REF!,'Annual Report'!AO628)),"")</f>
        <v/>
      </c>
      <c r="AQ628" s="6" t="str">
        <f ca="1">IFERROR(_xlfn.SINGLE(INDEX(#REF!,'Annual Report'!AO628)),"")</f>
        <v/>
      </c>
      <c r="AS628" s="6" t="str">
        <f ca="1">IFERROR(MATCH($L$115,OFFSET(#REF!,AS627,0,1000000),0)+AS627,"")</f>
        <v/>
      </c>
      <c r="AT628" s="156" t="str">
        <f ca="1">IFERROR(_xlfn.SINGLE(INDEX(#REF!,'Annual Report'!AS628)),"")</f>
        <v/>
      </c>
      <c r="AU628" s="6" t="str">
        <f ca="1">IFERROR(_xlfn.SINGLE(INDEX(#REF!,'Annual Report'!AS628)),"")</f>
        <v/>
      </c>
    </row>
    <row r="629" spans="41:47">
      <c r="AO629" s="6" t="str">
        <f ca="1">IFERROR(MATCH($B$114,OFFSET(#REF!,AO628,0,1000000),0)+AO628,"")</f>
        <v/>
      </c>
      <c r="AP629" s="156" t="str">
        <f ca="1">IFERROR(_xlfn.SINGLE(INDEX(#REF!,'Annual Report'!AO629)),"")</f>
        <v/>
      </c>
      <c r="AQ629" s="6" t="str">
        <f ca="1">IFERROR(_xlfn.SINGLE(INDEX(#REF!,'Annual Report'!AO629)),"")</f>
        <v/>
      </c>
      <c r="AS629" s="6" t="str">
        <f ca="1">IFERROR(MATCH($L$115,OFFSET(#REF!,AS628,0,1000000),0)+AS628,"")</f>
        <v/>
      </c>
      <c r="AT629" s="156" t="str">
        <f ca="1">IFERROR(_xlfn.SINGLE(INDEX(#REF!,'Annual Report'!AS629)),"")</f>
        <v/>
      </c>
      <c r="AU629" s="6" t="str">
        <f ca="1">IFERROR(_xlfn.SINGLE(INDEX(#REF!,'Annual Report'!AS629)),"")</f>
        <v/>
      </c>
    </row>
    <row r="630" spans="41:47">
      <c r="AO630" s="6" t="str">
        <f ca="1">IFERROR(MATCH($B$114,OFFSET(#REF!,AO629,0,1000000),0)+AO629,"")</f>
        <v/>
      </c>
      <c r="AP630" s="156" t="str">
        <f ca="1">IFERROR(_xlfn.SINGLE(INDEX(#REF!,'Annual Report'!AO630)),"")</f>
        <v/>
      </c>
      <c r="AQ630" s="6" t="str">
        <f ca="1">IFERROR(_xlfn.SINGLE(INDEX(#REF!,'Annual Report'!AO630)),"")</f>
        <v/>
      </c>
      <c r="AS630" s="6" t="str">
        <f ca="1">IFERROR(MATCH($L$115,OFFSET(#REF!,AS629,0,1000000),0)+AS629,"")</f>
        <v/>
      </c>
      <c r="AT630" s="156" t="str">
        <f ca="1">IFERROR(_xlfn.SINGLE(INDEX(#REF!,'Annual Report'!AS630)),"")</f>
        <v/>
      </c>
      <c r="AU630" s="6" t="str">
        <f ca="1">IFERROR(_xlfn.SINGLE(INDEX(#REF!,'Annual Report'!AS630)),"")</f>
        <v/>
      </c>
    </row>
    <row r="631" spans="41:47">
      <c r="AO631" s="6" t="str">
        <f ca="1">IFERROR(MATCH($B$114,OFFSET(#REF!,AO630,0,1000000),0)+AO630,"")</f>
        <v/>
      </c>
      <c r="AP631" s="156" t="str">
        <f ca="1">IFERROR(_xlfn.SINGLE(INDEX(#REF!,'Annual Report'!AO631)),"")</f>
        <v/>
      </c>
      <c r="AQ631" s="6" t="str">
        <f ca="1">IFERROR(_xlfn.SINGLE(INDEX(#REF!,'Annual Report'!AO631)),"")</f>
        <v/>
      </c>
      <c r="AS631" s="6" t="str">
        <f ca="1">IFERROR(MATCH($L$115,OFFSET(#REF!,AS630,0,1000000),0)+AS630,"")</f>
        <v/>
      </c>
      <c r="AT631" s="156" t="str">
        <f ca="1">IFERROR(_xlfn.SINGLE(INDEX(#REF!,'Annual Report'!AS631)),"")</f>
        <v/>
      </c>
      <c r="AU631" s="6" t="str">
        <f ca="1">IFERROR(_xlfn.SINGLE(INDEX(#REF!,'Annual Report'!AS631)),"")</f>
        <v/>
      </c>
    </row>
    <row r="632" spans="41:47">
      <c r="AO632" s="6" t="str">
        <f ca="1">IFERROR(MATCH($B$114,OFFSET(#REF!,AO631,0,1000000),0)+AO631,"")</f>
        <v/>
      </c>
      <c r="AP632" s="156" t="str">
        <f ca="1">IFERROR(_xlfn.SINGLE(INDEX(#REF!,'Annual Report'!AO632)),"")</f>
        <v/>
      </c>
      <c r="AQ632" s="6" t="str">
        <f ca="1">IFERROR(_xlfn.SINGLE(INDEX(#REF!,'Annual Report'!AO632)),"")</f>
        <v/>
      </c>
      <c r="AS632" s="6" t="str">
        <f ca="1">IFERROR(MATCH($L$115,OFFSET(#REF!,AS631,0,1000000),0)+AS631,"")</f>
        <v/>
      </c>
      <c r="AT632" s="156" t="str">
        <f ca="1">IFERROR(_xlfn.SINGLE(INDEX(#REF!,'Annual Report'!AS632)),"")</f>
        <v/>
      </c>
      <c r="AU632" s="6" t="str">
        <f ca="1">IFERROR(_xlfn.SINGLE(INDEX(#REF!,'Annual Report'!AS632)),"")</f>
        <v/>
      </c>
    </row>
    <row r="633" spans="41:47">
      <c r="AO633" s="6" t="str">
        <f ca="1">IFERROR(MATCH($B$114,OFFSET(#REF!,AO632,0,1000000),0)+AO632,"")</f>
        <v/>
      </c>
      <c r="AP633" s="156" t="str">
        <f ca="1">IFERROR(_xlfn.SINGLE(INDEX(#REF!,'Annual Report'!AO633)),"")</f>
        <v/>
      </c>
      <c r="AQ633" s="6" t="str">
        <f ca="1">IFERROR(_xlfn.SINGLE(INDEX(#REF!,'Annual Report'!AO633)),"")</f>
        <v/>
      </c>
      <c r="AS633" s="6" t="str">
        <f ca="1">IFERROR(MATCH($L$115,OFFSET(#REF!,AS632,0,1000000),0)+AS632,"")</f>
        <v/>
      </c>
      <c r="AT633" s="156" t="str">
        <f ca="1">IFERROR(_xlfn.SINGLE(INDEX(#REF!,'Annual Report'!AS633)),"")</f>
        <v/>
      </c>
      <c r="AU633" s="6" t="str">
        <f ca="1">IFERROR(_xlfn.SINGLE(INDEX(#REF!,'Annual Report'!AS633)),"")</f>
        <v/>
      </c>
    </row>
    <row r="634" spans="41:47">
      <c r="AO634" s="6" t="str">
        <f ca="1">IFERROR(MATCH($B$114,OFFSET(#REF!,AO633,0,1000000),0)+AO633,"")</f>
        <v/>
      </c>
      <c r="AP634" s="156" t="str">
        <f ca="1">IFERROR(_xlfn.SINGLE(INDEX(#REF!,'Annual Report'!AO634)),"")</f>
        <v/>
      </c>
      <c r="AQ634" s="6" t="str">
        <f ca="1">IFERROR(_xlfn.SINGLE(INDEX(#REF!,'Annual Report'!AO634)),"")</f>
        <v/>
      </c>
      <c r="AS634" s="6" t="str">
        <f ca="1">IFERROR(MATCH($L$115,OFFSET(#REF!,AS633,0,1000000),0)+AS633,"")</f>
        <v/>
      </c>
      <c r="AT634" s="156" t="str">
        <f ca="1">IFERROR(_xlfn.SINGLE(INDEX(#REF!,'Annual Report'!AS634)),"")</f>
        <v/>
      </c>
      <c r="AU634" s="6" t="str">
        <f ca="1">IFERROR(_xlfn.SINGLE(INDEX(#REF!,'Annual Report'!AS634)),"")</f>
        <v/>
      </c>
    </row>
    <row r="635" spans="41:47">
      <c r="AO635" s="6" t="str">
        <f ca="1">IFERROR(MATCH($B$114,OFFSET(#REF!,AO634,0,1000000),0)+AO634,"")</f>
        <v/>
      </c>
      <c r="AP635" s="156" t="str">
        <f ca="1">IFERROR(_xlfn.SINGLE(INDEX(#REF!,'Annual Report'!AO635)),"")</f>
        <v/>
      </c>
      <c r="AQ635" s="6" t="str">
        <f ca="1">IFERROR(_xlfn.SINGLE(INDEX(#REF!,'Annual Report'!AO635)),"")</f>
        <v/>
      </c>
      <c r="AS635" s="6" t="str">
        <f ca="1">IFERROR(MATCH($L$115,OFFSET(#REF!,AS634,0,1000000),0)+AS634,"")</f>
        <v/>
      </c>
      <c r="AT635" s="156" t="str">
        <f ca="1">IFERROR(_xlfn.SINGLE(INDEX(#REF!,'Annual Report'!AS635)),"")</f>
        <v/>
      </c>
      <c r="AU635" s="6" t="str">
        <f ca="1">IFERROR(_xlfn.SINGLE(INDEX(#REF!,'Annual Report'!AS635)),"")</f>
        <v/>
      </c>
    </row>
    <row r="636" spans="41:47">
      <c r="AO636" s="6" t="str">
        <f ca="1">IFERROR(MATCH($B$114,OFFSET(#REF!,AO635,0,1000000),0)+AO635,"")</f>
        <v/>
      </c>
      <c r="AP636" s="156" t="str">
        <f ca="1">IFERROR(_xlfn.SINGLE(INDEX(#REF!,'Annual Report'!AO636)),"")</f>
        <v/>
      </c>
      <c r="AQ636" s="6" t="str">
        <f ca="1">IFERROR(_xlfn.SINGLE(INDEX(#REF!,'Annual Report'!AO636)),"")</f>
        <v/>
      </c>
      <c r="AS636" s="6" t="str">
        <f ca="1">IFERROR(MATCH($L$115,OFFSET(#REF!,AS635,0,1000000),0)+AS635,"")</f>
        <v/>
      </c>
      <c r="AT636" s="156" t="str">
        <f ca="1">IFERROR(_xlfn.SINGLE(INDEX(#REF!,'Annual Report'!AS636)),"")</f>
        <v/>
      </c>
      <c r="AU636" s="6" t="str">
        <f ca="1">IFERROR(_xlfn.SINGLE(INDEX(#REF!,'Annual Report'!AS636)),"")</f>
        <v/>
      </c>
    </row>
    <row r="637" spans="41:47">
      <c r="AO637" s="6" t="str">
        <f ca="1">IFERROR(MATCH($B$114,OFFSET(#REF!,AO636,0,1000000),0)+AO636,"")</f>
        <v/>
      </c>
      <c r="AP637" s="156" t="str">
        <f ca="1">IFERROR(_xlfn.SINGLE(INDEX(#REF!,'Annual Report'!AO637)),"")</f>
        <v/>
      </c>
      <c r="AQ637" s="6" t="str">
        <f ca="1">IFERROR(_xlfn.SINGLE(INDEX(#REF!,'Annual Report'!AO637)),"")</f>
        <v/>
      </c>
      <c r="AS637" s="6" t="str">
        <f ca="1">IFERROR(MATCH($L$115,OFFSET(#REF!,AS636,0,1000000),0)+AS636,"")</f>
        <v/>
      </c>
      <c r="AT637" s="156" t="str">
        <f ca="1">IFERROR(_xlfn.SINGLE(INDEX(#REF!,'Annual Report'!AS637)),"")</f>
        <v/>
      </c>
      <c r="AU637" s="6" t="str">
        <f ca="1">IFERROR(_xlfn.SINGLE(INDEX(#REF!,'Annual Report'!AS637)),"")</f>
        <v/>
      </c>
    </row>
    <row r="638" spans="41:47">
      <c r="AO638" s="6" t="str">
        <f ca="1">IFERROR(MATCH($B$114,OFFSET(#REF!,AO637,0,1000000),0)+AO637,"")</f>
        <v/>
      </c>
      <c r="AP638" s="156" t="str">
        <f ca="1">IFERROR(_xlfn.SINGLE(INDEX(#REF!,'Annual Report'!AO638)),"")</f>
        <v/>
      </c>
      <c r="AQ638" s="6" t="str">
        <f ca="1">IFERROR(_xlfn.SINGLE(INDEX(#REF!,'Annual Report'!AO638)),"")</f>
        <v/>
      </c>
      <c r="AS638" s="6" t="str">
        <f ca="1">IFERROR(MATCH($L$115,OFFSET(#REF!,AS637,0,1000000),0)+AS637,"")</f>
        <v/>
      </c>
      <c r="AT638" s="156" t="str">
        <f ca="1">IFERROR(_xlfn.SINGLE(INDEX(#REF!,'Annual Report'!AS638)),"")</f>
        <v/>
      </c>
      <c r="AU638" s="6" t="str">
        <f ca="1">IFERROR(_xlfn.SINGLE(INDEX(#REF!,'Annual Report'!AS638)),"")</f>
        <v/>
      </c>
    </row>
    <row r="639" spans="41:47">
      <c r="AO639" s="6" t="str">
        <f ca="1">IFERROR(MATCH($B$114,OFFSET(#REF!,AO638,0,1000000),0)+AO638,"")</f>
        <v/>
      </c>
      <c r="AP639" s="156" t="str">
        <f ca="1">IFERROR(_xlfn.SINGLE(INDEX(#REF!,'Annual Report'!AO639)),"")</f>
        <v/>
      </c>
      <c r="AQ639" s="6" t="str">
        <f ca="1">IFERROR(_xlfn.SINGLE(INDEX(#REF!,'Annual Report'!AO639)),"")</f>
        <v/>
      </c>
      <c r="AS639" s="6" t="str">
        <f ca="1">IFERROR(MATCH($L$115,OFFSET(#REF!,AS638,0,1000000),0)+AS638,"")</f>
        <v/>
      </c>
      <c r="AT639" s="156" t="str">
        <f ca="1">IFERROR(_xlfn.SINGLE(INDEX(#REF!,'Annual Report'!AS639)),"")</f>
        <v/>
      </c>
      <c r="AU639" s="6" t="str">
        <f ca="1">IFERROR(_xlfn.SINGLE(INDEX(#REF!,'Annual Report'!AS639)),"")</f>
        <v/>
      </c>
    </row>
    <row r="640" spans="41:47">
      <c r="AO640" s="6" t="str">
        <f ca="1">IFERROR(MATCH($B$114,OFFSET(#REF!,AO639,0,1000000),0)+AO639,"")</f>
        <v/>
      </c>
      <c r="AP640" s="156" t="str">
        <f ca="1">IFERROR(_xlfn.SINGLE(INDEX(#REF!,'Annual Report'!AO640)),"")</f>
        <v/>
      </c>
      <c r="AQ640" s="6" t="str">
        <f ca="1">IFERROR(_xlfn.SINGLE(INDEX(#REF!,'Annual Report'!AO640)),"")</f>
        <v/>
      </c>
      <c r="AS640" s="6" t="str">
        <f ca="1">IFERROR(MATCH($L$115,OFFSET(#REF!,AS639,0,1000000),0)+AS639,"")</f>
        <v/>
      </c>
      <c r="AT640" s="156" t="str">
        <f ca="1">IFERROR(_xlfn.SINGLE(INDEX(#REF!,'Annual Report'!AS640)),"")</f>
        <v/>
      </c>
      <c r="AU640" s="6" t="str">
        <f ca="1">IFERROR(_xlfn.SINGLE(INDEX(#REF!,'Annual Report'!AS640)),"")</f>
        <v/>
      </c>
    </row>
    <row r="641" spans="41:47">
      <c r="AO641" s="6" t="str">
        <f ca="1">IFERROR(MATCH($B$114,OFFSET(#REF!,AO640,0,1000000),0)+AO640,"")</f>
        <v/>
      </c>
      <c r="AP641" s="156" t="str">
        <f ca="1">IFERROR(_xlfn.SINGLE(INDEX(#REF!,'Annual Report'!AO641)),"")</f>
        <v/>
      </c>
      <c r="AQ641" s="6" t="str">
        <f ca="1">IFERROR(_xlfn.SINGLE(INDEX(#REF!,'Annual Report'!AO641)),"")</f>
        <v/>
      </c>
      <c r="AS641" s="6" t="str">
        <f ca="1">IFERROR(MATCH($L$115,OFFSET(#REF!,AS640,0,1000000),0)+AS640,"")</f>
        <v/>
      </c>
      <c r="AT641" s="156" t="str">
        <f ca="1">IFERROR(_xlfn.SINGLE(INDEX(#REF!,'Annual Report'!AS641)),"")</f>
        <v/>
      </c>
      <c r="AU641" s="6" t="str">
        <f ca="1">IFERROR(_xlfn.SINGLE(INDEX(#REF!,'Annual Report'!AS641)),"")</f>
        <v/>
      </c>
    </row>
    <row r="642" spans="41:47">
      <c r="AO642" s="6" t="str">
        <f ca="1">IFERROR(MATCH($B$114,OFFSET(#REF!,AO641,0,1000000),0)+AO641,"")</f>
        <v/>
      </c>
      <c r="AP642" s="156" t="str">
        <f ca="1">IFERROR(_xlfn.SINGLE(INDEX(#REF!,'Annual Report'!AO642)),"")</f>
        <v/>
      </c>
      <c r="AQ642" s="6" t="str">
        <f ca="1">IFERROR(_xlfn.SINGLE(INDEX(#REF!,'Annual Report'!AO642)),"")</f>
        <v/>
      </c>
      <c r="AS642" s="6" t="str">
        <f ca="1">IFERROR(MATCH($L$115,OFFSET(#REF!,AS641,0,1000000),0)+AS641,"")</f>
        <v/>
      </c>
      <c r="AT642" s="156" t="str">
        <f ca="1">IFERROR(_xlfn.SINGLE(INDEX(#REF!,'Annual Report'!AS642)),"")</f>
        <v/>
      </c>
      <c r="AU642" s="6" t="str">
        <f ca="1">IFERROR(_xlfn.SINGLE(INDEX(#REF!,'Annual Report'!AS642)),"")</f>
        <v/>
      </c>
    </row>
    <row r="643" spans="41:47">
      <c r="AO643" s="6" t="str">
        <f ca="1">IFERROR(MATCH($B$114,OFFSET(#REF!,AO642,0,1000000),0)+AO642,"")</f>
        <v/>
      </c>
      <c r="AP643" s="156" t="str">
        <f ca="1">IFERROR(_xlfn.SINGLE(INDEX(#REF!,'Annual Report'!AO643)),"")</f>
        <v/>
      </c>
      <c r="AQ643" s="6" t="str">
        <f ca="1">IFERROR(_xlfn.SINGLE(INDEX(#REF!,'Annual Report'!AO643)),"")</f>
        <v/>
      </c>
      <c r="AS643" s="6" t="str">
        <f ca="1">IFERROR(MATCH($L$115,OFFSET(#REF!,AS642,0,1000000),0)+AS642,"")</f>
        <v/>
      </c>
      <c r="AT643" s="156" t="str">
        <f ca="1">IFERROR(_xlfn.SINGLE(INDEX(#REF!,'Annual Report'!AS643)),"")</f>
        <v/>
      </c>
      <c r="AU643" s="6" t="str">
        <f ca="1">IFERROR(_xlfn.SINGLE(INDEX(#REF!,'Annual Report'!AS643)),"")</f>
        <v/>
      </c>
    </row>
    <row r="644" spans="41:47">
      <c r="AO644" s="6" t="str">
        <f ca="1">IFERROR(MATCH($B$114,OFFSET(#REF!,AO643,0,1000000),0)+AO643,"")</f>
        <v/>
      </c>
      <c r="AP644" s="156" t="str">
        <f ca="1">IFERROR(_xlfn.SINGLE(INDEX(#REF!,'Annual Report'!AO644)),"")</f>
        <v/>
      </c>
      <c r="AQ644" s="6" t="str">
        <f ca="1">IFERROR(_xlfn.SINGLE(INDEX(#REF!,'Annual Report'!AO644)),"")</f>
        <v/>
      </c>
      <c r="AS644" s="6" t="str">
        <f ca="1">IFERROR(MATCH($L$115,OFFSET(#REF!,AS643,0,1000000),0)+AS643,"")</f>
        <v/>
      </c>
      <c r="AT644" s="156" t="str">
        <f ca="1">IFERROR(_xlfn.SINGLE(INDEX(#REF!,'Annual Report'!AS644)),"")</f>
        <v/>
      </c>
      <c r="AU644" s="6" t="str">
        <f ca="1">IFERROR(_xlfn.SINGLE(INDEX(#REF!,'Annual Report'!AS644)),"")</f>
        <v/>
      </c>
    </row>
    <row r="645" spans="41:47">
      <c r="AO645" s="6" t="str">
        <f ca="1">IFERROR(MATCH($B$114,OFFSET(#REF!,AO644,0,1000000),0)+AO644,"")</f>
        <v/>
      </c>
      <c r="AP645" s="156" t="str">
        <f ca="1">IFERROR(_xlfn.SINGLE(INDEX(#REF!,'Annual Report'!AO645)),"")</f>
        <v/>
      </c>
      <c r="AQ645" s="6" t="str">
        <f ca="1">IFERROR(_xlfn.SINGLE(INDEX(#REF!,'Annual Report'!AO645)),"")</f>
        <v/>
      </c>
      <c r="AS645" s="6" t="str">
        <f ca="1">IFERROR(MATCH($L$115,OFFSET(#REF!,AS644,0,1000000),0)+AS644,"")</f>
        <v/>
      </c>
      <c r="AT645" s="156" t="str">
        <f ca="1">IFERROR(_xlfn.SINGLE(INDEX(#REF!,'Annual Report'!AS645)),"")</f>
        <v/>
      </c>
      <c r="AU645" s="6" t="str">
        <f ca="1">IFERROR(_xlfn.SINGLE(INDEX(#REF!,'Annual Report'!AS645)),"")</f>
        <v/>
      </c>
    </row>
    <row r="646" spans="41:47">
      <c r="AO646" s="6" t="str">
        <f ca="1">IFERROR(MATCH($B$114,OFFSET(#REF!,AO645,0,1000000),0)+AO645,"")</f>
        <v/>
      </c>
      <c r="AP646" s="156" t="str">
        <f ca="1">IFERROR(_xlfn.SINGLE(INDEX(#REF!,'Annual Report'!AO646)),"")</f>
        <v/>
      </c>
      <c r="AQ646" s="6" t="str">
        <f ca="1">IFERROR(_xlfn.SINGLE(INDEX(#REF!,'Annual Report'!AO646)),"")</f>
        <v/>
      </c>
      <c r="AS646" s="6" t="str">
        <f ca="1">IFERROR(MATCH($L$115,OFFSET(#REF!,AS645,0,1000000),0)+AS645,"")</f>
        <v/>
      </c>
      <c r="AT646" s="156" t="str">
        <f ca="1">IFERROR(_xlfn.SINGLE(INDEX(#REF!,'Annual Report'!AS646)),"")</f>
        <v/>
      </c>
      <c r="AU646" s="6" t="str">
        <f ca="1">IFERROR(_xlfn.SINGLE(INDEX(#REF!,'Annual Report'!AS646)),"")</f>
        <v/>
      </c>
    </row>
    <row r="647" spans="41:47">
      <c r="AO647" s="6" t="str">
        <f ca="1">IFERROR(MATCH($B$114,OFFSET(#REF!,AO646,0,1000000),0)+AO646,"")</f>
        <v/>
      </c>
      <c r="AP647" s="156" t="str">
        <f ca="1">IFERROR(_xlfn.SINGLE(INDEX(#REF!,'Annual Report'!AO647)),"")</f>
        <v/>
      </c>
      <c r="AQ647" s="6" t="str">
        <f ca="1">IFERROR(_xlfn.SINGLE(INDEX(#REF!,'Annual Report'!AO647)),"")</f>
        <v/>
      </c>
      <c r="AS647" s="6" t="str">
        <f ca="1">IFERROR(MATCH($L$115,OFFSET(#REF!,AS646,0,1000000),0)+AS646,"")</f>
        <v/>
      </c>
      <c r="AT647" s="156" t="str">
        <f ca="1">IFERROR(_xlfn.SINGLE(INDEX(#REF!,'Annual Report'!AS647)),"")</f>
        <v/>
      </c>
      <c r="AU647" s="6" t="str">
        <f ca="1">IFERROR(_xlfn.SINGLE(INDEX(#REF!,'Annual Report'!AS647)),"")</f>
        <v/>
      </c>
    </row>
    <row r="648" spans="41:47">
      <c r="AO648" s="6" t="str">
        <f ca="1">IFERROR(MATCH($B$114,OFFSET(#REF!,AO647,0,1000000),0)+AO647,"")</f>
        <v/>
      </c>
      <c r="AP648" s="156" t="str">
        <f ca="1">IFERROR(_xlfn.SINGLE(INDEX(#REF!,'Annual Report'!AO648)),"")</f>
        <v/>
      </c>
      <c r="AQ648" s="6" t="str">
        <f ca="1">IFERROR(_xlfn.SINGLE(INDEX(#REF!,'Annual Report'!AO648)),"")</f>
        <v/>
      </c>
      <c r="AS648" s="6" t="str">
        <f ca="1">IFERROR(MATCH($L$115,OFFSET(#REF!,AS647,0,1000000),0)+AS647,"")</f>
        <v/>
      </c>
      <c r="AT648" s="156" t="str">
        <f ca="1">IFERROR(_xlfn.SINGLE(INDEX(#REF!,'Annual Report'!AS648)),"")</f>
        <v/>
      </c>
      <c r="AU648" s="6" t="str">
        <f ca="1">IFERROR(_xlfn.SINGLE(INDEX(#REF!,'Annual Report'!AS648)),"")</f>
        <v/>
      </c>
    </row>
    <row r="649" spans="41:47">
      <c r="AO649" s="6" t="str">
        <f ca="1">IFERROR(MATCH($B$114,OFFSET(#REF!,AO648,0,1000000),0)+AO648,"")</f>
        <v/>
      </c>
      <c r="AP649" s="156" t="str">
        <f ca="1">IFERROR(_xlfn.SINGLE(INDEX(#REF!,'Annual Report'!AO649)),"")</f>
        <v/>
      </c>
      <c r="AQ649" s="6" t="str">
        <f ca="1">IFERROR(_xlfn.SINGLE(INDEX(#REF!,'Annual Report'!AO649)),"")</f>
        <v/>
      </c>
      <c r="AS649" s="6" t="str">
        <f ca="1">IFERROR(MATCH($L$115,OFFSET(#REF!,AS648,0,1000000),0)+AS648,"")</f>
        <v/>
      </c>
      <c r="AT649" s="156" t="str">
        <f ca="1">IFERROR(_xlfn.SINGLE(INDEX(#REF!,'Annual Report'!AS649)),"")</f>
        <v/>
      </c>
      <c r="AU649" s="6" t="str">
        <f ca="1">IFERROR(_xlfn.SINGLE(INDEX(#REF!,'Annual Report'!AS649)),"")</f>
        <v/>
      </c>
    </row>
    <row r="650" spans="41:47">
      <c r="AO650" s="6" t="str">
        <f ca="1">IFERROR(MATCH($B$114,OFFSET(#REF!,AO649,0,1000000),0)+AO649,"")</f>
        <v/>
      </c>
      <c r="AP650" s="156" t="str">
        <f ca="1">IFERROR(_xlfn.SINGLE(INDEX(#REF!,'Annual Report'!AO650)),"")</f>
        <v/>
      </c>
      <c r="AQ650" s="6" t="str">
        <f ca="1">IFERROR(_xlfn.SINGLE(INDEX(#REF!,'Annual Report'!AO650)),"")</f>
        <v/>
      </c>
      <c r="AS650" s="6" t="str">
        <f ca="1">IFERROR(MATCH($L$115,OFFSET(#REF!,AS649,0,1000000),0)+AS649,"")</f>
        <v/>
      </c>
      <c r="AT650" s="156" t="str">
        <f ca="1">IFERROR(_xlfn.SINGLE(INDEX(#REF!,'Annual Report'!AS650)),"")</f>
        <v/>
      </c>
      <c r="AU650" s="6" t="str">
        <f ca="1">IFERROR(_xlfn.SINGLE(INDEX(#REF!,'Annual Report'!AS650)),"")</f>
        <v/>
      </c>
    </row>
    <row r="651" spans="41:47">
      <c r="AO651" s="6" t="str">
        <f ca="1">IFERROR(MATCH($B$114,OFFSET(#REF!,AO650,0,1000000),0)+AO650,"")</f>
        <v/>
      </c>
      <c r="AP651" s="156" t="str">
        <f ca="1">IFERROR(_xlfn.SINGLE(INDEX(#REF!,'Annual Report'!AO651)),"")</f>
        <v/>
      </c>
      <c r="AQ651" s="6" t="str">
        <f ca="1">IFERROR(_xlfn.SINGLE(INDEX(#REF!,'Annual Report'!AO651)),"")</f>
        <v/>
      </c>
      <c r="AS651" s="6" t="str">
        <f ca="1">IFERROR(MATCH($L$115,OFFSET(#REF!,AS650,0,1000000),0)+AS650,"")</f>
        <v/>
      </c>
      <c r="AT651" s="156" t="str">
        <f ca="1">IFERROR(_xlfn.SINGLE(INDEX(#REF!,'Annual Report'!AS651)),"")</f>
        <v/>
      </c>
      <c r="AU651" s="6" t="str">
        <f ca="1">IFERROR(_xlfn.SINGLE(INDEX(#REF!,'Annual Report'!AS651)),"")</f>
        <v/>
      </c>
    </row>
    <row r="652" spans="41:47">
      <c r="AO652" s="6" t="str">
        <f ca="1">IFERROR(MATCH($B$114,OFFSET(#REF!,AO651,0,1000000),0)+AO651,"")</f>
        <v/>
      </c>
      <c r="AP652" s="156" t="str">
        <f ca="1">IFERROR(_xlfn.SINGLE(INDEX(#REF!,'Annual Report'!AO652)),"")</f>
        <v/>
      </c>
      <c r="AQ652" s="6" t="str">
        <f ca="1">IFERROR(_xlfn.SINGLE(INDEX(#REF!,'Annual Report'!AO652)),"")</f>
        <v/>
      </c>
      <c r="AS652" s="6" t="str">
        <f ca="1">IFERROR(MATCH($L$115,OFFSET(#REF!,AS651,0,1000000),0)+AS651,"")</f>
        <v/>
      </c>
      <c r="AT652" s="156" t="str">
        <f ca="1">IFERROR(_xlfn.SINGLE(INDEX(#REF!,'Annual Report'!AS652)),"")</f>
        <v/>
      </c>
      <c r="AU652" s="6" t="str">
        <f ca="1">IFERROR(_xlfn.SINGLE(INDEX(#REF!,'Annual Report'!AS652)),"")</f>
        <v/>
      </c>
    </row>
    <row r="653" spans="41:47">
      <c r="AO653" s="6" t="str">
        <f ca="1">IFERROR(MATCH($B$114,OFFSET(#REF!,AO652,0,1000000),0)+AO652,"")</f>
        <v/>
      </c>
      <c r="AP653" s="156" t="str">
        <f ca="1">IFERROR(_xlfn.SINGLE(INDEX(#REF!,'Annual Report'!AO653)),"")</f>
        <v/>
      </c>
      <c r="AQ653" s="6" t="str">
        <f ca="1">IFERROR(_xlfn.SINGLE(INDEX(#REF!,'Annual Report'!AO653)),"")</f>
        <v/>
      </c>
      <c r="AS653" s="6" t="str">
        <f ca="1">IFERROR(MATCH($L$115,OFFSET(#REF!,AS652,0,1000000),0)+AS652,"")</f>
        <v/>
      </c>
      <c r="AT653" s="156" t="str">
        <f ca="1">IFERROR(_xlfn.SINGLE(INDEX(#REF!,'Annual Report'!AS653)),"")</f>
        <v/>
      </c>
      <c r="AU653" s="6" t="str">
        <f ca="1">IFERROR(_xlfn.SINGLE(INDEX(#REF!,'Annual Report'!AS653)),"")</f>
        <v/>
      </c>
    </row>
    <row r="654" spans="41:47">
      <c r="AO654" s="6" t="str">
        <f ca="1">IFERROR(MATCH($B$114,OFFSET(#REF!,AO653,0,1000000),0)+AO653,"")</f>
        <v/>
      </c>
      <c r="AP654" s="156" t="str">
        <f ca="1">IFERROR(_xlfn.SINGLE(INDEX(#REF!,'Annual Report'!AO654)),"")</f>
        <v/>
      </c>
      <c r="AQ654" s="6" t="str">
        <f ca="1">IFERROR(_xlfn.SINGLE(INDEX(#REF!,'Annual Report'!AO654)),"")</f>
        <v/>
      </c>
      <c r="AS654" s="6" t="str">
        <f ca="1">IFERROR(MATCH($L$115,OFFSET(#REF!,AS653,0,1000000),0)+AS653,"")</f>
        <v/>
      </c>
      <c r="AT654" s="156" t="str">
        <f ca="1">IFERROR(_xlfn.SINGLE(INDEX(#REF!,'Annual Report'!AS654)),"")</f>
        <v/>
      </c>
      <c r="AU654" s="6" t="str">
        <f ca="1">IFERROR(_xlfn.SINGLE(INDEX(#REF!,'Annual Report'!AS654)),"")</f>
        <v/>
      </c>
    </row>
    <row r="655" spans="41:47">
      <c r="AO655" s="6" t="str">
        <f ca="1">IFERROR(MATCH($B$114,OFFSET(#REF!,AO654,0,1000000),0)+AO654,"")</f>
        <v/>
      </c>
      <c r="AP655" s="156" t="str">
        <f ca="1">IFERROR(_xlfn.SINGLE(INDEX(#REF!,'Annual Report'!AO655)),"")</f>
        <v/>
      </c>
      <c r="AQ655" s="6" t="str">
        <f ca="1">IFERROR(_xlfn.SINGLE(INDEX(#REF!,'Annual Report'!AO655)),"")</f>
        <v/>
      </c>
      <c r="AS655" s="6" t="str">
        <f ca="1">IFERROR(MATCH($L$115,OFFSET(#REF!,AS654,0,1000000),0)+AS654,"")</f>
        <v/>
      </c>
      <c r="AT655" s="156" t="str">
        <f ca="1">IFERROR(_xlfn.SINGLE(INDEX(#REF!,'Annual Report'!AS655)),"")</f>
        <v/>
      </c>
      <c r="AU655" s="6" t="str">
        <f ca="1">IFERROR(_xlfn.SINGLE(INDEX(#REF!,'Annual Report'!AS655)),"")</f>
        <v/>
      </c>
    </row>
    <row r="656" spans="41:47">
      <c r="AO656" s="6" t="str">
        <f ca="1">IFERROR(MATCH($B$114,OFFSET(#REF!,AO655,0,1000000),0)+AO655,"")</f>
        <v/>
      </c>
      <c r="AP656" s="156" t="str">
        <f ca="1">IFERROR(_xlfn.SINGLE(INDEX(#REF!,'Annual Report'!AO656)),"")</f>
        <v/>
      </c>
      <c r="AQ656" s="6" t="str">
        <f ca="1">IFERROR(_xlfn.SINGLE(INDEX(#REF!,'Annual Report'!AO656)),"")</f>
        <v/>
      </c>
      <c r="AS656" s="6" t="str">
        <f ca="1">IFERROR(MATCH($L$115,OFFSET(#REF!,AS655,0,1000000),0)+AS655,"")</f>
        <v/>
      </c>
      <c r="AT656" s="156" t="str">
        <f ca="1">IFERROR(_xlfn.SINGLE(INDEX(#REF!,'Annual Report'!AS656)),"")</f>
        <v/>
      </c>
      <c r="AU656" s="6" t="str">
        <f ca="1">IFERROR(_xlfn.SINGLE(INDEX(#REF!,'Annual Report'!AS656)),"")</f>
        <v/>
      </c>
    </row>
    <row r="657" spans="41:47">
      <c r="AO657" s="6" t="str">
        <f ca="1">IFERROR(MATCH($B$114,OFFSET(#REF!,AO656,0,1000000),0)+AO656,"")</f>
        <v/>
      </c>
      <c r="AP657" s="156" t="str">
        <f ca="1">IFERROR(_xlfn.SINGLE(INDEX(#REF!,'Annual Report'!AO657)),"")</f>
        <v/>
      </c>
      <c r="AQ657" s="6" t="str">
        <f ca="1">IFERROR(_xlfn.SINGLE(INDEX(#REF!,'Annual Report'!AO657)),"")</f>
        <v/>
      </c>
      <c r="AS657" s="6" t="str">
        <f ca="1">IFERROR(MATCH($L$115,OFFSET(#REF!,AS656,0,1000000),0)+AS656,"")</f>
        <v/>
      </c>
      <c r="AT657" s="156" t="str">
        <f ca="1">IFERROR(_xlfn.SINGLE(INDEX(#REF!,'Annual Report'!AS657)),"")</f>
        <v/>
      </c>
      <c r="AU657" s="6" t="str">
        <f ca="1">IFERROR(_xlfn.SINGLE(INDEX(#REF!,'Annual Report'!AS657)),"")</f>
        <v/>
      </c>
    </row>
    <row r="658" spans="41:47">
      <c r="AO658" s="6" t="str">
        <f ca="1">IFERROR(MATCH($B$114,OFFSET(#REF!,AO657,0,1000000),0)+AO657,"")</f>
        <v/>
      </c>
      <c r="AP658" s="156" t="str">
        <f ca="1">IFERROR(_xlfn.SINGLE(INDEX(#REF!,'Annual Report'!AO658)),"")</f>
        <v/>
      </c>
      <c r="AQ658" s="6" t="str">
        <f ca="1">IFERROR(_xlfn.SINGLE(INDEX(#REF!,'Annual Report'!AO658)),"")</f>
        <v/>
      </c>
      <c r="AS658" s="6" t="str">
        <f ca="1">IFERROR(MATCH($L$115,OFFSET(#REF!,AS657,0,1000000),0)+AS657,"")</f>
        <v/>
      </c>
      <c r="AT658" s="156" t="str">
        <f ca="1">IFERROR(_xlfn.SINGLE(INDEX(#REF!,'Annual Report'!AS658)),"")</f>
        <v/>
      </c>
      <c r="AU658" s="6" t="str">
        <f ca="1">IFERROR(_xlfn.SINGLE(INDEX(#REF!,'Annual Report'!AS658)),"")</f>
        <v/>
      </c>
    </row>
    <row r="659" spans="41:47">
      <c r="AO659" s="6" t="str">
        <f ca="1">IFERROR(MATCH($B$114,OFFSET(#REF!,AO658,0,1000000),0)+AO658,"")</f>
        <v/>
      </c>
      <c r="AP659" s="156" t="str">
        <f ca="1">IFERROR(_xlfn.SINGLE(INDEX(#REF!,'Annual Report'!AO659)),"")</f>
        <v/>
      </c>
      <c r="AQ659" s="6" t="str">
        <f ca="1">IFERROR(_xlfn.SINGLE(INDEX(#REF!,'Annual Report'!AO659)),"")</f>
        <v/>
      </c>
      <c r="AS659" s="6" t="str">
        <f ca="1">IFERROR(MATCH($L$115,OFFSET(#REF!,AS658,0,1000000),0)+AS658,"")</f>
        <v/>
      </c>
      <c r="AT659" s="156" t="str">
        <f ca="1">IFERROR(_xlfn.SINGLE(INDEX(#REF!,'Annual Report'!AS659)),"")</f>
        <v/>
      </c>
      <c r="AU659" s="6" t="str">
        <f ca="1">IFERROR(_xlfn.SINGLE(INDEX(#REF!,'Annual Report'!AS659)),"")</f>
        <v/>
      </c>
    </row>
    <row r="660" spans="41:47">
      <c r="AO660" s="6" t="str">
        <f ca="1">IFERROR(MATCH($B$114,OFFSET(#REF!,AO659,0,1000000),0)+AO659,"")</f>
        <v/>
      </c>
      <c r="AP660" s="156" t="str">
        <f ca="1">IFERROR(_xlfn.SINGLE(INDEX(#REF!,'Annual Report'!AO660)),"")</f>
        <v/>
      </c>
      <c r="AQ660" s="6" t="str">
        <f ca="1">IFERROR(_xlfn.SINGLE(INDEX(#REF!,'Annual Report'!AO660)),"")</f>
        <v/>
      </c>
      <c r="AS660" s="6" t="str">
        <f ca="1">IFERROR(MATCH($L$115,OFFSET(#REF!,AS659,0,1000000),0)+AS659,"")</f>
        <v/>
      </c>
      <c r="AT660" s="156" t="str">
        <f ca="1">IFERROR(_xlfn.SINGLE(INDEX(#REF!,'Annual Report'!AS660)),"")</f>
        <v/>
      </c>
      <c r="AU660" s="6" t="str">
        <f ca="1">IFERROR(_xlfn.SINGLE(INDEX(#REF!,'Annual Report'!AS660)),"")</f>
        <v/>
      </c>
    </row>
    <row r="661" spans="41:47">
      <c r="AO661" s="6" t="str">
        <f ca="1">IFERROR(MATCH($B$114,OFFSET(#REF!,AO660,0,1000000),0)+AO660,"")</f>
        <v/>
      </c>
      <c r="AP661" s="156" t="str">
        <f ca="1">IFERROR(_xlfn.SINGLE(INDEX(#REF!,'Annual Report'!AO661)),"")</f>
        <v/>
      </c>
      <c r="AQ661" s="6" t="str">
        <f ca="1">IFERROR(_xlfn.SINGLE(INDEX(#REF!,'Annual Report'!AO661)),"")</f>
        <v/>
      </c>
      <c r="AS661" s="6" t="str">
        <f ca="1">IFERROR(MATCH($L$115,OFFSET(#REF!,AS660,0,1000000),0)+AS660,"")</f>
        <v/>
      </c>
      <c r="AT661" s="156" t="str">
        <f ca="1">IFERROR(_xlfn.SINGLE(INDEX(#REF!,'Annual Report'!AS661)),"")</f>
        <v/>
      </c>
      <c r="AU661" s="6" t="str">
        <f ca="1">IFERROR(_xlfn.SINGLE(INDEX(#REF!,'Annual Report'!AS661)),"")</f>
        <v/>
      </c>
    </row>
    <row r="662" spans="41:47">
      <c r="AO662" s="6" t="str">
        <f ca="1">IFERROR(MATCH($B$114,OFFSET(#REF!,AO661,0,1000000),0)+AO661,"")</f>
        <v/>
      </c>
      <c r="AP662" s="156" t="str">
        <f ca="1">IFERROR(_xlfn.SINGLE(INDEX(#REF!,'Annual Report'!AO662)),"")</f>
        <v/>
      </c>
      <c r="AQ662" s="6" t="str">
        <f ca="1">IFERROR(_xlfn.SINGLE(INDEX(#REF!,'Annual Report'!AO662)),"")</f>
        <v/>
      </c>
      <c r="AS662" s="6" t="str">
        <f ca="1">IFERROR(MATCH($L$115,OFFSET(#REF!,AS661,0,1000000),0)+AS661,"")</f>
        <v/>
      </c>
      <c r="AT662" s="156" t="str">
        <f ca="1">IFERROR(_xlfn.SINGLE(INDEX(#REF!,'Annual Report'!AS662)),"")</f>
        <v/>
      </c>
      <c r="AU662" s="6" t="str">
        <f ca="1">IFERROR(_xlfn.SINGLE(INDEX(#REF!,'Annual Report'!AS662)),"")</f>
        <v/>
      </c>
    </row>
    <row r="663" spans="41:47">
      <c r="AO663" s="6" t="str">
        <f ca="1">IFERROR(MATCH($B$114,OFFSET(#REF!,AO662,0,1000000),0)+AO662,"")</f>
        <v/>
      </c>
      <c r="AP663" s="156" t="str">
        <f ca="1">IFERROR(_xlfn.SINGLE(INDEX(#REF!,'Annual Report'!AO663)),"")</f>
        <v/>
      </c>
      <c r="AQ663" s="6" t="str">
        <f ca="1">IFERROR(_xlfn.SINGLE(INDEX(#REF!,'Annual Report'!AO663)),"")</f>
        <v/>
      </c>
      <c r="AS663" s="6" t="str">
        <f ca="1">IFERROR(MATCH($L$115,OFFSET(#REF!,AS662,0,1000000),0)+AS662,"")</f>
        <v/>
      </c>
      <c r="AT663" s="156" t="str">
        <f ca="1">IFERROR(_xlfn.SINGLE(INDEX(#REF!,'Annual Report'!AS663)),"")</f>
        <v/>
      </c>
      <c r="AU663" s="6" t="str">
        <f ca="1">IFERROR(_xlfn.SINGLE(INDEX(#REF!,'Annual Report'!AS663)),"")</f>
        <v/>
      </c>
    </row>
    <row r="664" spans="41:47">
      <c r="AO664" s="6" t="str">
        <f ca="1">IFERROR(MATCH($B$114,OFFSET(#REF!,AO663,0,1000000),0)+AO663,"")</f>
        <v/>
      </c>
      <c r="AP664" s="156" t="str">
        <f ca="1">IFERROR(_xlfn.SINGLE(INDEX(#REF!,'Annual Report'!AO664)),"")</f>
        <v/>
      </c>
      <c r="AQ664" s="6" t="str">
        <f ca="1">IFERROR(_xlfn.SINGLE(INDEX(#REF!,'Annual Report'!AO664)),"")</f>
        <v/>
      </c>
      <c r="AS664" s="6" t="str">
        <f ca="1">IFERROR(MATCH($L$115,OFFSET(#REF!,AS663,0,1000000),0)+AS663,"")</f>
        <v/>
      </c>
      <c r="AT664" s="156" t="str">
        <f ca="1">IFERROR(_xlfn.SINGLE(INDEX(#REF!,'Annual Report'!AS664)),"")</f>
        <v/>
      </c>
      <c r="AU664" s="6" t="str">
        <f ca="1">IFERROR(_xlfn.SINGLE(INDEX(#REF!,'Annual Report'!AS664)),"")</f>
        <v/>
      </c>
    </row>
    <row r="665" spans="41:47">
      <c r="AO665" s="6" t="str">
        <f ca="1">IFERROR(MATCH($B$114,OFFSET(#REF!,AO664,0,1000000),0)+AO664,"")</f>
        <v/>
      </c>
      <c r="AP665" s="156" t="str">
        <f ca="1">IFERROR(_xlfn.SINGLE(INDEX(#REF!,'Annual Report'!AO665)),"")</f>
        <v/>
      </c>
      <c r="AQ665" s="6" t="str">
        <f ca="1">IFERROR(_xlfn.SINGLE(INDEX(#REF!,'Annual Report'!AO665)),"")</f>
        <v/>
      </c>
      <c r="AS665" s="6" t="str">
        <f ca="1">IFERROR(MATCH($L$115,OFFSET(#REF!,AS664,0,1000000),0)+AS664,"")</f>
        <v/>
      </c>
      <c r="AT665" s="156" t="str">
        <f ca="1">IFERROR(_xlfn.SINGLE(INDEX(#REF!,'Annual Report'!AS665)),"")</f>
        <v/>
      </c>
      <c r="AU665" s="6" t="str">
        <f ca="1">IFERROR(_xlfn.SINGLE(INDEX(#REF!,'Annual Report'!AS665)),"")</f>
        <v/>
      </c>
    </row>
    <row r="666" spans="41:47">
      <c r="AO666" s="6" t="str">
        <f ca="1">IFERROR(MATCH($B$114,OFFSET(#REF!,AO665,0,1000000),0)+AO665,"")</f>
        <v/>
      </c>
      <c r="AP666" s="156" t="str">
        <f ca="1">IFERROR(_xlfn.SINGLE(INDEX(#REF!,'Annual Report'!AO666)),"")</f>
        <v/>
      </c>
      <c r="AQ666" s="6" t="str">
        <f ca="1">IFERROR(_xlfn.SINGLE(INDEX(#REF!,'Annual Report'!AO666)),"")</f>
        <v/>
      </c>
      <c r="AS666" s="6" t="str">
        <f ca="1">IFERROR(MATCH($L$115,OFFSET(#REF!,AS665,0,1000000),0)+AS665,"")</f>
        <v/>
      </c>
      <c r="AT666" s="156" t="str">
        <f ca="1">IFERROR(_xlfn.SINGLE(INDEX(#REF!,'Annual Report'!AS666)),"")</f>
        <v/>
      </c>
      <c r="AU666" s="6" t="str">
        <f ca="1">IFERROR(_xlfn.SINGLE(INDEX(#REF!,'Annual Report'!AS666)),"")</f>
        <v/>
      </c>
    </row>
    <row r="667" spans="41:47">
      <c r="AO667" s="6" t="str">
        <f ca="1">IFERROR(MATCH($B$114,OFFSET(#REF!,AO666,0,1000000),0)+AO666,"")</f>
        <v/>
      </c>
      <c r="AP667" s="156" t="str">
        <f ca="1">IFERROR(_xlfn.SINGLE(INDEX(#REF!,'Annual Report'!AO667)),"")</f>
        <v/>
      </c>
      <c r="AQ667" s="6" t="str">
        <f ca="1">IFERROR(_xlfn.SINGLE(INDEX(#REF!,'Annual Report'!AO667)),"")</f>
        <v/>
      </c>
      <c r="AS667" s="6" t="str">
        <f ca="1">IFERROR(MATCH($L$115,OFFSET(#REF!,AS666,0,1000000),0)+AS666,"")</f>
        <v/>
      </c>
      <c r="AT667" s="156" t="str">
        <f ca="1">IFERROR(_xlfn.SINGLE(INDEX(#REF!,'Annual Report'!AS667)),"")</f>
        <v/>
      </c>
      <c r="AU667" s="6" t="str">
        <f ca="1">IFERROR(_xlfn.SINGLE(INDEX(#REF!,'Annual Report'!AS667)),"")</f>
        <v/>
      </c>
    </row>
    <row r="668" spans="41:47">
      <c r="AO668" s="6" t="str">
        <f ca="1">IFERROR(MATCH($B$114,OFFSET(#REF!,AO667,0,1000000),0)+AO667,"")</f>
        <v/>
      </c>
      <c r="AP668" s="156" t="str">
        <f ca="1">IFERROR(_xlfn.SINGLE(INDEX(#REF!,'Annual Report'!AO668)),"")</f>
        <v/>
      </c>
      <c r="AQ668" s="6" t="str">
        <f ca="1">IFERROR(_xlfn.SINGLE(INDEX(#REF!,'Annual Report'!AO668)),"")</f>
        <v/>
      </c>
      <c r="AS668" s="6" t="str">
        <f ca="1">IFERROR(MATCH($L$115,OFFSET(#REF!,AS667,0,1000000),0)+AS667,"")</f>
        <v/>
      </c>
      <c r="AT668" s="156" t="str">
        <f ca="1">IFERROR(_xlfn.SINGLE(INDEX(#REF!,'Annual Report'!AS668)),"")</f>
        <v/>
      </c>
      <c r="AU668" s="6" t="str">
        <f ca="1">IFERROR(_xlfn.SINGLE(INDEX(#REF!,'Annual Report'!AS668)),"")</f>
        <v/>
      </c>
    </row>
    <row r="669" spans="41:47">
      <c r="AO669" s="6" t="str">
        <f ca="1">IFERROR(MATCH($B$114,OFFSET(#REF!,AO668,0,1000000),0)+AO668,"")</f>
        <v/>
      </c>
      <c r="AP669" s="156" t="str">
        <f ca="1">IFERROR(_xlfn.SINGLE(INDEX(#REF!,'Annual Report'!AO669)),"")</f>
        <v/>
      </c>
      <c r="AQ669" s="6" t="str">
        <f ca="1">IFERROR(_xlfn.SINGLE(INDEX(#REF!,'Annual Report'!AO669)),"")</f>
        <v/>
      </c>
      <c r="AS669" s="6" t="str">
        <f ca="1">IFERROR(MATCH($L$115,OFFSET(#REF!,AS668,0,1000000),0)+AS668,"")</f>
        <v/>
      </c>
      <c r="AT669" s="156" t="str">
        <f ca="1">IFERROR(_xlfn.SINGLE(INDEX(#REF!,'Annual Report'!AS669)),"")</f>
        <v/>
      </c>
      <c r="AU669" s="6" t="str">
        <f ca="1">IFERROR(_xlfn.SINGLE(INDEX(#REF!,'Annual Report'!AS669)),"")</f>
        <v/>
      </c>
    </row>
    <row r="670" spans="41:47">
      <c r="AO670" s="6" t="str">
        <f ca="1">IFERROR(MATCH($B$114,OFFSET(#REF!,AO669,0,1000000),0)+AO669,"")</f>
        <v/>
      </c>
      <c r="AP670" s="156" t="str">
        <f ca="1">IFERROR(_xlfn.SINGLE(INDEX(#REF!,'Annual Report'!AO670)),"")</f>
        <v/>
      </c>
      <c r="AQ670" s="6" t="str">
        <f ca="1">IFERROR(_xlfn.SINGLE(INDEX(#REF!,'Annual Report'!AO670)),"")</f>
        <v/>
      </c>
      <c r="AS670" s="6" t="str">
        <f ca="1">IFERROR(MATCH($L$115,OFFSET(#REF!,AS669,0,1000000),0)+AS669,"")</f>
        <v/>
      </c>
      <c r="AT670" s="156" t="str">
        <f ca="1">IFERROR(_xlfn.SINGLE(INDEX(#REF!,'Annual Report'!AS670)),"")</f>
        <v/>
      </c>
      <c r="AU670" s="6" t="str">
        <f ca="1">IFERROR(_xlfn.SINGLE(INDEX(#REF!,'Annual Report'!AS670)),"")</f>
        <v/>
      </c>
    </row>
    <row r="671" spans="41:47">
      <c r="AO671" s="6" t="str">
        <f ca="1">IFERROR(MATCH($B$114,OFFSET(#REF!,AO670,0,1000000),0)+AO670,"")</f>
        <v/>
      </c>
      <c r="AP671" s="156" t="str">
        <f ca="1">IFERROR(_xlfn.SINGLE(INDEX(#REF!,'Annual Report'!AO671)),"")</f>
        <v/>
      </c>
      <c r="AQ671" s="6" t="str">
        <f ca="1">IFERROR(_xlfn.SINGLE(INDEX(#REF!,'Annual Report'!AO671)),"")</f>
        <v/>
      </c>
      <c r="AS671" s="6" t="str">
        <f ca="1">IFERROR(MATCH($L$115,OFFSET(#REF!,AS670,0,1000000),0)+AS670,"")</f>
        <v/>
      </c>
      <c r="AT671" s="156" t="str">
        <f ca="1">IFERROR(_xlfn.SINGLE(INDEX(#REF!,'Annual Report'!AS671)),"")</f>
        <v/>
      </c>
      <c r="AU671" s="6" t="str">
        <f ca="1">IFERROR(_xlfn.SINGLE(INDEX(#REF!,'Annual Report'!AS671)),"")</f>
        <v/>
      </c>
    </row>
    <row r="672" spans="41:47">
      <c r="AO672" s="6" t="str">
        <f ca="1">IFERROR(MATCH($B$114,OFFSET(#REF!,AO671,0,1000000),0)+AO671,"")</f>
        <v/>
      </c>
      <c r="AP672" s="156" t="str">
        <f ca="1">IFERROR(_xlfn.SINGLE(INDEX(#REF!,'Annual Report'!AO672)),"")</f>
        <v/>
      </c>
      <c r="AQ672" s="6" t="str">
        <f ca="1">IFERROR(_xlfn.SINGLE(INDEX(#REF!,'Annual Report'!AO672)),"")</f>
        <v/>
      </c>
      <c r="AS672" s="6" t="str">
        <f ca="1">IFERROR(MATCH($L$115,OFFSET(#REF!,AS671,0,1000000),0)+AS671,"")</f>
        <v/>
      </c>
      <c r="AT672" s="156" t="str">
        <f ca="1">IFERROR(_xlfn.SINGLE(INDEX(#REF!,'Annual Report'!AS672)),"")</f>
        <v/>
      </c>
      <c r="AU672" s="6" t="str">
        <f ca="1">IFERROR(_xlfn.SINGLE(INDEX(#REF!,'Annual Report'!AS672)),"")</f>
        <v/>
      </c>
    </row>
    <row r="673" spans="41:47">
      <c r="AO673" s="6" t="str">
        <f ca="1">IFERROR(MATCH($B$114,OFFSET(#REF!,AO672,0,1000000),0)+AO672,"")</f>
        <v/>
      </c>
      <c r="AP673" s="156" t="str">
        <f ca="1">IFERROR(_xlfn.SINGLE(INDEX(#REF!,'Annual Report'!AO673)),"")</f>
        <v/>
      </c>
      <c r="AQ673" s="6" t="str">
        <f ca="1">IFERROR(_xlfn.SINGLE(INDEX(#REF!,'Annual Report'!AO673)),"")</f>
        <v/>
      </c>
      <c r="AS673" s="6" t="str">
        <f ca="1">IFERROR(MATCH($L$115,OFFSET(#REF!,AS672,0,1000000),0)+AS672,"")</f>
        <v/>
      </c>
      <c r="AT673" s="156" t="str">
        <f ca="1">IFERROR(_xlfn.SINGLE(INDEX(#REF!,'Annual Report'!AS673)),"")</f>
        <v/>
      </c>
      <c r="AU673" s="6" t="str">
        <f ca="1">IFERROR(_xlfn.SINGLE(INDEX(#REF!,'Annual Report'!AS673)),"")</f>
        <v/>
      </c>
    </row>
    <row r="674" spans="41:47">
      <c r="AO674" s="6" t="str">
        <f ca="1">IFERROR(MATCH($B$114,OFFSET(#REF!,AO673,0,1000000),0)+AO673,"")</f>
        <v/>
      </c>
      <c r="AP674" s="156" t="str">
        <f ca="1">IFERROR(_xlfn.SINGLE(INDEX(#REF!,'Annual Report'!AO674)),"")</f>
        <v/>
      </c>
      <c r="AQ674" s="6" t="str">
        <f ca="1">IFERROR(_xlfn.SINGLE(INDEX(#REF!,'Annual Report'!AO674)),"")</f>
        <v/>
      </c>
      <c r="AS674" s="6" t="str">
        <f ca="1">IFERROR(MATCH($L$115,OFFSET(#REF!,AS673,0,1000000),0)+AS673,"")</f>
        <v/>
      </c>
      <c r="AT674" s="156" t="str">
        <f ca="1">IFERROR(_xlfn.SINGLE(INDEX(#REF!,'Annual Report'!AS674)),"")</f>
        <v/>
      </c>
      <c r="AU674" s="6" t="str">
        <f ca="1">IFERROR(_xlfn.SINGLE(INDEX(#REF!,'Annual Report'!AS674)),"")</f>
        <v/>
      </c>
    </row>
    <row r="675" spans="41:47">
      <c r="AO675" s="6" t="str">
        <f ca="1">IFERROR(MATCH($B$114,OFFSET(#REF!,AO674,0,1000000),0)+AO674,"")</f>
        <v/>
      </c>
      <c r="AP675" s="156" t="str">
        <f ca="1">IFERROR(_xlfn.SINGLE(INDEX(#REF!,'Annual Report'!AO675)),"")</f>
        <v/>
      </c>
      <c r="AQ675" s="6" t="str">
        <f ca="1">IFERROR(_xlfn.SINGLE(INDEX(#REF!,'Annual Report'!AO675)),"")</f>
        <v/>
      </c>
      <c r="AS675" s="6" t="str">
        <f ca="1">IFERROR(MATCH($L$115,OFFSET(#REF!,AS674,0,1000000),0)+AS674,"")</f>
        <v/>
      </c>
      <c r="AT675" s="156" t="str">
        <f ca="1">IFERROR(_xlfn.SINGLE(INDEX(#REF!,'Annual Report'!AS675)),"")</f>
        <v/>
      </c>
      <c r="AU675" s="6" t="str">
        <f ca="1">IFERROR(_xlfn.SINGLE(INDEX(#REF!,'Annual Report'!AS675)),"")</f>
        <v/>
      </c>
    </row>
    <row r="676" spans="41:47">
      <c r="AO676" s="6" t="str">
        <f ca="1">IFERROR(MATCH($B$114,OFFSET(#REF!,AO675,0,1000000),0)+AO675,"")</f>
        <v/>
      </c>
      <c r="AP676" s="156" t="str">
        <f ca="1">IFERROR(_xlfn.SINGLE(INDEX(#REF!,'Annual Report'!AO676)),"")</f>
        <v/>
      </c>
      <c r="AQ676" s="6" t="str">
        <f ca="1">IFERROR(_xlfn.SINGLE(INDEX(#REF!,'Annual Report'!AO676)),"")</f>
        <v/>
      </c>
      <c r="AS676" s="6" t="str">
        <f ca="1">IFERROR(MATCH($L$115,OFFSET(#REF!,AS675,0,1000000),0)+AS675,"")</f>
        <v/>
      </c>
      <c r="AT676" s="156" t="str">
        <f ca="1">IFERROR(_xlfn.SINGLE(INDEX(#REF!,'Annual Report'!AS676)),"")</f>
        <v/>
      </c>
      <c r="AU676" s="6" t="str">
        <f ca="1">IFERROR(_xlfn.SINGLE(INDEX(#REF!,'Annual Report'!AS676)),"")</f>
        <v/>
      </c>
    </row>
    <row r="677" spans="41:47">
      <c r="AO677" s="6" t="str">
        <f ca="1">IFERROR(MATCH($B$114,OFFSET(#REF!,AO676,0,1000000),0)+AO676,"")</f>
        <v/>
      </c>
      <c r="AP677" s="156" t="str">
        <f ca="1">IFERROR(_xlfn.SINGLE(INDEX(#REF!,'Annual Report'!AO677)),"")</f>
        <v/>
      </c>
      <c r="AQ677" s="6" t="str">
        <f ca="1">IFERROR(_xlfn.SINGLE(INDEX(#REF!,'Annual Report'!AO677)),"")</f>
        <v/>
      </c>
      <c r="AS677" s="6" t="str">
        <f ca="1">IFERROR(MATCH($L$115,OFFSET(#REF!,AS676,0,1000000),0)+AS676,"")</f>
        <v/>
      </c>
      <c r="AT677" s="156" t="str">
        <f ca="1">IFERROR(_xlfn.SINGLE(INDEX(#REF!,'Annual Report'!AS677)),"")</f>
        <v/>
      </c>
      <c r="AU677" s="6" t="str">
        <f ca="1">IFERROR(_xlfn.SINGLE(INDEX(#REF!,'Annual Report'!AS677)),"")</f>
        <v/>
      </c>
    </row>
    <row r="678" spans="41:47">
      <c r="AO678" s="6" t="str">
        <f ca="1">IFERROR(MATCH($B$114,OFFSET(#REF!,AO677,0,1000000),0)+AO677,"")</f>
        <v/>
      </c>
      <c r="AP678" s="156" t="str">
        <f ca="1">IFERROR(_xlfn.SINGLE(INDEX(#REF!,'Annual Report'!AO678)),"")</f>
        <v/>
      </c>
      <c r="AQ678" s="6" t="str">
        <f ca="1">IFERROR(_xlfn.SINGLE(INDEX(#REF!,'Annual Report'!AO678)),"")</f>
        <v/>
      </c>
      <c r="AS678" s="6" t="str">
        <f ca="1">IFERROR(MATCH($L$115,OFFSET(#REF!,AS677,0,1000000),0)+AS677,"")</f>
        <v/>
      </c>
      <c r="AT678" s="156" t="str">
        <f ca="1">IFERROR(_xlfn.SINGLE(INDEX(#REF!,'Annual Report'!AS678)),"")</f>
        <v/>
      </c>
      <c r="AU678" s="6" t="str">
        <f ca="1">IFERROR(_xlfn.SINGLE(INDEX(#REF!,'Annual Report'!AS678)),"")</f>
        <v/>
      </c>
    </row>
    <row r="679" spans="41:47">
      <c r="AO679" s="6" t="str">
        <f ca="1">IFERROR(MATCH($B$114,OFFSET(#REF!,AO678,0,1000000),0)+AO678,"")</f>
        <v/>
      </c>
      <c r="AP679" s="156" t="str">
        <f ca="1">IFERROR(_xlfn.SINGLE(INDEX(#REF!,'Annual Report'!AO679)),"")</f>
        <v/>
      </c>
      <c r="AQ679" s="6" t="str">
        <f ca="1">IFERROR(_xlfn.SINGLE(INDEX(#REF!,'Annual Report'!AO679)),"")</f>
        <v/>
      </c>
      <c r="AS679" s="6" t="str">
        <f ca="1">IFERROR(MATCH($L$115,OFFSET(#REF!,AS678,0,1000000),0)+AS678,"")</f>
        <v/>
      </c>
      <c r="AT679" s="156" t="str">
        <f ca="1">IFERROR(_xlfn.SINGLE(INDEX(#REF!,'Annual Report'!AS679)),"")</f>
        <v/>
      </c>
      <c r="AU679" s="6" t="str">
        <f ca="1">IFERROR(_xlfn.SINGLE(INDEX(#REF!,'Annual Report'!AS679)),"")</f>
        <v/>
      </c>
    </row>
    <row r="680" spans="41:47">
      <c r="AO680" s="6" t="str">
        <f ca="1">IFERROR(MATCH($B$114,OFFSET(#REF!,AO679,0,1000000),0)+AO679,"")</f>
        <v/>
      </c>
      <c r="AP680" s="156" t="str">
        <f ca="1">IFERROR(_xlfn.SINGLE(INDEX(#REF!,'Annual Report'!AO680)),"")</f>
        <v/>
      </c>
      <c r="AQ680" s="6" t="str">
        <f ca="1">IFERROR(_xlfn.SINGLE(INDEX(#REF!,'Annual Report'!AO680)),"")</f>
        <v/>
      </c>
      <c r="AS680" s="6" t="str">
        <f ca="1">IFERROR(MATCH($L$115,OFFSET(#REF!,AS679,0,1000000),0)+AS679,"")</f>
        <v/>
      </c>
      <c r="AT680" s="156" t="str">
        <f ca="1">IFERROR(_xlfn.SINGLE(INDEX(#REF!,'Annual Report'!AS680)),"")</f>
        <v/>
      </c>
      <c r="AU680" s="6" t="str">
        <f ca="1">IFERROR(_xlfn.SINGLE(INDEX(#REF!,'Annual Report'!AS680)),"")</f>
        <v/>
      </c>
    </row>
    <row r="681" spans="41:47">
      <c r="AO681" s="6" t="str">
        <f ca="1">IFERROR(MATCH($B$114,OFFSET(#REF!,AO680,0,1000000),0)+AO680,"")</f>
        <v/>
      </c>
      <c r="AP681" s="156" t="str">
        <f ca="1">IFERROR(_xlfn.SINGLE(INDEX(#REF!,'Annual Report'!AO681)),"")</f>
        <v/>
      </c>
      <c r="AQ681" s="6" t="str">
        <f ca="1">IFERROR(_xlfn.SINGLE(INDEX(#REF!,'Annual Report'!AO681)),"")</f>
        <v/>
      </c>
      <c r="AS681" s="6" t="str">
        <f ca="1">IFERROR(MATCH($L$115,OFFSET(#REF!,AS680,0,1000000),0)+AS680,"")</f>
        <v/>
      </c>
      <c r="AT681" s="156" t="str">
        <f ca="1">IFERROR(_xlfn.SINGLE(INDEX(#REF!,'Annual Report'!AS681)),"")</f>
        <v/>
      </c>
      <c r="AU681" s="6" t="str">
        <f ca="1">IFERROR(_xlfn.SINGLE(INDEX(#REF!,'Annual Report'!AS681)),"")</f>
        <v/>
      </c>
    </row>
    <row r="682" spans="41:47">
      <c r="AO682" s="6" t="str">
        <f ca="1">IFERROR(MATCH($B$114,OFFSET(#REF!,AO681,0,1000000),0)+AO681,"")</f>
        <v/>
      </c>
      <c r="AP682" s="156" t="str">
        <f ca="1">IFERROR(_xlfn.SINGLE(INDEX(#REF!,'Annual Report'!AO682)),"")</f>
        <v/>
      </c>
      <c r="AQ682" s="6" t="str">
        <f ca="1">IFERROR(_xlfn.SINGLE(INDEX(#REF!,'Annual Report'!AO682)),"")</f>
        <v/>
      </c>
      <c r="AS682" s="6" t="str">
        <f ca="1">IFERROR(MATCH($L$115,OFFSET(#REF!,AS681,0,1000000),0)+AS681,"")</f>
        <v/>
      </c>
      <c r="AT682" s="156" t="str">
        <f ca="1">IFERROR(_xlfn.SINGLE(INDEX(#REF!,'Annual Report'!AS682)),"")</f>
        <v/>
      </c>
      <c r="AU682" s="6" t="str">
        <f ca="1">IFERROR(_xlfn.SINGLE(INDEX(#REF!,'Annual Report'!AS682)),"")</f>
        <v/>
      </c>
    </row>
    <row r="683" spans="41:47">
      <c r="AO683" s="6" t="str">
        <f ca="1">IFERROR(MATCH($B$114,OFFSET(#REF!,AO682,0,1000000),0)+AO682,"")</f>
        <v/>
      </c>
      <c r="AP683" s="156" t="str">
        <f ca="1">IFERROR(_xlfn.SINGLE(INDEX(#REF!,'Annual Report'!AO683)),"")</f>
        <v/>
      </c>
      <c r="AQ683" s="6" t="str">
        <f ca="1">IFERROR(_xlfn.SINGLE(INDEX(#REF!,'Annual Report'!AO683)),"")</f>
        <v/>
      </c>
      <c r="AS683" s="6" t="str">
        <f ca="1">IFERROR(MATCH($L$115,OFFSET(#REF!,AS682,0,1000000),0)+AS682,"")</f>
        <v/>
      </c>
      <c r="AT683" s="156" t="str">
        <f ca="1">IFERROR(_xlfn.SINGLE(INDEX(#REF!,'Annual Report'!AS683)),"")</f>
        <v/>
      </c>
      <c r="AU683" s="6" t="str">
        <f ca="1">IFERROR(_xlfn.SINGLE(INDEX(#REF!,'Annual Report'!AS683)),"")</f>
        <v/>
      </c>
    </row>
    <row r="684" spans="41:47">
      <c r="AO684" s="6" t="str">
        <f ca="1">IFERROR(MATCH($B$114,OFFSET(#REF!,AO683,0,1000000),0)+AO683,"")</f>
        <v/>
      </c>
      <c r="AP684" s="156" t="str">
        <f ca="1">IFERROR(_xlfn.SINGLE(INDEX(#REF!,'Annual Report'!AO684)),"")</f>
        <v/>
      </c>
      <c r="AQ684" s="6" t="str">
        <f ca="1">IFERROR(_xlfn.SINGLE(INDEX(#REF!,'Annual Report'!AO684)),"")</f>
        <v/>
      </c>
      <c r="AS684" s="6" t="str">
        <f ca="1">IFERROR(MATCH($L$115,OFFSET(#REF!,AS683,0,1000000),0)+AS683,"")</f>
        <v/>
      </c>
      <c r="AT684" s="156" t="str">
        <f ca="1">IFERROR(_xlfn.SINGLE(INDEX(#REF!,'Annual Report'!AS684)),"")</f>
        <v/>
      </c>
      <c r="AU684" s="6" t="str">
        <f ca="1">IFERROR(_xlfn.SINGLE(INDEX(#REF!,'Annual Report'!AS684)),"")</f>
        <v/>
      </c>
    </row>
    <row r="685" spans="41:47">
      <c r="AO685" s="6" t="str">
        <f ca="1">IFERROR(MATCH($B$114,OFFSET(#REF!,AO684,0,1000000),0)+AO684,"")</f>
        <v/>
      </c>
      <c r="AP685" s="156" t="str">
        <f ca="1">IFERROR(_xlfn.SINGLE(INDEX(#REF!,'Annual Report'!AO685)),"")</f>
        <v/>
      </c>
      <c r="AQ685" s="6" t="str">
        <f ca="1">IFERROR(_xlfn.SINGLE(INDEX(#REF!,'Annual Report'!AO685)),"")</f>
        <v/>
      </c>
      <c r="AS685" s="6" t="str">
        <f ca="1">IFERROR(MATCH($L$115,OFFSET(#REF!,AS684,0,1000000),0)+AS684,"")</f>
        <v/>
      </c>
      <c r="AT685" s="156" t="str">
        <f ca="1">IFERROR(_xlfn.SINGLE(INDEX(#REF!,'Annual Report'!AS685)),"")</f>
        <v/>
      </c>
      <c r="AU685" s="6" t="str">
        <f ca="1">IFERROR(_xlfn.SINGLE(INDEX(#REF!,'Annual Report'!AS685)),"")</f>
        <v/>
      </c>
    </row>
    <row r="686" spans="41:47">
      <c r="AO686" s="6" t="str">
        <f ca="1">IFERROR(MATCH($B$114,OFFSET(#REF!,AO685,0,1000000),0)+AO685,"")</f>
        <v/>
      </c>
      <c r="AP686" s="156" t="str">
        <f ca="1">IFERROR(_xlfn.SINGLE(INDEX(#REF!,'Annual Report'!AO686)),"")</f>
        <v/>
      </c>
      <c r="AQ686" s="6" t="str">
        <f ca="1">IFERROR(_xlfn.SINGLE(INDEX(#REF!,'Annual Report'!AO686)),"")</f>
        <v/>
      </c>
      <c r="AS686" s="6" t="str">
        <f ca="1">IFERROR(MATCH($L$115,OFFSET(#REF!,AS685,0,1000000),0)+AS685,"")</f>
        <v/>
      </c>
      <c r="AT686" s="156" t="str">
        <f ca="1">IFERROR(_xlfn.SINGLE(INDEX(#REF!,'Annual Report'!AS686)),"")</f>
        <v/>
      </c>
      <c r="AU686" s="6" t="str">
        <f ca="1">IFERROR(_xlfn.SINGLE(INDEX(#REF!,'Annual Report'!AS686)),"")</f>
        <v/>
      </c>
    </row>
    <row r="687" spans="41:47">
      <c r="AO687" s="6" t="str">
        <f ca="1">IFERROR(MATCH($B$114,OFFSET(#REF!,AO686,0,1000000),0)+AO686,"")</f>
        <v/>
      </c>
      <c r="AP687" s="156" t="str">
        <f ca="1">IFERROR(_xlfn.SINGLE(INDEX(#REF!,'Annual Report'!AO687)),"")</f>
        <v/>
      </c>
      <c r="AQ687" s="6" t="str">
        <f ca="1">IFERROR(_xlfn.SINGLE(INDEX(#REF!,'Annual Report'!AO687)),"")</f>
        <v/>
      </c>
      <c r="AS687" s="6" t="str">
        <f ca="1">IFERROR(MATCH($L$115,OFFSET(#REF!,AS686,0,1000000),0)+AS686,"")</f>
        <v/>
      </c>
      <c r="AT687" s="156" t="str">
        <f ca="1">IFERROR(_xlfn.SINGLE(INDEX(#REF!,'Annual Report'!AS687)),"")</f>
        <v/>
      </c>
      <c r="AU687" s="6" t="str">
        <f ca="1">IFERROR(_xlfn.SINGLE(INDEX(#REF!,'Annual Report'!AS687)),"")</f>
        <v/>
      </c>
    </row>
    <row r="688" spans="41:47">
      <c r="AO688" s="6" t="str">
        <f ca="1">IFERROR(MATCH($B$114,OFFSET(#REF!,AO687,0,1000000),0)+AO687,"")</f>
        <v/>
      </c>
      <c r="AP688" s="156" t="str">
        <f ca="1">IFERROR(_xlfn.SINGLE(INDEX(#REF!,'Annual Report'!AO688)),"")</f>
        <v/>
      </c>
      <c r="AQ688" s="6" t="str">
        <f ca="1">IFERROR(_xlfn.SINGLE(INDEX(#REF!,'Annual Report'!AO688)),"")</f>
        <v/>
      </c>
      <c r="AS688" s="6" t="str">
        <f ca="1">IFERROR(MATCH($L$115,OFFSET(#REF!,AS687,0,1000000),0)+AS687,"")</f>
        <v/>
      </c>
      <c r="AT688" s="156" t="str">
        <f ca="1">IFERROR(_xlfn.SINGLE(INDEX(#REF!,'Annual Report'!AS688)),"")</f>
        <v/>
      </c>
      <c r="AU688" s="6" t="str">
        <f ca="1">IFERROR(_xlfn.SINGLE(INDEX(#REF!,'Annual Report'!AS688)),"")</f>
        <v/>
      </c>
    </row>
    <row r="689" spans="41:47">
      <c r="AO689" s="6" t="str">
        <f ca="1">IFERROR(MATCH($B$114,OFFSET(#REF!,AO688,0,1000000),0)+AO688,"")</f>
        <v/>
      </c>
      <c r="AP689" s="156" t="str">
        <f ca="1">IFERROR(_xlfn.SINGLE(INDEX(#REF!,'Annual Report'!AO689)),"")</f>
        <v/>
      </c>
      <c r="AQ689" s="6" t="str">
        <f ca="1">IFERROR(_xlfn.SINGLE(INDEX(#REF!,'Annual Report'!AO689)),"")</f>
        <v/>
      </c>
      <c r="AS689" s="6" t="str">
        <f ca="1">IFERROR(MATCH($L$115,OFFSET(#REF!,AS688,0,1000000),0)+AS688,"")</f>
        <v/>
      </c>
      <c r="AT689" s="156" t="str">
        <f ca="1">IFERROR(_xlfn.SINGLE(INDEX(#REF!,'Annual Report'!AS689)),"")</f>
        <v/>
      </c>
      <c r="AU689" s="6" t="str">
        <f ca="1">IFERROR(_xlfn.SINGLE(INDEX(#REF!,'Annual Report'!AS689)),"")</f>
        <v/>
      </c>
    </row>
    <row r="690" spans="41:47">
      <c r="AO690" s="6" t="str">
        <f ca="1">IFERROR(MATCH($B$114,OFFSET(#REF!,AO689,0,1000000),0)+AO689,"")</f>
        <v/>
      </c>
      <c r="AP690" s="156" t="str">
        <f ca="1">IFERROR(_xlfn.SINGLE(INDEX(#REF!,'Annual Report'!AO690)),"")</f>
        <v/>
      </c>
      <c r="AQ690" s="6" t="str">
        <f ca="1">IFERROR(_xlfn.SINGLE(INDEX(#REF!,'Annual Report'!AO690)),"")</f>
        <v/>
      </c>
      <c r="AS690" s="6" t="str">
        <f ca="1">IFERROR(MATCH($L$115,OFFSET(#REF!,AS689,0,1000000),0)+AS689,"")</f>
        <v/>
      </c>
      <c r="AT690" s="156" t="str">
        <f ca="1">IFERROR(_xlfn.SINGLE(INDEX(#REF!,'Annual Report'!AS690)),"")</f>
        <v/>
      </c>
      <c r="AU690" s="6" t="str">
        <f ca="1">IFERROR(_xlfn.SINGLE(INDEX(#REF!,'Annual Report'!AS690)),"")</f>
        <v/>
      </c>
    </row>
    <row r="691" spans="41:47">
      <c r="AO691" s="6" t="str">
        <f ca="1">IFERROR(MATCH($B$114,OFFSET(#REF!,AO690,0,1000000),0)+AO690,"")</f>
        <v/>
      </c>
      <c r="AP691" s="156" t="str">
        <f ca="1">IFERROR(_xlfn.SINGLE(INDEX(#REF!,'Annual Report'!AO691)),"")</f>
        <v/>
      </c>
      <c r="AQ691" s="6" t="str">
        <f ca="1">IFERROR(_xlfn.SINGLE(INDEX(#REF!,'Annual Report'!AO691)),"")</f>
        <v/>
      </c>
      <c r="AS691" s="6" t="str">
        <f ca="1">IFERROR(MATCH($L$115,OFFSET(#REF!,AS690,0,1000000),0)+AS690,"")</f>
        <v/>
      </c>
      <c r="AT691" s="156" t="str">
        <f ca="1">IFERROR(_xlfn.SINGLE(INDEX(#REF!,'Annual Report'!AS691)),"")</f>
        <v/>
      </c>
      <c r="AU691" s="6" t="str">
        <f ca="1">IFERROR(_xlfn.SINGLE(INDEX(#REF!,'Annual Report'!AS691)),"")</f>
        <v/>
      </c>
    </row>
    <row r="692" spans="41:47">
      <c r="AO692" s="6" t="str">
        <f ca="1">IFERROR(MATCH($B$114,OFFSET(#REF!,AO691,0,1000000),0)+AO691,"")</f>
        <v/>
      </c>
      <c r="AP692" s="156" t="str">
        <f ca="1">IFERROR(_xlfn.SINGLE(INDEX(#REF!,'Annual Report'!AO692)),"")</f>
        <v/>
      </c>
      <c r="AQ692" s="6" t="str">
        <f ca="1">IFERROR(_xlfn.SINGLE(INDEX(#REF!,'Annual Report'!AO692)),"")</f>
        <v/>
      </c>
      <c r="AS692" s="6" t="str">
        <f ca="1">IFERROR(MATCH($L$115,OFFSET(#REF!,AS691,0,1000000),0)+AS691,"")</f>
        <v/>
      </c>
      <c r="AT692" s="156" t="str">
        <f ca="1">IFERROR(_xlfn.SINGLE(INDEX(#REF!,'Annual Report'!AS692)),"")</f>
        <v/>
      </c>
      <c r="AU692" s="6" t="str">
        <f ca="1">IFERROR(_xlfn.SINGLE(INDEX(#REF!,'Annual Report'!AS692)),"")</f>
        <v/>
      </c>
    </row>
    <row r="693" spans="41:47">
      <c r="AO693" s="6" t="str">
        <f ca="1">IFERROR(MATCH($B$114,OFFSET(#REF!,AO692,0,1000000),0)+AO692,"")</f>
        <v/>
      </c>
      <c r="AP693" s="156" t="str">
        <f ca="1">IFERROR(_xlfn.SINGLE(INDEX(#REF!,'Annual Report'!AO693)),"")</f>
        <v/>
      </c>
      <c r="AQ693" s="6" t="str">
        <f ca="1">IFERROR(_xlfn.SINGLE(INDEX(#REF!,'Annual Report'!AO693)),"")</f>
        <v/>
      </c>
      <c r="AS693" s="6" t="str">
        <f ca="1">IFERROR(MATCH($L$115,OFFSET(#REF!,AS692,0,1000000),0)+AS692,"")</f>
        <v/>
      </c>
      <c r="AT693" s="156" t="str">
        <f ca="1">IFERROR(_xlfn.SINGLE(INDEX(#REF!,'Annual Report'!AS693)),"")</f>
        <v/>
      </c>
      <c r="AU693" s="6" t="str">
        <f ca="1">IFERROR(_xlfn.SINGLE(INDEX(#REF!,'Annual Report'!AS693)),"")</f>
        <v/>
      </c>
    </row>
    <row r="694" spans="41:47">
      <c r="AO694" s="6" t="str">
        <f ca="1">IFERROR(MATCH($B$114,OFFSET(#REF!,AO693,0,1000000),0)+AO693,"")</f>
        <v/>
      </c>
      <c r="AP694" s="156" t="str">
        <f ca="1">IFERROR(_xlfn.SINGLE(INDEX(#REF!,'Annual Report'!AO694)),"")</f>
        <v/>
      </c>
      <c r="AQ694" s="6" t="str">
        <f ca="1">IFERROR(_xlfn.SINGLE(INDEX(#REF!,'Annual Report'!AO694)),"")</f>
        <v/>
      </c>
      <c r="AS694" s="6" t="str">
        <f ca="1">IFERROR(MATCH($L$115,OFFSET(#REF!,AS693,0,1000000),0)+AS693,"")</f>
        <v/>
      </c>
      <c r="AT694" s="156" t="str">
        <f ca="1">IFERROR(_xlfn.SINGLE(INDEX(#REF!,'Annual Report'!AS694)),"")</f>
        <v/>
      </c>
      <c r="AU694" s="6" t="str">
        <f ca="1">IFERROR(_xlfn.SINGLE(INDEX(#REF!,'Annual Report'!AS694)),"")</f>
        <v/>
      </c>
    </row>
    <row r="695" spans="41:47">
      <c r="AO695" s="6" t="str">
        <f ca="1">IFERROR(MATCH($B$114,OFFSET(#REF!,AO694,0,1000000),0)+AO694,"")</f>
        <v/>
      </c>
      <c r="AP695" s="156" t="str">
        <f ca="1">IFERROR(_xlfn.SINGLE(INDEX(#REF!,'Annual Report'!AO695)),"")</f>
        <v/>
      </c>
      <c r="AQ695" s="6" t="str">
        <f ca="1">IFERROR(_xlfn.SINGLE(INDEX(#REF!,'Annual Report'!AO695)),"")</f>
        <v/>
      </c>
      <c r="AS695" s="6" t="str">
        <f ca="1">IFERROR(MATCH($L$115,OFFSET(#REF!,AS694,0,1000000),0)+AS694,"")</f>
        <v/>
      </c>
      <c r="AT695" s="156" t="str">
        <f ca="1">IFERROR(_xlfn.SINGLE(INDEX(#REF!,'Annual Report'!AS695)),"")</f>
        <v/>
      </c>
      <c r="AU695" s="6" t="str">
        <f ca="1">IFERROR(_xlfn.SINGLE(INDEX(#REF!,'Annual Report'!AS695)),"")</f>
        <v/>
      </c>
    </row>
    <row r="696" spans="41:47">
      <c r="AO696" s="6" t="str">
        <f ca="1">IFERROR(MATCH($B$114,OFFSET(#REF!,AO695,0,1000000),0)+AO695,"")</f>
        <v/>
      </c>
      <c r="AP696" s="156" t="str">
        <f ca="1">IFERROR(_xlfn.SINGLE(INDEX(#REF!,'Annual Report'!AO696)),"")</f>
        <v/>
      </c>
      <c r="AQ696" s="6" t="str">
        <f ca="1">IFERROR(_xlfn.SINGLE(INDEX(#REF!,'Annual Report'!AO696)),"")</f>
        <v/>
      </c>
      <c r="AS696" s="6" t="str">
        <f ca="1">IFERROR(MATCH($L$115,OFFSET(#REF!,AS695,0,1000000),0)+AS695,"")</f>
        <v/>
      </c>
      <c r="AT696" s="156" t="str">
        <f ca="1">IFERROR(_xlfn.SINGLE(INDEX(#REF!,'Annual Report'!AS696)),"")</f>
        <v/>
      </c>
      <c r="AU696" s="6" t="str">
        <f ca="1">IFERROR(_xlfn.SINGLE(INDEX(#REF!,'Annual Report'!AS696)),"")</f>
        <v/>
      </c>
    </row>
    <row r="697" spans="41:47">
      <c r="AO697" s="6" t="str">
        <f ca="1">IFERROR(MATCH($B$114,OFFSET(#REF!,AO696,0,1000000),0)+AO696,"")</f>
        <v/>
      </c>
      <c r="AP697" s="156" t="str">
        <f ca="1">IFERROR(_xlfn.SINGLE(INDEX(#REF!,'Annual Report'!AO697)),"")</f>
        <v/>
      </c>
      <c r="AQ697" s="6" t="str">
        <f ca="1">IFERROR(_xlfn.SINGLE(INDEX(#REF!,'Annual Report'!AO697)),"")</f>
        <v/>
      </c>
      <c r="AS697" s="6" t="str">
        <f ca="1">IFERROR(MATCH($L$115,OFFSET(#REF!,AS696,0,1000000),0)+AS696,"")</f>
        <v/>
      </c>
      <c r="AT697" s="156" t="str">
        <f ca="1">IFERROR(_xlfn.SINGLE(INDEX(#REF!,'Annual Report'!AS697)),"")</f>
        <v/>
      </c>
      <c r="AU697" s="6" t="str">
        <f ca="1">IFERROR(_xlfn.SINGLE(INDEX(#REF!,'Annual Report'!AS697)),"")</f>
        <v/>
      </c>
    </row>
    <row r="698" spans="41:47">
      <c r="AO698" s="6" t="str">
        <f ca="1">IFERROR(MATCH($B$114,OFFSET(#REF!,AO697,0,1000000),0)+AO697,"")</f>
        <v/>
      </c>
      <c r="AP698" s="156" t="str">
        <f ca="1">IFERROR(_xlfn.SINGLE(INDEX(#REF!,'Annual Report'!AO698)),"")</f>
        <v/>
      </c>
      <c r="AQ698" s="6" t="str">
        <f ca="1">IFERROR(_xlfn.SINGLE(INDEX(#REF!,'Annual Report'!AO698)),"")</f>
        <v/>
      </c>
      <c r="AS698" s="6" t="str">
        <f ca="1">IFERROR(MATCH($L$115,OFFSET(#REF!,AS697,0,1000000),0)+AS697,"")</f>
        <v/>
      </c>
      <c r="AT698" s="156" t="str">
        <f ca="1">IFERROR(_xlfn.SINGLE(INDEX(#REF!,'Annual Report'!AS698)),"")</f>
        <v/>
      </c>
      <c r="AU698" s="6" t="str">
        <f ca="1">IFERROR(_xlfn.SINGLE(INDEX(#REF!,'Annual Report'!AS698)),"")</f>
        <v/>
      </c>
    </row>
    <row r="699" spans="41:47">
      <c r="AO699" s="6" t="str">
        <f ca="1">IFERROR(MATCH($B$114,OFFSET(#REF!,AO698,0,1000000),0)+AO698,"")</f>
        <v/>
      </c>
      <c r="AP699" s="156" t="str">
        <f ca="1">IFERROR(_xlfn.SINGLE(INDEX(#REF!,'Annual Report'!AO699)),"")</f>
        <v/>
      </c>
      <c r="AQ699" s="6" t="str">
        <f ca="1">IFERROR(_xlfn.SINGLE(INDEX(#REF!,'Annual Report'!AO699)),"")</f>
        <v/>
      </c>
      <c r="AS699" s="6" t="str">
        <f ca="1">IFERROR(MATCH($L$115,OFFSET(#REF!,AS698,0,1000000),0)+AS698,"")</f>
        <v/>
      </c>
      <c r="AT699" s="156" t="str">
        <f ca="1">IFERROR(_xlfn.SINGLE(INDEX(#REF!,'Annual Report'!AS699)),"")</f>
        <v/>
      </c>
      <c r="AU699" s="6" t="str">
        <f ca="1">IFERROR(_xlfn.SINGLE(INDEX(#REF!,'Annual Report'!AS699)),"")</f>
        <v/>
      </c>
    </row>
    <row r="700" spans="41:47">
      <c r="AO700" s="6" t="str">
        <f ca="1">IFERROR(MATCH($B$114,OFFSET(#REF!,AO699,0,1000000),0)+AO699,"")</f>
        <v/>
      </c>
      <c r="AP700" s="156" t="str">
        <f ca="1">IFERROR(_xlfn.SINGLE(INDEX(#REF!,'Annual Report'!AO700)),"")</f>
        <v/>
      </c>
      <c r="AQ700" s="6" t="str">
        <f ca="1">IFERROR(_xlfn.SINGLE(INDEX(#REF!,'Annual Report'!AO700)),"")</f>
        <v/>
      </c>
      <c r="AS700" s="6" t="str">
        <f ca="1">IFERROR(MATCH($L$115,OFFSET(#REF!,AS699,0,1000000),0)+AS699,"")</f>
        <v/>
      </c>
      <c r="AT700" s="156" t="str">
        <f ca="1">IFERROR(_xlfn.SINGLE(INDEX(#REF!,'Annual Report'!AS700)),"")</f>
        <v/>
      </c>
      <c r="AU700" s="6" t="str">
        <f ca="1">IFERROR(_xlfn.SINGLE(INDEX(#REF!,'Annual Report'!AS700)),"")</f>
        <v/>
      </c>
    </row>
    <row r="701" spans="41:47">
      <c r="AO701" s="6" t="str">
        <f ca="1">IFERROR(MATCH($B$114,OFFSET(#REF!,AO700,0,1000000),0)+AO700,"")</f>
        <v/>
      </c>
      <c r="AP701" s="156" t="str">
        <f ca="1">IFERROR(_xlfn.SINGLE(INDEX(#REF!,'Annual Report'!AO701)),"")</f>
        <v/>
      </c>
      <c r="AQ701" s="6" t="str">
        <f ca="1">IFERROR(_xlfn.SINGLE(INDEX(#REF!,'Annual Report'!AO701)),"")</f>
        <v/>
      </c>
      <c r="AS701" s="6" t="str">
        <f ca="1">IFERROR(MATCH($L$115,OFFSET(#REF!,AS700,0,1000000),0)+AS700,"")</f>
        <v/>
      </c>
      <c r="AT701" s="156" t="str">
        <f ca="1">IFERROR(_xlfn.SINGLE(INDEX(#REF!,'Annual Report'!AS701)),"")</f>
        <v/>
      </c>
      <c r="AU701" s="6" t="str">
        <f ca="1">IFERROR(_xlfn.SINGLE(INDEX(#REF!,'Annual Report'!AS701)),"")</f>
        <v/>
      </c>
    </row>
    <row r="702" spans="41:47">
      <c r="AO702" s="6" t="str">
        <f ca="1">IFERROR(MATCH($B$114,OFFSET(#REF!,AO701,0,1000000),0)+AO701,"")</f>
        <v/>
      </c>
      <c r="AP702" s="156" t="str">
        <f ca="1">IFERROR(_xlfn.SINGLE(INDEX(#REF!,'Annual Report'!AO702)),"")</f>
        <v/>
      </c>
      <c r="AQ702" s="6" t="str">
        <f ca="1">IFERROR(_xlfn.SINGLE(INDEX(#REF!,'Annual Report'!AO702)),"")</f>
        <v/>
      </c>
      <c r="AS702" s="6" t="str">
        <f ca="1">IFERROR(MATCH($L$115,OFFSET(#REF!,AS701,0,1000000),0)+AS701,"")</f>
        <v/>
      </c>
      <c r="AT702" s="156" t="str">
        <f ca="1">IFERROR(_xlfn.SINGLE(INDEX(#REF!,'Annual Report'!AS702)),"")</f>
        <v/>
      </c>
      <c r="AU702" s="6" t="str">
        <f ca="1">IFERROR(_xlfn.SINGLE(INDEX(#REF!,'Annual Report'!AS702)),"")</f>
        <v/>
      </c>
    </row>
    <row r="703" spans="41:47">
      <c r="AO703" s="6" t="str">
        <f ca="1">IFERROR(MATCH($B$114,OFFSET(#REF!,AO702,0,1000000),0)+AO702,"")</f>
        <v/>
      </c>
      <c r="AP703" s="156" t="str">
        <f ca="1">IFERROR(_xlfn.SINGLE(INDEX(#REF!,'Annual Report'!AO703)),"")</f>
        <v/>
      </c>
      <c r="AQ703" s="6" t="str">
        <f ca="1">IFERROR(_xlfn.SINGLE(INDEX(#REF!,'Annual Report'!AO703)),"")</f>
        <v/>
      </c>
      <c r="AS703" s="6" t="str">
        <f ca="1">IFERROR(MATCH($L$115,OFFSET(#REF!,AS702,0,1000000),0)+AS702,"")</f>
        <v/>
      </c>
      <c r="AT703" s="156" t="str">
        <f ca="1">IFERROR(_xlfn.SINGLE(INDEX(#REF!,'Annual Report'!AS703)),"")</f>
        <v/>
      </c>
      <c r="AU703" s="6" t="str">
        <f ca="1">IFERROR(_xlfn.SINGLE(INDEX(#REF!,'Annual Report'!AS703)),"")</f>
        <v/>
      </c>
    </row>
    <row r="704" spans="41:47">
      <c r="AO704" s="6" t="str">
        <f ca="1">IFERROR(MATCH($B$114,OFFSET(#REF!,AO703,0,1000000),0)+AO703,"")</f>
        <v/>
      </c>
      <c r="AP704" s="156" t="str">
        <f ca="1">IFERROR(_xlfn.SINGLE(INDEX(#REF!,'Annual Report'!AO704)),"")</f>
        <v/>
      </c>
      <c r="AQ704" s="6" t="str">
        <f ca="1">IFERROR(_xlfn.SINGLE(INDEX(#REF!,'Annual Report'!AO704)),"")</f>
        <v/>
      </c>
      <c r="AS704" s="6" t="str">
        <f ca="1">IFERROR(MATCH($L$115,OFFSET(#REF!,AS703,0,1000000),0)+AS703,"")</f>
        <v/>
      </c>
      <c r="AT704" s="156" t="str">
        <f ca="1">IFERROR(_xlfn.SINGLE(INDEX(#REF!,'Annual Report'!AS704)),"")</f>
        <v/>
      </c>
      <c r="AU704" s="6" t="str">
        <f ca="1">IFERROR(_xlfn.SINGLE(INDEX(#REF!,'Annual Report'!AS704)),"")</f>
        <v/>
      </c>
    </row>
    <row r="705" spans="41:47">
      <c r="AO705" s="6" t="str">
        <f ca="1">IFERROR(MATCH($B$114,OFFSET(#REF!,AO704,0,1000000),0)+AO704,"")</f>
        <v/>
      </c>
      <c r="AP705" s="156" t="str">
        <f ca="1">IFERROR(_xlfn.SINGLE(INDEX(#REF!,'Annual Report'!AO705)),"")</f>
        <v/>
      </c>
      <c r="AQ705" s="6" t="str">
        <f ca="1">IFERROR(_xlfn.SINGLE(INDEX(#REF!,'Annual Report'!AO705)),"")</f>
        <v/>
      </c>
      <c r="AS705" s="6" t="str">
        <f ca="1">IFERROR(MATCH($L$115,OFFSET(#REF!,AS704,0,1000000),0)+AS704,"")</f>
        <v/>
      </c>
      <c r="AT705" s="156" t="str">
        <f ca="1">IFERROR(_xlfn.SINGLE(INDEX(#REF!,'Annual Report'!AS705)),"")</f>
        <v/>
      </c>
      <c r="AU705" s="6" t="str">
        <f ca="1">IFERROR(_xlfn.SINGLE(INDEX(#REF!,'Annual Report'!AS705)),"")</f>
        <v/>
      </c>
    </row>
    <row r="706" spans="41:47">
      <c r="AO706" s="6" t="str">
        <f ca="1">IFERROR(MATCH($B$114,OFFSET(#REF!,AO705,0,1000000),0)+AO705,"")</f>
        <v/>
      </c>
      <c r="AP706" s="156" t="str">
        <f ca="1">IFERROR(_xlfn.SINGLE(INDEX(#REF!,'Annual Report'!AO706)),"")</f>
        <v/>
      </c>
      <c r="AQ706" s="6" t="str">
        <f ca="1">IFERROR(_xlfn.SINGLE(INDEX(#REF!,'Annual Report'!AO706)),"")</f>
        <v/>
      </c>
      <c r="AS706" s="6" t="str">
        <f ca="1">IFERROR(MATCH($L$115,OFFSET(#REF!,AS705,0,1000000),0)+AS705,"")</f>
        <v/>
      </c>
      <c r="AT706" s="156" t="str">
        <f ca="1">IFERROR(_xlfn.SINGLE(INDEX(#REF!,'Annual Report'!AS706)),"")</f>
        <v/>
      </c>
      <c r="AU706" s="6" t="str">
        <f ca="1">IFERROR(_xlfn.SINGLE(INDEX(#REF!,'Annual Report'!AS706)),"")</f>
        <v/>
      </c>
    </row>
    <row r="707" spans="41:47">
      <c r="AO707" s="6" t="str">
        <f ca="1">IFERROR(MATCH($B$114,OFFSET(#REF!,AO706,0,1000000),0)+AO706,"")</f>
        <v/>
      </c>
      <c r="AP707" s="156" t="str">
        <f ca="1">IFERROR(_xlfn.SINGLE(INDEX(#REF!,'Annual Report'!AO707)),"")</f>
        <v/>
      </c>
      <c r="AQ707" s="6" t="str">
        <f ca="1">IFERROR(_xlfn.SINGLE(INDEX(#REF!,'Annual Report'!AO707)),"")</f>
        <v/>
      </c>
      <c r="AS707" s="6" t="str">
        <f ca="1">IFERROR(MATCH($L$115,OFFSET(#REF!,AS706,0,1000000),0)+AS706,"")</f>
        <v/>
      </c>
      <c r="AT707" s="156" t="str">
        <f ca="1">IFERROR(_xlfn.SINGLE(INDEX(#REF!,'Annual Report'!AS707)),"")</f>
        <v/>
      </c>
      <c r="AU707" s="6" t="str">
        <f ca="1">IFERROR(_xlfn.SINGLE(INDEX(#REF!,'Annual Report'!AS707)),"")</f>
        <v/>
      </c>
    </row>
    <row r="708" spans="41:47">
      <c r="AO708" s="6" t="str">
        <f ca="1">IFERROR(MATCH($B$114,OFFSET(#REF!,AO707,0,1000000),0)+AO707,"")</f>
        <v/>
      </c>
      <c r="AP708" s="156" t="str">
        <f ca="1">IFERROR(_xlfn.SINGLE(INDEX(#REF!,'Annual Report'!AO708)),"")</f>
        <v/>
      </c>
      <c r="AQ708" s="6" t="str">
        <f ca="1">IFERROR(_xlfn.SINGLE(INDEX(#REF!,'Annual Report'!AO708)),"")</f>
        <v/>
      </c>
      <c r="AS708" s="6" t="str">
        <f ca="1">IFERROR(MATCH($L$115,OFFSET(#REF!,AS707,0,1000000),0)+AS707,"")</f>
        <v/>
      </c>
      <c r="AT708" s="156" t="str">
        <f ca="1">IFERROR(_xlfn.SINGLE(INDEX(#REF!,'Annual Report'!AS708)),"")</f>
        <v/>
      </c>
      <c r="AU708" s="6" t="str">
        <f ca="1">IFERROR(_xlfn.SINGLE(INDEX(#REF!,'Annual Report'!AS708)),"")</f>
        <v/>
      </c>
    </row>
    <row r="709" spans="41:47">
      <c r="AO709" s="6" t="str">
        <f ca="1">IFERROR(MATCH($B$114,OFFSET(#REF!,AO708,0,1000000),0)+AO708,"")</f>
        <v/>
      </c>
      <c r="AP709" s="156" t="str">
        <f ca="1">IFERROR(_xlfn.SINGLE(INDEX(#REF!,'Annual Report'!AO709)),"")</f>
        <v/>
      </c>
      <c r="AQ709" s="6" t="str">
        <f ca="1">IFERROR(_xlfn.SINGLE(INDEX(#REF!,'Annual Report'!AO709)),"")</f>
        <v/>
      </c>
      <c r="AS709" s="6" t="str">
        <f ca="1">IFERROR(MATCH($L$115,OFFSET(#REF!,AS708,0,1000000),0)+AS708,"")</f>
        <v/>
      </c>
      <c r="AT709" s="156" t="str">
        <f ca="1">IFERROR(_xlfn.SINGLE(INDEX(#REF!,'Annual Report'!AS709)),"")</f>
        <v/>
      </c>
      <c r="AU709" s="6" t="str">
        <f ca="1">IFERROR(_xlfn.SINGLE(INDEX(#REF!,'Annual Report'!AS709)),"")</f>
        <v/>
      </c>
    </row>
    <row r="710" spans="41:47">
      <c r="AO710" s="6" t="str">
        <f ca="1">IFERROR(MATCH($B$114,OFFSET(#REF!,AO709,0,1000000),0)+AO709,"")</f>
        <v/>
      </c>
      <c r="AP710" s="156" t="str">
        <f ca="1">IFERROR(_xlfn.SINGLE(INDEX(#REF!,'Annual Report'!AO710)),"")</f>
        <v/>
      </c>
      <c r="AQ710" s="6" t="str">
        <f ca="1">IFERROR(_xlfn.SINGLE(INDEX(#REF!,'Annual Report'!AO710)),"")</f>
        <v/>
      </c>
      <c r="AS710" s="6" t="str">
        <f ca="1">IFERROR(MATCH($L$115,OFFSET(#REF!,AS709,0,1000000),0)+AS709,"")</f>
        <v/>
      </c>
      <c r="AT710" s="156" t="str">
        <f ca="1">IFERROR(_xlfn.SINGLE(INDEX(#REF!,'Annual Report'!AS710)),"")</f>
        <v/>
      </c>
      <c r="AU710" s="6" t="str">
        <f ca="1">IFERROR(_xlfn.SINGLE(INDEX(#REF!,'Annual Report'!AS710)),"")</f>
        <v/>
      </c>
    </row>
    <row r="711" spans="41:47">
      <c r="AO711" s="6" t="str">
        <f ca="1">IFERROR(MATCH($B$114,OFFSET(#REF!,AO710,0,1000000),0)+AO710,"")</f>
        <v/>
      </c>
      <c r="AP711" s="156" t="str">
        <f ca="1">IFERROR(_xlfn.SINGLE(INDEX(#REF!,'Annual Report'!AO711)),"")</f>
        <v/>
      </c>
      <c r="AQ711" s="6" t="str">
        <f ca="1">IFERROR(_xlfn.SINGLE(INDEX(#REF!,'Annual Report'!AO711)),"")</f>
        <v/>
      </c>
      <c r="AS711" s="6" t="str">
        <f ca="1">IFERROR(MATCH($L$115,OFFSET(#REF!,AS710,0,1000000),0)+AS710,"")</f>
        <v/>
      </c>
      <c r="AT711" s="156" t="str">
        <f ca="1">IFERROR(_xlfn.SINGLE(INDEX(#REF!,'Annual Report'!AS711)),"")</f>
        <v/>
      </c>
      <c r="AU711" s="6" t="str">
        <f ca="1">IFERROR(_xlfn.SINGLE(INDEX(#REF!,'Annual Report'!AS711)),"")</f>
        <v/>
      </c>
    </row>
    <row r="712" spans="41:47">
      <c r="AO712" s="6" t="str">
        <f ca="1">IFERROR(MATCH($B$114,OFFSET(#REF!,AO711,0,1000000),0)+AO711,"")</f>
        <v/>
      </c>
      <c r="AP712" s="156" t="str">
        <f ca="1">IFERROR(_xlfn.SINGLE(INDEX(#REF!,'Annual Report'!AO712)),"")</f>
        <v/>
      </c>
      <c r="AQ712" s="6" t="str">
        <f ca="1">IFERROR(_xlfn.SINGLE(INDEX(#REF!,'Annual Report'!AO712)),"")</f>
        <v/>
      </c>
      <c r="AS712" s="6" t="str">
        <f ca="1">IFERROR(MATCH($L$115,OFFSET(#REF!,AS711,0,1000000),0)+AS711,"")</f>
        <v/>
      </c>
      <c r="AT712" s="156" t="str">
        <f ca="1">IFERROR(_xlfn.SINGLE(INDEX(#REF!,'Annual Report'!AS712)),"")</f>
        <v/>
      </c>
      <c r="AU712" s="6" t="str">
        <f ca="1">IFERROR(_xlfn.SINGLE(INDEX(#REF!,'Annual Report'!AS712)),"")</f>
        <v/>
      </c>
    </row>
    <row r="713" spans="41:47">
      <c r="AO713" s="6" t="str">
        <f ca="1">IFERROR(MATCH($B$114,OFFSET(#REF!,AO712,0,1000000),0)+AO712,"")</f>
        <v/>
      </c>
      <c r="AP713" s="156" t="str">
        <f ca="1">IFERROR(_xlfn.SINGLE(INDEX(#REF!,'Annual Report'!AO713)),"")</f>
        <v/>
      </c>
      <c r="AQ713" s="6" t="str">
        <f ca="1">IFERROR(_xlfn.SINGLE(INDEX(#REF!,'Annual Report'!AO713)),"")</f>
        <v/>
      </c>
      <c r="AS713" s="6" t="str">
        <f ca="1">IFERROR(MATCH($L$115,OFFSET(#REF!,AS712,0,1000000),0)+AS712,"")</f>
        <v/>
      </c>
      <c r="AT713" s="156" t="str">
        <f ca="1">IFERROR(_xlfn.SINGLE(INDEX(#REF!,'Annual Report'!AS713)),"")</f>
        <v/>
      </c>
      <c r="AU713" s="6" t="str">
        <f ca="1">IFERROR(_xlfn.SINGLE(INDEX(#REF!,'Annual Report'!AS713)),"")</f>
        <v/>
      </c>
    </row>
    <row r="714" spans="41:47">
      <c r="AO714" s="6" t="str">
        <f ca="1">IFERROR(MATCH($B$114,OFFSET(#REF!,AO713,0,1000000),0)+AO713,"")</f>
        <v/>
      </c>
      <c r="AP714" s="156" t="str">
        <f ca="1">IFERROR(_xlfn.SINGLE(INDEX(#REF!,'Annual Report'!AO714)),"")</f>
        <v/>
      </c>
      <c r="AQ714" s="6" t="str">
        <f ca="1">IFERROR(_xlfn.SINGLE(INDEX(#REF!,'Annual Report'!AO714)),"")</f>
        <v/>
      </c>
      <c r="AS714" s="6" t="str">
        <f ca="1">IFERROR(MATCH($L$115,OFFSET(#REF!,AS713,0,1000000),0)+AS713,"")</f>
        <v/>
      </c>
      <c r="AT714" s="156" t="str">
        <f ca="1">IFERROR(_xlfn.SINGLE(INDEX(#REF!,'Annual Report'!AS714)),"")</f>
        <v/>
      </c>
      <c r="AU714" s="6" t="str">
        <f ca="1">IFERROR(_xlfn.SINGLE(INDEX(#REF!,'Annual Report'!AS714)),"")</f>
        <v/>
      </c>
    </row>
    <row r="715" spans="41:47">
      <c r="AO715" s="6" t="str">
        <f ca="1">IFERROR(MATCH($B$114,OFFSET(#REF!,AO714,0,1000000),0)+AO714,"")</f>
        <v/>
      </c>
      <c r="AP715" s="156" t="str">
        <f ca="1">IFERROR(_xlfn.SINGLE(INDEX(#REF!,'Annual Report'!AO715)),"")</f>
        <v/>
      </c>
      <c r="AQ715" s="6" t="str">
        <f ca="1">IFERROR(_xlfn.SINGLE(INDEX(#REF!,'Annual Report'!AO715)),"")</f>
        <v/>
      </c>
      <c r="AS715" s="6" t="str">
        <f ca="1">IFERROR(MATCH($L$115,OFFSET(#REF!,AS714,0,1000000),0)+AS714,"")</f>
        <v/>
      </c>
      <c r="AT715" s="156" t="str">
        <f ca="1">IFERROR(_xlfn.SINGLE(INDEX(#REF!,'Annual Report'!AS715)),"")</f>
        <v/>
      </c>
      <c r="AU715" s="6" t="str">
        <f ca="1">IFERROR(_xlfn.SINGLE(INDEX(#REF!,'Annual Report'!AS715)),"")</f>
        <v/>
      </c>
    </row>
    <row r="716" spans="41:47">
      <c r="AO716" s="6" t="str">
        <f ca="1">IFERROR(MATCH($B$114,OFFSET(#REF!,AO715,0,1000000),0)+AO715,"")</f>
        <v/>
      </c>
      <c r="AP716" s="156" t="str">
        <f ca="1">IFERROR(_xlfn.SINGLE(INDEX(#REF!,'Annual Report'!AO716)),"")</f>
        <v/>
      </c>
      <c r="AQ716" s="6" t="str">
        <f ca="1">IFERROR(_xlfn.SINGLE(INDEX(#REF!,'Annual Report'!AO716)),"")</f>
        <v/>
      </c>
      <c r="AS716" s="6" t="str">
        <f ca="1">IFERROR(MATCH($L$115,OFFSET(#REF!,AS715,0,1000000),0)+AS715,"")</f>
        <v/>
      </c>
      <c r="AT716" s="156" t="str">
        <f ca="1">IFERROR(_xlfn.SINGLE(INDEX(#REF!,'Annual Report'!AS716)),"")</f>
        <v/>
      </c>
      <c r="AU716" s="6" t="str">
        <f ca="1">IFERROR(_xlfn.SINGLE(INDEX(#REF!,'Annual Report'!AS716)),"")</f>
        <v/>
      </c>
    </row>
    <row r="717" spans="41:47">
      <c r="AO717" s="6" t="str">
        <f ca="1">IFERROR(MATCH($B$114,OFFSET(#REF!,AO716,0,1000000),0)+AO716,"")</f>
        <v/>
      </c>
      <c r="AP717" s="156" t="str">
        <f ca="1">IFERROR(_xlfn.SINGLE(INDEX(#REF!,'Annual Report'!AO717)),"")</f>
        <v/>
      </c>
      <c r="AQ717" s="6" t="str">
        <f ca="1">IFERROR(_xlfn.SINGLE(INDEX(#REF!,'Annual Report'!AO717)),"")</f>
        <v/>
      </c>
      <c r="AS717" s="6" t="str">
        <f ca="1">IFERROR(MATCH($L$115,OFFSET(#REF!,AS716,0,1000000),0)+AS716,"")</f>
        <v/>
      </c>
      <c r="AT717" s="156" t="str">
        <f ca="1">IFERROR(_xlfn.SINGLE(INDEX(#REF!,'Annual Report'!AS717)),"")</f>
        <v/>
      </c>
      <c r="AU717" s="6" t="str">
        <f ca="1">IFERROR(_xlfn.SINGLE(INDEX(#REF!,'Annual Report'!AS717)),"")</f>
        <v/>
      </c>
    </row>
    <row r="718" spans="41:47">
      <c r="AO718" s="6" t="str">
        <f ca="1">IFERROR(MATCH($B$114,OFFSET(#REF!,AO717,0,1000000),0)+AO717,"")</f>
        <v/>
      </c>
      <c r="AP718" s="156" t="str">
        <f ca="1">IFERROR(_xlfn.SINGLE(INDEX(#REF!,'Annual Report'!AO718)),"")</f>
        <v/>
      </c>
      <c r="AQ718" s="6" t="str">
        <f ca="1">IFERROR(_xlfn.SINGLE(INDEX(#REF!,'Annual Report'!AO718)),"")</f>
        <v/>
      </c>
      <c r="AS718" s="6" t="str">
        <f ca="1">IFERROR(MATCH($L$115,OFFSET(#REF!,AS717,0,1000000),0)+AS717,"")</f>
        <v/>
      </c>
      <c r="AT718" s="156" t="str">
        <f ca="1">IFERROR(_xlfn.SINGLE(INDEX(#REF!,'Annual Report'!AS718)),"")</f>
        <v/>
      </c>
      <c r="AU718" s="6" t="str">
        <f ca="1">IFERROR(_xlfn.SINGLE(INDEX(#REF!,'Annual Report'!AS718)),"")</f>
        <v/>
      </c>
    </row>
    <row r="719" spans="41:47">
      <c r="AO719" s="6" t="str">
        <f ca="1">IFERROR(MATCH($B$114,OFFSET(#REF!,AO718,0,1000000),0)+AO718,"")</f>
        <v/>
      </c>
      <c r="AP719" s="156" t="str">
        <f ca="1">IFERROR(_xlfn.SINGLE(INDEX(#REF!,'Annual Report'!AO719)),"")</f>
        <v/>
      </c>
      <c r="AQ719" s="6" t="str">
        <f ca="1">IFERROR(_xlfn.SINGLE(INDEX(#REF!,'Annual Report'!AO719)),"")</f>
        <v/>
      </c>
      <c r="AS719" s="6" t="str">
        <f ca="1">IFERROR(MATCH($L$115,OFFSET(#REF!,AS718,0,1000000),0)+AS718,"")</f>
        <v/>
      </c>
      <c r="AT719" s="156" t="str">
        <f ca="1">IFERROR(_xlfn.SINGLE(INDEX(#REF!,'Annual Report'!AS719)),"")</f>
        <v/>
      </c>
      <c r="AU719" s="6" t="str">
        <f ca="1">IFERROR(_xlfn.SINGLE(INDEX(#REF!,'Annual Report'!AS719)),"")</f>
        <v/>
      </c>
    </row>
    <row r="720" spans="41:47">
      <c r="AO720" s="6" t="str">
        <f ca="1">IFERROR(MATCH($B$114,OFFSET(#REF!,AO719,0,1000000),0)+AO719,"")</f>
        <v/>
      </c>
      <c r="AP720" s="156" t="str">
        <f ca="1">IFERROR(_xlfn.SINGLE(INDEX(#REF!,'Annual Report'!AO720)),"")</f>
        <v/>
      </c>
      <c r="AQ720" s="6" t="str">
        <f ca="1">IFERROR(_xlfn.SINGLE(INDEX(#REF!,'Annual Report'!AO720)),"")</f>
        <v/>
      </c>
      <c r="AS720" s="6" t="str">
        <f ca="1">IFERROR(MATCH($L$115,OFFSET(#REF!,AS719,0,1000000),0)+AS719,"")</f>
        <v/>
      </c>
      <c r="AT720" s="156" t="str">
        <f ca="1">IFERROR(_xlfn.SINGLE(INDEX(#REF!,'Annual Report'!AS720)),"")</f>
        <v/>
      </c>
      <c r="AU720" s="6" t="str">
        <f ca="1">IFERROR(_xlfn.SINGLE(INDEX(#REF!,'Annual Report'!AS720)),"")</f>
        <v/>
      </c>
    </row>
    <row r="721" spans="41:47">
      <c r="AO721" s="6" t="str">
        <f ca="1">IFERROR(MATCH($B$114,OFFSET(#REF!,AO720,0,1000000),0)+AO720,"")</f>
        <v/>
      </c>
      <c r="AP721" s="156" t="str">
        <f ca="1">IFERROR(_xlfn.SINGLE(INDEX(#REF!,'Annual Report'!AO721)),"")</f>
        <v/>
      </c>
      <c r="AQ721" s="6" t="str">
        <f ca="1">IFERROR(_xlfn.SINGLE(INDEX(#REF!,'Annual Report'!AO721)),"")</f>
        <v/>
      </c>
      <c r="AS721" s="6" t="str">
        <f ca="1">IFERROR(MATCH($L$115,OFFSET(#REF!,AS720,0,1000000),0)+AS720,"")</f>
        <v/>
      </c>
      <c r="AT721" s="156" t="str">
        <f ca="1">IFERROR(_xlfn.SINGLE(INDEX(#REF!,'Annual Report'!AS721)),"")</f>
        <v/>
      </c>
      <c r="AU721" s="6" t="str">
        <f ca="1">IFERROR(_xlfn.SINGLE(INDEX(#REF!,'Annual Report'!AS721)),"")</f>
        <v/>
      </c>
    </row>
    <row r="722" spans="41:47">
      <c r="AO722" s="6" t="str">
        <f ca="1">IFERROR(MATCH($B$114,OFFSET(#REF!,AO721,0,1000000),0)+AO721,"")</f>
        <v/>
      </c>
      <c r="AP722" s="156" t="str">
        <f ca="1">IFERROR(_xlfn.SINGLE(INDEX(#REF!,'Annual Report'!AO722)),"")</f>
        <v/>
      </c>
      <c r="AQ722" s="6" t="str">
        <f ca="1">IFERROR(_xlfn.SINGLE(INDEX(#REF!,'Annual Report'!AO722)),"")</f>
        <v/>
      </c>
      <c r="AS722" s="6" t="str">
        <f ca="1">IFERROR(MATCH($L$115,OFFSET(#REF!,AS721,0,1000000),0)+AS721,"")</f>
        <v/>
      </c>
      <c r="AT722" s="156" t="str">
        <f ca="1">IFERROR(_xlfn.SINGLE(INDEX(#REF!,'Annual Report'!AS722)),"")</f>
        <v/>
      </c>
      <c r="AU722" s="6" t="str">
        <f ca="1">IFERROR(_xlfn.SINGLE(INDEX(#REF!,'Annual Report'!AS722)),"")</f>
        <v/>
      </c>
    </row>
    <row r="723" spans="41:47">
      <c r="AO723" s="6" t="str">
        <f ca="1">IFERROR(MATCH($B$114,OFFSET(#REF!,AO722,0,1000000),0)+AO722,"")</f>
        <v/>
      </c>
      <c r="AP723" s="156" t="str">
        <f ca="1">IFERROR(_xlfn.SINGLE(INDEX(#REF!,'Annual Report'!AO723)),"")</f>
        <v/>
      </c>
      <c r="AQ723" s="6" t="str">
        <f ca="1">IFERROR(_xlfn.SINGLE(INDEX(#REF!,'Annual Report'!AO723)),"")</f>
        <v/>
      </c>
      <c r="AS723" s="6" t="str">
        <f ca="1">IFERROR(MATCH($L$115,OFFSET(#REF!,AS722,0,1000000),0)+AS722,"")</f>
        <v/>
      </c>
      <c r="AT723" s="156" t="str">
        <f ca="1">IFERROR(_xlfn.SINGLE(INDEX(#REF!,'Annual Report'!AS723)),"")</f>
        <v/>
      </c>
      <c r="AU723" s="6" t="str">
        <f ca="1">IFERROR(_xlfn.SINGLE(INDEX(#REF!,'Annual Report'!AS723)),"")</f>
        <v/>
      </c>
    </row>
    <row r="724" spans="41:47">
      <c r="AO724" s="6" t="str">
        <f ca="1">IFERROR(MATCH($B$114,OFFSET(#REF!,AO723,0,1000000),0)+AO723,"")</f>
        <v/>
      </c>
      <c r="AP724" s="156" t="str">
        <f ca="1">IFERROR(_xlfn.SINGLE(INDEX(#REF!,'Annual Report'!AO724)),"")</f>
        <v/>
      </c>
      <c r="AQ724" s="6" t="str">
        <f ca="1">IFERROR(_xlfn.SINGLE(INDEX(#REF!,'Annual Report'!AO724)),"")</f>
        <v/>
      </c>
      <c r="AS724" s="6" t="str">
        <f ca="1">IFERROR(MATCH($L$115,OFFSET(#REF!,AS723,0,1000000),0)+AS723,"")</f>
        <v/>
      </c>
      <c r="AT724" s="156" t="str">
        <f ca="1">IFERROR(_xlfn.SINGLE(INDEX(#REF!,'Annual Report'!AS724)),"")</f>
        <v/>
      </c>
      <c r="AU724" s="6" t="str">
        <f ca="1">IFERROR(_xlfn.SINGLE(INDEX(#REF!,'Annual Report'!AS724)),"")</f>
        <v/>
      </c>
    </row>
    <row r="725" spans="41:47">
      <c r="AO725" s="6" t="str">
        <f ca="1">IFERROR(MATCH($B$114,OFFSET(#REF!,AO724,0,1000000),0)+AO724,"")</f>
        <v/>
      </c>
      <c r="AP725" s="156" t="str">
        <f ca="1">IFERROR(_xlfn.SINGLE(INDEX(#REF!,'Annual Report'!AO725)),"")</f>
        <v/>
      </c>
      <c r="AQ725" s="6" t="str">
        <f ca="1">IFERROR(_xlfn.SINGLE(INDEX(#REF!,'Annual Report'!AO725)),"")</f>
        <v/>
      </c>
      <c r="AS725" s="6" t="str">
        <f ca="1">IFERROR(MATCH($L$115,OFFSET(#REF!,AS724,0,1000000),0)+AS724,"")</f>
        <v/>
      </c>
      <c r="AT725" s="156" t="str">
        <f ca="1">IFERROR(_xlfn.SINGLE(INDEX(#REF!,'Annual Report'!AS725)),"")</f>
        <v/>
      </c>
      <c r="AU725" s="6" t="str">
        <f ca="1">IFERROR(_xlfn.SINGLE(INDEX(#REF!,'Annual Report'!AS725)),"")</f>
        <v/>
      </c>
    </row>
    <row r="726" spans="41:47">
      <c r="AO726" s="6" t="str">
        <f ca="1">IFERROR(MATCH($B$114,OFFSET(#REF!,AO725,0,1000000),0)+AO725,"")</f>
        <v/>
      </c>
      <c r="AP726" s="156" t="str">
        <f ca="1">IFERROR(_xlfn.SINGLE(INDEX(#REF!,'Annual Report'!AO726)),"")</f>
        <v/>
      </c>
      <c r="AQ726" s="6" t="str">
        <f ca="1">IFERROR(_xlfn.SINGLE(INDEX(#REF!,'Annual Report'!AO726)),"")</f>
        <v/>
      </c>
      <c r="AS726" s="6" t="str">
        <f ca="1">IFERROR(MATCH($L$115,OFFSET(#REF!,AS725,0,1000000),0)+AS725,"")</f>
        <v/>
      </c>
      <c r="AT726" s="156" t="str">
        <f ca="1">IFERROR(_xlfn.SINGLE(INDEX(#REF!,'Annual Report'!AS726)),"")</f>
        <v/>
      </c>
      <c r="AU726" s="6" t="str">
        <f ca="1">IFERROR(_xlfn.SINGLE(INDEX(#REF!,'Annual Report'!AS726)),"")</f>
        <v/>
      </c>
    </row>
    <row r="727" spans="41:47">
      <c r="AO727" s="6" t="str">
        <f ca="1">IFERROR(MATCH($B$114,OFFSET(#REF!,AO726,0,1000000),0)+AO726,"")</f>
        <v/>
      </c>
      <c r="AP727" s="156" t="str">
        <f ca="1">IFERROR(_xlfn.SINGLE(INDEX(#REF!,'Annual Report'!AO727)),"")</f>
        <v/>
      </c>
      <c r="AQ727" s="6" t="str">
        <f ca="1">IFERROR(_xlfn.SINGLE(INDEX(#REF!,'Annual Report'!AO727)),"")</f>
        <v/>
      </c>
      <c r="AS727" s="6" t="str">
        <f ca="1">IFERROR(MATCH($L$115,OFFSET(#REF!,AS726,0,1000000),0)+AS726,"")</f>
        <v/>
      </c>
      <c r="AT727" s="156" t="str">
        <f ca="1">IFERROR(_xlfn.SINGLE(INDEX(#REF!,'Annual Report'!AS727)),"")</f>
        <v/>
      </c>
      <c r="AU727" s="6" t="str">
        <f ca="1">IFERROR(_xlfn.SINGLE(INDEX(#REF!,'Annual Report'!AS727)),"")</f>
        <v/>
      </c>
    </row>
    <row r="728" spans="41:47">
      <c r="AO728" s="6" t="str">
        <f ca="1">IFERROR(MATCH($B$114,OFFSET(#REF!,AO727,0,1000000),0)+AO727,"")</f>
        <v/>
      </c>
      <c r="AP728" s="156" t="str">
        <f ca="1">IFERROR(_xlfn.SINGLE(INDEX(#REF!,'Annual Report'!AO728)),"")</f>
        <v/>
      </c>
      <c r="AQ728" s="6" t="str">
        <f ca="1">IFERROR(_xlfn.SINGLE(INDEX(#REF!,'Annual Report'!AO728)),"")</f>
        <v/>
      </c>
      <c r="AS728" s="6" t="str">
        <f ca="1">IFERROR(MATCH($L$115,OFFSET(#REF!,AS727,0,1000000),0)+AS727,"")</f>
        <v/>
      </c>
      <c r="AT728" s="156" t="str">
        <f ca="1">IFERROR(_xlfn.SINGLE(INDEX(#REF!,'Annual Report'!AS728)),"")</f>
        <v/>
      </c>
      <c r="AU728" s="6" t="str">
        <f ca="1">IFERROR(_xlfn.SINGLE(INDEX(#REF!,'Annual Report'!AS728)),"")</f>
        <v/>
      </c>
    </row>
    <row r="729" spans="41:47">
      <c r="AO729" s="6" t="str">
        <f ca="1">IFERROR(MATCH($B$114,OFFSET(#REF!,AO728,0,1000000),0)+AO728,"")</f>
        <v/>
      </c>
      <c r="AP729" s="156" t="str">
        <f ca="1">IFERROR(_xlfn.SINGLE(INDEX(#REF!,'Annual Report'!AO729)),"")</f>
        <v/>
      </c>
      <c r="AQ729" s="6" t="str">
        <f ca="1">IFERROR(_xlfn.SINGLE(INDEX(#REF!,'Annual Report'!AO729)),"")</f>
        <v/>
      </c>
      <c r="AS729" s="6" t="str">
        <f ca="1">IFERROR(MATCH($L$115,OFFSET(#REF!,AS728,0,1000000),0)+AS728,"")</f>
        <v/>
      </c>
      <c r="AT729" s="156" t="str">
        <f ca="1">IFERROR(_xlfn.SINGLE(INDEX(#REF!,'Annual Report'!AS729)),"")</f>
        <v/>
      </c>
      <c r="AU729" s="6" t="str">
        <f ca="1">IFERROR(_xlfn.SINGLE(INDEX(#REF!,'Annual Report'!AS729)),"")</f>
        <v/>
      </c>
    </row>
    <row r="730" spans="41:47">
      <c r="AO730" s="6" t="str">
        <f ca="1">IFERROR(MATCH($B$114,OFFSET(#REF!,AO729,0,1000000),0)+AO729,"")</f>
        <v/>
      </c>
      <c r="AP730" s="156" t="str">
        <f ca="1">IFERROR(_xlfn.SINGLE(INDEX(#REF!,'Annual Report'!AO730)),"")</f>
        <v/>
      </c>
      <c r="AQ730" s="6" t="str">
        <f ca="1">IFERROR(_xlfn.SINGLE(INDEX(#REF!,'Annual Report'!AO730)),"")</f>
        <v/>
      </c>
      <c r="AS730" s="6" t="str">
        <f ca="1">IFERROR(MATCH($L$115,OFFSET(#REF!,AS729,0,1000000),0)+AS729,"")</f>
        <v/>
      </c>
      <c r="AT730" s="156" t="str">
        <f ca="1">IFERROR(_xlfn.SINGLE(INDEX(#REF!,'Annual Report'!AS730)),"")</f>
        <v/>
      </c>
      <c r="AU730" s="6" t="str">
        <f ca="1">IFERROR(_xlfn.SINGLE(INDEX(#REF!,'Annual Report'!AS730)),"")</f>
        <v/>
      </c>
    </row>
    <row r="731" spans="41:47">
      <c r="AO731" s="6" t="str">
        <f ca="1">IFERROR(MATCH($B$114,OFFSET(#REF!,AO730,0,1000000),0)+AO730,"")</f>
        <v/>
      </c>
      <c r="AP731" s="156" t="str">
        <f ca="1">IFERROR(_xlfn.SINGLE(INDEX(#REF!,'Annual Report'!AO731)),"")</f>
        <v/>
      </c>
      <c r="AQ731" s="6" t="str">
        <f ca="1">IFERROR(_xlfn.SINGLE(INDEX(#REF!,'Annual Report'!AO731)),"")</f>
        <v/>
      </c>
      <c r="AS731" s="6" t="str">
        <f ca="1">IFERROR(MATCH($L$115,OFFSET(#REF!,AS730,0,1000000),0)+AS730,"")</f>
        <v/>
      </c>
      <c r="AT731" s="156" t="str">
        <f ca="1">IFERROR(_xlfn.SINGLE(INDEX(#REF!,'Annual Report'!AS731)),"")</f>
        <v/>
      </c>
      <c r="AU731" s="6" t="str">
        <f ca="1">IFERROR(_xlfn.SINGLE(INDEX(#REF!,'Annual Report'!AS731)),"")</f>
        <v/>
      </c>
    </row>
    <row r="732" spans="41:47">
      <c r="AO732" s="6" t="str">
        <f ca="1">IFERROR(MATCH($B$114,OFFSET(#REF!,AO731,0,1000000),0)+AO731,"")</f>
        <v/>
      </c>
      <c r="AP732" s="156" t="str">
        <f ca="1">IFERROR(_xlfn.SINGLE(INDEX(#REF!,'Annual Report'!AO732)),"")</f>
        <v/>
      </c>
      <c r="AQ732" s="6" t="str">
        <f ca="1">IFERROR(_xlfn.SINGLE(INDEX(#REF!,'Annual Report'!AO732)),"")</f>
        <v/>
      </c>
      <c r="AS732" s="6" t="str">
        <f ca="1">IFERROR(MATCH($L$115,OFFSET(#REF!,AS731,0,1000000),0)+AS731,"")</f>
        <v/>
      </c>
      <c r="AT732" s="156" t="str">
        <f ca="1">IFERROR(_xlfn.SINGLE(INDEX(#REF!,'Annual Report'!AS732)),"")</f>
        <v/>
      </c>
      <c r="AU732" s="6" t="str">
        <f ca="1">IFERROR(_xlfn.SINGLE(INDEX(#REF!,'Annual Report'!AS732)),"")</f>
        <v/>
      </c>
    </row>
    <row r="733" spans="41:47">
      <c r="AO733" s="6" t="str">
        <f ca="1">IFERROR(MATCH($B$114,OFFSET(#REF!,AO732,0,1000000),0)+AO732,"")</f>
        <v/>
      </c>
      <c r="AP733" s="156" t="str">
        <f ca="1">IFERROR(_xlfn.SINGLE(INDEX(#REF!,'Annual Report'!AO733)),"")</f>
        <v/>
      </c>
      <c r="AQ733" s="6" t="str">
        <f ca="1">IFERROR(_xlfn.SINGLE(INDEX(#REF!,'Annual Report'!AO733)),"")</f>
        <v/>
      </c>
      <c r="AS733" s="6" t="str">
        <f ca="1">IFERROR(MATCH($L$115,OFFSET(#REF!,AS732,0,1000000),0)+AS732,"")</f>
        <v/>
      </c>
      <c r="AT733" s="156" t="str">
        <f ca="1">IFERROR(_xlfn.SINGLE(INDEX(#REF!,'Annual Report'!AS733)),"")</f>
        <v/>
      </c>
      <c r="AU733" s="6" t="str">
        <f ca="1">IFERROR(_xlfn.SINGLE(INDEX(#REF!,'Annual Report'!AS733)),"")</f>
        <v/>
      </c>
    </row>
    <row r="734" spans="41:47">
      <c r="AO734" s="6" t="str">
        <f ca="1">IFERROR(MATCH($B$114,OFFSET(#REF!,AO733,0,1000000),0)+AO733,"")</f>
        <v/>
      </c>
      <c r="AP734" s="156" t="str">
        <f ca="1">IFERROR(_xlfn.SINGLE(INDEX(#REF!,'Annual Report'!AO734)),"")</f>
        <v/>
      </c>
      <c r="AQ734" s="6" t="str">
        <f ca="1">IFERROR(_xlfn.SINGLE(INDEX(#REF!,'Annual Report'!AO734)),"")</f>
        <v/>
      </c>
      <c r="AS734" s="6" t="str">
        <f ca="1">IFERROR(MATCH($L$115,OFFSET(#REF!,AS733,0,1000000),0)+AS733,"")</f>
        <v/>
      </c>
      <c r="AT734" s="156" t="str">
        <f ca="1">IFERROR(_xlfn.SINGLE(INDEX(#REF!,'Annual Report'!AS734)),"")</f>
        <v/>
      </c>
      <c r="AU734" s="6" t="str">
        <f ca="1">IFERROR(_xlfn.SINGLE(INDEX(#REF!,'Annual Report'!AS734)),"")</f>
        <v/>
      </c>
    </row>
    <row r="735" spans="41:47">
      <c r="AO735" s="6" t="str">
        <f ca="1">IFERROR(MATCH($B$114,OFFSET(#REF!,AO734,0,1000000),0)+AO734,"")</f>
        <v/>
      </c>
      <c r="AP735" s="156" t="str">
        <f ca="1">IFERROR(_xlfn.SINGLE(INDEX(#REF!,'Annual Report'!AO735)),"")</f>
        <v/>
      </c>
      <c r="AQ735" s="6" t="str">
        <f ca="1">IFERROR(_xlfn.SINGLE(INDEX(#REF!,'Annual Report'!AO735)),"")</f>
        <v/>
      </c>
      <c r="AS735" s="6" t="str">
        <f ca="1">IFERROR(MATCH($L$115,OFFSET(#REF!,AS734,0,1000000),0)+AS734,"")</f>
        <v/>
      </c>
      <c r="AT735" s="156" t="str">
        <f ca="1">IFERROR(_xlfn.SINGLE(INDEX(#REF!,'Annual Report'!AS735)),"")</f>
        <v/>
      </c>
      <c r="AU735" s="6" t="str">
        <f ca="1">IFERROR(_xlfn.SINGLE(INDEX(#REF!,'Annual Report'!AS735)),"")</f>
        <v/>
      </c>
    </row>
    <row r="736" spans="41:47">
      <c r="AO736" s="6" t="str">
        <f ca="1">IFERROR(MATCH($B$114,OFFSET(#REF!,AO735,0,1000000),0)+AO735,"")</f>
        <v/>
      </c>
      <c r="AP736" s="156" t="str">
        <f ca="1">IFERROR(_xlfn.SINGLE(INDEX(#REF!,'Annual Report'!AO736)),"")</f>
        <v/>
      </c>
      <c r="AQ736" s="6" t="str">
        <f ca="1">IFERROR(_xlfn.SINGLE(INDEX(#REF!,'Annual Report'!AO736)),"")</f>
        <v/>
      </c>
      <c r="AS736" s="6" t="str">
        <f ca="1">IFERROR(MATCH($L$115,OFFSET(#REF!,AS735,0,1000000),0)+AS735,"")</f>
        <v/>
      </c>
      <c r="AT736" s="156" t="str">
        <f ca="1">IFERROR(_xlfn.SINGLE(INDEX(#REF!,'Annual Report'!AS736)),"")</f>
        <v/>
      </c>
      <c r="AU736" s="6" t="str">
        <f ca="1">IFERROR(_xlfn.SINGLE(INDEX(#REF!,'Annual Report'!AS736)),"")</f>
        <v/>
      </c>
    </row>
    <row r="737" spans="41:47">
      <c r="AO737" s="6" t="str">
        <f ca="1">IFERROR(MATCH($B$114,OFFSET(#REF!,AO736,0,1000000),0)+AO736,"")</f>
        <v/>
      </c>
      <c r="AP737" s="156" t="str">
        <f ca="1">IFERROR(_xlfn.SINGLE(INDEX(#REF!,'Annual Report'!AO737)),"")</f>
        <v/>
      </c>
      <c r="AQ737" s="6" t="str">
        <f ca="1">IFERROR(_xlfn.SINGLE(INDEX(#REF!,'Annual Report'!AO737)),"")</f>
        <v/>
      </c>
      <c r="AS737" s="6" t="str">
        <f ca="1">IFERROR(MATCH($L$115,OFFSET(#REF!,AS736,0,1000000),0)+AS736,"")</f>
        <v/>
      </c>
      <c r="AT737" s="156" t="str">
        <f ca="1">IFERROR(_xlfn.SINGLE(INDEX(#REF!,'Annual Report'!AS737)),"")</f>
        <v/>
      </c>
      <c r="AU737" s="6" t="str">
        <f ca="1">IFERROR(_xlfn.SINGLE(INDEX(#REF!,'Annual Report'!AS737)),"")</f>
        <v/>
      </c>
    </row>
    <row r="738" spans="41:47">
      <c r="AO738" s="6" t="str">
        <f ca="1">IFERROR(MATCH($B$114,OFFSET(#REF!,AO737,0,1000000),0)+AO737,"")</f>
        <v/>
      </c>
      <c r="AP738" s="156" t="str">
        <f ca="1">IFERROR(_xlfn.SINGLE(INDEX(#REF!,'Annual Report'!AO738)),"")</f>
        <v/>
      </c>
      <c r="AQ738" s="6" t="str">
        <f ca="1">IFERROR(_xlfn.SINGLE(INDEX(#REF!,'Annual Report'!AO738)),"")</f>
        <v/>
      </c>
      <c r="AS738" s="6" t="str">
        <f ca="1">IFERROR(MATCH($L$115,OFFSET(#REF!,AS737,0,1000000),0)+AS737,"")</f>
        <v/>
      </c>
      <c r="AT738" s="156" t="str">
        <f ca="1">IFERROR(_xlfn.SINGLE(INDEX(#REF!,'Annual Report'!AS738)),"")</f>
        <v/>
      </c>
      <c r="AU738" s="6" t="str">
        <f ca="1">IFERROR(_xlfn.SINGLE(INDEX(#REF!,'Annual Report'!AS738)),"")</f>
        <v/>
      </c>
    </row>
    <row r="739" spans="41:47">
      <c r="AO739" s="6" t="str">
        <f ca="1">IFERROR(MATCH($B$114,OFFSET(#REF!,AO738,0,1000000),0)+AO738,"")</f>
        <v/>
      </c>
      <c r="AP739" s="156" t="str">
        <f ca="1">IFERROR(_xlfn.SINGLE(INDEX(#REF!,'Annual Report'!AO739)),"")</f>
        <v/>
      </c>
      <c r="AQ739" s="6" t="str">
        <f ca="1">IFERROR(_xlfn.SINGLE(INDEX(#REF!,'Annual Report'!AO739)),"")</f>
        <v/>
      </c>
      <c r="AS739" s="6" t="str">
        <f ca="1">IFERROR(MATCH($L$115,OFFSET(#REF!,AS738,0,1000000),0)+AS738,"")</f>
        <v/>
      </c>
      <c r="AT739" s="156" t="str">
        <f ca="1">IFERROR(_xlfn.SINGLE(INDEX(#REF!,'Annual Report'!AS739)),"")</f>
        <v/>
      </c>
      <c r="AU739" s="6" t="str">
        <f ca="1">IFERROR(_xlfn.SINGLE(INDEX(#REF!,'Annual Report'!AS739)),"")</f>
        <v/>
      </c>
    </row>
    <row r="740" spans="41:47">
      <c r="AO740" s="6" t="str">
        <f ca="1">IFERROR(MATCH($B$114,OFFSET(#REF!,AO739,0,1000000),0)+AO739,"")</f>
        <v/>
      </c>
      <c r="AP740" s="156" t="str">
        <f ca="1">IFERROR(_xlfn.SINGLE(INDEX(#REF!,'Annual Report'!AO740)),"")</f>
        <v/>
      </c>
      <c r="AQ740" s="6" t="str">
        <f ca="1">IFERROR(_xlfn.SINGLE(INDEX(#REF!,'Annual Report'!AO740)),"")</f>
        <v/>
      </c>
      <c r="AS740" s="6" t="str">
        <f ca="1">IFERROR(MATCH($L$115,OFFSET(#REF!,AS739,0,1000000),0)+AS739,"")</f>
        <v/>
      </c>
      <c r="AT740" s="156" t="str">
        <f ca="1">IFERROR(_xlfn.SINGLE(INDEX(#REF!,'Annual Report'!AS740)),"")</f>
        <v/>
      </c>
      <c r="AU740" s="6" t="str">
        <f ca="1">IFERROR(_xlfn.SINGLE(INDEX(#REF!,'Annual Report'!AS740)),"")</f>
        <v/>
      </c>
    </row>
    <row r="741" spans="41:47">
      <c r="AO741" s="6" t="str">
        <f ca="1">IFERROR(MATCH($B$114,OFFSET(#REF!,AO740,0,1000000),0)+AO740,"")</f>
        <v/>
      </c>
      <c r="AP741" s="156" t="str">
        <f ca="1">IFERROR(_xlfn.SINGLE(INDEX(#REF!,'Annual Report'!AO741)),"")</f>
        <v/>
      </c>
      <c r="AQ741" s="6" t="str">
        <f ca="1">IFERROR(_xlfn.SINGLE(INDEX(#REF!,'Annual Report'!AO741)),"")</f>
        <v/>
      </c>
      <c r="AS741" s="6" t="str">
        <f ca="1">IFERROR(MATCH($L$115,OFFSET(#REF!,AS740,0,1000000),0)+AS740,"")</f>
        <v/>
      </c>
      <c r="AT741" s="156" t="str">
        <f ca="1">IFERROR(_xlfn.SINGLE(INDEX(#REF!,'Annual Report'!AS741)),"")</f>
        <v/>
      </c>
      <c r="AU741" s="6" t="str">
        <f ca="1">IFERROR(_xlfn.SINGLE(INDEX(#REF!,'Annual Report'!AS741)),"")</f>
        <v/>
      </c>
    </row>
    <row r="742" spans="41:47">
      <c r="AO742" s="6" t="str">
        <f ca="1">IFERROR(MATCH($B$114,OFFSET(#REF!,AO741,0,1000000),0)+AO741,"")</f>
        <v/>
      </c>
      <c r="AP742" s="156" t="str">
        <f ca="1">IFERROR(_xlfn.SINGLE(INDEX(#REF!,'Annual Report'!AO742)),"")</f>
        <v/>
      </c>
      <c r="AQ742" s="6" t="str">
        <f ca="1">IFERROR(_xlfn.SINGLE(INDEX(#REF!,'Annual Report'!AO742)),"")</f>
        <v/>
      </c>
      <c r="AS742" s="6" t="str">
        <f ca="1">IFERROR(MATCH($L$115,OFFSET(#REF!,AS741,0,1000000),0)+AS741,"")</f>
        <v/>
      </c>
      <c r="AT742" s="156" t="str">
        <f ca="1">IFERROR(_xlfn.SINGLE(INDEX(#REF!,'Annual Report'!AS742)),"")</f>
        <v/>
      </c>
      <c r="AU742" s="6" t="str">
        <f ca="1">IFERROR(_xlfn.SINGLE(INDEX(#REF!,'Annual Report'!AS742)),"")</f>
        <v/>
      </c>
    </row>
    <row r="743" spans="41:47">
      <c r="AO743" s="6" t="str">
        <f ca="1">IFERROR(MATCH($B$114,OFFSET(#REF!,AO742,0,1000000),0)+AO742,"")</f>
        <v/>
      </c>
      <c r="AP743" s="156" t="str">
        <f ca="1">IFERROR(_xlfn.SINGLE(INDEX(#REF!,'Annual Report'!AO743)),"")</f>
        <v/>
      </c>
      <c r="AQ743" s="6" t="str">
        <f ca="1">IFERROR(_xlfn.SINGLE(INDEX(#REF!,'Annual Report'!AO743)),"")</f>
        <v/>
      </c>
      <c r="AS743" s="6" t="str">
        <f ca="1">IFERROR(MATCH($L$115,OFFSET(#REF!,AS742,0,1000000),0)+AS742,"")</f>
        <v/>
      </c>
      <c r="AT743" s="156" t="str">
        <f ca="1">IFERROR(_xlfn.SINGLE(INDEX(#REF!,'Annual Report'!AS743)),"")</f>
        <v/>
      </c>
      <c r="AU743" s="6" t="str">
        <f ca="1">IFERROR(_xlfn.SINGLE(INDEX(#REF!,'Annual Report'!AS743)),"")</f>
        <v/>
      </c>
    </row>
    <row r="744" spans="41:47">
      <c r="AO744" s="6" t="str">
        <f ca="1">IFERROR(MATCH($B$114,OFFSET(#REF!,AO743,0,1000000),0)+AO743,"")</f>
        <v/>
      </c>
      <c r="AP744" s="156" t="str">
        <f ca="1">IFERROR(_xlfn.SINGLE(INDEX(#REF!,'Annual Report'!AO744)),"")</f>
        <v/>
      </c>
      <c r="AQ744" s="6" t="str">
        <f ca="1">IFERROR(_xlfn.SINGLE(INDEX(#REF!,'Annual Report'!AO744)),"")</f>
        <v/>
      </c>
      <c r="AS744" s="6" t="str">
        <f ca="1">IFERROR(MATCH($L$115,OFFSET(#REF!,AS743,0,1000000),0)+AS743,"")</f>
        <v/>
      </c>
      <c r="AT744" s="156" t="str">
        <f ca="1">IFERROR(_xlfn.SINGLE(INDEX(#REF!,'Annual Report'!AS744)),"")</f>
        <v/>
      </c>
      <c r="AU744" s="6" t="str">
        <f ca="1">IFERROR(_xlfn.SINGLE(INDEX(#REF!,'Annual Report'!AS744)),"")</f>
        <v/>
      </c>
    </row>
    <row r="745" spans="41:47">
      <c r="AO745" s="6" t="str">
        <f ca="1">IFERROR(MATCH($B$114,OFFSET(#REF!,AO744,0,1000000),0)+AO744,"")</f>
        <v/>
      </c>
      <c r="AP745" s="156" t="str">
        <f ca="1">IFERROR(_xlfn.SINGLE(INDEX(#REF!,'Annual Report'!AO745)),"")</f>
        <v/>
      </c>
      <c r="AQ745" s="6" t="str">
        <f ca="1">IFERROR(_xlfn.SINGLE(INDEX(#REF!,'Annual Report'!AO745)),"")</f>
        <v/>
      </c>
      <c r="AS745" s="6" t="str">
        <f ca="1">IFERROR(MATCH($L$115,OFFSET(#REF!,AS744,0,1000000),0)+AS744,"")</f>
        <v/>
      </c>
      <c r="AT745" s="156" t="str">
        <f ca="1">IFERROR(_xlfn.SINGLE(INDEX(#REF!,'Annual Report'!AS745)),"")</f>
        <v/>
      </c>
      <c r="AU745" s="6" t="str">
        <f ca="1">IFERROR(_xlfn.SINGLE(INDEX(#REF!,'Annual Report'!AS745)),"")</f>
        <v/>
      </c>
    </row>
    <row r="746" spans="41:47">
      <c r="AO746" s="6" t="str">
        <f ca="1">IFERROR(MATCH($B$114,OFFSET(#REF!,AO745,0,1000000),0)+AO745,"")</f>
        <v/>
      </c>
      <c r="AP746" s="156" t="str">
        <f ca="1">IFERROR(_xlfn.SINGLE(INDEX(#REF!,'Annual Report'!AO746)),"")</f>
        <v/>
      </c>
      <c r="AQ746" s="6" t="str">
        <f ca="1">IFERROR(_xlfn.SINGLE(INDEX(#REF!,'Annual Report'!AO746)),"")</f>
        <v/>
      </c>
      <c r="AS746" s="6" t="str">
        <f ca="1">IFERROR(MATCH($L$115,OFFSET(#REF!,AS745,0,1000000),0)+AS745,"")</f>
        <v/>
      </c>
      <c r="AT746" s="156" t="str">
        <f ca="1">IFERROR(_xlfn.SINGLE(INDEX(#REF!,'Annual Report'!AS746)),"")</f>
        <v/>
      </c>
      <c r="AU746" s="6" t="str">
        <f ca="1">IFERROR(_xlfn.SINGLE(INDEX(#REF!,'Annual Report'!AS746)),"")</f>
        <v/>
      </c>
    </row>
  </sheetData>
  <sheetProtection algorithmName="SHA-512" hashValue="AcSscwe9AYOsI5u10VbTXO1a135i/fVTT9UVbogyL8qZwPoqyTYUd/ntnH743A8epYVbvIEZA7MTl+sDb3cBoA==" saltValue="S3IhIVCO31wRzctXDdT34g==" spinCount="100000" sheet="1" objects="1" scenarios="1"/>
  <mergeCells count="25">
    <mergeCell ref="BR1:CK1"/>
    <mergeCell ref="BU3:BU4"/>
    <mergeCell ref="BV3:BV4"/>
    <mergeCell ref="BW3:CI3"/>
    <mergeCell ref="BU5:BU7"/>
    <mergeCell ref="BW41:CI41"/>
    <mergeCell ref="BU8:BU10"/>
    <mergeCell ref="BU11:BU13"/>
    <mergeCell ref="BU14:BV14"/>
    <mergeCell ref="BU41:BU42"/>
    <mergeCell ref="BV41:BV42"/>
    <mergeCell ref="BU50:BU56"/>
    <mergeCell ref="BU43:BU49"/>
    <mergeCell ref="D46:D48"/>
    <mergeCell ref="D11:D13"/>
    <mergeCell ref="D3:D4"/>
    <mergeCell ref="E3:E4"/>
    <mergeCell ref="F3:R3"/>
    <mergeCell ref="D5:D7"/>
    <mergeCell ref="D8:D10"/>
    <mergeCell ref="D14:E14"/>
    <mergeCell ref="D41:D42"/>
    <mergeCell ref="E41:E42"/>
    <mergeCell ref="F41:R41"/>
    <mergeCell ref="D43:D45"/>
  </mergeCells>
  <dataValidations count="4">
    <dataValidation type="list" allowBlank="1" showInputMessage="1" showErrorMessage="1" sqref="B9" xr:uid="{C8F0F93C-42D0-425A-9D84-04A8574F6561}">
      <formula1>$AA$7:$AA$18</formula1>
    </dataValidation>
    <dataValidation type="list" allowBlank="1" showInputMessage="1" showErrorMessage="1" sqref="B11" xr:uid="{297F5380-C70D-4526-9BAC-A6909B2C0F3C}">
      <formula1>OFFSET($AC$28,0,0,COUNTA(AC28:AC35))</formula1>
    </dataValidation>
    <dataValidation type="list" allowBlank="1" showInputMessage="1" showErrorMessage="1" sqref="B3" xr:uid="{1E6066A5-B0B8-444B-A51E-B92CE54D1E26}">
      <formula1>OFFSET($AA$23,0,0,COUNTA(AA23:AA30))</formula1>
    </dataValidation>
    <dataValidation type="list" allowBlank="1" showInputMessage="1" showErrorMessage="1" sqref="B5" xr:uid="{69970374-04AF-4C0D-A463-8654E23C8356}">
      <formula1>OFFSET($BL$5,0,0,COUNTA($BL$5:$BL$52))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68CC-3325-4E35-B32C-9EB34500C578}">
  <sheetPr codeName="Sheet5"/>
  <dimension ref="A1:Y1111"/>
  <sheetViews>
    <sheetView showGridLines="0" workbookViewId="0">
      <selection activeCell="L6" sqref="L6"/>
    </sheetView>
  </sheetViews>
  <sheetFormatPr defaultRowHeight="14.75"/>
  <cols>
    <col min="1" max="1" width="12.54296875" bestFit="1" customWidth="1"/>
    <col min="2" max="2" width="14" style="99" hidden="1" customWidth="1"/>
    <col min="3" max="3" width="15.1328125" style="98" bestFit="1" customWidth="1"/>
    <col min="4" max="4" width="12.1328125" style="98" bestFit="1" customWidth="1"/>
    <col min="5" max="5" width="7.26953125" style="173" bestFit="1" customWidth="1"/>
    <col min="6" max="6" width="9.26953125" style="173" bestFit="1" customWidth="1"/>
    <col min="7" max="7" width="6.54296875" style="173" bestFit="1" customWidth="1"/>
    <col min="8" max="8" width="8.1796875" customWidth="1"/>
    <col min="9" max="9" width="9.1796875" customWidth="1"/>
    <col min="10" max="10" width="12.54296875" customWidth="1"/>
    <col min="11" max="11" width="7.7265625" bestFit="1" customWidth="1"/>
    <col min="12" max="12" width="14.54296875" bestFit="1" customWidth="1"/>
    <col min="13" max="13" width="15.54296875" style="103" bestFit="1" customWidth="1"/>
    <col min="14" max="14" width="11" style="103" bestFit="1" customWidth="1"/>
    <col min="15" max="15" width="17.86328125" style="103" bestFit="1" customWidth="1"/>
    <col min="16" max="16" width="24" style="103" bestFit="1" customWidth="1"/>
    <col min="17" max="17" width="24.1328125" style="103" bestFit="1" customWidth="1"/>
    <col min="18" max="18" width="10.86328125" bestFit="1" customWidth="1"/>
    <col min="19" max="19" width="9" bestFit="1" customWidth="1"/>
    <col min="20" max="20" width="40.86328125" bestFit="1" customWidth="1"/>
    <col min="21" max="21" width="51.54296875" bestFit="1" customWidth="1"/>
    <col min="22" max="22" width="50.40625" bestFit="1" customWidth="1"/>
    <col min="23" max="23" width="18.54296875" bestFit="1" customWidth="1"/>
    <col min="24" max="25" width="12.1328125" customWidth="1"/>
    <col min="26" max="26" width="11.86328125" bestFit="1" customWidth="1"/>
    <col min="27" max="27" width="26.40625" bestFit="1" customWidth="1"/>
    <col min="28" max="28" width="22.86328125" bestFit="1" customWidth="1"/>
    <col min="29" max="29" width="10.40625" bestFit="1" customWidth="1"/>
    <col min="30" max="30" width="12.26953125" bestFit="1" customWidth="1"/>
    <col min="31" max="31" width="19.1328125" bestFit="1" customWidth="1"/>
    <col min="32" max="32" width="19.54296875" bestFit="1" customWidth="1"/>
    <col min="33" max="33" width="17.1328125" bestFit="1" customWidth="1"/>
    <col min="34" max="34" width="12" bestFit="1" customWidth="1"/>
    <col min="35" max="35" width="22.86328125" bestFit="1" customWidth="1"/>
    <col min="36" max="37" width="13.26953125" bestFit="1" customWidth="1"/>
    <col min="38" max="39" width="12.86328125" bestFit="1" customWidth="1"/>
    <col min="40" max="40" width="13.7265625" bestFit="1" customWidth="1"/>
    <col min="41" max="41" width="10" bestFit="1" customWidth="1"/>
    <col min="42" max="42" width="9.86328125" bestFit="1" customWidth="1"/>
    <col min="43" max="43" width="13.7265625" bestFit="1" customWidth="1"/>
    <col min="44" max="44" width="16" bestFit="1" customWidth="1"/>
    <col min="45" max="46" width="11.7265625" bestFit="1" customWidth="1"/>
    <col min="47" max="47" width="18.1328125" bestFit="1" customWidth="1"/>
    <col min="48" max="48" width="7.7265625" bestFit="1" customWidth="1"/>
    <col min="49" max="49" width="13.7265625" bestFit="1" customWidth="1"/>
    <col min="50" max="50" width="17.54296875" bestFit="1" customWidth="1"/>
    <col min="51" max="51" width="30" bestFit="1" customWidth="1"/>
    <col min="52" max="52" width="17.26953125" bestFit="1" customWidth="1"/>
    <col min="53" max="53" width="18.86328125" bestFit="1" customWidth="1"/>
    <col min="54" max="54" width="16.40625" bestFit="1" customWidth="1"/>
    <col min="55" max="55" width="13.26953125" bestFit="1" customWidth="1"/>
    <col min="56" max="57" width="14.40625" bestFit="1" customWidth="1"/>
    <col min="58" max="58" width="14.86328125" bestFit="1" customWidth="1"/>
    <col min="59" max="59" width="14.1328125" bestFit="1" customWidth="1"/>
    <col min="60" max="60" width="9.7265625" bestFit="1" customWidth="1"/>
    <col min="61" max="61" width="11.26953125" bestFit="1" customWidth="1"/>
    <col min="62" max="62" width="14.1328125" bestFit="1" customWidth="1"/>
    <col min="63" max="63" width="9.7265625" bestFit="1" customWidth="1"/>
    <col min="64" max="64" width="11.26953125" bestFit="1" customWidth="1"/>
  </cols>
  <sheetData>
    <row r="1" spans="1:25" s="100" customFormat="1">
      <c r="A1" s="100" t="s">
        <v>19</v>
      </c>
      <c r="B1" s="101" t="s">
        <v>20</v>
      </c>
      <c r="C1" s="102" t="s">
        <v>21</v>
      </c>
      <c r="D1" s="102" t="s">
        <v>22</v>
      </c>
      <c r="E1" s="172" t="s">
        <v>0</v>
      </c>
      <c r="F1" s="172" t="s">
        <v>1</v>
      </c>
      <c r="G1" s="172" t="s">
        <v>23</v>
      </c>
      <c r="H1" s="100" t="s">
        <v>24</v>
      </c>
      <c r="I1" s="100" t="s">
        <v>25</v>
      </c>
      <c r="J1" s="100" t="s">
        <v>26</v>
      </c>
      <c r="K1" s="100" t="s">
        <v>27</v>
      </c>
      <c r="L1" s="100" t="s">
        <v>28</v>
      </c>
      <c r="M1" s="103" t="s">
        <v>148</v>
      </c>
      <c r="N1" s="172" t="s">
        <v>31</v>
      </c>
      <c r="O1" s="103" t="s">
        <v>149</v>
      </c>
      <c r="P1" s="103" t="s">
        <v>150</v>
      </c>
      <c r="Q1" s="172" t="s">
        <v>30</v>
      </c>
      <c r="R1" t="s">
        <v>151</v>
      </c>
      <c r="S1" t="s">
        <v>152</v>
      </c>
      <c r="T1" t="s">
        <v>153</v>
      </c>
      <c r="U1" t="s">
        <v>107</v>
      </c>
      <c r="V1" t="s">
        <v>154</v>
      </c>
      <c r="W1" t="s">
        <v>109</v>
      </c>
      <c r="X1" t="s">
        <v>155</v>
      </c>
      <c r="Y1" t="s">
        <v>156</v>
      </c>
    </row>
    <row r="2" spans="1:25">
      <c r="A2" s="171">
        <v>18</v>
      </c>
      <c r="B2" s="174">
        <v>45017</v>
      </c>
      <c r="C2" s="174">
        <v>45050</v>
      </c>
      <c r="D2" s="174">
        <v>45044</v>
      </c>
      <c r="E2" s="171">
        <v>2023</v>
      </c>
      <c r="F2" s="171">
        <v>4</v>
      </c>
      <c r="G2" s="171">
        <v>28</v>
      </c>
      <c r="H2" s="131"/>
      <c r="I2" s="176"/>
      <c r="J2" s="176"/>
      <c r="K2" s="171"/>
      <c r="L2" s="171" t="s">
        <v>52</v>
      </c>
      <c r="M2" s="171">
        <v>4401</v>
      </c>
      <c r="N2" s="175">
        <v>1</v>
      </c>
      <c r="O2" s="171">
        <v>1</v>
      </c>
      <c r="P2" s="171">
        <v>0</v>
      </c>
      <c r="Q2" s="175">
        <v>1</v>
      </c>
      <c r="R2" s="6" t="s">
        <v>160</v>
      </c>
      <c r="S2" s="6" t="s">
        <v>161</v>
      </c>
      <c r="T2" s="6"/>
      <c r="U2" s="6" t="s">
        <v>162</v>
      </c>
      <c r="V2" s="6" t="s">
        <v>164</v>
      </c>
      <c r="W2" s="6"/>
      <c r="X2" s="6" t="s">
        <v>132</v>
      </c>
      <c r="Y2" s="6" t="s">
        <v>114</v>
      </c>
    </row>
    <row r="3" spans="1:25">
      <c r="A3" s="171">
        <v>18</v>
      </c>
      <c r="B3" s="174">
        <v>45017</v>
      </c>
      <c r="C3" s="174">
        <v>45050</v>
      </c>
      <c r="D3" s="174">
        <v>45044</v>
      </c>
      <c r="E3" s="171">
        <v>2023</v>
      </c>
      <c r="F3" s="171">
        <v>4</v>
      </c>
      <c r="G3" s="171">
        <v>28</v>
      </c>
      <c r="H3" s="131"/>
      <c r="I3" s="176"/>
      <c r="J3" s="176"/>
      <c r="K3" s="171"/>
      <c r="L3" s="171" t="s">
        <v>56</v>
      </c>
      <c r="M3" s="171">
        <v>500</v>
      </c>
      <c r="N3" s="175">
        <v>0</v>
      </c>
      <c r="O3" s="171">
        <v>0</v>
      </c>
      <c r="P3" s="171">
        <v>0</v>
      </c>
      <c r="Q3" s="175">
        <v>0</v>
      </c>
      <c r="R3" s="6"/>
      <c r="S3" s="6"/>
      <c r="T3" s="6"/>
      <c r="U3" s="6"/>
      <c r="V3" s="6"/>
      <c r="W3" s="6"/>
      <c r="X3" s="6" t="s">
        <v>130</v>
      </c>
      <c r="Y3" s="6" t="s">
        <v>115</v>
      </c>
    </row>
    <row r="4" spans="1:25">
      <c r="A4" s="171">
        <v>18</v>
      </c>
      <c r="B4" s="174">
        <v>45017</v>
      </c>
      <c r="C4" s="174">
        <v>45050</v>
      </c>
      <c r="D4" s="174">
        <v>45044</v>
      </c>
      <c r="E4" s="171">
        <v>2023</v>
      </c>
      <c r="F4" s="171">
        <v>4</v>
      </c>
      <c r="G4" s="171">
        <v>28</v>
      </c>
      <c r="H4" s="131"/>
      <c r="I4" s="176"/>
      <c r="J4" s="176"/>
      <c r="K4" s="171"/>
      <c r="L4" s="171" t="s">
        <v>52</v>
      </c>
      <c r="M4" s="171"/>
      <c r="N4" s="175">
        <v>0</v>
      </c>
      <c r="O4" s="171">
        <v>1</v>
      </c>
      <c r="P4" s="171">
        <v>0</v>
      </c>
      <c r="Q4" s="175">
        <v>0</v>
      </c>
      <c r="R4" s="6" t="s">
        <v>157</v>
      </c>
      <c r="S4" s="6" t="s">
        <v>158</v>
      </c>
      <c r="T4" s="6" t="s">
        <v>166</v>
      </c>
      <c r="U4" s="6" t="s">
        <v>167</v>
      </c>
      <c r="V4" s="6"/>
      <c r="W4" s="6"/>
      <c r="X4" s="6" t="s">
        <v>132</v>
      </c>
      <c r="Y4" s="6" t="s">
        <v>114</v>
      </c>
    </row>
    <row r="5" spans="1:25">
      <c r="A5" s="171">
        <v>18</v>
      </c>
      <c r="B5" s="174">
        <v>45017</v>
      </c>
      <c r="C5" s="174">
        <v>45050</v>
      </c>
      <c r="D5" s="174">
        <v>45044</v>
      </c>
      <c r="E5" s="171">
        <v>2023</v>
      </c>
      <c r="F5" s="171">
        <v>4</v>
      </c>
      <c r="G5" s="171">
        <v>28</v>
      </c>
      <c r="H5" s="131"/>
      <c r="I5" s="176"/>
      <c r="J5" s="176"/>
      <c r="K5" s="171"/>
      <c r="L5" s="171" t="s">
        <v>56</v>
      </c>
      <c r="M5" s="171">
        <v>3000</v>
      </c>
      <c r="N5" s="175">
        <v>0</v>
      </c>
      <c r="O5" s="171">
        <v>0</v>
      </c>
      <c r="P5" s="171">
        <v>0</v>
      </c>
      <c r="Q5" s="175">
        <v>0</v>
      </c>
      <c r="R5" s="6"/>
      <c r="S5" s="6"/>
      <c r="T5" s="6"/>
      <c r="U5" s="6"/>
      <c r="V5" s="6"/>
      <c r="W5" s="6"/>
      <c r="X5" s="6" t="s">
        <v>130</v>
      </c>
      <c r="Y5" s="6" t="s">
        <v>115</v>
      </c>
    </row>
    <row r="6" spans="1:25">
      <c r="A6" s="171">
        <v>18</v>
      </c>
      <c r="B6" s="174">
        <v>45017</v>
      </c>
      <c r="C6" s="174">
        <v>45050</v>
      </c>
      <c r="D6" s="174">
        <v>45044</v>
      </c>
      <c r="E6" s="171">
        <v>2023</v>
      </c>
      <c r="F6" s="171">
        <v>4</v>
      </c>
      <c r="G6" s="171">
        <v>28</v>
      </c>
      <c r="H6" s="131"/>
      <c r="I6" s="176"/>
      <c r="J6" s="176"/>
      <c r="K6" s="171"/>
      <c r="L6" s="171" t="s">
        <v>56</v>
      </c>
      <c r="M6" s="171">
        <v>1500</v>
      </c>
      <c r="N6" s="175">
        <v>0</v>
      </c>
      <c r="O6" s="171">
        <v>0</v>
      </c>
      <c r="P6" s="171">
        <v>0</v>
      </c>
      <c r="Q6" s="175">
        <v>0</v>
      </c>
      <c r="R6" s="6"/>
      <c r="S6" s="6"/>
      <c r="T6" s="6"/>
      <c r="U6" s="6"/>
      <c r="V6" s="6"/>
      <c r="W6" s="6"/>
      <c r="X6" s="6" t="s">
        <v>130</v>
      </c>
      <c r="Y6" s="6" t="s">
        <v>115</v>
      </c>
    </row>
    <row r="7" spans="1:25">
      <c r="A7" s="171">
        <v>18</v>
      </c>
      <c r="B7" s="174">
        <v>45017</v>
      </c>
      <c r="C7" s="174">
        <v>45050</v>
      </c>
      <c r="D7" s="174">
        <v>45044</v>
      </c>
      <c r="E7" s="171">
        <v>2023</v>
      </c>
      <c r="F7" s="171">
        <v>4</v>
      </c>
      <c r="G7" s="171">
        <v>28</v>
      </c>
      <c r="H7" s="131"/>
      <c r="I7" s="176"/>
      <c r="J7" s="176"/>
      <c r="K7" s="171"/>
      <c r="L7" s="171" t="s">
        <v>56</v>
      </c>
      <c r="M7" s="171">
        <v>2000</v>
      </c>
      <c r="N7" s="175">
        <v>0</v>
      </c>
      <c r="O7" s="171">
        <v>0</v>
      </c>
      <c r="P7" s="171">
        <v>0</v>
      </c>
      <c r="Q7" s="175">
        <v>0</v>
      </c>
      <c r="R7" s="6"/>
      <c r="S7" s="6"/>
      <c r="T7" s="6"/>
      <c r="U7" s="6"/>
      <c r="V7" s="6"/>
      <c r="W7" s="6"/>
      <c r="X7" s="6" t="s">
        <v>130</v>
      </c>
      <c r="Y7" s="6" t="s">
        <v>115</v>
      </c>
    </row>
    <row r="8" spans="1:25">
      <c r="A8" s="171">
        <v>18</v>
      </c>
      <c r="B8" s="174">
        <v>45017</v>
      </c>
      <c r="C8" s="174">
        <v>45050</v>
      </c>
      <c r="D8" s="174">
        <v>45044</v>
      </c>
      <c r="E8" s="171">
        <v>2023</v>
      </c>
      <c r="F8" s="171">
        <v>4</v>
      </c>
      <c r="G8" s="171">
        <v>28</v>
      </c>
      <c r="H8" s="131"/>
      <c r="I8" s="176"/>
      <c r="J8" s="176"/>
      <c r="K8" s="171"/>
      <c r="L8" s="171" t="s">
        <v>56</v>
      </c>
      <c r="M8" s="171">
        <v>7800</v>
      </c>
      <c r="N8" s="175">
        <v>0</v>
      </c>
      <c r="O8" s="171">
        <v>0</v>
      </c>
      <c r="P8" s="171">
        <v>0</v>
      </c>
      <c r="Q8" s="175">
        <v>0</v>
      </c>
      <c r="R8" s="6"/>
      <c r="S8" s="6"/>
      <c r="T8" s="6"/>
      <c r="U8" s="6"/>
      <c r="V8" s="6"/>
      <c r="W8" s="6"/>
      <c r="X8" s="6" t="s">
        <v>130</v>
      </c>
      <c r="Y8" s="6" t="s">
        <v>115</v>
      </c>
    </row>
    <row r="9" spans="1:25">
      <c r="A9" s="171">
        <v>18</v>
      </c>
      <c r="B9" s="174">
        <v>45017</v>
      </c>
      <c r="C9" s="174">
        <v>45050</v>
      </c>
      <c r="D9" s="174">
        <v>45044</v>
      </c>
      <c r="E9" s="171">
        <v>2023</v>
      </c>
      <c r="F9" s="171">
        <v>4</v>
      </c>
      <c r="G9" s="171">
        <v>28</v>
      </c>
      <c r="H9" s="131"/>
      <c r="I9" s="176"/>
      <c r="J9" s="176"/>
      <c r="K9" s="171"/>
      <c r="L9" s="171" t="s">
        <v>52</v>
      </c>
      <c r="M9" s="171">
        <v>3000</v>
      </c>
      <c r="N9" s="175">
        <v>0</v>
      </c>
      <c r="O9" s="171">
        <v>0</v>
      </c>
      <c r="P9" s="171">
        <v>0</v>
      </c>
      <c r="Q9" s="175">
        <v>0</v>
      </c>
      <c r="R9" s="6"/>
      <c r="S9" s="6"/>
      <c r="T9" s="6"/>
      <c r="U9" s="6"/>
      <c r="V9" s="6"/>
      <c r="W9" s="6"/>
      <c r="X9" s="6" t="s">
        <v>132</v>
      </c>
      <c r="Y9" s="6" t="s">
        <v>114</v>
      </c>
    </row>
    <row r="10" spans="1:25">
      <c r="A10" s="171">
        <v>18</v>
      </c>
      <c r="B10" s="174">
        <v>45017</v>
      </c>
      <c r="C10" s="174">
        <v>45050</v>
      </c>
      <c r="D10" s="174">
        <v>45044</v>
      </c>
      <c r="E10" s="171">
        <v>2023</v>
      </c>
      <c r="F10" s="171">
        <v>4</v>
      </c>
      <c r="G10" s="171">
        <v>28</v>
      </c>
      <c r="H10" s="131"/>
      <c r="I10" s="176"/>
      <c r="J10" s="176"/>
      <c r="K10" s="171"/>
      <c r="L10" s="171" t="s">
        <v>56</v>
      </c>
      <c r="M10" s="171">
        <v>200</v>
      </c>
      <c r="N10" s="175">
        <v>0</v>
      </c>
      <c r="O10" s="171">
        <v>0</v>
      </c>
      <c r="P10" s="171">
        <v>0</v>
      </c>
      <c r="Q10" s="175">
        <v>0</v>
      </c>
      <c r="R10" s="6"/>
      <c r="S10" s="6"/>
      <c r="T10" s="6"/>
      <c r="U10" s="6"/>
      <c r="V10" s="6"/>
      <c r="W10" s="6"/>
      <c r="X10" s="6" t="s">
        <v>130</v>
      </c>
      <c r="Y10" s="6" t="s">
        <v>115</v>
      </c>
    </row>
    <row r="11" spans="1:25">
      <c r="A11" s="171">
        <v>18</v>
      </c>
      <c r="B11" s="174">
        <v>45017</v>
      </c>
      <c r="C11" s="174">
        <v>45050</v>
      </c>
      <c r="D11" s="174">
        <v>45044</v>
      </c>
      <c r="E11" s="171">
        <v>2023</v>
      </c>
      <c r="F11" s="171">
        <v>4</v>
      </c>
      <c r="G11" s="171">
        <v>28</v>
      </c>
      <c r="H11" s="131"/>
      <c r="I11" s="176"/>
      <c r="J11" s="176"/>
      <c r="K11" s="171"/>
      <c r="L11" s="171" t="s">
        <v>56</v>
      </c>
      <c r="M11" s="171">
        <v>300</v>
      </c>
      <c r="N11" s="175">
        <v>0</v>
      </c>
      <c r="O11" s="171">
        <v>0</v>
      </c>
      <c r="P11" s="171">
        <v>0</v>
      </c>
      <c r="Q11" s="175">
        <v>0</v>
      </c>
      <c r="R11" s="6"/>
      <c r="S11" s="6"/>
      <c r="T11" s="6"/>
      <c r="U11" s="6"/>
      <c r="V11" s="6"/>
      <c r="W11" s="6"/>
      <c r="X11" s="6" t="s">
        <v>130</v>
      </c>
      <c r="Y11" s="6" t="s">
        <v>115</v>
      </c>
    </row>
    <row r="12" spans="1:25">
      <c r="A12" s="171">
        <v>18</v>
      </c>
      <c r="B12" s="174">
        <v>45017</v>
      </c>
      <c r="C12" s="174">
        <v>45050</v>
      </c>
      <c r="D12" s="174">
        <v>45044</v>
      </c>
      <c r="E12" s="171">
        <v>2023</v>
      </c>
      <c r="F12" s="171">
        <v>4</v>
      </c>
      <c r="G12" s="171">
        <v>28</v>
      </c>
      <c r="H12" s="131"/>
      <c r="I12" s="176"/>
      <c r="J12" s="176"/>
      <c r="K12" s="171"/>
      <c r="L12" s="171" t="s">
        <v>56</v>
      </c>
      <c r="M12" s="171">
        <v>500</v>
      </c>
      <c r="N12" s="175">
        <v>0</v>
      </c>
      <c r="O12" s="171">
        <v>0</v>
      </c>
      <c r="P12" s="171">
        <v>0</v>
      </c>
      <c r="Q12" s="175">
        <v>0</v>
      </c>
      <c r="R12" s="6"/>
      <c r="S12" s="6"/>
      <c r="T12" s="6"/>
      <c r="U12" s="6"/>
      <c r="V12" s="6"/>
      <c r="W12" s="6"/>
      <c r="X12" s="6" t="s">
        <v>130</v>
      </c>
      <c r="Y12" s="6" t="s">
        <v>115</v>
      </c>
    </row>
    <row r="13" spans="1:25">
      <c r="A13" s="171">
        <v>18</v>
      </c>
      <c r="B13" s="174">
        <v>45017</v>
      </c>
      <c r="C13" s="174">
        <v>45050</v>
      </c>
      <c r="D13" s="174">
        <v>45044</v>
      </c>
      <c r="E13" s="171">
        <v>2023</v>
      </c>
      <c r="F13" s="171">
        <v>4</v>
      </c>
      <c r="G13" s="171">
        <v>28</v>
      </c>
      <c r="H13" s="131"/>
      <c r="I13" s="176"/>
      <c r="J13" s="176"/>
      <c r="K13" s="171"/>
      <c r="L13" s="171" t="s">
        <v>56</v>
      </c>
      <c r="M13" s="171">
        <v>1000</v>
      </c>
      <c r="N13" s="175">
        <v>0</v>
      </c>
      <c r="O13" s="171">
        <v>0</v>
      </c>
      <c r="P13" s="171">
        <v>0</v>
      </c>
      <c r="Q13" s="175">
        <v>0</v>
      </c>
      <c r="R13" s="6"/>
      <c r="S13" s="6"/>
      <c r="T13" s="6"/>
      <c r="U13" s="6"/>
      <c r="V13" s="6"/>
      <c r="W13" s="6"/>
      <c r="X13" s="6" t="s">
        <v>130</v>
      </c>
      <c r="Y13" s="6" t="s">
        <v>115</v>
      </c>
    </row>
    <row r="14" spans="1:25">
      <c r="A14" s="171">
        <v>18</v>
      </c>
      <c r="B14" s="174">
        <v>45017</v>
      </c>
      <c r="C14" s="174">
        <v>45050</v>
      </c>
      <c r="D14" s="174">
        <v>45044</v>
      </c>
      <c r="E14" s="171">
        <v>2023</v>
      </c>
      <c r="F14" s="171">
        <v>4</v>
      </c>
      <c r="G14" s="171">
        <v>28</v>
      </c>
      <c r="H14" s="131"/>
      <c r="I14" s="176"/>
      <c r="J14" s="176"/>
      <c r="K14" s="171"/>
      <c r="L14" s="171" t="s">
        <v>56</v>
      </c>
      <c r="M14" s="171">
        <v>1350</v>
      </c>
      <c r="N14" s="175">
        <v>0</v>
      </c>
      <c r="O14" s="171">
        <v>0</v>
      </c>
      <c r="P14" s="171">
        <v>0</v>
      </c>
      <c r="Q14" s="175">
        <v>0</v>
      </c>
      <c r="R14" s="6"/>
      <c r="S14" s="6"/>
      <c r="T14" s="6"/>
      <c r="U14" s="6"/>
      <c r="V14" s="6"/>
      <c r="W14" s="6"/>
      <c r="X14" s="6" t="s">
        <v>130</v>
      </c>
      <c r="Y14" s="6" t="s">
        <v>115</v>
      </c>
    </row>
    <row r="15" spans="1:25">
      <c r="A15" s="171">
        <v>18</v>
      </c>
      <c r="B15" s="174">
        <v>45017</v>
      </c>
      <c r="C15" s="174">
        <v>45050</v>
      </c>
      <c r="D15" s="174">
        <v>45044</v>
      </c>
      <c r="E15" s="171">
        <v>2023</v>
      </c>
      <c r="F15" s="171">
        <v>4</v>
      </c>
      <c r="G15" s="171">
        <v>28</v>
      </c>
      <c r="H15" s="131"/>
      <c r="I15" s="176"/>
      <c r="J15" s="176"/>
      <c r="K15" s="171"/>
      <c r="L15" s="171" t="s">
        <v>56</v>
      </c>
      <c r="M15" s="171">
        <v>2500</v>
      </c>
      <c r="N15" s="175">
        <v>0</v>
      </c>
      <c r="O15" s="171">
        <v>0</v>
      </c>
      <c r="P15" s="171">
        <v>0</v>
      </c>
      <c r="Q15" s="175">
        <v>0</v>
      </c>
      <c r="R15" s="6"/>
      <c r="S15" s="6"/>
      <c r="T15" s="6"/>
      <c r="U15" s="6"/>
      <c r="V15" s="6"/>
      <c r="W15" s="6"/>
      <c r="X15" s="6" t="s">
        <v>130</v>
      </c>
      <c r="Y15" s="6" t="s">
        <v>115</v>
      </c>
    </row>
    <row r="16" spans="1:25">
      <c r="A16" s="171">
        <v>18</v>
      </c>
      <c r="B16" s="174">
        <v>45017</v>
      </c>
      <c r="C16" s="174">
        <v>45050</v>
      </c>
      <c r="D16" s="174">
        <v>45044</v>
      </c>
      <c r="E16" s="171">
        <v>2023</v>
      </c>
      <c r="F16" s="171">
        <v>4</v>
      </c>
      <c r="G16" s="171">
        <v>28</v>
      </c>
      <c r="H16" s="131"/>
      <c r="I16" s="176"/>
      <c r="J16" s="176"/>
      <c r="K16" s="171"/>
      <c r="L16" s="171" t="s">
        <v>56</v>
      </c>
      <c r="M16" s="171">
        <v>500</v>
      </c>
      <c r="N16" s="175">
        <v>0</v>
      </c>
      <c r="O16" s="171">
        <v>0</v>
      </c>
      <c r="P16" s="171">
        <v>0</v>
      </c>
      <c r="Q16" s="175">
        <v>0</v>
      </c>
      <c r="R16" s="6"/>
      <c r="S16" s="6"/>
      <c r="T16" s="6"/>
      <c r="U16" s="6"/>
      <c r="V16" s="6"/>
      <c r="W16" s="6"/>
      <c r="X16" s="6" t="s">
        <v>130</v>
      </c>
      <c r="Y16" s="6" t="s">
        <v>115</v>
      </c>
    </row>
    <row r="17" spans="1:25">
      <c r="A17" s="171">
        <v>18</v>
      </c>
      <c r="B17" s="174">
        <v>45017</v>
      </c>
      <c r="C17" s="174">
        <v>45050</v>
      </c>
      <c r="D17" s="174">
        <v>45044</v>
      </c>
      <c r="E17" s="171">
        <v>2023</v>
      </c>
      <c r="F17" s="171">
        <v>4</v>
      </c>
      <c r="G17" s="171">
        <v>28</v>
      </c>
      <c r="H17" s="131"/>
      <c r="I17" s="176"/>
      <c r="J17" s="176"/>
      <c r="K17" s="171"/>
      <c r="L17" s="171" t="s">
        <v>56</v>
      </c>
      <c r="M17" s="171">
        <v>1500</v>
      </c>
      <c r="N17" s="175">
        <v>0</v>
      </c>
      <c r="O17" s="171">
        <v>0</v>
      </c>
      <c r="P17" s="171">
        <v>0</v>
      </c>
      <c r="Q17" s="175">
        <v>0</v>
      </c>
      <c r="R17" s="6"/>
      <c r="S17" s="6"/>
      <c r="T17" s="6"/>
      <c r="U17" s="6"/>
      <c r="V17" s="6"/>
      <c r="W17" s="6"/>
      <c r="X17" s="6" t="s">
        <v>130</v>
      </c>
      <c r="Y17" s="6" t="s">
        <v>115</v>
      </c>
    </row>
    <row r="18" spans="1:25">
      <c r="A18" s="171">
        <v>18</v>
      </c>
      <c r="B18" s="174">
        <v>45017</v>
      </c>
      <c r="C18" s="174">
        <v>45050</v>
      </c>
      <c r="D18" s="174">
        <v>45044</v>
      </c>
      <c r="E18" s="171">
        <v>2023</v>
      </c>
      <c r="F18" s="171">
        <v>4</v>
      </c>
      <c r="G18" s="171">
        <v>28</v>
      </c>
      <c r="H18" s="131"/>
      <c r="I18" s="176"/>
      <c r="J18" s="176"/>
      <c r="K18" s="171"/>
      <c r="L18" s="171" t="s">
        <v>56</v>
      </c>
      <c r="M18" s="171">
        <v>4100</v>
      </c>
      <c r="N18" s="175">
        <v>0</v>
      </c>
      <c r="O18" s="171">
        <v>0</v>
      </c>
      <c r="P18" s="171">
        <v>0</v>
      </c>
      <c r="Q18" s="175">
        <v>0</v>
      </c>
      <c r="R18" s="6"/>
      <c r="S18" s="6"/>
      <c r="T18" s="6"/>
      <c r="U18" s="6"/>
      <c r="V18" s="6"/>
      <c r="W18" s="6"/>
      <c r="X18" s="6" t="s">
        <v>130</v>
      </c>
      <c r="Y18" s="6" t="s">
        <v>115</v>
      </c>
    </row>
    <row r="19" spans="1:25">
      <c r="A19" s="171">
        <v>18</v>
      </c>
      <c r="B19" s="174">
        <v>45017</v>
      </c>
      <c r="C19" s="174">
        <v>45050</v>
      </c>
      <c r="D19" s="174">
        <v>45044</v>
      </c>
      <c r="E19" s="171">
        <v>2023</v>
      </c>
      <c r="F19" s="171">
        <v>4</v>
      </c>
      <c r="G19" s="171">
        <v>28</v>
      </c>
      <c r="H19" s="131"/>
      <c r="I19" s="176"/>
      <c r="J19" s="176"/>
      <c r="K19" s="171"/>
      <c r="L19" s="171" t="s">
        <v>56</v>
      </c>
      <c r="M19" s="171">
        <v>1500</v>
      </c>
      <c r="N19" s="175">
        <v>0</v>
      </c>
      <c r="O19" s="171">
        <v>0</v>
      </c>
      <c r="P19" s="171">
        <v>0</v>
      </c>
      <c r="Q19" s="175">
        <v>0</v>
      </c>
      <c r="R19" s="6"/>
      <c r="S19" s="6"/>
      <c r="T19" s="6"/>
      <c r="U19" s="6"/>
      <c r="V19" s="6"/>
      <c r="W19" s="6"/>
      <c r="X19" s="6" t="s">
        <v>130</v>
      </c>
      <c r="Y19" s="6" t="s">
        <v>115</v>
      </c>
    </row>
    <row r="20" spans="1:25">
      <c r="A20" s="171">
        <v>18</v>
      </c>
      <c r="B20" s="174">
        <v>45017</v>
      </c>
      <c r="C20" s="174">
        <v>45050</v>
      </c>
      <c r="D20" s="174">
        <v>45044</v>
      </c>
      <c r="E20" s="171">
        <v>2023</v>
      </c>
      <c r="F20" s="171">
        <v>4</v>
      </c>
      <c r="G20" s="171">
        <v>28</v>
      </c>
      <c r="H20" s="131"/>
      <c r="I20" s="176"/>
      <c r="J20" s="176"/>
      <c r="K20" s="171"/>
      <c r="L20" s="171" t="s">
        <v>56</v>
      </c>
      <c r="M20" s="171">
        <v>700</v>
      </c>
      <c r="N20" s="175">
        <v>0</v>
      </c>
      <c r="O20" s="171">
        <v>0</v>
      </c>
      <c r="P20" s="171">
        <v>0</v>
      </c>
      <c r="Q20" s="175">
        <v>0</v>
      </c>
      <c r="R20" s="6"/>
      <c r="S20" s="6"/>
      <c r="T20" s="6"/>
      <c r="U20" s="6"/>
      <c r="V20" s="6"/>
      <c r="W20" s="6"/>
      <c r="X20" s="6" t="s">
        <v>130</v>
      </c>
      <c r="Y20" s="6" t="s">
        <v>115</v>
      </c>
    </row>
    <row r="21" spans="1:25">
      <c r="A21" s="171">
        <v>18</v>
      </c>
      <c r="B21" s="174">
        <v>45017</v>
      </c>
      <c r="C21" s="174">
        <v>45050</v>
      </c>
      <c r="D21" s="174">
        <v>45044</v>
      </c>
      <c r="E21" s="171">
        <v>2023</v>
      </c>
      <c r="F21" s="171">
        <v>4</v>
      </c>
      <c r="G21" s="171">
        <v>28</v>
      </c>
      <c r="H21" s="131"/>
      <c r="I21" s="176"/>
      <c r="J21" s="176"/>
      <c r="K21" s="171"/>
      <c r="L21" s="171" t="s">
        <v>52</v>
      </c>
      <c r="M21" s="171">
        <v>20003</v>
      </c>
      <c r="N21" s="175">
        <v>3</v>
      </c>
      <c r="O21" s="171">
        <v>2</v>
      </c>
      <c r="P21" s="171">
        <v>1</v>
      </c>
      <c r="Q21" s="175">
        <v>2</v>
      </c>
      <c r="R21" s="6" t="s">
        <v>160</v>
      </c>
      <c r="S21" s="6" t="s">
        <v>161</v>
      </c>
      <c r="T21" s="6" t="s">
        <v>314</v>
      </c>
      <c r="U21" s="6" t="s">
        <v>236</v>
      </c>
      <c r="V21" s="6"/>
      <c r="W21" s="6"/>
      <c r="X21" s="6" t="s">
        <v>132</v>
      </c>
      <c r="Y21" s="6" t="s">
        <v>114</v>
      </c>
    </row>
    <row r="22" spans="1:25">
      <c r="A22" s="171">
        <v>19</v>
      </c>
      <c r="B22" s="174">
        <v>45047</v>
      </c>
      <c r="C22" s="174">
        <v>45051</v>
      </c>
      <c r="D22" s="174">
        <v>45050</v>
      </c>
      <c r="E22" s="171">
        <v>2023</v>
      </c>
      <c r="F22" s="171">
        <v>5</v>
      </c>
      <c r="G22" s="171">
        <v>4</v>
      </c>
      <c r="H22" s="131"/>
      <c r="I22" s="176"/>
      <c r="J22" s="176"/>
      <c r="K22" s="171"/>
      <c r="L22" s="171" t="s">
        <v>56</v>
      </c>
      <c r="M22" s="171">
        <v>1500</v>
      </c>
      <c r="N22" s="175">
        <v>0</v>
      </c>
      <c r="O22" s="171">
        <v>0</v>
      </c>
      <c r="P22" s="171">
        <v>0</v>
      </c>
      <c r="Q22" s="175">
        <v>0</v>
      </c>
      <c r="R22" s="6"/>
      <c r="S22" s="6"/>
      <c r="T22" s="6"/>
      <c r="U22" s="6"/>
      <c r="V22" s="6"/>
      <c r="W22" s="6"/>
      <c r="X22" s="6" t="s">
        <v>140</v>
      </c>
      <c r="Y22" s="6" t="s">
        <v>141</v>
      </c>
    </row>
    <row r="23" spans="1:25">
      <c r="A23" s="171">
        <v>19</v>
      </c>
      <c r="B23" s="174">
        <v>45047</v>
      </c>
      <c r="C23" s="174">
        <v>45050</v>
      </c>
      <c r="D23" s="174">
        <v>45049</v>
      </c>
      <c r="E23" s="171">
        <v>2023</v>
      </c>
      <c r="F23" s="171">
        <v>5</v>
      </c>
      <c r="G23" s="171">
        <v>3</v>
      </c>
      <c r="H23" s="131"/>
      <c r="I23" s="176"/>
      <c r="J23" s="176"/>
      <c r="K23" s="171"/>
      <c r="L23" s="171" t="s">
        <v>56</v>
      </c>
      <c r="M23" s="171">
        <v>500</v>
      </c>
      <c r="N23" s="175">
        <v>0</v>
      </c>
      <c r="O23" s="171">
        <v>0</v>
      </c>
      <c r="P23" s="171">
        <v>0</v>
      </c>
      <c r="Q23" s="175">
        <v>0</v>
      </c>
      <c r="R23" s="6"/>
      <c r="S23" s="6"/>
      <c r="T23" s="6"/>
      <c r="U23" s="6"/>
      <c r="V23" s="6"/>
      <c r="W23" s="6"/>
      <c r="X23" s="6" t="s">
        <v>140</v>
      </c>
      <c r="Y23" s="6" t="s">
        <v>141</v>
      </c>
    </row>
    <row r="24" spans="1:25">
      <c r="A24" s="171">
        <v>19</v>
      </c>
      <c r="B24" s="174">
        <v>45047</v>
      </c>
      <c r="C24" s="174">
        <v>45054</v>
      </c>
      <c r="D24" s="174">
        <v>45053</v>
      </c>
      <c r="E24" s="171">
        <v>2023</v>
      </c>
      <c r="F24" s="171">
        <v>5</v>
      </c>
      <c r="G24" s="171">
        <v>7</v>
      </c>
      <c r="H24" s="131"/>
      <c r="I24" s="176"/>
      <c r="J24" s="176"/>
      <c r="K24" s="171" t="s">
        <v>199</v>
      </c>
      <c r="L24" s="171" t="s">
        <v>56</v>
      </c>
      <c r="M24" s="171">
        <v>250</v>
      </c>
      <c r="N24" s="175">
        <v>0</v>
      </c>
      <c r="O24" s="171">
        <v>0</v>
      </c>
      <c r="P24" s="171">
        <v>0</v>
      </c>
      <c r="Q24" s="175">
        <v>0</v>
      </c>
      <c r="R24" s="6" t="s">
        <v>160</v>
      </c>
      <c r="S24" s="6" t="s">
        <v>162</v>
      </c>
      <c r="T24" s="6" t="s">
        <v>314</v>
      </c>
      <c r="U24" s="6" t="s">
        <v>240</v>
      </c>
      <c r="V24" s="6" t="s">
        <v>203</v>
      </c>
      <c r="W24" s="6" t="s">
        <v>204</v>
      </c>
      <c r="X24" s="6" t="s">
        <v>140</v>
      </c>
      <c r="Y24" s="6" t="s">
        <v>141</v>
      </c>
    </row>
    <row r="25" spans="1:25">
      <c r="A25" s="171">
        <v>19</v>
      </c>
      <c r="B25" s="174">
        <v>45047</v>
      </c>
      <c r="C25" s="174">
        <v>45052</v>
      </c>
      <c r="D25" s="174">
        <v>45051</v>
      </c>
      <c r="E25" s="171">
        <v>2023</v>
      </c>
      <c r="F25" s="171">
        <v>5</v>
      </c>
      <c r="G25" s="171">
        <v>5</v>
      </c>
      <c r="H25" s="131"/>
      <c r="I25" s="176"/>
      <c r="J25" s="176"/>
      <c r="K25" s="171"/>
      <c r="L25" s="171" t="s">
        <v>56</v>
      </c>
      <c r="M25" s="171">
        <v>591</v>
      </c>
      <c r="N25" s="175">
        <v>0</v>
      </c>
      <c r="O25" s="171">
        <v>0</v>
      </c>
      <c r="P25" s="171">
        <v>0</v>
      </c>
      <c r="Q25" s="175">
        <v>0</v>
      </c>
      <c r="R25" s="6"/>
      <c r="S25" s="6"/>
      <c r="T25" s="6"/>
      <c r="U25" s="6"/>
      <c r="V25" s="6"/>
      <c r="W25" s="6"/>
      <c r="X25" s="6" t="s">
        <v>140</v>
      </c>
      <c r="Y25" s="6" t="s">
        <v>141</v>
      </c>
    </row>
    <row r="26" spans="1:25">
      <c r="A26" s="171">
        <v>19</v>
      </c>
      <c r="B26" s="174">
        <v>45047</v>
      </c>
      <c r="C26" s="174">
        <v>45052</v>
      </c>
      <c r="D26" s="174">
        <v>45051</v>
      </c>
      <c r="E26" s="171">
        <v>2023</v>
      </c>
      <c r="F26" s="171">
        <v>5</v>
      </c>
      <c r="G26" s="171">
        <v>5</v>
      </c>
      <c r="H26" s="131"/>
      <c r="I26" s="176"/>
      <c r="J26" s="176"/>
      <c r="K26" s="171"/>
      <c r="L26" s="171" t="s">
        <v>56</v>
      </c>
      <c r="M26" s="171">
        <v>1000</v>
      </c>
      <c r="N26" s="175">
        <v>0</v>
      </c>
      <c r="O26" s="171">
        <v>0</v>
      </c>
      <c r="P26" s="171">
        <v>0</v>
      </c>
      <c r="Q26" s="175">
        <v>0</v>
      </c>
      <c r="R26" s="6"/>
      <c r="S26" s="6"/>
      <c r="T26" s="6"/>
      <c r="U26" s="6"/>
      <c r="V26" s="6"/>
      <c r="W26" s="6"/>
      <c r="X26" s="6" t="s">
        <v>140</v>
      </c>
      <c r="Y26" s="6" t="s">
        <v>141</v>
      </c>
    </row>
    <row r="27" spans="1:25">
      <c r="A27" s="171">
        <v>19</v>
      </c>
      <c r="B27" s="174">
        <v>45047</v>
      </c>
      <c r="C27" s="174">
        <v>45052</v>
      </c>
      <c r="D27" s="174">
        <v>45051</v>
      </c>
      <c r="E27" s="171">
        <v>2023</v>
      </c>
      <c r="F27" s="171">
        <v>5</v>
      </c>
      <c r="G27" s="171">
        <v>5</v>
      </c>
      <c r="H27" s="131"/>
      <c r="I27" s="176"/>
      <c r="J27" s="176"/>
      <c r="K27" s="171"/>
      <c r="L27" s="171" t="s">
        <v>56</v>
      </c>
      <c r="M27" s="171">
        <v>1260</v>
      </c>
      <c r="N27" s="175">
        <v>0</v>
      </c>
      <c r="O27" s="171">
        <v>0</v>
      </c>
      <c r="P27" s="171">
        <v>0</v>
      </c>
      <c r="Q27" s="175">
        <v>0</v>
      </c>
      <c r="R27" s="6"/>
      <c r="S27" s="6"/>
      <c r="T27" s="6"/>
      <c r="U27" s="6"/>
      <c r="V27" s="6"/>
      <c r="W27" s="6"/>
      <c r="X27" s="6" t="s">
        <v>140</v>
      </c>
      <c r="Y27" s="6" t="s">
        <v>141</v>
      </c>
    </row>
    <row r="28" spans="1:25">
      <c r="A28" s="171">
        <v>19</v>
      </c>
      <c r="B28" s="174">
        <v>45047</v>
      </c>
      <c r="C28" s="174">
        <v>45052</v>
      </c>
      <c r="D28" s="174">
        <v>45051</v>
      </c>
      <c r="E28" s="171">
        <v>2023</v>
      </c>
      <c r="F28" s="171">
        <v>5</v>
      </c>
      <c r="G28" s="171">
        <v>5</v>
      </c>
      <c r="H28" s="131"/>
      <c r="I28" s="176"/>
      <c r="J28" s="176"/>
      <c r="K28" s="171"/>
      <c r="L28" s="171" t="s">
        <v>56</v>
      </c>
      <c r="M28" s="171">
        <v>2200</v>
      </c>
      <c r="N28" s="175">
        <v>0</v>
      </c>
      <c r="O28" s="171">
        <v>0</v>
      </c>
      <c r="P28" s="171">
        <v>0</v>
      </c>
      <c r="Q28" s="175">
        <v>0</v>
      </c>
      <c r="R28" s="6"/>
      <c r="S28" s="6"/>
      <c r="T28" s="6"/>
      <c r="U28" s="6"/>
      <c r="V28" s="6"/>
      <c r="W28" s="6"/>
      <c r="X28" s="6" t="s">
        <v>140</v>
      </c>
      <c r="Y28" s="6" t="s">
        <v>141</v>
      </c>
    </row>
    <row r="29" spans="1:25">
      <c r="A29" s="171">
        <v>19</v>
      </c>
      <c r="B29" s="174">
        <v>45047</v>
      </c>
      <c r="C29" s="174">
        <v>45050</v>
      </c>
      <c r="D29" s="174">
        <v>45049</v>
      </c>
      <c r="E29" s="171">
        <v>2023</v>
      </c>
      <c r="F29" s="171">
        <v>5</v>
      </c>
      <c r="G29" s="171">
        <v>3</v>
      </c>
      <c r="H29" s="131"/>
      <c r="I29" s="176"/>
      <c r="J29" s="176"/>
      <c r="K29" s="171"/>
      <c r="L29" s="171" t="s">
        <v>56</v>
      </c>
      <c r="M29" s="171">
        <v>409</v>
      </c>
      <c r="N29" s="175">
        <v>0</v>
      </c>
      <c r="O29" s="171">
        <v>0</v>
      </c>
      <c r="P29" s="171">
        <v>0</v>
      </c>
      <c r="Q29" s="175">
        <v>0</v>
      </c>
      <c r="R29" s="6"/>
      <c r="S29" s="6"/>
      <c r="T29" s="6"/>
      <c r="U29" s="6"/>
      <c r="V29" s="6"/>
      <c r="W29" s="6"/>
      <c r="X29" s="6" t="s">
        <v>140</v>
      </c>
      <c r="Y29" s="6" t="s">
        <v>141</v>
      </c>
    </row>
    <row r="30" spans="1:25">
      <c r="A30" s="171">
        <v>19</v>
      </c>
      <c r="B30" s="174">
        <v>45047</v>
      </c>
      <c r="C30" s="174">
        <v>45054</v>
      </c>
      <c r="D30" s="174">
        <v>45052</v>
      </c>
      <c r="E30" s="171">
        <v>2023</v>
      </c>
      <c r="F30" s="171">
        <v>5</v>
      </c>
      <c r="G30" s="171">
        <v>6</v>
      </c>
      <c r="H30" s="131"/>
      <c r="I30" s="176"/>
      <c r="J30" s="176"/>
      <c r="K30" s="171"/>
      <c r="L30" s="171" t="s">
        <v>52</v>
      </c>
      <c r="M30" s="171">
        <v>8000</v>
      </c>
      <c r="N30" s="175">
        <v>0</v>
      </c>
      <c r="O30" s="171">
        <v>0</v>
      </c>
      <c r="P30" s="171">
        <v>0</v>
      </c>
      <c r="Q30" s="175">
        <v>0</v>
      </c>
      <c r="R30" s="6"/>
      <c r="S30" s="6"/>
      <c r="T30" s="6"/>
      <c r="U30" s="6"/>
      <c r="V30" s="6"/>
      <c r="W30" s="6"/>
      <c r="X30" s="6" t="s">
        <v>142</v>
      </c>
      <c r="Y30" s="6" t="s">
        <v>143</v>
      </c>
    </row>
    <row r="31" spans="1:25">
      <c r="A31" s="171">
        <v>19</v>
      </c>
      <c r="B31" s="174">
        <v>45047</v>
      </c>
      <c r="C31" s="174">
        <v>45052</v>
      </c>
      <c r="D31" s="174">
        <v>45051</v>
      </c>
      <c r="E31" s="171">
        <v>2023</v>
      </c>
      <c r="F31" s="171">
        <v>5</v>
      </c>
      <c r="G31" s="171">
        <v>5</v>
      </c>
      <c r="H31" s="131"/>
      <c r="I31" s="176"/>
      <c r="J31" s="176"/>
      <c r="K31" s="171"/>
      <c r="L31" s="171" t="s">
        <v>56</v>
      </c>
      <c r="M31" s="171">
        <v>502</v>
      </c>
      <c r="N31" s="175">
        <v>2</v>
      </c>
      <c r="O31" s="171">
        <v>2</v>
      </c>
      <c r="P31" s="171">
        <v>0</v>
      </c>
      <c r="Q31" s="175">
        <v>2</v>
      </c>
      <c r="R31" s="6" t="s">
        <v>160</v>
      </c>
      <c r="S31" s="6" t="s">
        <v>161</v>
      </c>
      <c r="T31" s="6" t="s">
        <v>253</v>
      </c>
      <c r="U31" s="6" t="s">
        <v>233</v>
      </c>
      <c r="V31" s="6" t="s">
        <v>226</v>
      </c>
      <c r="W31" s="6"/>
      <c r="X31" s="6" t="s">
        <v>140</v>
      </c>
      <c r="Y31" s="6" t="s">
        <v>141</v>
      </c>
    </row>
    <row r="32" spans="1:25">
      <c r="A32" s="171">
        <v>19</v>
      </c>
      <c r="B32" s="174">
        <v>45047</v>
      </c>
      <c r="C32" s="174">
        <v>45054</v>
      </c>
      <c r="D32" s="174">
        <v>45052</v>
      </c>
      <c r="E32" s="171">
        <v>2023</v>
      </c>
      <c r="F32" s="171">
        <v>5</v>
      </c>
      <c r="G32" s="171">
        <v>6</v>
      </c>
      <c r="H32" s="131"/>
      <c r="I32" s="176"/>
      <c r="J32" s="176"/>
      <c r="K32" s="171"/>
      <c r="L32" s="171" t="s">
        <v>52</v>
      </c>
      <c r="M32" s="171"/>
      <c r="N32" s="175">
        <v>0</v>
      </c>
      <c r="O32" s="171">
        <v>2</v>
      </c>
      <c r="P32" s="171">
        <v>0</v>
      </c>
      <c r="Q32" s="175">
        <v>0</v>
      </c>
      <c r="R32" s="6" t="s">
        <v>157</v>
      </c>
      <c r="S32" s="6" t="s">
        <v>158</v>
      </c>
      <c r="T32" s="6" t="s">
        <v>166</v>
      </c>
      <c r="U32" s="6" t="s">
        <v>167</v>
      </c>
      <c r="V32" s="6"/>
      <c r="W32" s="6"/>
      <c r="X32" s="6" t="s">
        <v>142</v>
      </c>
      <c r="Y32" s="6" t="s">
        <v>143</v>
      </c>
    </row>
    <row r="33" spans="1:25">
      <c r="A33" s="171">
        <v>19</v>
      </c>
      <c r="B33" s="174">
        <v>45047</v>
      </c>
      <c r="C33" s="174">
        <v>45054</v>
      </c>
      <c r="D33" s="174">
        <v>45052</v>
      </c>
      <c r="E33" s="171">
        <v>2023</v>
      </c>
      <c r="F33" s="171">
        <v>5</v>
      </c>
      <c r="G33" s="171">
        <v>6</v>
      </c>
      <c r="H33" s="131"/>
      <c r="I33" s="176"/>
      <c r="J33" s="176"/>
      <c r="K33" s="171"/>
      <c r="L33" s="171" t="s">
        <v>52</v>
      </c>
      <c r="M33" s="171">
        <v>2000</v>
      </c>
      <c r="N33" s="175">
        <v>0</v>
      </c>
      <c r="O33" s="171">
        <v>0</v>
      </c>
      <c r="P33" s="171">
        <v>0</v>
      </c>
      <c r="Q33" s="175">
        <v>0</v>
      </c>
      <c r="R33" s="6"/>
      <c r="S33" s="6"/>
      <c r="T33" s="6"/>
      <c r="U33" s="6"/>
      <c r="V33" s="6"/>
      <c r="W33" s="6"/>
      <c r="X33" s="6" t="s">
        <v>142</v>
      </c>
      <c r="Y33" s="6" t="s">
        <v>143</v>
      </c>
    </row>
    <row r="34" spans="1:25">
      <c r="A34" s="171">
        <v>19</v>
      </c>
      <c r="B34" s="174">
        <v>45047</v>
      </c>
      <c r="C34" s="174">
        <v>45054</v>
      </c>
      <c r="D34" s="174">
        <v>45052</v>
      </c>
      <c r="E34" s="171">
        <v>2023</v>
      </c>
      <c r="F34" s="171">
        <v>5</v>
      </c>
      <c r="G34" s="171">
        <v>6</v>
      </c>
      <c r="H34" s="131"/>
      <c r="I34" s="176"/>
      <c r="J34" s="176"/>
      <c r="K34" s="171"/>
      <c r="L34" s="171" t="s">
        <v>52</v>
      </c>
      <c r="M34" s="171">
        <v>30005</v>
      </c>
      <c r="N34" s="175">
        <v>5</v>
      </c>
      <c r="O34" s="171">
        <v>3</v>
      </c>
      <c r="P34" s="171">
        <v>2</v>
      </c>
      <c r="Q34" s="175">
        <v>3</v>
      </c>
      <c r="R34" s="6" t="s">
        <v>160</v>
      </c>
      <c r="S34" s="6" t="s">
        <v>161</v>
      </c>
      <c r="T34" s="6" t="s">
        <v>314</v>
      </c>
      <c r="U34" s="6" t="s">
        <v>168</v>
      </c>
      <c r="V34" s="6" t="s">
        <v>225</v>
      </c>
      <c r="W34" s="6"/>
      <c r="X34" s="6" t="s">
        <v>142</v>
      </c>
      <c r="Y34" s="6" t="s">
        <v>143</v>
      </c>
    </row>
    <row r="35" spans="1:25">
      <c r="A35" s="171">
        <v>19</v>
      </c>
      <c r="B35" s="174">
        <v>45047</v>
      </c>
      <c r="C35" s="174">
        <v>45050</v>
      </c>
      <c r="D35" s="174">
        <v>45049</v>
      </c>
      <c r="E35" s="171">
        <v>2023</v>
      </c>
      <c r="F35" s="171">
        <v>5</v>
      </c>
      <c r="G35" s="171">
        <v>3</v>
      </c>
      <c r="H35" s="131"/>
      <c r="I35" s="176"/>
      <c r="J35" s="176"/>
      <c r="K35" s="171"/>
      <c r="L35" s="171" t="s">
        <v>56</v>
      </c>
      <c r="M35" s="171">
        <v>3000</v>
      </c>
      <c r="N35" s="175">
        <v>0</v>
      </c>
      <c r="O35" s="171">
        <v>0</v>
      </c>
      <c r="P35" s="171">
        <v>0</v>
      </c>
      <c r="Q35" s="175">
        <v>0</v>
      </c>
      <c r="R35" s="6"/>
      <c r="S35" s="6"/>
      <c r="T35" s="6"/>
      <c r="U35" s="6"/>
      <c r="V35" s="6"/>
      <c r="W35" s="6"/>
      <c r="X35" s="6" t="s">
        <v>140</v>
      </c>
      <c r="Y35" s="6" t="s">
        <v>141</v>
      </c>
    </row>
    <row r="36" spans="1:25">
      <c r="A36" s="171">
        <v>19</v>
      </c>
      <c r="B36" s="174">
        <v>45047</v>
      </c>
      <c r="C36" s="174">
        <v>45054</v>
      </c>
      <c r="D36" s="174">
        <v>45053</v>
      </c>
      <c r="E36" s="171">
        <v>2023</v>
      </c>
      <c r="F36" s="171">
        <v>5</v>
      </c>
      <c r="G36" s="171">
        <v>7</v>
      </c>
      <c r="H36" s="131"/>
      <c r="I36" s="176"/>
      <c r="J36" s="176"/>
      <c r="K36" s="171" t="s">
        <v>199</v>
      </c>
      <c r="L36" s="171" t="s">
        <v>56</v>
      </c>
      <c r="M36" s="171">
        <v>130</v>
      </c>
      <c r="N36" s="175">
        <v>0</v>
      </c>
      <c r="O36" s="171">
        <v>0</v>
      </c>
      <c r="P36" s="171">
        <v>0</v>
      </c>
      <c r="Q36" s="175">
        <v>0</v>
      </c>
      <c r="R36" s="6" t="s">
        <v>160</v>
      </c>
      <c r="S36" s="6" t="s">
        <v>162</v>
      </c>
      <c r="T36" s="6" t="s">
        <v>314</v>
      </c>
      <c r="U36" s="6" t="s">
        <v>240</v>
      </c>
      <c r="V36" s="6" t="s">
        <v>212</v>
      </c>
      <c r="W36" s="6" t="s">
        <v>213</v>
      </c>
      <c r="X36" s="6" t="s">
        <v>140</v>
      </c>
      <c r="Y36" s="6" t="s">
        <v>141</v>
      </c>
    </row>
    <row r="37" spans="1:25">
      <c r="A37" s="171">
        <v>19</v>
      </c>
      <c r="B37" s="174">
        <v>45047</v>
      </c>
      <c r="C37" s="174">
        <v>45050</v>
      </c>
      <c r="D37" s="174">
        <v>45049</v>
      </c>
      <c r="E37" s="171">
        <v>2023</v>
      </c>
      <c r="F37" s="171">
        <v>5</v>
      </c>
      <c r="G37" s="171">
        <v>3</v>
      </c>
      <c r="H37" s="131"/>
      <c r="I37" s="176"/>
      <c r="J37" s="176"/>
      <c r="K37" s="171"/>
      <c r="L37" s="171" t="s">
        <v>56</v>
      </c>
      <c r="M37" s="171">
        <v>2650</v>
      </c>
      <c r="N37" s="175">
        <v>0</v>
      </c>
      <c r="O37" s="171">
        <v>0</v>
      </c>
      <c r="P37" s="171">
        <v>0</v>
      </c>
      <c r="Q37" s="175">
        <v>0</v>
      </c>
      <c r="R37" s="6"/>
      <c r="S37" s="6"/>
      <c r="T37" s="6"/>
      <c r="U37" s="6"/>
      <c r="V37" s="6"/>
      <c r="W37" s="6"/>
      <c r="X37" s="6" t="s">
        <v>140</v>
      </c>
      <c r="Y37" s="6" t="s">
        <v>141</v>
      </c>
    </row>
    <row r="38" spans="1:25">
      <c r="A38" s="171">
        <v>19</v>
      </c>
      <c r="B38" s="174">
        <v>45047</v>
      </c>
      <c r="C38" s="174">
        <v>45052</v>
      </c>
      <c r="D38" s="174">
        <v>45051</v>
      </c>
      <c r="E38" s="171">
        <v>2023</v>
      </c>
      <c r="F38" s="171">
        <v>5</v>
      </c>
      <c r="G38" s="171">
        <v>5</v>
      </c>
      <c r="H38" s="131"/>
      <c r="I38" s="176"/>
      <c r="J38" s="176"/>
      <c r="K38" s="171"/>
      <c r="L38" s="171" t="s">
        <v>56</v>
      </c>
      <c r="M38" s="171">
        <v>1100</v>
      </c>
      <c r="N38" s="175">
        <v>0</v>
      </c>
      <c r="O38" s="171">
        <v>0</v>
      </c>
      <c r="P38" s="171">
        <v>0</v>
      </c>
      <c r="Q38" s="175">
        <v>0</v>
      </c>
      <c r="R38" s="6"/>
      <c r="S38" s="6"/>
      <c r="T38" s="6"/>
      <c r="U38" s="6"/>
      <c r="V38" s="6"/>
      <c r="W38" s="6"/>
      <c r="X38" s="6" t="s">
        <v>140</v>
      </c>
      <c r="Y38" s="6" t="s">
        <v>141</v>
      </c>
    </row>
    <row r="39" spans="1:25">
      <c r="A39" s="171">
        <v>19</v>
      </c>
      <c r="B39" s="174">
        <v>45047</v>
      </c>
      <c r="C39" s="174">
        <v>45054</v>
      </c>
      <c r="D39" s="174">
        <v>45052</v>
      </c>
      <c r="E39" s="171">
        <v>2023</v>
      </c>
      <c r="F39" s="171">
        <v>5</v>
      </c>
      <c r="G39" s="171">
        <v>6</v>
      </c>
      <c r="H39" s="131"/>
      <c r="I39" s="176"/>
      <c r="J39" s="176"/>
      <c r="K39" s="171"/>
      <c r="L39" s="171" t="s">
        <v>56</v>
      </c>
      <c r="M39" s="171">
        <v>800</v>
      </c>
      <c r="N39" s="175">
        <v>0</v>
      </c>
      <c r="O39" s="171">
        <v>0</v>
      </c>
      <c r="P39" s="171">
        <v>0</v>
      </c>
      <c r="Q39" s="175">
        <v>0</v>
      </c>
      <c r="R39" s="6"/>
      <c r="S39" s="6"/>
      <c r="T39" s="6"/>
      <c r="U39" s="6"/>
      <c r="V39" s="6"/>
      <c r="W39" s="6"/>
      <c r="X39" s="6" t="s">
        <v>140</v>
      </c>
      <c r="Y39" s="6" t="s">
        <v>141</v>
      </c>
    </row>
    <row r="40" spans="1:25">
      <c r="A40" s="171">
        <v>19</v>
      </c>
      <c r="B40" s="174">
        <v>45047</v>
      </c>
      <c r="C40" s="174">
        <v>45051</v>
      </c>
      <c r="D40" s="174">
        <v>45050</v>
      </c>
      <c r="E40" s="171">
        <v>2023</v>
      </c>
      <c r="F40" s="171">
        <v>5</v>
      </c>
      <c r="G40" s="171">
        <v>4</v>
      </c>
      <c r="H40" s="131"/>
      <c r="I40" s="176"/>
      <c r="J40" s="176"/>
      <c r="K40" s="171"/>
      <c r="L40" s="171" t="s">
        <v>56</v>
      </c>
      <c r="M40" s="171">
        <v>1100</v>
      </c>
      <c r="N40" s="175">
        <v>0</v>
      </c>
      <c r="O40" s="171">
        <v>0</v>
      </c>
      <c r="P40" s="171">
        <v>0</v>
      </c>
      <c r="Q40" s="175">
        <v>0</v>
      </c>
      <c r="R40" s="6"/>
      <c r="S40" s="6"/>
      <c r="T40" s="6"/>
      <c r="U40" s="6"/>
      <c r="V40" s="6"/>
      <c r="W40" s="6"/>
      <c r="X40" s="6" t="s">
        <v>140</v>
      </c>
      <c r="Y40" s="6" t="s">
        <v>141</v>
      </c>
    </row>
    <row r="41" spans="1:25">
      <c r="A41" s="171">
        <v>19</v>
      </c>
      <c r="B41" s="174">
        <v>45047</v>
      </c>
      <c r="C41" s="174">
        <v>45051</v>
      </c>
      <c r="D41" s="174">
        <v>45050</v>
      </c>
      <c r="E41" s="171">
        <v>2023</v>
      </c>
      <c r="F41" s="171">
        <v>5</v>
      </c>
      <c r="G41" s="171">
        <v>4</v>
      </c>
      <c r="H41" s="131"/>
      <c r="I41" s="176"/>
      <c r="J41" s="176"/>
      <c r="K41" s="171"/>
      <c r="L41" s="171" t="s">
        <v>56</v>
      </c>
      <c r="M41" s="171">
        <v>1000</v>
      </c>
      <c r="N41" s="175">
        <v>0</v>
      </c>
      <c r="O41" s="171">
        <v>0</v>
      </c>
      <c r="P41" s="171">
        <v>0</v>
      </c>
      <c r="Q41" s="175">
        <v>0</v>
      </c>
      <c r="R41" s="6"/>
      <c r="S41" s="6"/>
      <c r="T41" s="6"/>
      <c r="U41" s="6"/>
      <c r="V41" s="6"/>
      <c r="W41" s="6"/>
      <c r="X41" s="6" t="s">
        <v>140</v>
      </c>
      <c r="Y41" s="6" t="s">
        <v>141</v>
      </c>
    </row>
    <row r="42" spans="1:25">
      <c r="A42" s="171">
        <v>19</v>
      </c>
      <c r="B42" s="174">
        <v>45047</v>
      </c>
      <c r="C42" s="174">
        <v>45054</v>
      </c>
      <c r="D42" s="174">
        <v>45053</v>
      </c>
      <c r="E42" s="171">
        <v>2023</v>
      </c>
      <c r="F42" s="171">
        <v>5</v>
      </c>
      <c r="G42" s="171">
        <v>7</v>
      </c>
      <c r="H42" s="131"/>
      <c r="I42" s="176"/>
      <c r="J42" s="176"/>
      <c r="K42" s="171" t="s">
        <v>199</v>
      </c>
      <c r="L42" s="171" t="s">
        <v>56</v>
      </c>
      <c r="M42" s="171">
        <v>279</v>
      </c>
      <c r="N42" s="175">
        <v>0</v>
      </c>
      <c r="O42" s="171">
        <v>0</v>
      </c>
      <c r="P42" s="171">
        <v>0</v>
      </c>
      <c r="Q42" s="175">
        <v>0</v>
      </c>
      <c r="R42" s="6" t="s">
        <v>160</v>
      </c>
      <c r="S42" s="6" t="s">
        <v>162</v>
      </c>
      <c r="T42" s="6" t="s">
        <v>314</v>
      </c>
      <c r="U42" s="6" t="s">
        <v>240</v>
      </c>
      <c r="V42" s="6" t="s">
        <v>209</v>
      </c>
      <c r="W42" s="6" t="s">
        <v>210</v>
      </c>
      <c r="X42" s="6" t="s">
        <v>140</v>
      </c>
      <c r="Y42" s="6" t="s">
        <v>141</v>
      </c>
    </row>
    <row r="43" spans="1:25">
      <c r="A43" s="171">
        <v>19</v>
      </c>
      <c r="B43" s="174">
        <v>45047</v>
      </c>
      <c r="C43" s="174">
        <v>45054</v>
      </c>
      <c r="D43" s="174">
        <v>45052</v>
      </c>
      <c r="E43" s="171">
        <v>2023</v>
      </c>
      <c r="F43" s="171">
        <v>5</v>
      </c>
      <c r="G43" s="171">
        <v>6</v>
      </c>
      <c r="H43" s="131"/>
      <c r="I43" s="176"/>
      <c r="J43" s="176"/>
      <c r="K43" s="171" t="s">
        <v>199</v>
      </c>
      <c r="L43" s="171" t="s">
        <v>56</v>
      </c>
      <c r="M43" s="171">
        <v>181</v>
      </c>
      <c r="N43" s="175">
        <v>0</v>
      </c>
      <c r="O43" s="171">
        <v>0</v>
      </c>
      <c r="P43" s="171">
        <v>0</v>
      </c>
      <c r="Q43" s="175">
        <v>0</v>
      </c>
      <c r="R43" s="6" t="s">
        <v>160</v>
      </c>
      <c r="S43" s="6" t="s">
        <v>162</v>
      </c>
      <c r="T43" s="6" t="s">
        <v>314</v>
      </c>
      <c r="U43" s="6" t="s">
        <v>240</v>
      </c>
      <c r="V43" s="6" t="s">
        <v>200</v>
      </c>
      <c r="W43" s="6" t="s">
        <v>210</v>
      </c>
      <c r="X43" s="6" t="s">
        <v>140</v>
      </c>
      <c r="Y43" s="6" t="s">
        <v>141</v>
      </c>
    </row>
    <row r="44" spans="1:25">
      <c r="A44" s="171">
        <v>19</v>
      </c>
      <c r="B44" s="174">
        <v>45047</v>
      </c>
      <c r="C44" s="174">
        <v>45054</v>
      </c>
      <c r="D44" s="174">
        <v>45052</v>
      </c>
      <c r="E44" s="171">
        <v>2023</v>
      </c>
      <c r="F44" s="171">
        <v>5</v>
      </c>
      <c r="G44" s="171">
        <v>6</v>
      </c>
      <c r="H44" s="131"/>
      <c r="I44" s="176"/>
      <c r="J44" s="176"/>
      <c r="K44" s="171" t="s">
        <v>199</v>
      </c>
      <c r="L44" s="171" t="s">
        <v>56</v>
      </c>
      <c r="M44" s="171">
        <v>260</v>
      </c>
      <c r="N44" s="175">
        <v>0</v>
      </c>
      <c r="O44" s="171">
        <v>0</v>
      </c>
      <c r="P44" s="171">
        <v>0</v>
      </c>
      <c r="Q44" s="175">
        <v>0</v>
      </c>
      <c r="R44" s="6" t="s">
        <v>160</v>
      </c>
      <c r="S44" s="6" t="s">
        <v>162</v>
      </c>
      <c r="T44" s="6" t="s">
        <v>314</v>
      </c>
      <c r="U44" s="6" t="s">
        <v>240</v>
      </c>
      <c r="V44" s="6" t="s">
        <v>201</v>
      </c>
      <c r="W44" s="6" t="s">
        <v>202</v>
      </c>
      <c r="X44" s="6" t="s">
        <v>140</v>
      </c>
      <c r="Y44" s="6" t="s">
        <v>141</v>
      </c>
    </row>
    <row r="45" spans="1:25">
      <c r="A45" s="171">
        <v>19</v>
      </c>
      <c r="B45" s="174">
        <v>45047</v>
      </c>
      <c r="C45" s="174">
        <v>45054</v>
      </c>
      <c r="D45" s="174">
        <v>45052</v>
      </c>
      <c r="E45" s="171">
        <v>2023</v>
      </c>
      <c r="F45" s="171">
        <v>5</v>
      </c>
      <c r="G45" s="171">
        <v>6</v>
      </c>
      <c r="H45" s="131"/>
      <c r="I45" s="176"/>
      <c r="J45" s="176"/>
      <c r="K45" s="171" t="s">
        <v>199</v>
      </c>
      <c r="L45" s="171" t="s">
        <v>56</v>
      </c>
      <c r="M45" s="171">
        <v>130</v>
      </c>
      <c r="N45" s="175">
        <v>0</v>
      </c>
      <c r="O45" s="171">
        <v>0</v>
      </c>
      <c r="P45" s="171">
        <v>0</v>
      </c>
      <c r="Q45" s="175">
        <v>0</v>
      </c>
      <c r="R45" s="6" t="s">
        <v>160</v>
      </c>
      <c r="S45" s="6" t="s">
        <v>162</v>
      </c>
      <c r="T45" s="6" t="s">
        <v>314</v>
      </c>
      <c r="U45" s="6" t="s">
        <v>240</v>
      </c>
      <c r="V45" s="6" t="s">
        <v>203</v>
      </c>
      <c r="W45" s="6" t="s">
        <v>208</v>
      </c>
      <c r="X45" s="6" t="s">
        <v>140</v>
      </c>
      <c r="Y45" s="6" t="s">
        <v>141</v>
      </c>
    </row>
    <row r="46" spans="1:25">
      <c r="A46" s="171">
        <v>19</v>
      </c>
      <c r="B46" s="174">
        <v>45047</v>
      </c>
      <c r="C46" s="174">
        <v>45054</v>
      </c>
      <c r="D46" s="174">
        <v>45053</v>
      </c>
      <c r="E46" s="171">
        <v>2023</v>
      </c>
      <c r="F46" s="171">
        <v>5</v>
      </c>
      <c r="G46" s="171">
        <v>7</v>
      </c>
      <c r="H46" s="131"/>
      <c r="I46" s="176"/>
      <c r="J46" s="176"/>
      <c r="K46" s="171" t="s">
        <v>199</v>
      </c>
      <c r="L46" s="171" t="s">
        <v>56</v>
      </c>
      <c r="M46" s="171"/>
      <c r="N46" s="175">
        <v>0</v>
      </c>
      <c r="O46" s="171">
        <v>0</v>
      </c>
      <c r="P46" s="171">
        <v>0</v>
      </c>
      <c r="Q46" s="175">
        <v>0</v>
      </c>
      <c r="R46" s="6" t="s">
        <v>160</v>
      </c>
      <c r="S46" s="6" t="s">
        <v>205</v>
      </c>
      <c r="T46" s="6" t="s">
        <v>314</v>
      </c>
      <c r="U46" s="6" t="s">
        <v>187</v>
      </c>
      <c r="V46" s="6" t="s">
        <v>206</v>
      </c>
      <c r="W46" s="6" t="s">
        <v>207</v>
      </c>
      <c r="X46" s="6" t="s">
        <v>140</v>
      </c>
      <c r="Y46" s="6" t="s">
        <v>141</v>
      </c>
    </row>
    <row r="47" spans="1:25">
      <c r="A47" s="171">
        <v>19</v>
      </c>
      <c r="B47" s="174">
        <v>45047</v>
      </c>
      <c r="C47" s="174">
        <v>45050</v>
      </c>
      <c r="D47" s="174">
        <v>45049</v>
      </c>
      <c r="E47" s="171">
        <v>2023</v>
      </c>
      <c r="F47" s="171">
        <v>5</v>
      </c>
      <c r="G47" s="171">
        <v>3</v>
      </c>
      <c r="H47" s="131"/>
      <c r="I47" s="176"/>
      <c r="J47" s="176"/>
      <c r="K47" s="171"/>
      <c r="L47" s="171" t="s">
        <v>56</v>
      </c>
      <c r="M47" s="171">
        <v>700</v>
      </c>
      <c r="N47" s="175">
        <v>0</v>
      </c>
      <c r="O47" s="171">
        <v>0</v>
      </c>
      <c r="P47" s="171">
        <v>0</v>
      </c>
      <c r="Q47" s="175">
        <v>0</v>
      </c>
      <c r="R47" s="6"/>
      <c r="S47" s="6"/>
      <c r="T47" s="6"/>
      <c r="U47" s="6"/>
      <c r="V47" s="6"/>
      <c r="W47" s="6"/>
      <c r="X47" s="6" t="s">
        <v>140</v>
      </c>
      <c r="Y47" s="6" t="s">
        <v>141</v>
      </c>
    </row>
    <row r="48" spans="1:25">
      <c r="A48" s="171">
        <v>19</v>
      </c>
      <c r="B48" s="174">
        <v>45047</v>
      </c>
      <c r="C48" s="174">
        <v>45050</v>
      </c>
      <c r="D48" s="174">
        <v>45049</v>
      </c>
      <c r="E48" s="171">
        <v>2023</v>
      </c>
      <c r="F48" s="171">
        <v>5</v>
      </c>
      <c r="G48" s="171">
        <v>3</v>
      </c>
      <c r="H48" s="131"/>
      <c r="I48" s="176"/>
      <c r="J48" s="176"/>
      <c r="K48" s="171"/>
      <c r="L48" s="171" t="s">
        <v>56</v>
      </c>
      <c r="M48" s="171">
        <v>1500</v>
      </c>
      <c r="N48" s="175">
        <v>0</v>
      </c>
      <c r="O48" s="171">
        <v>0</v>
      </c>
      <c r="P48" s="171">
        <v>0</v>
      </c>
      <c r="Q48" s="175">
        <v>0</v>
      </c>
      <c r="R48" s="6"/>
      <c r="S48" s="6"/>
      <c r="T48" s="6"/>
      <c r="U48" s="6"/>
      <c r="V48" s="6"/>
      <c r="W48" s="6"/>
      <c r="X48" s="6" t="s">
        <v>140</v>
      </c>
      <c r="Y48" s="6" t="s">
        <v>141</v>
      </c>
    </row>
    <row r="49" spans="1:25">
      <c r="A49" s="171">
        <v>19</v>
      </c>
      <c r="B49" s="174">
        <v>45047</v>
      </c>
      <c r="C49" s="174">
        <v>45051</v>
      </c>
      <c r="D49" s="174">
        <v>45050</v>
      </c>
      <c r="E49" s="171">
        <v>2023</v>
      </c>
      <c r="F49" s="171">
        <v>5</v>
      </c>
      <c r="G49" s="171">
        <v>4</v>
      </c>
      <c r="H49" s="131"/>
      <c r="I49" s="176"/>
      <c r="J49" s="176"/>
      <c r="K49" s="171"/>
      <c r="L49" s="171" t="s">
        <v>56</v>
      </c>
      <c r="M49" s="171">
        <v>1000</v>
      </c>
      <c r="N49" s="175">
        <v>0</v>
      </c>
      <c r="O49" s="171">
        <v>0</v>
      </c>
      <c r="P49" s="171">
        <v>0</v>
      </c>
      <c r="Q49" s="175">
        <v>0</v>
      </c>
      <c r="R49" s="6"/>
      <c r="S49" s="6"/>
      <c r="T49" s="6"/>
      <c r="U49" s="6"/>
      <c r="V49" s="6"/>
      <c r="W49" s="6"/>
      <c r="X49" s="6" t="s">
        <v>140</v>
      </c>
      <c r="Y49" s="6" t="s">
        <v>141</v>
      </c>
    </row>
    <row r="50" spans="1:25">
      <c r="A50" s="171">
        <v>19</v>
      </c>
      <c r="B50" s="174">
        <v>45047</v>
      </c>
      <c r="C50" s="174">
        <v>45055</v>
      </c>
      <c r="D50" s="174">
        <v>45052</v>
      </c>
      <c r="E50" s="171">
        <v>2023</v>
      </c>
      <c r="F50" s="171">
        <v>5</v>
      </c>
      <c r="G50" s="171">
        <v>6</v>
      </c>
      <c r="H50" s="131"/>
      <c r="I50" s="176"/>
      <c r="J50" s="176"/>
      <c r="K50" s="171"/>
      <c r="L50" s="171" t="s">
        <v>56</v>
      </c>
      <c r="M50" s="171">
        <v>1000</v>
      </c>
      <c r="N50" s="175">
        <v>0</v>
      </c>
      <c r="O50" s="171">
        <v>0</v>
      </c>
      <c r="P50" s="171">
        <v>0</v>
      </c>
      <c r="Q50" s="175">
        <v>0</v>
      </c>
      <c r="R50" s="6"/>
      <c r="S50" s="6"/>
      <c r="T50" s="6"/>
      <c r="U50" s="6"/>
      <c r="V50" s="6"/>
      <c r="W50" s="6"/>
      <c r="X50" s="6" t="s">
        <v>140</v>
      </c>
      <c r="Y50" s="6" t="s">
        <v>141</v>
      </c>
    </row>
    <row r="51" spans="1:25">
      <c r="A51" s="171">
        <v>19</v>
      </c>
      <c r="B51" s="174">
        <v>45047</v>
      </c>
      <c r="C51" s="174">
        <v>45054</v>
      </c>
      <c r="D51" s="174">
        <v>45053</v>
      </c>
      <c r="E51" s="171">
        <v>2023</v>
      </c>
      <c r="F51" s="171">
        <v>5</v>
      </c>
      <c r="G51" s="171">
        <v>7</v>
      </c>
      <c r="H51" s="131"/>
      <c r="I51" s="176"/>
      <c r="J51" s="176"/>
      <c r="K51" s="171" t="s">
        <v>199</v>
      </c>
      <c r="L51" s="171" t="s">
        <v>56</v>
      </c>
      <c r="M51" s="171">
        <v>160</v>
      </c>
      <c r="N51" s="175">
        <v>0</v>
      </c>
      <c r="O51" s="171">
        <v>0</v>
      </c>
      <c r="P51" s="171">
        <v>0</v>
      </c>
      <c r="Q51" s="175">
        <v>0</v>
      </c>
      <c r="R51" s="6" t="s">
        <v>160</v>
      </c>
      <c r="S51" s="6" t="s">
        <v>162</v>
      </c>
      <c r="T51" s="6" t="s">
        <v>314</v>
      </c>
      <c r="U51" s="6" t="s">
        <v>240</v>
      </c>
      <c r="V51" s="6" t="s">
        <v>211</v>
      </c>
      <c r="W51" s="6" t="s">
        <v>210</v>
      </c>
      <c r="X51" s="6" t="s">
        <v>140</v>
      </c>
      <c r="Y51" s="6" t="s">
        <v>141</v>
      </c>
    </row>
    <row r="52" spans="1:25">
      <c r="A52" s="171">
        <v>19</v>
      </c>
      <c r="B52" s="174">
        <v>45047</v>
      </c>
      <c r="C52" s="174">
        <v>45051</v>
      </c>
      <c r="D52" s="174">
        <v>45050</v>
      </c>
      <c r="E52" s="171">
        <v>2023</v>
      </c>
      <c r="F52" s="171">
        <v>5</v>
      </c>
      <c r="G52" s="171">
        <v>4</v>
      </c>
      <c r="H52" s="131"/>
      <c r="I52" s="176"/>
      <c r="J52" s="176"/>
      <c r="K52" s="171"/>
      <c r="L52" s="171" t="s">
        <v>56</v>
      </c>
      <c r="M52" s="171">
        <v>370</v>
      </c>
      <c r="N52" s="175">
        <v>0</v>
      </c>
      <c r="O52" s="171">
        <v>0</v>
      </c>
      <c r="P52" s="171">
        <v>0</v>
      </c>
      <c r="Q52" s="175">
        <v>0</v>
      </c>
      <c r="R52" s="6"/>
      <c r="S52" s="6"/>
      <c r="T52" s="6"/>
      <c r="U52" s="6"/>
      <c r="V52" s="6"/>
      <c r="W52" s="6"/>
      <c r="X52" s="6" t="s">
        <v>140</v>
      </c>
      <c r="Y52" s="6" t="s">
        <v>141</v>
      </c>
    </row>
    <row r="53" spans="1:25">
      <c r="A53" s="171">
        <v>19</v>
      </c>
      <c r="B53" s="174">
        <v>45047</v>
      </c>
      <c r="C53" s="174">
        <v>45052</v>
      </c>
      <c r="D53" s="174">
        <v>45051</v>
      </c>
      <c r="E53" s="171">
        <v>2023</v>
      </c>
      <c r="F53" s="171">
        <v>5</v>
      </c>
      <c r="G53" s="171">
        <v>5</v>
      </c>
      <c r="H53" s="131"/>
      <c r="I53" s="176"/>
      <c r="J53" s="176"/>
      <c r="K53" s="171"/>
      <c r="L53" s="171" t="s">
        <v>56</v>
      </c>
      <c r="M53" s="171">
        <v>750</v>
      </c>
      <c r="N53" s="175">
        <v>0</v>
      </c>
      <c r="O53" s="171">
        <v>0</v>
      </c>
      <c r="P53" s="171">
        <v>0</v>
      </c>
      <c r="Q53" s="175">
        <v>0</v>
      </c>
      <c r="R53" s="6"/>
      <c r="S53" s="6"/>
      <c r="T53" s="6"/>
      <c r="U53" s="6"/>
      <c r="V53" s="6"/>
      <c r="W53" s="6"/>
      <c r="X53" s="6" t="s">
        <v>140</v>
      </c>
      <c r="Y53" s="6" t="s">
        <v>141</v>
      </c>
    </row>
    <row r="54" spans="1:25">
      <c r="A54" s="171">
        <v>19</v>
      </c>
      <c r="B54" s="174">
        <v>45047</v>
      </c>
      <c r="C54" s="174">
        <v>45054</v>
      </c>
      <c r="D54" s="174">
        <v>45052</v>
      </c>
      <c r="E54" s="171">
        <v>2023</v>
      </c>
      <c r="F54" s="171">
        <v>5</v>
      </c>
      <c r="G54" s="171">
        <v>6</v>
      </c>
      <c r="H54" s="131"/>
      <c r="I54" s="176"/>
      <c r="J54" s="176"/>
      <c r="K54" s="171"/>
      <c r="L54" s="171" t="s">
        <v>56</v>
      </c>
      <c r="M54" s="171">
        <v>350</v>
      </c>
      <c r="N54" s="175">
        <v>0</v>
      </c>
      <c r="O54" s="171">
        <v>0</v>
      </c>
      <c r="P54" s="171">
        <v>0</v>
      </c>
      <c r="Q54" s="175">
        <v>0</v>
      </c>
      <c r="R54" s="6"/>
      <c r="S54" s="6"/>
      <c r="T54" s="6"/>
      <c r="U54" s="6"/>
      <c r="V54" s="6"/>
      <c r="W54" s="6"/>
      <c r="X54" s="6" t="s">
        <v>140</v>
      </c>
      <c r="Y54" s="6" t="s">
        <v>141</v>
      </c>
    </row>
    <row r="55" spans="1:25">
      <c r="A55" s="171">
        <v>19</v>
      </c>
      <c r="B55" s="174">
        <v>45047</v>
      </c>
      <c r="C55" s="174">
        <v>45054</v>
      </c>
      <c r="D55" s="174">
        <v>45052</v>
      </c>
      <c r="E55" s="171">
        <v>2023</v>
      </c>
      <c r="F55" s="171">
        <v>5</v>
      </c>
      <c r="G55" s="171">
        <v>6</v>
      </c>
      <c r="H55" s="131"/>
      <c r="I55" s="176"/>
      <c r="J55" s="176"/>
      <c r="K55" s="171"/>
      <c r="L55" s="171" t="s">
        <v>56</v>
      </c>
      <c r="M55" s="171">
        <v>126</v>
      </c>
      <c r="N55" s="175">
        <v>1</v>
      </c>
      <c r="O55" s="171">
        <v>1</v>
      </c>
      <c r="P55" s="171">
        <v>1</v>
      </c>
      <c r="Q55" s="175">
        <v>0</v>
      </c>
      <c r="R55" s="6" t="s">
        <v>157</v>
      </c>
      <c r="S55" s="6" t="s">
        <v>205</v>
      </c>
      <c r="T55" s="6" t="s">
        <v>166</v>
      </c>
      <c r="U55" s="6" t="s">
        <v>169</v>
      </c>
      <c r="V55" s="6"/>
      <c r="W55" s="6"/>
      <c r="X55" s="6" t="s">
        <v>140</v>
      </c>
      <c r="Y55" s="6" t="s">
        <v>141</v>
      </c>
    </row>
    <row r="56" spans="1:25">
      <c r="A56" s="171">
        <v>19</v>
      </c>
      <c r="B56" s="174">
        <v>45047</v>
      </c>
      <c r="C56" s="174">
        <v>45050</v>
      </c>
      <c r="D56" s="174">
        <v>45049</v>
      </c>
      <c r="E56" s="171">
        <v>2023</v>
      </c>
      <c r="F56" s="171">
        <v>5</v>
      </c>
      <c r="G56" s="171">
        <v>3</v>
      </c>
      <c r="H56" s="131"/>
      <c r="I56" s="176"/>
      <c r="J56" s="176"/>
      <c r="K56" s="171"/>
      <c r="L56" s="171" t="s">
        <v>56</v>
      </c>
      <c r="M56" s="171">
        <v>760</v>
      </c>
      <c r="N56" s="175">
        <v>0</v>
      </c>
      <c r="O56" s="171">
        <v>0</v>
      </c>
      <c r="P56" s="171">
        <v>0</v>
      </c>
      <c r="Q56" s="175">
        <v>0</v>
      </c>
      <c r="R56" s="6"/>
      <c r="S56" s="6"/>
      <c r="T56" s="6"/>
      <c r="U56" s="6"/>
      <c r="V56" s="6"/>
      <c r="W56" s="6"/>
      <c r="X56" s="6" t="s">
        <v>140</v>
      </c>
      <c r="Y56" s="6" t="s">
        <v>141</v>
      </c>
    </row>
    <row r="57" spans="1:25">
      <c r="A57" s="171">
        <v>19</v>
      </c>
      <c r="B57" s="174">
        <v>45047</v>
      </c>
      <c r="C57" s="174">
        <v>45051</v>
      </c>
      <c r="D57" s="174">
        <v>45050</v>
      </c>
      <c r="E57" s="171">
        <v>2023</v>
      </c>
      <c r="F57" s="171">
        <v>5</v>
      </c>
      <c r="G57" s="171">
        <v>4</v>
      </c>
      <c r="H57" s="131"/>
      <c r="I57" s="176"/>
      <c r="J57" s="176"/>
      <c r="K57" s="171"/>
      <c r="L57" s="171" t="s">
        <v>56</v>
      </c>
      <c r="M57" s="171">
        <v>603</v>
      </c>
      <c r="N57" s="175">
        <v>3</v>
      </c>
      <c r="O57" s="171">
        <v>2</v>
      </c>
      <c r="P57" s="171">
        <v>2</v>
      </c>
      <c r="Q57" s="175">
        <v>1</v>
      </c>
      <c r="R57" s="6" t="s">
        <v>157</v>
      </c>
      <c r="S57" s="6" t="s">
        <v>158</v>
      </c>
      <c r="T57" s="6" t="s">
        <v>166</v>
      </c>
      <c r="U57" s="6" t="s">
        <v>239</v>
      </c>
      <c r="V57" s="6" t="s">
        <v>159</v>
      </c>
      <c r="W57" s="6"/>
      <c r="X57" s="6" t="s">
        <v>140</v>
      </c>
      <c r="Y57" s="6" t="s">
        <v>141</v>
      </c>
    </row>
    <row r="58" spans="1:25">
      <c r="A58" s="171">
        <v>19</v>
      </c>
      <c r="B58" s="174">
        <v>45047</v>
      </c>
      <c r="C58" s="174">
        <v>45051</v>
      </c>
      <c r="D58" s="174">
        <v>45050</v>
      </c>
      <c r="E58" s="171">
        <v>2023</v>
      </c>
      <c r="F58" s="171">
        <v>5</v>
      </c>
      <c r="G58" s="171">
        <v>4</v>
      </c>
      <c r="H58" s="131"/>
      <c r="I58" s="176"/>
      <c r="J58" s="176"/>
      <c r="K58" s="171"/>
      <c r="L58" s="171" t="s">
        <v>56</v>
      </c>
      <c r="M58" s="171"/>
      <c r="N58" s="175">
        <v>0</v>
      </c>
      <c r="O58" s="171">
        <v>1</v>
      </c>
      <c r="P58" s="171">
        <v>0</v>
      </c>
      <c r="Q58" s="175">
        <v>0</v>
      </c>
      <c r="R58" s="6" t="s">
        <v>160</v>
      </c>
      <c r="S58" s="6" t="s">
        <v>161</v>
      </c>
      <c r="T58" s="6" t="s">
        <v>253</v>
      </c>
      <c r="U58" s="6" t="s">
        <v>233</v>
      </c>
      <c r="V58" s="6" t="s">
        <v>163</v>
      </c>
      <c r="W58" s="6"/>
      <c r="X58" s="6" t="s">
        <v>140</v>
      </c>
      <c r="Y58" s="6" t="s">
        <v>141</v>
      </c>
    </row>
    <row r="59" spans="1:25">
      <c r="A59" s="171">
        <v>19</v>
      </c>
      <c r="B59" s="174">
        <v>45047</v>
      </c>
      <c r="C59" s="174">
        <v>45055</v>
      </c>
      <c r="D59" s="174">
        <v>45052</v>
      </c>
      <c r="E59" s="171">
        <v>2023</v>
      </c>
      <c r="F59" s="171">
        <v>5</v>
      </c>
      <c r="G59" s="171">
        <v>6</v>
      </c>
      <c r="H59" s="131"/>
      <c r="I59" s="176"/>
      <c r="J59" s="176"/>
      <c r="K59" s="171"/>
      <c r="L59" s="171" t="s">
        <v>56</v>
      </c>
      <c r="M59" s="171">
        <v>24</v>
      </c>
      <c r="N59" s="175">
        <v>0</v>
      </c>
      <c r="O59" s="171">
        <v>0</v>
      </c>
      <c r="P59" s="171">
        <v>0</v>
      </c>
      <c r="Q59" s="175">
        <v>0</v>
      </c>
      <c r="R59" s="6"/>
      <c r="S59" s="6"/>
      <c r="T59" s="6"/>
      <c r="U59" s="6"/>
      <c r="V59" s="6"/>
      <c r="W59" s="6"/>
      <c r="X59" s="6" t="s">
        <v>140</v>
      </c>
      <c r="Y59" s="6" t="s">
        <v>141</v>
      </c>
    </row>
    <row r="60" spans="1:25">
      <c r="A60" s="171">
        <v>19</v>
      </c>
      <c r="B60" s="174">
        <v>45047</v>
      </c>
      <c r="C60" s="174">
        <v>45055</v>
      </c>
      <c r="D60" s="174">
        <v>45052</v>
      </c>
      <c r="E60" s="171">
        <v>2023</v>
      </c>
      <c r="F60" s="171">
        <v>5</v>
      </c>
      <c r="G60" s="171">
        <v>6</v>
      </c>
      <c r="H60" s="131"/>
      <c r="I60" s="176"/>
      <c r="J60" s="176"/>
      <c r="K60" s="171"/>
      <c r="L60" s="171" t="s">
        <v>56</v>
      </c>
      <c r="M60" s="171">
        <v>38</v>
      </c>
      <c r="N60" s="175">
        <v>0</v>
      </c>
      <c r="O60" s="171">
        <v>0</v>
      </c>
      <c r="P60" s="171">
        <v>0</v>
      </c>
      <c r="Q60" s="175">
        <v>0</v>
      </c>
      <c r="R60" s="6"/>
      <c r="S60" s="6"/>
      <c r="T60" s="6"/>
      <c r="U60" s="6"/>
      <c r="V60" s="6"/>
      <c r="W60" s="6"/>
      <c r="X60" s="6" t="s">
        <v>140</v>
      </c>
      <c r="Y60" s="6" t="s">
        <v>141</v>
      </c>
    </row>
    <row r="61" spans="1:25">
      <c r="A61" s="171">
        <v>19</v>
      </c>
      <c r="B61" s="174">
        <v>45047</v>
      </c>
      <c r="C61" s="174">
        <v>45054</v>
      </c>
      <c r="D61" s="174">
        <v>45053</v>
      </c>
      <c r="E61" s="171">
        <v>2023</v>
      </c>
      <c r="F61" s="171">
        <v>5</v>
      </c>
      <c r="G61" s="171">
        <v>7</v>
      </c>
      <c r="H61" s="131"/>
      <c r="I61" s="176"/>
      <c r="J61" s="176"/>
      <c r="K61" s="171" t="s">
        <v>199</v>
      </c>
      <c r="L61" s="171" t="s">
        <v>56</v>
      </c>
      <c r="M61" s="171"/>
      <c r="N61" s="175">
        <v>0</v>
      </c>
      <c r="O61" s="171">
        <v>0</v>
      </c>
      <c r="P61" s="171">
        <v>0</v>
      </c>
      <c r="Q61" s="175">
        <v>0</v>
      </c>
      <c r="R61" s="6" t="s">
        <v>160</v>
      </c>
      <c r="S61" s="6" t="s">
        <v>205</v>
      </c>
      <c r="T61" s="6" t="s">
        <v>314</v>
      </c>
      <c r="U61" s="6" t="s">
        <v>187</v>
      </c>
      <c r="V61" s="6" t="s">
        <v>214</v>
      </c>
      <c r="W61" s="6" t="s">
        <v>215</v>
      </c>
      <c r="X61" s="6" t="s">
        <v>140</v>
      </c>
      <c r="Y61" s="6" t="s">
        <v>141</v>
      </c>
    </row>
    <row r="62" spans="1:25">
      <c r="A62" s="171">
        <v>19</v>
      </c>
      <c r="B62" s="174">
        <v>45047</v>
      </c>
      <c r="C62" s="174">
        <v>45052</v>
      </c>
      <c r="D62" s="174">
        <v>45051</v>
      </c>
      <c r="E62" s="171">
        <v>2023</v>
      </c>
      <c r="F62" s="171">
        <v>5</v>
      </c>
      <c r="G62" s="171">
        <v>5</v>
      </c>
      <c r="H62" s="131"/>
      <c r="I62" s="176"/>
      <c r="J62" s="176"/>
      <c r="K62" s="171"/>
      <c r="L62" s="171" t="s">
        <v>56</v>
      </c>
      <c r="M62" s="171"/>
      <c r="N62" s="175">
        <v>0</v>
      </c>
      <c r="O62" s="171">
        <v>1</v>
      </c>
      <c r="P62" s="171">
        <v>0</v>
      </c>
      <c r="Q62" s="175">
        <v>0</v>
      </c>
      <c r="R62" s="6" t="s">
        <v>160</v>
      </c>
      <c r="S62" s="6" t="s">
        <v>205</v>
      </c>
      <c r="T62" s="6" t="s">
        <v>314</v>
      </c>
      <c r="U62" s="6" t="s">
        <v>322</v>
      </c>
      <c r="V62" s="6" t="s">
        <v>218</v>
      </c>
      <c r="W62" s="6"/>
      <c r="X62" s="6" t="s">
        <v>140</v>
      </c>
      <c r="Y62" s="6" t="s">
        <v>141</v>
      </c>
    </row>
    <row r="63" spans="1:25">
      <c r="A63" s="171">
        <v>19</v>
      </c>
      <c r="B63" s="174">
        <v>45047</v>
      </c>
      <c r="C63" s="174">
        <v>45054</v>
      </c>
      <c r="D63" s="174">
        <v>45052</v>
      </c>
      <c r="E63" s="171">
        <v>2023</v>
      </c>
      <c r="F63" s="171">
        <v>5</v>
      </c>
      <c r="G63" s="171">
        <v>6</v>
      </c>
      <c r="H63" s="131"/>
      <c r="I63" s="176"/>
      <c r="J63" s="176"/>
      <c r="K63" s="171"/>
      <c r="L63" s="171" t="s">
        <v>56</v>
      </c>
      <c r="M63" s="171">
        <v>1124</v>
      </c>
      <c r="N63" s="175">
        <v>4</v>
      </c>
      <c r="O63" s="171">
        <v>4</v>
      </c>
      <c r="P63" s="171">
        <v>4</v>
      </c>
      <c r="Q63" s="175">
        <v>0</v>
      </c>
      <c r="R63" s="6" t="s">
        <v>157</v>
      </c>
      <c r="S63" s="6" t="s">
        <v>158</v>
      </c>
      <c r="T63" s="6" t="s">
        <v>166</v>
      </c>
      <c r="U63" s="6" t="s">
        <v>239</v>
      </c>
      <c r="V63" s="6" t="s">
        <v>219</v>
      </c>
      <c r="W63" s="6"/>
      <c r="X63" s="6" t="s">
        <v>140</v>
      </c>
      <c r="Y63" s="6" t="s">
        <v>141</v>
      </c>
    </row>
    <row r="64" spans="1:25">
      <c r="A64" s="171">
        <v>19</v>
      </c>
      <c r="B64" s="174">
        <v>45047</v>
      </c>
      <c r="C64" s="174">
        <v>45052</v>
      </c>
      <c r="D64" s="174">
        <v>45051</v>
      </c>
      <c r="E64" s="171">
        <v>2023</v>
      </c>
      <c r="F64" s="171">
        <v>5</v>
      </c>
      <c r="G64" s="171">
        <v>5</v>
      </c>
      <c r="H64" s="131"/>
      <c r="I64" s="176"/>
      <c r="J64" s="176"/>
      <c r="K64" s="171"/>
      <c r="L64" s="171" t="s">
        <v>56</v>
      </c>
      <c r="M64" s="171">
        <v>1213</v>
      </c>
      <c r="N64" s="175">
        <v>13</v>
      </c>
      <c r="O64" s="171">
        <v>11</v>
      </c>
      <c r="P64" s="171">
        <v>11</v>
      </c>
      <c r="Q64" s="175">
        <v>2</v>
      </c>
      <c r="R64" s="6" t="s">
        <v>157</v>
      </c>
      <c r="S64" s="6" t="s">
        <v>158</v>
      </c>
      <c r="T64" s="6" t="s">
        <v>166</v>
      </c>
      <c r="U64" s="6" t="s">
        <v>239</v>
      </c>
      <c r="V64" s="6" t="s">
        <v>216</v>
      </c>
      <c r="W64" s="6"/>
      <c r="X64" s="6" t="s">
        <v>140</v>
      </c>
      <c r="Y64" s="6" t="s">
        <v>141</v>
      </c>
    </row>
    <row r="65" spans="1:25">
      <c r="A65" s="171">
        <v>19</v>
      </c>
      <c r="B65" s="174">
        <v>45047</v>
      </c>
      <c r="C65" s="174">
        <v>45052</v>
      </c>
      <c r="D65" s="174">
        <v>45051</v>
      </c>
      <c r="E65" s="171">
        <v>2023</v>
      </c>
      <c r="F65" s="171">
        <v>5</v>
      </c>
      <c r="G65" s="171">
        <v>5</v>
      </c>
      <c r="H65" s="131"/>
      <c r="I65" s="176"/>
      <c r="J65" s="176"/>
      <c r="K65" s="171"/>
      <c r="L65" s="171" t="s">
        <v>56</v>
      </c>
      <c r="M65" s="171"/>
      <c r="N65" s="175">
        <v>0</v>
      </c>
      <c r="O65" s="171">
        <v>1</v>
      </c>
      <c r="P65" s="171">
        <v>0</v>
      </c>
      <c r="Q65" s="175">
        <v>0</v>
      </c>
      <c r="R65" s="6" t="s">
        <v>160</v>
      </c>
      <c r="S65" s="6" t="s">
        <v>161</v>
      </c>
      <c r="T65" s="6" t="s">
        <v>253</v>
      </c>
      <c r="U65" s="6" t="s">
        <v>233</v>
      </c>
      <c r="V65" s="6" t="s">
        <v>217</v>
      </c>
      <c r="W65" s="6"/>
      <c r="X65" s="6" t="s">
        <v>140</v>
      </c>
      <c r="Y65" s="6" t="s">
        <v>141</v>
      </c>
    </row>
    <row r="66" spans="1:25">
      <c r="A66" s="171">
        <v>19</v>
      </c>
      <c r="B66" s="174">
        <v>45047</v>
      </c>
      <c r="C66" s="174">
        <v>45052</v>
      </c>
      <c r="D66" s="174">
        <v>45051</v>
      </c>
      <c r="E66" s="171">
        <v>2023</v>
      </c>
      <c r="F66" s="171">
        <v>5</v>
      </c>
      <c r="G66" s="171">
        <v>5</v>
      </c>
      <c r="H66" s="131"/>
      <c r="I66" s="176"/>
      <c r="J66" s="176"/>
      <c r="K66" s="171"/>
      <c r="L66" s="171" t="s">
        <v>56</v>
      </c>
      <c r="M66" s="171">
        <v>1101</v>
      </c>
      <c r="N66" s="175">
        <v>1</v>
      </c>
      <c r="O66" s="171">
        <v>1</v>
      </c>
      <c r="P66" s="171">
        <v>1</v>
      </c>
      <c r="Q66" s="175">
        <v>0</v>
      </c>
      <c r="R66" s="6" t="s">
        <v>157</v>
      </c>
      <c r="S66" s="6" t="s">
        <v>158</v>
      </c>
      <c r="T66" s="6" t="s">
        <v>166</v>
      </c>
      <c r="U66" s="6" t="s">
        <v>167</v>
      </c>
      <c r="V66" s="6"/>
      <c r="W66" s="6"/>
      <c r="X66" s="6" t="s">
        <v>140</v>
      </c>
      <c r="Y66" s="6" t="s">
        <v>141</v>
      </c>
    </row>
    <row r="67" spans="1:25">
      <c r="A67" s="171">
        <v>19</v>
      </c>
      <c r="B67" s="174">
        <v>45047</v>
      </c>
      <c r="C67" s="174">
        <v>45051</v>
      </c>
      <c r="D67" s="174">
        <v>45050</v>
      </c>
      <c r="E67" s="171">
        <v>2023</v>
      </c>
      <c r="F67" s="171">
        <v>5</v>
      </c>
      <c r="G67" s="171">
        <v>4</v>
      </c>
      <c r="H67" s="131"/>
      <c r="I67" s="176"/>
      <c r="J67" s="176"/>
      <c r="K67" s="171"/>
      <c r="L67" s="171" t="s">
        <v>56</v>
      </c>
      <c r="M67" s="171">
        <v>400</v>
      </c>
      <c r="N67" s="175">
        <v>0</v>
      </c>
      <c r="O67" s="171">
        <v>0</v>
      </c>
      <c r="P67" s="171">
        <v>0</v>
      </c>
      <c r="Q67" s="175">
        <v>0</v>
      </c>
      <c r="R67" s="6"/>
      <c r="S67" s="6"/>
      <c r="T67" s="6"/>
      <c r="U67" s="6"/>
      <c r="V67" s="6"/>
      <c r="W67" s="6"/>
      <c r="X67" s="6" t="s">
        <v>140</v>
      </c>
      <c r="Y67" s="6" t="s">
        <v>141</v>
      </c>
    </row>
    <row r="68" spans="1:25">
      <c r="A68" s="171">
        <v>19</v>
      </c>
      <c r="B68" s="174">
        <v>45047</v>
      </c>
      <c r="C68" s="174">
        <v>45054</v>
      </c>
      <c r="D68" s="174">
        <v>45052</v>
      </c>
      <c r="E68" s="171">
        <v>2023</v>
      </c>
      <c r="F68" s="171">
        <v>5</v>
      </c>
      <c r="G68" s="171">
        <v>6</v>
      </c>
      <c r="H68" s="131"/>
      <c r="I68" s="176"/>
      <c r="J68" s="176"/>
      <c r="K68" s="171"/>
      <c r="L68" s="171" t="s">
        <v>56</v>
      </c>
      <c r="M68" s="171">
        <v>20</v>
      </c>
      <c r="N68" s="175">
        <v>0</v>
      </c>
      <c r="O68" s="171">
        <v>0</v>
      </c>
      <c r="P68" s="171">
        <v>0</v>
      </c>
      <c r="Q68" s="175">
        <v>0</v>
      </c>
      <c r="R68" s="6"/>
      <c r="S68" s="6"/>
      <c r="T68" s="6"/>
      <c r="U68" s="6"/>
      <c r="V68" s="6"/>
      <c r="W68" s="6"/>
      <c r="X68" s="6" t="s">
        <v>140</v>
      </c>
      <c r="Y68" s="6" t="s">
        <v>141</v>
      </c>
    </row>
    <row r="69" spans="1:25">
      <c r="A69" s="171">
        <v>19</v>
      </c>
      <c r="B69" s="174">
        <v>45047</v>
      </c>
      <c r="C69" s="174">
        <v>45054</v>
      </c>
      <c r="D69" s="174">
        <v>45052</v>
      </c>
      <c r="E69" s="171">
        <v>2023</v>
      </c>
      <c r="F69" s="171">
        <v>5</v>
      </c>
      <c r="G69" s="171">
        <v>6</v>
      </c>
      <c r="H69" s="131"/>
      <c r="I69" s="176"/>
      <c r="J69" s="176"/>
      <c r="K69" s="171"/>
      <c r="L69" s="171" t="s">
        <v>56</v>
      </c>
      <c r="M69" s="171">
        <v>1011</v>
      </c>
      <c r="N69" s="175">
        <v>11</v>
      </c>
      <c r="O69" s="171">
        <v>11</v>
      </c>
      <c r="P69" s="171">
        <v>0</v>
      </c>
      <c r="Q69" s="175">
        <v>11</v>
      </c>
      <c r="R69" s="6" t="s">
        <v>160</v>
      </c>
      <c r="S69" s="6" t="s">
        <v>161</v>
      </c>
      <c r="T69" s="6" t="s">
        <v>198</v>
      </c>
      <c r="U69" s="6" t="s">
        <v>172</v>
      </c>
      <c r="V69" s="6"/>
      <c r="W69" s="6"/>
      <c r="X69" s="6" t="s">
        <v>140</v>
      </c>
      <c r="Y69" s="6" t="s">
        <v>141</v>
      </c>
    </row>
    <row r="70" spans="1:25">
      <c r="A70" s="171">
        <v>19</v>
      </c>
      <c r="B70" s="174">
        <v>45047</v>
      </c>
      <c r="C70" s="174">
        <v>45051</v>
      </c>
      <c r="D70" s="174">
        <v>45050</v>
      </c>
      <c r="E70" s="171">
        <v>2023</v>
      </c>
      <c r="F70" s="171">
        <v>5</v>
      </c>
      <c r="G70" s="171">
        <v>4</v>
      </c>
      <c r="H70" s="131"/>
      <c r="I70" s="176"/>
      <c r="J70" s="176"/>
      <c r="K70" s="171"/>
      <c r="L70" s="171" t="s">
        <v>56</v>
      </c>
      <c r="M70" s="171">
        <v>3100</v>
      </c>
      <c r="N70" s="175">
        <v>0</v>
      </c>
      <c r="O70" s="171">
        <v>0</v>
      </c>
      <c r="P70" s="171">
        <v>0</v>
      </c>
      <c r="Q70" s="175">
        <v>0</v>
      </c>
      <c r="R70" s="6"/>
      <c r="S70" s="6"/>
      <c r="T70" s="6"/>
      <c r="U70" s="6"/>
      <c r="V70" s="6"/>
      <c r="W70" s="6"/>
      <c r="X70" s="6" t="s">
        <v>140</v>
      </c>
      <c r="Y70" s="6" t="s">
        <v>141</v>
      </c>
    </row>
    <row r="71" spans="1:25">
      <c r="A71" s="171">
        <v>19</v>
      </c>
      <c r="B71" s="174">
        <v>45047</v>
      </c>
      <c r="C71" s="174">
        <v>45050</v>
      </c>
      <c r="D71" s="174">
        <v>45049</v>
      </c>
      <c r="E71" s="171">
        <v>2023</v>
      </c>
      <c r="F71" s="171">
        <v>5</v>
      </c>
      <c r="G71" s="171">
        <v>3</v>
      </c>
      <c r="H71" s="131"/>
      <c r="I71" s="176"/>
      <c r="J71" s="176"/>
      <c r="K71" s="171"/>
      <c r="L71" s="171" t="s">
        <v>56</v>
      </c>
      <c r="M71" s="171">
        <v>8500</v>
      </c>
      <c r="N71" s="175">
        <v>0</v>
      </c>
      <c r="O71" s="171">
        <v>0</v>
      </c>
      <c r="P71" s="171">
        <v>0</v>
      </c>
      <c r="Q71" s="175">
        <v>0</v>
      </c>
      <c r="R71" s="6"/>
      <c r="S71" s="6"/>
      <c r="T71" s="6"/>
      <c r="U71" s="6"/>
      <c r="V71" s="6"/>
      <c r="W71" s="6"/>
      <c r="X71" s="6" t="s">
        <v>140</v>
      </c>
      <c r="Y71" s="6" t="s">
        <v>141</v>
      </c>
    </row>
    <row r="72" spans="1:25">
      <c r="A72" s="171">
        <v>19</v>
      </c>
      <c r="B72" s="174">
        <v>45047</v>
      </c>
      <c r="C72" s="174">
        <v>45054</v>
      </c>
      <c r="D72" s="174">
        <v>45052</v>
      </c>
      <c r="E72" s="171">
        <v>2023</v>
      </c>
      <c r="F72" s="171">
        <v>5</v>
      </c>
      <c r="G72" s="171">
        <v>6</v>
      </c>
      <c r="H72" s="131"/>
      <c r="I72" s="176"/>
      <c r="J72" s="176"/>
      <c r="K72" s="171"/>
      <c r="L72" s="171" t="s">
        <v>56</v>
      </c>
      <c r="M72" s="171">
        <v>360</v>
      </c>
      <c r="N72" s="175">
        <v>0</v>
      </c>
      <c r="O72" s="171">
        <v>0</v>
      </c>
      <c r="P72" s="171">
        <v>0</v>
      </c>
      <c r="Q72" s="175">
        <v>0</v>
      </c>
      <c r="R72" s="6"/>
      <c r="S72" s="6"/>
      <c r="T72" s="6"/>
      <c r="U72" s="6"/>
      <c r="V72" s="6"/>
      <c r="W72" s="6"/>
      <c r="X72" s="6" t="s">
        <v>140</v>
      </c>
      <c r="Y72" s="6" t="s">
        <v>141</v>
      </c>
    </row>
    <row r="73" spans="1:25">
      <c r="A73" s="171">
        <v>19</v>
      </c>
      <c r="B73" s="174">
        <v>45047</v>
      </c>
      <c r="C73" s="174">
        <v>45050</v>
      </c>
      <c r="D73" s="174">
        <v>45049</v>
      </c>
      <c r="E73" s="171">
        <v>2023</v>
      </c>
      <c r="F73" s="171">
        <v>5</v>
      </c>
      <c r="G73" s="171">
        <v>3</v>
      </c>
      <c r="H73" s="131"/>
      <c r="I73" s="176"/>
      <c r="J73" s="176"/>
      <c r="K73" s="171"/>
      <c r="L73" s="171" t="s">
        <v>56</v>
      </c>
      <c r="M73" s="171">
        <v>8000</v>
      </c>
      <c r="N73" s="175">
        <v>0</v>
      </c>
      <c r="O73" s="171">
        <v>0</v>
      </c>
      <c r="P73" s="171">
        <v>0</v>
      </c>
      <c r="Q73" s="175">
        <v>0</v>
      </c>
      <c r="R73" s="6"/>
      <c r="S73" s="6"/>
      <c r="T73" s="6"/>
      <c r="U73" s="6"/>
      <c r="V73" s="6"/>
      <c r="W73" s="6"/>
      <c r="X73" s="6" t="s">
        <v>140</v>
      </c>
      <c r="Y73" s="6" t="s">
        <v>141</v>
      </c>
    </row>
    <row r="74" spans="1:25">
      <c r="A74" s="171">
        <v>19</v>
      </c>
      <c r="B74" s="174">
        <v>45047</v>
      </c>
      <c r="C74" s="174">
        <v>45050</v>
      </c>
      <c r="D74" s="174">
        <v>45049</v>
      </c>
      <c r="E74" s="171">
        <v>2023</v>
      </c>
      <c r="F74" s="171">
        <v>5</v>
      </c>
      <c r="G74" s="171">
        <v>3</v>
      </c>
      <c r="H74" s="131"/>
      <c r="I74" s="176"/>
      <c r="J74" s="176"/>
      <c r="K74" s="171"/>
      <c r="L74" s="171" t="s">
        <v>56</v>
      </c>
      <c r="M74" s="171">
        <v>6900</v>
      </c>
      <c r="N74" s="175">
        <v>0</v>
      </c>
      <c r="O74" s="171">
        <v>0</v>
      </c>
      <c r="P74" s="171">
        <v>0</v>
      </c>
      <c r="Q74" s="175">
        <v>0</v>
      </c>
      <c r="R74" s="6"/>
      <c r="S74" s="6"/>
      <c r="T74" s="6"/>
      <c r="U74" s="6"/>
      <c r="V74" s="6"/>
      <c r="W74" s="6"/>
      <c r="X74" s="6" t="s">
        <v>140</v>
      </c>
      <c r="Y74" s="6" t="s">
        <v>141</v>
      </c>
    </row>
    <row r="75" spans="1:25">
      <c r="A75" s="171">
        <v>19</v>
      </c>
      <c r="B75" s="174">
        <v>45047</v>
      </c>
      <c r="C75" s="174">
        <v>45050</v>
      </c>
      <c r="D75" s="174">
        <v>45049</v>
      </c>
      <c r="E75" s="171">
        <v>2023</v>
      </c>
      <c r="F75" s="171">
        <v>5</v>
      </c>
      <c r="G75" s="171">
        <v>3</v>
      </c>
      <c r="H75" s="131"/>
      <c r="I75" s="176"/>
      <c r="J75" s="176"/>
      <c r="K75" s="171"/>
      <c r="L75" s="171" t="s">
        <v>52</v>
      </c>
      <c r="M75" s="171">
        <v>40000</v>
      </c>
      <c r="N75" s="175">
        <v>0</v>
      </c>
      <c r="O75" s="171">
        <v>0</v>
      </c>
      <c r="P75" s="171">
        <v>0</v>
      </c>
      <c r="Q75" s="175">
        <v>0</v>
      </c>
      <c r="R75" s="6"/>
      <c r="S75" s="6"/>
      <c r="T75" s="6"/>
      <c r="U75" s="6"/>
      <c r="V75" s="6"/>
      <c r="W75" s="6"/>
      <c r="X75" s="6" t="s">
        <v>142</v>
      </c>
      <c r="Y75" s="6" t="s">
        <v>143</v>
      </c>
    </row>
    <row r="76" spans="1:25">
      <c r="A76" s="171">
        <v>19</v>
      </c>
      <c r="B76" s="174">
        <v>45047</v>
      </c>
      <c r="C76" s="174">
        <v>45050</v>
      </c>
      <c r="D76" s="174">
        <v>45049</v>
      </c>
      <c r="E76" s="171">
        <v>2023</v>
      </c>
      <c r="F76" s="171">
        <v>5</v>
      </c>
      <c r="G76" s="171">
        <v>3</v>
      </c>
      <c r="H76" s="131"/>
      <c r="I76" s="176"/>
      <c r="J76" s="176"/>
      <c r="K76" s="171"/>
      <c r="L76" s="171" t="s">
        <v>52</v>
      </c>
      <c r="M76" s="171">
        <v>3000</v>
      </c>
      <c r="N76" s="175">
        <v>0</v>
      </c>
      <c r="O76" s="171">
        <v>0</v>
      </c>
      <c r="P76" s="171">
        <v>0</v>
      </c>
      <c r="Q76" s="175">
        <v>0</v>
      </c>
      <c r="R76" s="6"/>
      <c r="S76" s="6"/>
      <c r="T76" s="6"/>
      <c r="U76" s="6"/>
      <c r="V76" s="6"/>
      <c r="W76" s="6"/>
      <c r="X76" s="6" t="s">
        <v>142</v>
      </c>
      <c r="Y76" s="6" t="s">
        <v>143</v>
      </c>
    </row>
    <row r="77" spans="1:25">
      <c r="A77" s="171">
        <v>19</v>
      </c>
      <c r="B77" s="174">
        <v>45047</v>
      </c>
      <c r="C77" s="174">
        <v>45054</v>
      </c>
      <c r="D77" s="174">
        <v>45052</v>
      </c>
      <c r="E77" s="171">
        <v>2023</v>
      </c>
      <c r="F77" s="171">
        <v>5</v>
      </c>
      <c r="G77" s="171">
        <v>6</v>
      </c>
      <c r="H77" s="131"/>
      <c r="I77" s="176"/>
      <c r="J77" s="176"/>
      <c r="K77" s="171"/>
      <c r="L77" s="171" t="s">
        <v>52</v>
      </c>
      <c r="M77" s="171">
        <v>1500</v>
      </c>
      <c r="N77" s="175">
        <v>0</v>
      </c>
      <c r="O77" s="171">
        <v>0</v>
      </c>
      <c r="P77" s="171">
        <v>0</v>
      </c>
      <c r="Q77" s="175">
        <v>0</v>
      </c>
      <c r="R77" s="6"/>
      <c r="S77" s="6"/>
      <c r="T77" s="6"/>
      <c r="U77" s="6"/>
      <c r="V77" s="6"/>
      <c r="W77" s="6"/>
      <c r="X77" s="6" t="s">
        <v>142</v>
      </c>
      <c r="Y77" s="6" t="s">
        <v>143</v>
      </c>
    </row>
    <row r="78" spans="1:25">
      <c r="A78" s="171">
        <v>19</v>
      </c>
      <c r="B78" s="174">
        <v>45047</v>
      </c>
      <c r="C78" s="174">
        <v>45054</v>
      </c>
      <c r="D78" s="174">
        <v>45052</v>
      </c>
      <c r="E78" s="171">
        <v>2023</v>
      </c>
      <c r="F78" s="171">
        <v>5</v>
      </c>
      <c r="G78" s="171">
        <v>6</v>
      </c>
      <c r="H78" s="131"/>
      <c r="I78" s="176"/>
      <c r="J78" s="176"/>
      <c r="K78" s="171"/>
      <c r="L78" s="171" t="s">
        <v>52</v>
      </c>
      <c r="M78" s="171">
        <v>600</v>
      </c>
      <c r="N78" s="175">
        <v>0</v>
      </c>
      <c r="O78" s="171">
        <v>0</v>
      </c>
      <c r="P78" s="171">
        <v>0</v>
      </c>
      <c r="Q78" s="175">
        <v>0</v>
      </c>
      <c r="R78" s="6"/>
      <c r="S78" s="6"/>
      <c r="T78" s="6"/>
      <c r="U78" s="6"/>
      <c r="V78" s="6"/>
      <c r="W78" s="6"/>
      <c r="X78" s="6" t="s">
        <v>142</v>
      </c>
      <c r="Y78" s="6" t="s">
        <v>143</v>
      </c>
    </row>
    <row r="79" spans="1:25">
      <c r="A79" s="171">
        <v>19</v>
      </c>
      <c r="B79" s="174">
        <v>45047</v>
      </c>
      <c r="C79" s="174">
        <v>45051</v>
      </c>
      <c r="D79" s="174">
        <v>45050</v>
      </c>
      <c r="E79" s="171">
        <v>2023</v>
      </c>
      <c r="F79" s="171">
        <v>5</v>
      </c>
      <c r="G79" s="171">
        <v>4</v>
      </c>
      <c r="H79" s="131"/>
      <c r="I79" s="176"/>
      <c r="J79" s="176"/>
      <c r="K79" s="171"/>
      <c r="L79" s="171" t="s">
        <v>52</v>
      </c>
      <c r="M79" s="171">
        <v>2001</v>
      </c>
      <c r="N79" s="175">
        <v>1</v>
      </c>
      <c r="O79" s="171">
        <v>1</v>
      </c>
      <c r="P79" s="171">
        <v>0</v>
      </c>
      <c r="Q79" s="175">
        <v>1</v>
      </c>
      <c r="R79" s="6" t="s">
        <v>160</v>
      </c>
      <c r="S79" s="6" t="s">
        <v>161</v>
      </c>
      <c r="T79" s="6" t="s">
        <v>314</v>
      </c>
      <c r="U79" s="6" t="s">
        <v>168</v>
      </c>
      <c r="V79" s="6" t="s">
        <v>168</v>
      </c>
      <c r="W79" s="6"/>
      <c r="X79" s="6" t="s">
        <v>142</v>
      </c>
      <c r="Y79" s="6" t="s">
        <v>143</v>
      </c>
    </row>
    <row r="80" spans="1:25">
      <c r="A80" s="171">
        <v>19</v>
      </c>
      <c r="B80" s="174">
        <v>45047</v>
      </c>
      <c r="C80" s="174">
        <v>45052</v>
      </c>
      <c r="D80" s="174">
        <v>45051</v>
      </c>
      <c r="E80" s="171">
        <v>2023</v>
      </c>
      <c r="F80" s="171">
        <v>5</v>
      </c>
      <c r="G80" s="171">
        <v>5</v>
      </c>
      <c r="H80" s="131"/>
      <c r="I80" s="176"/>
      <c r="J80" s="176"/>
      <c r="K80" s="171"/>
      <c r="L80" s="171" t="s">
        <v>52</v>
      </c>
      <c r="M80" s="171">
        <v>40000</v>
      </c>
      <c r="N80" s="175">
        <v>0</v>
      </c>
      <c r="O80" s="171">
        <v>0</v>
      </c>
      <c r="P80" s="171">
        <v>0</v>
      </c>
      <c r="Q80" s="175">
        <v>0</v>
      </c>
      <c r="R80" s="6"/>
      <c r="S80" s="6"/>
      <c r="T80" s="6"/>
      <c r="U80" s="6"/>
      <c r="V80" s="6"/>
      <c r="W80" s="6"/>
      <c r="X80" s="6" t="s">
        <v>142</v>
      </c>
      <c r="Y80" s="6" t="s">
        <v>143</v>
      </c>
    </row>
    <row r="81" spans="1:25">
      <c r="A81" s="171">
        <v>19</v>
      </c>
      <c r="B81" s="174">
        <v>45047</v>
      </c>
      <c r="C81" s="174">
        <v>45052</v>
      </c>
      <c r="D81" s="174">
        <v>45051</v>
      </c>
      <c r="E81" s="171">
        <v>2023</v>
      </c>
      <c r="F81" s="171">
        <v>5</v>
      </c>
      <c r="G81" s="171">
        <v>5</v>
      </c>
      <c r="H81" s="131"/>
      <c r="I81" s="176"/>
      <c r="J81" s="176"/>
      <c r="K81" s="171"/>
      <c r="L81" s="171" t="s">
        <v>52</v>
      </c>
      <c r="M81" s="171">
        <v>3004</v>
      </c>
      <c r="N81" s="175">
        <v>4</v>
      </c>
      <c r="O81" s="171">
        <v>4</v>
      </c>
      <c r="P81" s="171">
        <v>0</v>
      </c>
      <c r="Q81" s="175">
        <v>4</v>
      </c>
      <c r="R81" s="6" t="s">
        <v>160</v>
      </c>
      <c r="S81" s="6" t="s">
        <v>161</v>
      </c>
      <c r="T81" s="6" t="s">
        <v>314</v>
      </c>
      <c r="U81" s="6" t="s">
        <v>238</v>
      </c>
      <c r="V81" s="6" t="s">
        <v>224</v>
      </c>
      <c r="W81" s="6"/>
      <c r="X81" s="6" t="s">
        <v>142</v>
      </c>
      <c r="Y81" s="6" t="s">
        <v>143</v>
      </c>
    </row>
    <row r="82" spans="1:25">
      <c r="A82" s="171">
        <v>19</v>
      </c>
      <c r="B82" s="174">
        <v>45047</v>
      </c>
      <c r="C82" s="174">
        <v>45051</v>
      </c>
      <c r="D82" s="174">
        <v>45050</v>
      </c>
      <c r="E82" s="171">
        <v>2023</v>
      </c>
      <c r="F82" s="171">
        <v>5</v>
      </c>
      <c r="G82" s="171">
        <v>4</v>
      </c>
      <c r="H82" s="131"/>
      <c r="I82" s="176"/>
      <c r="J82" s="176"/>
      <c r="K82" s="171"/>
      <c r="L82" s="171" t="s">
        <v>52</v>
      </c>
      <c r="M82" s="171">
        <v>40005</v>
      </c>
      <c r="N82" s="175">
        <v>5</v>
      </c>
      <c r="O82" s="171">
        <v>2</v>
      </c>
      <c r="P82" s="171">
        <v>2</v>
      </c>
      <c r="Q82" s="175">
        <v>3</v>
      </c>
      <c r="R82" s="6" t="s">
        <v>157</v>
      </c>
      <c r="S82" s="6" t="s">
        <v>158</v>
      </c>
      <c r="T82" s="6" t="s">
        <v>166</v>
      </c>
      <c r="U82" s="6" t="s">
        <v>167</v>
      </c>
      <c r="V82" s="6"/>
      <c r="W82" s="6"/>
      <c r="X82" s="6" t="s">
        <v>142</v>
      </c>
      <c r="Y82" s="6" t="s">
        <v>143</v>
      </c>
    </row>
    <row r="83" spans="1:25">
      <c r="A83" s="171">
        <v>19</v>
      </c>
      <c r="B83" s="174">
        <v>45047</v>
      </c>
      <c r="C83" s="174">
        <v>45051</v>
      </c>
      <c r="D83" s="174">
        <v>45050</v>
      </c>
      <c r="E83" s="171">
        <v>2023</v>
      </c>
      <c r="F83" s="171">
        <v>5</v>
      </c>
      <c r="G83" s="171">
        <v>4</v>
      </c>
      <c r="H83" s="131"/>
      <c r="I83" s="176"/>
      <c r="J83" s="176"/>
      <c r="K83" s="171"/>
      <c r="L83" s="171" t="s">
        <v>52</v>
      </c>
      <c r="M83" s="171"/>
      <c r="N83" s="175">
        <v>0</v>
      </c>
      <c r="O83" s="171">
        <v>3</v>
      </c>
      <c r="P83" s="171">
        <v>0</v>
      </c>
      <c r="Q83" s="175">
        <v>0</v>
      </c>
      <c r="R83" s="6" t="s">
        <v>160</v>
      </c>
      <c r="S83" s="6" t="s">
        <v>161</v>
      </c>
      <c r="T83" s="6" t="s">
        <v>314</v>
      </c>
      <c r="U83" s="6" t="s">
        <v>236</v>
      </c>
      <c r="V83" s="6"/>
      <c r="W83" s="6"/>
      <c r="X83" s="6" t="s">
        <v>142</v>
      </c>
      <c r="Y83" s="6" t="s">
        <v>143</v>
      </c>
    </row>
    <row r="84" spans="1:25">
      <c r="A84" s="171">
        <v>19</v>
      </c>
      <c r="B84" s="174">
        <v>45047</v>
      </c>
      <c r="C84" s="174">
        <v>45051</v>
      </c>
      <c r="D84" s="174">
        <v>45050</v>
      </c>
      <c r="E84" s="171">
        <v>2023</v>
      </c>
      <c r="F84" s="171">
        <v>5</v>
      </c>
      <c r="G84" s="171">
        <v>4</v>
      </c>
      <c r="H84" s="131"/>
      <c r="I84" s="176"/>
      <c r="J84" s="176"/>
      <c r="K84" s="171"/>
      <c r="L84" s="171" t="s">
        <v>52</v>
      </c>
      <c r="M84" s="171">
        <v>1200</v>
      </c>
      <c r="N84" s="175">
        <v>0</v>
      </c>
      <c r="O84" s="171">
        <v>0</v>
      </c>
      <c r="P84" s="171">
        <v>0</v>
      </c>
      <c r="Q84" s="175">
        <v>0</v>
      </c>
      <c r="R84" s="6"/>
      <c r="S84" s="6"/>
      <c r="T84" s="6"/>
      <c r="U84" s="6"/>
      <c r="V84" s="6"/>
      <c r="W84" s="6"/>
      <c r="X84" s="6" t="s">
        <v>142</v>
      </c>
      <c r="Y84" s="6" t="s">
        <v>143</v>
      </c>
    </row>
    <row r="85" spans="1:25">
      <c r="A85" s="171">
        <v>19</v>
      </c>
      <c r="B85" s="174">
        <v>45047</v>
      </c>
      <c r="C85" s="174">
        <v>45051</v>
      </c>
      <c r="D85" s="174">
        <v>45050</v>
      </c>
      <c r="E85" s="171">
        <v>2023</v>
      </c>
      <c r="F85" s="171">
        <v>5</v>
      </c>
      <c r="G85" s="171">
        <v>4</v>
      </c>
      <c r="H85" s="131"/>
      <c r="I85" s="176"/>
      <c r="J85" s="176"/>
      <c r="K85" s="171"/>
      <c r="L85" s="171" t="s">
        <v>52</v>
      </c>
      <c r="M85" s="171">
        <v>8385</v>
      </c>
      <c r="N85" s="175">
        <v>0</v>
      </c>
      <c r="O85" s="171">
        <v>0</v>
      </c>
      <c r="P85" s="171">
        <v>0</v>
      </c>
      <c r="Q85" s="175">
        <v>0</v>
      </c>
      <c r="R85" s="6"/>
      <c r="S85" s="6"/>
      <c r="T85" s="6"/>
      <c r="U85" s="6"/>
      <c r="V85" s="6"/>
      <c r="W85" s="6"/>
      <c r="X85" s="6" t="s">
        <v>142</v>
      </c>
      <c r="Y85" s="6" t="s">
        <v>143</v>
      </c>
    </row>
    <row r="86" spans="1:25">
      <c r="A86" s="171">
        <v>19</v>
      </c>
      <c r="B86" s="174">
        <v>45047</v>
      </c>
      <c r="C86" s="174">
        <v>45050</v>
      </c>
      <c r="D86" s="174">
        <v>45049</v>
      </c>
      <c r="E86" s="171">
        <v>2023</v>
      </c>
      <c r="F86" s="171">
        <v>5</v>
      </c>
      <c r="G86" s="171">
        <v>3</v>
      </c>
      <c r="H86" s="131"/>
      <c r="I86" s="176"/>
      <c r="J86" s="176"/>
      <c r="K86" s="171"/>
      <c r="L86" s="171" t="s">
        <v>52</v>
      </c>
      <c r="M86" s="171">
        <v>1600</v>
      </c>
      <c r="N86" s="175">
        <v>0</v>
      </c>
      <c r="O86" s="171">
        <v>0</v>
      </c>
      <c r="P86" s="171">
        <v>0</v>
      </c>
      <c r="Q86" s="175">
        <v>0</v>
      </c>
      <c r="R86" s="6"/>
      <c r="S86" s="6"/>
      <c r="T86" s="6"/>
      <c r="U86" s="6"/>
      <c r="V86" s="6"/>
      <c r="W86" s="6"/>
      <c r="X86" s="6" t="s">
        <v>142</v>
      </c>
      <c r="Y86" s="6" t="s">
        <v>143</v>
      </c>
    </row>
    <row r="87" spans="1:25">
      <c r="A87" s="171">
        <v>19</v>
      </c>
      <c r="B87" s="174">
        <v>45047</v>
      </c>
      <c r="C87" s="174">
        <v>45050</v>
      </c>
      <c r="D87" s="174">
        <v>45049</v>
      </c>
      <c r="E87" s="171">
        <v>2023</v>
      </c>
      <c r="F87" s="171">
        <v>5</v>
      </c>
      <c r="G87" s="171">
        <v>3</v>
      </c>
      <c r="H87" s="131"/>
      <c r="I87" s="176"/>
      <c r="J87" s="176"/>
      <c r="K87" s="171"/>
      <c r="L87" s="171" t="s">
        <v>52</v>
      </c>
      <c r="M87" s="171">
        <v>7501</v>
      </c>
      <c r="N87" s="175">
        <v>1</v>
      </c>
      <c r="O87" s="171">
        <v>1</v>
      </c>
      <c r="P87" s="171">
        <v>0</v>
      </c>
      <c r="Q87" s="175">
        <v>1</v>
      </c>
      <c r="R87" s="6" t="s">
        <v>160</v>
      </c>
      <c r="S87" s="6" t="s">
        <v>161</v>
      </c>
      <c r="T87" s="6" t="s">
        <v>253</v>
      </c>
      <c r="U87" s="6" t="s">
        <v>233</v>
      </c>
      <c r="V87" s="6" t="s">
        <v>165</v>
      </c>
      <c r="W87" s="6"/>
      <c r="X87" s="6" t="s">
        <v>142</v>
      </c>
      <c r="Y87" s="6" t="s">
        <v>143</v>
      </c>
    </row>
    <row r="88" spans="1:25">
      <c r="A88" s="171">
        <v>19</v>
      </c>
      <c r="B88" s="174">
        <v>45047</v>
      </c>
      <c r="C88" s="174">
        <v>45052</v>
      </c>
      <c r="D88" s="174">
        <v>45051</v>
      </c>
      <c r="E88" s="171">
        <v>2023</v>
      </c>
      <c r="F88" s="171">
        <v>5</v>
      </c>
      <c r="G88" s="171">
        <v>5</v>
      </c>
      <c r="H88" s="131"/>
      <c r="I88" s="176"/>
      <c r="J88" s="176"/>
      <c r="K88" s="171"/>
      <c r="L88" s="171" t="s">
        <v>52</v>
      </c>
      <c r="M88" s="171">
        <v>6102</v>
      </c>
      <c r="N88" s="175">
        <v>2</v>
      </c>
      <c r="O88" s="171">
        <v>1</v>
      </c>
      <c r="P88" s="171">
        <v>0</v>
      </c>
      <c r="Q88" s="175">
        <v>2</v>
      </c>
      <c r="R88" s="6" t="s">
        <v>160</v>
      </c>
      <c r="S88" s="6" t="s">
        <v>161</v>
      </c>
      <c r="T88" s="6" t="s">
        <v>253</v>
      </c>
      <c r="U88" s="6" t="s">
        <v>233</v>
      </c>
      <c r="V88" s="6" t="s">
        <v>220</v>
      </c>
      <c r="W88" s="6"/>
      <c r="X88" s="6" t="s">
        <v>142</v>
      </c>
      <c r="Y88" s="6" t="s">
        <v>143</v>
      </c>
    </row>
    <row r="89" spans="1:25">
      <c r="A89" s="171">
        <v>19</v>
      </c>
      <c r="B89" s="174">
        <v>45047</v>
      </c>
      <c r="C89" s="174">
        <v>45052</v>
      </c>
      <c r="D89" s="174">
        <v>45051</v>
      </c>
      <c r="E89" s="171">
        <v>2023</v>
      </c>
      <c r="F89" s="171">
        <v>5</v>
      </c>
      <c r="G89" s="171">
        <v>5</v>
      </c>
      <c r="H89" s="131"/>
      <c r="I89" s="176"/>
      <c r="J89" s="176"/>
      <c r="K89" s="171"/>
      <c r="L89" s="171" t="s">
        <v>52</v>
      </c>
      <c r="M89" s="171"/>
      <c r="N89" s="175">
        <v>0</v>
      </c>
      <c r="O89" s="171">
        <v>1</v>
      </c>
      <c r="P89" s="171">
        <v>0</v>
      </c>
      <c r="Q89" s="175">
        <v>0</v>
      </c>
      <c r="R89" s="6" t="s">
        <v>160</v>
      </c>
      <c r="S89" s="6" t="s">
        <v>161</v>
      </c>
      <c r="T89" s="6" t="s">
        <v>253</v>
      </c>
      <c r="U89" s="6" t="s">
        <v>233</v>
      </c>
      <c r="V89" s="6" t="s">
        <v>223</v>
      </c>
      <c r="W89" s="6"/>
      <c r="X89" s="6" t="s">
        <v>142</v>
      </c>
      <c r="Y89" s="6" t="s">
        <v>143</v>
      </c>
    </row>
    <row r="90" spans="1:25">
      <c r="A90" s="171">
        <v>19</v>
      </c>
      <c r="B90" s="174">
        <v>45047</v>
      </c>
      <c r="C90" s="174">
        <v>45054</v>
      </c>
      <c r="D90" s="174">
        <v>45052</v>
      </c>
      <c r="E90" s="171">
        <v>2023</v>
      </c>
      <c r="F90" s="171">
        <v>5</v>
      </c>
      <c r="G90" s="171">
        <v>6</v>
      </c>
      <c r="H90" s="131"/>
      <c r="I90" s="176"/>
      <c r="J90" s="176"/>
      <c r="K90" s="171"/>
      <c r="L90" s="171" t="s">
        <v>52</v>
      </c>
      <c r="M90" s="171">
        <v>3900</v>
      </c>
      <c r="N90" s="175">
        <v>0</v>
      </c>
      <c r="O90" s="171">
        <v>0</v>
      </c>
      <c r="P90" s="171">
        <v>0</v>
      </c>
      <c r="Q90" s="175">
        <v>0</v>
      </c>
      <c r="R90" s="6"/>
      <c r="S90" s="6"/>
      <c r="T90" s="6"/>
      <c r="U90" s="6"/>
      <c r="V90" s="6"/>
      <c r="W90" s="6"/>
      <c r="X90" s="6" t="s">
        <v>142</v>
      </c>
      <c r="Y90" s="6" t="s">
        <v>143</v>
      </c>
    </row>
    <row r="91" spans="1:25">
      <c r="A91" s="171">
        <v>19</v>
      </c>
      <c r="B91" s="174">
        <v>45047</v>
      </c>
      <c r="C91" s="174">
        <v>45052</v>
      </c>
      <c r="D91" s="174">
        <v>45051</v>
      </c>
      <c r="E91" s="171">
        <v>2023</v>
      </c>
      <c r="F91" s="171">
        <v>5</v>
      </c>
      <c r="G91" s="171">
        <v>5</v>
      </c>
      <c r="H91" s="131"/>
      <c r="I91" s="176"/>
      <c r="J91" s="176"/>
      <c r="K91" s="171"/>
      <c r="L91" s="171" t="s">
        <v>52</v>
      </c>
      <c r="M91" s="171"/>
      <c r="N91" s="175">
        <v>0</v>
      </c>
      <c r="O91" s="171">
        <v>1</v>
      </c>
      <c r="P91" s="171">
        <v>0</v>
      </c>
      <c r="Q91" s="175">
        <v>0</v>
      </c>
      <c r="R91" s="6" t="s">
        <v>160</v>
      </c>
      <c r="S91" s="6" t="s">
        <v>161</v>
      </c>
      <c r="T91" s="6" t="s">
        <v>314</v>
      </c>
      <c r="U91" s="6" t="s">
        <v>238</v>
      </c>
      <c r="V91" s="6" t="s">
        <v>221</v>
      </c>
      <c r="W91" s="6"/>
      <c r="X91" s="6" t="s">
        <v>142</v>
      </c>
      <c r="Y91" s="6" t="s">
        <v>143</v>
      </c>
    </row>
    <row r="92" spans="1:25">
      <c r="A92" s="171">
        <v>19</v>
      </c>
      <c r="B92" s="174">
        <v>45047</v>
      </c>
      <c r="C92" s="174">
        <v>45052</v>
      </c>
      <c r="D92" s="174">
        <v>45051</v>
      </c>
      <c r="E92" s="171">
        <v>2023</v>
      </c>
      <c r="F92" s="171">
        <v>5</v>
      </c>
      <c r="G92" s="171">
        <v>5</v>
      </c>
      <c r="H92" s="131"/>
      <c r="I92" s="176"/>
      <c r="J92" s="176"/>
      <c r="K92" s="171"/>
      <c r="L92" s="171" t="s">
        <v>52</v>
      </c>
      <c r="M92" s="171">
        <v>5102</v>
      </c>
      <c r="N92" s="175">
        <v>2</v>
      </c>
      <c r="O92" s="171">
        <v>1</v>
      </c>
      <c r="P92" s="171">
        <v>1</v>
      </c>
      <c r="Q92" s="175">
        <v>1</v>
      </c>
      <c r="R92" s="6" t="s">
        <v>157</v>
      </c>
      <c r="S92" s="6" t="s">
        <v>161</v>
      </c>
      <c r="T92" s="6" t="s">
        <v>166</v>
      </c>
      <c r="U92" s="6" t="s">
        <v>170</v>
      </c>
      <c r="V92" s="6" t="s">
        <v>222</v>
      </c>
      <c r="W92" s="6"/>
      <c r="X92" s="6" t="s">
        <v>142</v>
      </c>
      <c r="Y92" s="6" t="s">
        <v>143</v>
      </c>
    </row>
    <row r="93" spans="1:25">
      <c r="A93" s="171">
        <v>19</v>
      </c>
      <c r="B93" s="174">
        <v>45047</v>
      </c>
      <c r="C93" s="174">
        <v>45052</v>
      </c>
      <c r="D93" s="174">
        <v>45051</v>
      </c>
      <c r="E93" s="171">
        <v>2023</v>
      </c>
      <c r="F93" s="171">
        <v>5</v>
      </c>
      <c r="G93" s="171">
        <v>5</v>
      </c>
      <c r="H93" s="131"/>
      <c r="I93" s="176"/>
      <c r="J93" s="176"/>
      <c r="K93" s="171"/>
      <c r="L93" s="171" t="s">
        <v>56</v>
      </c>
      <c r="M93" s="171">
        <v>180</v>
      </c>
      <c r="N93" s="175">
        <v>0</v>
      </c>
      <c r="O93" s="171">
        <v>0</v>
      </c>
      <c r="P93" s="171">
        <v>0</v>
      </c>
      <c r="Q93" s="175">
        <v>0</v>
      </c>
      <c r="R93" s="6"/>
      <c r="S93" s="6"/>
      <c r="T93" s="6"/>
      <c r="U93" s="6"/>
      <c r="V93" s="6"/>
      <c r="W93" s="6"/>
      <c r="X93" s="6" t="s">
        <v>140</v>
      </c>
      <c r="Y93" s="6" t="s">
        <v>141</v>
      </c>
    </row>
    <row r="94" spans="1:25">
      <c r="A94" s="171">
        <v>19</v>
      </c>
      <c r="B94" s="174">
        <v>45047</v>
      </c>
      <c r="C94" s="174">
        <v>45052</v>
      </c>
      <c r="D94" s="174">
        <v>45051</v>
      </c>
      <c r="E94" s="171">
        <v>2023</v>
      </c>
      <c r="F94" s="171">
        <v>5</v>
      </c>
      <c r="G94" s="171">
        <v>5</v>
      </c>
      <c r="H94" s="131"/>
      <c r="I94" s="176"/>
      <c r="J94" s="176"/>
      <c r="K94" s="171"/>
      <c r="L94" s="171" t="s">
        <v>56</v>
      </c>
      <c r="M94" s="171">
        <v>500</v>
      </c>
      <c r="N94" s="175">
        <v>0</v>
      </c>
      <c r="O94" s="171">
        <v>0</v>
      </c>
      <c r="P94" s="171">
        <v>0</v>
      </c>
      <c r="Q94" s="175">
        <v>0</v>
      </c>
      <c r="R94" s="6"/>
      <c r="S94" s="6"/>
      <c r="T94" s="6"/>
      <c r="U94" s="6"/>
      <c r="V94" s="6"/>
      <c r="W94" s="6"/>
      <c r="X94" s="6" t="s">
        <v>140</v>
      </c>
      <c r="Y94" s="6" t="s">
        <v>141</v>
      </c>
    </row>
    <row r="95" spans="1:25">
      <c r="A95" s="171">
        <v>19</v>
      </c>
      <c r="B95" s="174">
        <v>45047</v>
      </c>
      <c r="C95" s="174">
        <v>45055</v>
      </c>
      <c r="D95" s="174">
        <v>45052</v>
      </c>
      <c r="E95" s="171">
        <v>2023</v>
      </c>
      <c r="F95" s="171">
        <v>5</v>
      </c>
      <c r="G95" s="171">
        <v>6</v>
      </c>
      <c r="H95" s="131"/>
      <c r="I95" s="176"/>
      <c r="J95" s="176"/>
      <c r="K95" s="171"/>
      <c r="L95" s="171" t="s">
        <v>56</v>
      </c>
      <c r="M95" s="171">
        <v>1000</v>
      </c>
      <c r="N95" s="175">
        <v>0</v>
      </c>
      <c r="O95" s="171">
        <v>0</v>
      </c>
      <c r="P95" s="171">
        <v>0</v>
      </c>
      <c r="Q95" s="175">
        <v>0</v>
      </c>
      <c r="R95" s="6"/>
      <c r="S95" s="6"/>
      <c r="T95" s="6"/>
      <c r="U95" s="6"/>
      <c r="V95" s="6"/>
      <c r="W95" s="6"/>
      <c r="X95" s="6" t="s">
        <v>140</v>
      </c>
      <c r="Y95" s="6" t="s">
        <v>141</v>
      </c>
    </row>
    <row r="96" spans="1:25">
      <c r="A96" s="171">
        <v>19</v>
      </c>
      <c r="B96" s="174">
        <v>45047</v>
      </c>
      <c r="C96" s="174">
        <v>45054</v>
      </c>
      <c r="D96" s="174">
        <v>45052</v>
      </c>
      <c r="E96" s="171">
        <v>2023</v>
      </c>
      <c r="F96" s="171">
        <v>5</v>
      </c>
      <c r="G96" s="171">
        <v>6</v>
      </c>
      <c r="H96" s="131"/>
      <c r="I96" s="176"/>
      <c r="J96" s="176"/>
      <c r="K96" s="171"/>
      <c r="L96" s="171" t="s">
        <v>56</v>
      </c>
      <c r="M96" s="171">
        <v>320</v>
      </c>
      <c r="N96" s="175">
        <v>0</v>
      </c>
      <c r="O96" s="171">
        <v>0</v>
      </c>
      <c r="P96" s="171">
        <v>0</v>
      </c>
      <c r="Q96" s="175">
        <v>0</v>
      </c>
      <c r="R96" s="6"/>
      <c r="S96" s="6"/>
      <c r="T96" s="6"/>
      <c r="U96" s="6"/>
      <c r="V96" s="6"/>
      <c r="W96" s="6"/>
      <c r="X96" s="6" t="s">
        <v>140</v>
      </c>
      <c r="Y96" s="6" t="s">
        <v>141</v>
      </c>
    </row>
    <row r="97" spans="1:25">
      <c r="A97" s="171">
        <v>19</v>
      </c>
      <c r="B97" s="174">
        <v>45047</v>
      </c>
      <c r="C97" s="174">
        <v>45052</v>
      </c>
      <c r="D97" s="174">
        <v>45051</v>
      </c>
      <c r="E97" s="171">
        <v>2023</v>
      </c>
      <c r="F97" s="171">
        <v>5</v>
      </c>
      <c r="G97" s="171">
        <v>5</v>
      </c>
      <c r="H97" s="131"/>
      <c r="I97" s="176"/>
      <c r="J97" s="176"/>
      <c r="K97" s="171"/>
      <c r="L97" s="171" t="s">
        <v>56</v>
      </c>
      <c r="M97" s="171">
        <v>1050</v>
      </c>
      <c r="N97" s="175">
        <v>0</v>
      </c>
      <c r="O97" s="171">
        <v>0</v>
      </c>
      <c r="P97" s="171">
        <v>0</v>
      </c>
      <c r="Q97" s="175">
        <v>0</v>
      </c>
      <c r="R97" s="6"/>
      <c r="S97" s="6"/>
      <c r="T97" s="6"/>
      <c r="U97" s="6"/>
      <c r="V97" s="6"/>
      <c r="W97" s="6"/>
      <c r="X97" s="6" t="s">
        <v>140</v>
      </c>
      <c r="Y97" s="6" t="s">
        <v>141</v>
      </c>
    </row>
    <row r="98" spans="1:25">
      <c r="A98" s="171">
        <v>19</v>
      </c>
      <c r="B98" s="174">
        <v>45047</v>
      </c>
      <c r="C98" s="174">
        <v>45052</v>
      </c>
      <c r="D98" s="174">
        <v>45051</v>
      </c>
      <c r="E98" s="171">
        <v>2023</v>
      </c>
      <c r="F98" s="171">
        <v>5</v>
      </c>
      <c r="G98" s="171">
        <v>5</v>
      </c>
      <c r="H98" s="131"/>
      <c r="I98" s="176"/>
      <c r="J98" s="176"/>
      <c r="K98" s="171"/>
      <c r="L98" s="171" t="s">
        <v>56</v>
      </c>
      <c r="M98" s="171">
        <v>1786</v>
      </c>
      <c r="N98" s="175">
        <v>0</v>
      </c>
      <c r="O98" s="171">
        <v>0</v>
      </c>
      <c r="P98" s="171">
        <v>0</v>
      </c>
      <c r="Q98" s="175">
        <v>0</v>
      </c>
      <c r="R98" s="6"/>
      <c r="S98" s="6"/>
      <c r="T98" s="6"/>
      <c r="U98" s="6"/>
      <c r="V98" s="6"/>
      <c r="W98" s="6"/>
      <c r="X98" s="6" t="s">
        <v>140</v>
      </c>
      <c r="Y98" s="6" t="s">
        <v>141</v>
      </c>
    </row>
    <row r="99" spans="1:25">
      <c r="A99" s="171">
        <v>19</v>
      </c>
      <c r="B99" s="174">
        <v>45047</v>
      </c>
      <c r="C99" s="174">
        <v>45054</v>
      </c>
      <c r="D99" s="174">
        <v>45052</v>
      </c>
      <c r="E99" s="171">
        <v>2023</v>
      </c>
      <c r="F99" s="171">
        <v>5</v>
      </c>
      <c r="G99" s="171">
        <v>6</v>
      </c>
      <c r="H99" s="131"/>
      <c r="I99" s="176"/>
      <c r="J99" s="176"/>
      <c r="K99" s="171"/>
      <c r="L99" s="171" t="s">
        <v>56</v>
      </c>
      <c r="M99" s="171">
        <v>500</v>
      </c>
      <c r="N99" s="175">
        <v>0</v>
      </c>
      <c r="O99" s="171">
        <v>0</v>
      </c>
      <c r="P99" s="171">
        <v>0</v>
      </c>
      <c r="Q99" s="175">
        <v>0</v>
      </c>
      <c r="R99" s="6"/>
      <c r="S99" s="6"/>
      <c r="T99" s="6"/>
      <c r="U99" s="6"/>
      <c r="V99" s="6"/>
      <c r="W99" s="6"/>
      <c r="X99" s="6" t="s">
        <v>140</v>
      </c>
      <c r="Y99" s="6" t="s">
        <v>141</v>
      </c>
    </row>
    <row r="100" spans="1:25">
      <c r="A100" s="171">
        <v>19</v>
      </c>
      <c r="B100" s="174">
        <v>45047</v>
      </c>
      <c r="C100" s="174">
        <v>45052</v>
      </c>
      <c r="D100" s="174">
        <v>45051</v>
      </c>
      <c r="E100" s="171">
        <v>2023</v>
      </c>
      <c r="F100" s="171">
        <v>5</v>
      </c>
      <c r="G100" s="171">
        <v>5</v>
      </c>
      <c r="H100" s="131"/>
      <c r="I100" s="176"/>
      <c r="J100" s="176"/>
      <c r="K100" s="171"/>
      <c r="L100" s="171" t="s">
        <v>56</v>
      </c>
      <c r="M100" s="171">
        <v>1000</v>
      </c>
      <c r="N100" s="175">
        <v>0</v>
      </c>
      <c r="O100" s="171">
        <v>0</v>
      </c>
      <c r="P100" s="171">
        <v>0</v>
      </c>
      <c r="Q100" s="175">
        <v>0</v>
      </c>
      <c r="R100" s="6"/>
      <c r="S100" s="6"/>
      <c r="T100" s="6"/>
      <c r="U100" s="6"/>
      <c r="V100" s="6"/>
      <c r="W100" s="6"/>
      <c r="X100" s="6" t="s">
        <v>140</v>
      </c>
      <c r="Y100" s="6" t="s">
        <v>141</v>
      </c>
    </row>
    <row r="101" spans="1:25">
      <c r="A101" s="171">
        <v>19</v>
      </c>
      <c r="B101" s="174">
        <v>45047</v>
      </c>
      <c r="C101" s="174">
        <v>45051</v>
      </c>
      <c r="D101" s="174">
        <v>45050</v>
      </c>
      <c r="E101" s="171">
        <v>2023</v>
      </c>
      <c r="F101" s="171">
        <v>5</v>
      </c>
      <c r="G101" s="171">
        <v>4</v>
      </c>
      <c r="H101" s="131"/>
      <c r="I101" s="176"/>
      <c r="J101" s="176"/>
      <c r="K101" s="171"/>
      <c r="L101" s="171" t="s">
        <v>56</v>
      </c>
      <c r="M101" s="171">
        <v>4097</v>
      </c>
      <c r="N101" s="175">
        <v>0</v>
      </c>
      <c r="O101" s="171">
        <v>0</v>
      </c>
      <c r="P101" s="171">
        <v>0</v>
      </c>
      <c r="Q101" s="175">
        <v>0</v>
      </c>
      <c r="R101" s="6"/>
      <c r="S101" s="6"/>
      <c r="T101" s="6"/>
      <c r="U101" s="6"/>
      <c r="V101" s="6"/>
      <c r="W101" s="6"/>
      <c r="X101" s="6" t="s">
        <v>140</v>
      </c>
      <c r="Y101" s="6" t="s">
        <v>141</v>
      </c>
    </row>
    <row r="102" spans="1:25">
      <c r="A102" s="171">
        <v>19</v>
      </c>
      <c r="B102" s="174">
        <v>45047</v>
      </c>
      <c r="C102" s="174">
        <v>45051</v>
      </c>
      <c r="D102" s="174">
        <v>45050</v>
      </c>
      <c r="E102" s="171">
        <v>2023</v>
      </c>
      <c r="F102" s="171">
        <v>5</v>
      </c>
      <c r="G102" s="171">
        <v>4</v>
      </c>
      <c r="H102" s="131"/>
      <c r="I102" s="176"/>
      <c r="J102" s="176"/>
      <c r="K102" s="171"/>
      <c r="L102" s="171" t="s">
        <v>56</v>
      </c>
      <c r="M102" s="171">
        <v>2300</v>
      </c>
      <c r="N102" s="175">
        <v>0</v>
      </c>
      <c r="O102" s="171">
        <v>0</v>
      </c>
      <c r="P102" s="171">
        <v>0</v>
      </c>
      <c r="Q102" s="175">
        <v>0</v>
      </c>
      <c r="R102" s="6"/>
      <c r="S102" s="6"/>
      <c r="T102" s="6"/>
      <c r="U102" s="6"/>
      <c r="V102" s="6"/>
      <c r="W102" s="6"/>
      <c r="X102" s="6" t="s">
        <v>140</v>
      </c>
      <c r="Y102" s="6" t="s">
        <v>141</v>
      </c>
    </row>
    <row r="103" spans="1:25">
      <c r="A103" s="171">
        <v>19</v>
      </c>
      <c r="B103" s="174">
        <v>45047</v>
      </c>
      <c r="C103" s="174">
        <v>45054</v>
      </c>
      <c r="D103" s="174">
        <v>45052</v>
      </c>
      <c r="E103" s="171">
        <v>2023</v>
      </c>
      <c r="F103" s="171">
        <v>5</v>
      </c>
      <c r="G103" s="171">
        <v>6</v>
      </c>
      <c r="H103" s="131"/>
      <c r="I103" s="176"/>
      <c r="J103" s="176"/>
      <c r="K103" s="171"/>
      <c r="L103" s="171" t="s">
        <v>56</v>
      </c>
      <c r="M103" s="171">
        <v>90</v>
      </c>
      <c r="N103" s="175">
        <v>0</v>
      </c>
      <c r="O103" s="171">
        <v>0</v>
      </c>
      <c r="P103" s="171">
        <v>0</v>
      </c>
      <c r="Q103" s="175">
        <v>0</v>
      </c>
      <c r="R103" s="6"/>
      <c r="S103" s="6"/>
      <c r="T103" s="6"/>
      <c r="U103" s="6"/>
      <c r="V103" s="6"/>
      <c r="W103" s="6"/>
      <c r="X103" s="6" t="s">
        <v>140</v>
      </c>
      <c r="Y103" s="6" t="s">
        <v>141</v>
      </c>
    </row>
    <row r="104" spans="1:25">
      <c r="A104" s="171">
        <v>19</v>
      </c>
      <c r="B104" s="174">
        <v>45047</v>
      </c>
      <c r="C104" s="174">
        <v>45050</v>
      </c>
      <c r="D104" s="174">
        <v>45049</v>
      </c>
      <c r="E104" s="171">
        <v>2023</v>
      </c>
      <c r="F104" s="171">
        <v>5</v>
      </c>
      <c r="G104" s="171">
        <v>3</v>
      </c>
      <c r="H104" s="131"/>
      <c r="I104" s="176"/>
      <c r="J104" s="176"/>
      <c r="K104" s="171"/>
      <c r="L104" s="171" t="s">
        <v>56</v>
      </c>
      <c r="M104" s="171">
        <v>3100</v>
      </c>
      <c r="N104" s="175">
        <v>0</v>
      </c>
      <c r="O104" s="171">
        <v>0</v>
      </c>
      <c r="P104" s="171">
        <v>0</v>
      </c>
      <c r="Q104" s="175">
        <v>0</v>
      </c>
      <c r="R104" s="6"/>
      <c r="S104" s="6"/>
      <c r="T104" s="6"/>
      <c r="U104" s="6"/>
      <c r="V104" s="6"/>
      <c r="W104" s="6"/>
      <c r="X104" s="6" t="s">
        <v>140</v>
      </c>
      <c r="Y104" s="6" t="s">
        <v>141</v>
      </c>
    </row>
    <row r="105" spans="1:25">
      <c r="A105" s="171">
        <v>19</v>
      </c>
      <c r="B105" s="174">
        <v>45047</v>
      </c>
      <c r="C105" s="174">
        <v>45052</v>
      </c>
      <c r="D105" s="174">
        <v>45051</v>
      </c>
      <c r="E105" s="171">
        <v>2023</v>
      </c>
      <c r="F105" s="171">
        <v>5</v>
      </c>
      <c r="G105" s="171">
        <v>5</v>
      </c>
      <c r="H105" s="131"/>
      <c r="I105" s="176"/>
      <c r="J105" s="176"/>
      <c r="K105" s="171"/>
      <c r="L105" s="171" t="s">
        <v>56</v>
      </c>
      <c r="M105" s="171">
        <v>360</v>
      </c>
      <c r="N105" s="175">
        <v>0</v>
      </c>
      <c r="O105" s="171">
        <v>0</v>
      </c>
      <c r="P105" s="171">
        <v>0</v>
      </c>
      <c r="Q105" s="175">
        <v>0</v>
      </c>
      <c r="R105" s="6"/>
      <c r="S105" s="6"/>
      <c r="T105" s="6"/>
      <c r="U105" s="6"/>
      <c r="V105" s="6"/>
      <c r="W105" s="6"/>
      <c r="X105" s="6" t="s">
        <v>140</v>
      </c>
      <c r="Y105" s="6" t="s">
        <v>141</v>
      </c>
    </row>
    <row r="106" spans="1:25">
      <c r="A106" s="171">
        <v>19</v>
      </c>
      <c r="B106" s="174">
        <v>45047</v>
      </c>
      <c r="C106" s="174">
        <v>45052</v>
      </c>
      <c r="D106" s="174">
        <v>45051</v>
      </c>
      <c r="E106" s="171">
        <v>2023</v>
      </c>
      <c r="F106" s="171">
        <v>5</v>
      </c>
      <c r="G106" s="171">
        <v>5</v>
      </c>
      <c r="H106" s="131"/>
      <c r="I106" s="176"/>
      <c r="J106" s="176"/>
      <c r="K106" s="171"/>
      <c r="L106" s="171" t="s">
        <v>56</v>
      </c>
      <c r="M106" s="171">
        <v>1300</v>
      </c>
      <c r="N106" s="175">
        <v>0</v>
      </c>
      <c r="O106" s="171">
        <v>0</v>
      </c>
      <c r="P106" s="171">
        <v>0</v>
      </c>
      <c r="Q106" s="175">
        <v>0</v>
      </c>
      <c r="R106" s="6"/>
      <c r="S106" s="6"/>
      <c r="T106" s="6"/>
      <c r="U106" s="6"/>
      <c r="V106" s="6"/>
      <c r="W106" s="6"/>
      <c r="X106" s="6" t="s">
        <v>140</v>
      </c>
      <c r="Y106" s="6" t="s">
        <v>141</v>
      </c>
    </row>
    <row r="107" spans="1:25">
      <c r="A107" s="171">
        <v>19</v>
      </c>
      <c r="B107" s="174">
        <v>45047</v>
      </c>
      <c r="C107" s="174">
        <v>45050</v>
      </c>
      <c r="D107" s="174">
        <v>45049</v>
      </c>
      <c r="E107" s="171">
        <v>2023</v>
      </c>
      <c r="F107" s="171">
        <v>5</v>
      </c>
      <c r="G107" s="171">
        <v>3</v>
      </c>
      <c r="H107" s="131"/>
      <c r="I107" s="176"/>
      <c r="J107" s="176"/>
      <c r="K107" s="171"/>
      <c r="L107" s="171" t="s">
        <v>56</v>
      </c>
      <c r="M107" s="171">
        <v>3000</v>
      </c>
      <c r="N107" s="175">
        <v>0</v>
      </c>
      <c r="O107" s="171">
        <v>0</v>
      </c>
      <c r="P107" s="171">
        <v>0</v>
      </c>
      <c r="Q107" s="175">
        <v>0</v>
      </c>
      <c r="R107" s="6"/>
      <c r="S107" s="6"/>
      <c r="T107" s="6"/>
      <c r="U107" s="6"/>
      <c r="V107" s="6"/>
      <c r="W107" s="6"/>
      <c r="X107" s="6" t="s">
        <v>140</v>
      </c>
      <c r="Y107" s="6" t="s">
        <v>141</v>
      </c>
    </row>
    <row r="108" spans="1:25">
      <c r="A108" s="171">
        <v>19</v>
      </c>
      <c r="B108" s="174">
        <v>45047</v>
      </c>
      <c r="C108" s="174">
        <v>45051</v>
      </c>
      <c r="D108" s="174">
        <v>45050</v>
      </c>
      <c r="E108" s="171">
        <v>2023</v>
      </c>
      <c r="F108" s="171">
        <v>5</v>
      </c>
      <c r="G108" s="171">
        <v>4</v>
      </c>
      <c r="H108" s="131"/>
      <c r="I108" s="176"/>
      <c r="J108" s="176"/>
      <c r="K108" s="171"/>
      <c r="L108" s="171" t="s">
        <v>56</v>
      </c>
      <c r="M108" s="171">
        <v>2800</v>
      </c>
      <c r="N108" s="175">
        <v>0</v>
      </c>
      <c r="O108" s="171">
        <v>0</v>
      </c>
      <c r="P108" s="171">
        <v>0</v>
      </c>
      <c r="Q108" s="175">
        <v>0</v>
      </c>
      <c r="R108" s="6"/>
      <c r="S108" s="6"/>
      <c r="T108" s="6"/>
      <c r="U108" s="6"/>
      <c r="V108" s="6"/>
      <c r="W108" s="6"/>
      <c r="X108" s="6" t="s">
        <v>140</v>
      </c>
      <c r="Y108" s="6" t="s">
        <v>141</v>
      </c>
    </row>
    <row r="109" spans="1:25">
      <c r="A109" s="171">
        <v>19</v>
      </c>
      <c r="B109" s="174">
        <v>45047</v>
      </c>
      <c r="C109" s="174">
        <v>45054</v>
      </c>
      <c r="D109" s="174">
        <v>45052</v>
      </c>
      <c r="E109" s="171">
        <v>2023</v>
      </c>
      <c r="F109" s="171">
        <v>5</v>
      </c>
      <c r="G109" s="171">
        <v>6</v>
      </c>
      <c r="H109" s="131"/>
      <c r="I109" s="176"/>
      <c r="J109" s="176"/>
      <c r="K109" s="171"/>
      <c r="L109" s="171" t="s">
        <v>56</v>
      </c>
      <c r="M109" s="171">
        <v>600</v>
      </c>
      <c r="N109" s="175">
        <v>0</v>
      </c>
      <c r="O109" s="171">
        <v>0</v>
      </c>
      <c r="P109" s="171">
        <v>0</v>
      </c>
      <c r="Q109" s="175">
        <v>0</v>
      </c>
      <c r="R109" s="6"/>
      <c r="S109" s="6"/>
      <c r="T109" s="6"/>
      <c r="U109" s="6"/>
      <c r="V109" s="6"/>
      <c r="W109" s="6"/>
      <c r="X109" s="6" t="s">
        <v>140</v>
      </c>
      <c r="Y109" s="6" t="s">
        <v>141</v>
      </c>
    </row>
    <row r="110" spans="1:25">
      <c r="A110" s="171">
        <v>19</v>
      </c>
      <c r="B110" s="174">
        <v>45047</v>
      </c>
      <c r="C110" s="174">
        <v>45052</v>
      </c>
      <c r="D110" s="174">
        <v>45051</v>
      </c>
      <c r="E110" s="171">
        <v>2023</v>
      </c>
      <c r="F110" s="171">
        <v>5</v>
      </c>
      <c r="G110" s="171">
        <v>5</v>
      </c>
      <c r="H110" s="131"/>
      <c r="I110" s="176"/>
      <c r="J110" s="176"/>
      <c r="K110" s="171"/>
      <c r="L110" s="171" t="s">
        <v>56</v>
      </c>
      <c r="M110" s="171">
        <v>3000</v>
      </c>
      <c r="N110" s="175">
        <v>0</v>
      </c>
      <c r="O110" s="171">
        <v>0</v>
      </c>
      <c r="P110" s="171">
        <v>0</v>
      </c>
      <c r="Q110" s="175">
        <v>0</v>
      </c>
      <c r="R110" s="6"/>
      <c r="S110" s="6"/>
      <c r="T110" s="6"/>
      <c r="U110" s="6"/>
      <c r="V110" s="6"/>
      <c r="W110" s="6"/>
      <c r="X110" s="6" t="s">
        <v>140</v>
      </c>
      <c r="Y110" s="6" t="s">
        <v>141</v>
      </c>
    </row>
    <row r="111" spans="1:25">
      <c r="A111" s="171">
        <v>19</v>
      </c>
      <c r="B111" s="174">
        <v>45047</v>
      </c>
      <c r="C111" s="174">
        <v>45055</v>
      </c>
      <c r="D111" s="174">
        <v>45052</v>
      </c>
      <c r="E111" s="171">
        <v>2023</v>
      </c>
      <c r="F111" s="171">
        <v>5</v>
      </c>
      <c r="G111" s="171">
        <v>6</v>
      </c>
      <c r="H111" s="131"/>
      <c r="I111" s="176"/>
      <c r="J111" s="176"/>
      <c r="K111" s="171"/>
      <c r="L111" s="171" t="s">
        <v>56</v>
      </c>
      <c r="M111" s="171">
        <v>600</v>
      </c>
      <c r="N111" s="175">
        <v>0</v>
      </c>
      <c r="O111" s="171">
        <v>0</v>
      </c>
      <c r="P111" s="171">
        <v>0</v>
      </c>
      <c r="Q111" s="175">
        <v>0</v>
      </c>
      <c r="R111" s="6"/>
      <c r="S111" s="6"/>
      <c r="T111" s="6"/>
      <c r="U111" s="6"/>
      <c r="V111" s="6"/>
      <c r="W111" s="6"/>
      <c r="X111" s="6" t="s">
        <v>140</v>
      </c>
      <c r="Y111" s="6" t="s">
        <v>141</v>
      </c>
    </row>
    <row r="112" spans="1:25">
      <c r="A112" s="171">
        <v>19</v>
      </c>
      <c r="B112" s="174">
        <v>45047</v>
      </c>
      <c r="C112" s="174">
        <v>45054</v>
      </c>
      <c r="D112" s="174">
        <v>45052</v>
      </c>
      <c r="E112" s="171">
        <v>2023</v>
      </c>
      <c r="F112" s="171">
        <v>5</v>
      </c>
      <c r="G112" s="171">
        <v>6</v>
      </c>
      <c r="H112" s="131"/>
      <c r="I112" s="176"/>
      <c r="J112" s="176"/>
      <c r="K112" s="171"/>
      <c r="L112" s="171" t="s">
        <v>56</v>
      </c>
      <c r="M112" s="171">
        <v>800</v>
      </c>
      <c r="N112" s="175">
        <v>0</v>
      </c>
      <c r="O112" s="171">
        <v>0</v>
      </c>
      <c r="P112" s="171">
        <v>0</v>
      </c>
      <c r="Q112" s="175">
        <v>0</v>
      </c>
      <c r="R112" s="6"/>
      <c r="S112" s="6"/>
      <c r="T112" s="6"/>
      <c r="U112" s="6"/>
      <c r="V112" s="6"/>
      <c r="W112" s="6"/>
      <c r="X112" s="6" t="s">
        <v>140</v>
      </c>
      <c r="Y112" s="6" t="s">
        <v>141</v>
      </c>
    </row>
    <row r="113" spans="1:25">
      <c r="A113" s="171">
        <v>19</v>
      </c>
      <c r="B113" s="174">
        <v>45047</v>
      </c>
      <c r="C113" s="174">
        <v>45054</v>
      </c>
      <c r="D113" s="174">
        <v>45052</v>
      </c>
      <c r="E113" s="171">
        <v>2023</v>
      </c>
      <c r="F113" s="171">
        <v>5</v>
      </c>
      <c r="G113" s="171">
        <v>6</v>
      </c>
      <c r="H113" s="131"/>
      <c r="I113" s="176"/>
      <c r="J113" s="176"/>
      <c r="K113" s="171"/>
      <c r="L113" s="171" t="s">
        <v>56</v>
      </c>
      <c r="M113" s="171">
        <v>450</v>
      </c>
      <c r="N113" s="175">
        <v>0</v>
      </c>
      <c r="O113" s="171">
        <v>0</v>
      </c>
      <c r="P113" s="171">
        <v>0</v>
      </c>
      <c r="Q113" s="175">
        <v>0</v>
      </c>
      <c r="R113" s="6"/>
      <c r="S113" s="6"/>
      <c r="T113" s="6"/>
      <c r="U113" s="6"/>
      <c r="V113" s="6"/>
      <c r="W113" s="6"/>
      <c r="X113" s="6" t="s">
        <v>140</v>
      </c>
      <c r="Y113" s="6" t="s">
        <v>141</v>
      </c>
    </row>
    <row r="114" spans="1:25">
      <c r="A114" s="171">
        <v>19</v>
      </c>
      <c r="B114" s="174">
        <v>45047</v>
      </c>
      <c r="C114" s="174">
        <v>45054</v>
      </c>
      <c r="D114" s="174">
        <v>45052</v>
      </c>
      <c r="E114" s="171">
        <v>2023</v>
      </c>
      <c r="F114" s="171">
        <v>5</v>
      </c>
      <c r="G114" s="171">
        <v>6</v>
      </c>
      <c r="H114" s="131"/>
      <c r="I114" s="176"/>
      <c r="J114" s="176"/>
      <c r="K114" s="171"/>
      <c r="L114" s="171" t="s">
        <v>56</v>
      </c>
      <c r="M114" s="171">
        <v>3700</v>
      </c>
      <c r="N114" s="175">
        <v>0</v>
      </c>
      <c r="O114" s="171">
        <v>0</v>
      </c>
      <c r="P114" s="171">
        <v>0</v>
      </c>
      <c r="Q114" s="175">
        <v>0</v>
      </c>
      <c r="R114" s="6"/>
      <c r="S114" s="6"/>
      <c r="T114" s="6"/>
      <c r="U114" s="6"/>
      <c r="V114" s="6"/>
      <c r="W114" s="6"/>
      <c r="X114" s="6" t="s">
        <v>140</v>
      </c>
      <c r="Y114" s="6" t="s">
        <v>141</v>
      </c>
    </row>
    <row r="115" spans="1:25">
      <c r="A115" s="171">
        <v>19</v>
      </c>
      <c r="B115" s="174">
        <v>45047</v>
      </c>
      <c r="C115" s="174">
        <v>45054</v>
      </c>
      <c r="D115" s="174">
        <v>45052</v>
      </c>
      <c r="E115" s="171">
        <v>2023</v>
      </c>
      <c r="F115" s="171">
        <v>5</v>
      </c>
      <c r="G115" s="171">
        <v>6</v>
      </c>
      <c r="H115" s="131"/>
      <c r="I115" s="176"/>
      <c r="J115" s="176"/>
      <c r="K115" s="171"/>
      <c r="L115" s="171" t="s">
        <v>56</v>
      </c>
      <c r="M115" s="171">
        <v>1400</v>
      </c>
      <c r="N115" s="175">
        <v>0</v>
      </c>
      <c r="O115" s="171">
        <v>0</v>
      </c>
      <c r="P115" s="171">
        <v>0</v>
      </c>
      <c r="Q115" s="175">
        <v>0</v>
      </c>
      <c r="R115" s="6"/>
      <c r="S115" s="6"/>
      <c r="T115" s="6"/>
      <c r="U115" s="6"/>
      <c r="V115" s="6"/>
      <c r="W115" s="6"/>
      <c r="X115" s="6" t="s">
        <v>140</v>
      </c>
      <c r="Y115" s="6" t="s">
        <v>141</v>
      </c>
    </row>
    <row r="116" spans="1:25">
      <c r="A116" s="171">
        <v>19</v>
      </c>
      <c r="B116" s="174">
        <v>45047</v>
      </c>
      <c r="C116" s="174">
        <v>45055</v>
      </c>
      <c r="D116" s="174">
        <v>45052</v>
      </c>
      <c r="E116" s="171">
        <v>2023</v>
      </c>
      <c r="F116" s="171">
        <v>5</v>
      </c>
      <c r="G116" s="171">
        <v>6</v>
      </c>
      <c r="H116" s="131"/>
      <c r="I116" s="176"/>
      <c r="J116" s="176"/>
      <c r="K116" s="171"/>
      <c r="L116" s="171" t="s">
        <v>56</v>
      </c>
      <c r="M116" s="171">
        <v>500</v>
      </c>
      <c r="N116" s="175">
        <v>0</v>
      </c>
      <c r="O116" s="171">
        <v>0</v>
      </c>
      <c r="P116" s="171">
        <v>0</v>
      </c>
      <c r="Q116" s="175">
        <v>0</v>
      </c>
      <c r="R116" s="6"/>
      <c r="S116" s="6"/>
      <c r="T116" s="6"/>
      <c r="U116" s="6"/>
      <c r="V116" s="6"/>
      <c r="W116" s="6"/>
      <c r="X116" s="6" t="s">
        <v>140</v>
      </c>
      <c r="Y116" s="6" t="s">
        <v>141</v>
      </c>
    </row>
    <row r="117" spans="1:25">
      <c r="A117" s="171">
        <v>19</v>
      </c>
      <c r="B117" s="174">
        <v>45047</v>
      </c>
      <c r="C117" s="174">
        <v>45051</v>
      </c>
      <c r="D117" s="174">
        <v>45050</v>
      </c>
      <c r="E117" s="171">
        <v>2023</v>
      </c>
      <c r="F117" s="171">
        <v>5</v>
      </c>
      <c r="G117" s="171">
        <v>4</v>
      </c>
      <c r="H117" s="131"/>
      <c r="I117" s="176"/>
      <c r="J117" s="176"/>
      <c r="K117" s="171"/>
      <c r="L117" s="171" t="s">
        <v>56</v>
      </c>
      <c r="M117" s="171">
        <v>200</v>
      </c>
      <c r="N117" s="175">
        <v>0</v>
      </c>
      <c r="O117" s="171">
        <v>0</v>
      </c>
      <c r="P117" s="171">
        <v>0</v>
      </c>
      <c r="Q117" s="175">
        <v>0</v>
      </c>
      <c r="R117" s="6"/>
      <c r="S117" s="6"/>
      <c r="T117" s="6"/>
      <c r="U117" s="6"/>
      <c r="V117" s="6"/>
      <c r="W117" s="6"/>
      <c r="X117" s="6" t="s">
        <v>140</v>
      </c>
      <c r="Y117" s="6" t="s">
        <v>141</v>
      </c>
    </row>
    <row r="118" spans="1:25">
      <c r="A118" s="171">
        <v>19</v>
      </c>
      <c r="B118" s="174">
        <v>45047</v>
      </c>
      <c r="C118" s="174">
        <v>45051</v>
      </c>
      <c r="D118" s="174">
        <v>45050</v>
      </c>
      <c r="E118" s="171">
        <v>2023</v>
      </c>
      <c r="F118" s="171">
        <v>5</v>
      </c>
      <c r="G118" s="171">
        <v>4</v>
      </c>
      <c r="H118" s="131"/>
      <c r="I118" s="176"/>
      <c r="J118" s="176"/>
      <c r="K118" s="171"/>
      <c r="L118" s="171" t="s">
        <v>56</v>
      </c>
      <c r="M118" s="171">
        <v>700</v>
      </c>
      <c r="N118" s="175">
        <v>0</v>
      </c>
      <c r="O118" s="171">
        <v>0</v>
      </c>
      <c r="P118" s="171">
        <v>0</v>
      </c>
      <c r="Q118" s="175">
        <v>0</v>
      </c>
      <c r="R118" s="6"/>
      <c r="S118" s="6"/>
      <c r="T118" s="6"/>
      <c r="U118" s="6"/>
      <c r="V118" s="6"/>
      <c r="W118" s="6"/>
      <c r="X118" s="6" t="s">
        <v>140</v>
      </c>
      <c r="Y118" s="6" t="s">
        <v>141</v>
      </c>
    </row>
    <row r="119" spans="1:25">
      <c r="A119" s="171">
        <v>19</v>
      </c>
      <c r="B119" s="174">
        <v>45047</v>
      </c>
      <c r="C119" s="174">
        <v>45051</v>
      </c>
      <c r="D119" s="174">
        <v>45050</v>
      </c>
      <c r="E119" s="171">
        <v>2023</v>
      </c>
      <c r="F119" s="171">
        <v>5</v>
      </c>
      <c r="G119" s="171">
        <v>4</v>
      </c>
      <c r="H119" s="131"/>
      <c r="I119" s="176"/>
      <c r="J119" s="176"/>
      <c r="K119" s="171"/>
      <c r="L119" s="171" t="s">
        <v>56</v>
      </c>
      <c r="M119" s="171">
        <v>1400</v>
      </c>
      <c r="N119" s="175">
        <v>0</v>
      </c>
      <c r="O119" s="171">
        <v>0</v>
      </c>
      <c r="P119" s="171">
        <v>0</v>
      </c>
      <c r="Q119" s="175">
        <v>0</v>
      </c>
      <c r="R119" s="6"/>
      <c r="S119" s="6"/>
      <c r="T119" s="6"/>
      <c r="U119" s="6"/>
      <c r="V119" s="6"/>
      <c r="W119" s="6"/>
      <c r="X119" s="6" t="s">
        <v>140</v>
      </c>
      <c r="Y119" s="6" t="s">
        <v>141</v>
      </c>
    </row>
    <row r="120" spans="1:25">
      <c r="A120" s="171">
        <v>19</v>
      </c>
      <c r="B120" s="174">
        <v>45047</v>
      </c>
      <c r="C120" s="174">
        <v>45050</v>
      </c>
      <c r="D120" s="174">
        <v>45049</v>
      </c>
      <c r="E120" s="171">
        <v>2023</v>
      </c>
      <c r="F120" s="171">
        <v>5</v>
      </c>
      <c r="G120" s="171">
        <v>3</v>
      </c>
      <c r="H120" s="131"/>
      <c r="I120" s="176"/>
      <c r="J120" s="176"/>
      <c r="K120" s="171"/>
      <c r="L120" s="171" t="s">
        <v>56</v>
      </c>
      <c r="M120" s="171">
        <v>500</v>
      </c>
      <c r="N120" s="175">
        <v>0</v>
      </c>
      <c r="O120" s="171">
        <v>0</v>
      </c>
      <c r="P120" s="171">
        <v>0</v>
      </c>
      <c r="Q120" s="175">
        <v>0</v>
      </c>
      <c r="R120" s="6"/>
      <c r="S120" s="6"/>
      <c r="T120" s="6"/>
      <c r="U120" s="6"/>
      <c r="V120" s="6"/>
      <c r="W120" s="6"/>
      <c r="X120" s="6" t="s">
        <v>140</v>
      </c>
      <c r="Y120" s="6" t="s">
        <v>141</v>
      </c>
    </row>
    <row r="121" spans="1:25">
      <c r="A121" s="171">
        <v>19</v>
      </c>
      <c r="B121" s="174">
        <v>45047</v>
      </c>
      <c r="C121" s="174">
        <v>45054</v>
      </c>
      <c r="D121" s="174">
        <v>45052</v>
      </c>
      <c r="E121" s="171">
        <v>2023</v>
      </c>
      <c r="F121" s="171">
        <v>5</v>
      </c>
      <c r="G121" s="171">
        <v>6</v>
      </c>
      <c r="H121" s="131"/>
      <c r="I121" s="176"/>
      <c r="J121" s="176"/>
      <c r="K121" s="171"/>
      <c r="L121" s="171" t="s">
        <v>56</v>
      </c>
      <c r="M121" s="171">
        <v>1000</v>
      </c>
      <c r="N121" s="175">
        <v>0</v>
      </c>
      <c r="O121" s="171">
        <v>0</v>
      </c>
      <c r="P121" s="171">
        <v>0</v>
      </c>
      <c r="Q121" s="175">
        <v>0</v>
      </c>
      <c r="R121" s="6"/>
      <c r="S121" s="6"/>
      <c r="T121" s="6"/>
      <c r="U121" s="6"/>
      <c r="V121" s="6"/>
      <c r="W121" s="6"/>
      <c r="X121" s="6" t="s">
        <v>140</v>
      </c>
      <c r="Y121" s="6" t="s">
        <v>141</v>
      </c>
    </row>
    <row r="122" spans="1:25">
      <c r="A122" s="171">
        <v>19</v>
      </c>
      <c r="B122" s="174">
        <v>45047</v>
      </c>
      <c r="C122" s="174">
        <v>45054</v>
      </c>
      <c r="D122" s="174">
        <v>45052</v>
      </c>
      <c r="E122" s="171">
        <v>2023</v>
      </c>
      <c r="F122" s="171">
        <v>5</v>
      </c>
      <c r="G122" s="171">
        <v>6</v>
      </c>
      <c r="H122" s="131"/>
      <c r="I122" s="176"/>
      <c r="J122" s="176"/>
      <c r="K122" s="171"/>
      <c r="L122" s="171" t="s">
        <v>56</v>
      </c>
      <c r="M122" s="171">
        <v>500</v>
      </c>
      <c r="N122" s="175">
        <v>0</v>
      </c>
      <c r="O122" s="171">
        <v>0</v>
      </c>
      <c r="P122" s="171">
        <v>0</v>
      </c>
      <c r="Q122" s="175">
        <v>0</v>
      </c>
      <c r="R122" s="6"/>
      <c r="S122" s="6"/>
      <c r="T122" s="6"/>
      <c r="U122" s="6"/>
      <c r="V122" s="6"/>
      <c r="W122" s="6"/>
      <c r="X122" s="6" t="s">
        <v>140</v>
      </c>
      <c r="Y122" s="6" t="s">
        <v>141</v>
      </c>
    </row>
    <row r="123" spans="1:25">
      <c r="A123" s="171">
        <v>19</v>
      </c>
      <c r="B123" s="174">
        <v>45047</v>
      </c>
      <c r="C123" s="174">
        <v>45050</v>
      </c>
      <c r="D123" s="174">
        <v>45049</v>
      </c>
      <c r="E123" s="171">
        <v>2023</v>
      </c>
      <c r="F123" s="171">
        <v>5</v>
      </c>
      <c r="G123" s="171">
        <v>3</v>
      </c>
      <c r="H123" s="131"/>
      <c r="I123" s="176"/>
      <c r="J123" s="176"/>
      <c r="K123" s="171"/>
      <c r="L123" s="171" t="s">
        <v>56</v>
      </c>
      <c r="M123" s="171">
        <v>700</v>
      </c>
      <c r="N123" s="175">
        <v>0</v>
      </c>
      <c r="O123" s="171">
        <v>0</v>
      </c>
      <c r="P123" s="171">
        <v>0</v>
      </c>
      <c r="Q123" s="175">
        <v>0</v>
      </c>
      <c r="R123" s="6"/>
      <c r="S123" s="6"/>
      <c r="T123" s="6"/>
      <c r="U123" s="6"/>
      <c r="V123" s="6"/>
      <c r="W123" s="6"/>
      <c r="X123" s="6" t="s">
        <v>140</v>
      </c>
      <c r="Y123" s="6" t="s">
        <v>141</v>
      </c>
    </row>
    <row r="124" spans="1:25">
      <c r="A124" s="171">
        <v>19</v>
      </c>
      <c r="B124" s="174">
        <v>45047</v>
      </c>
      <c r="C124" s="174">
        <v>45054</v>
      </c>
      <c r="D124" s="174">
        <v>45052</v>
      </c>
      <c r="E124" s="171">
        <v>2023</v>
      </c>
      <c r="F124" s="171">
        <v>5</v>
      </c>
      <c r="G124" s="171">
        <v>6</v>
      </c>
      <c r="H124" s="131"/>
      <c r="I124" s="176"/>
      <c r="J124" s="176"/>
      <c r="K124" s="171"/>
      <c r="L124" s="171" t="s">
        <v>56</v>
      </c>
      <c r="M124" s="171">
        <v>400</v>
      </c>
      <c r="N124" s="175">
        <v>0</v>
      </c>
      <c r="O124" s="171">
        <v>0</v>
      </c>
      <c r="P124" s="171">
        <v>0</v>
      </c>
      <c r="Q124" s="175">
        <v>0</v>
      </c>
      <c r="R124" s="6"/>
      <c r="S124" s="6"/>
      <c r="T124" s="6"/>
      <c r="U124" s="6"/>
      <c r="V124" s="6"/>
      <c r="W124" s="6"/>
      <c r="X124" s="6" t="s">
        <v>140</v>
      </c>
      <c r="Y124" s="6" t="s">
        <v>141</v>
      </c>
    </row>
    <row r="125" spans="1:25">
      <c r="A125" s="171">
        <v>19</v>
      </c>
      <c r="B125" s="174">
        <v>45047</v>
      </c>
      <c r="C125" s="174">
        <v>45052</v>
      </c>
      <c r="D125" s="174">
        <v>45051</v>
      </c>
      <c r="E125" s="171">
        <v>2023</v>
      </c>
      <c r="F125" s="171">
        <v>5</v>
      </c>
      <c r="G125" s="171">
        <v>5</v>
      </c>
      <c r="H125" s="131"/>
      <c r="I125" s="176"/>
      <c r="J125" s="176"/>
      <c r="K125" s="171"/>
      <c r="L125" s="171" t="s">
        <v>56</v>
      </c>
      <c r="M125" s="171">
        <v>300</v>
      </c>
      <c r="N125" s="175">
        <v>0</v>
      </c>
      <c r="O125" s="171">
        <v>0</v>
      </c>
      <c r="P125" s="171">
        <v>0</v>
      </c>
      <c r="Q125" s="175">
        <v>0</v>
      </c>
      <c r="R125" s="6"/>
      <c r="S125" s="6"/>
      <c r="T125" s="6"/>
      <c r="U125" s="6"/>
      <c r="V125" s="6"/>
      <c r="W125" s="6"/>
      <c r="X125" s="6" t="s">
        <v>140</v>
      </c>
      <c r="Y125" s="6" t="s">
        <v>141</v>
      </c>
    </row>
    <row r="126" spans="1:25">
      <c r="A126" s="171">
        <v>19</v>
      </c>
      <c r="B126" s="174">
        <v>45047</v>
      </c>
      <c r="C126" s="174">
        <v>45052</v>
      </c>
      <c r="D126" s="174">
        <v>45051</v>
      </c>
      <c r="E126" s="171">
        <v>2023</v>
      </c>
      <c r="F126" s="171">
        <v>5</v>
      </c>
      <c r="G126" s="171">
        <v>5</v>
      </c>
      <c r="H126" s="131"/>
      <c r="I126" s="176"/>
      <c r="J126" s="176"/>
      <c r="K126" s="171"/>
      <c r="L126" s="171" t="s">
        <v>56</v>
      </c>
      <c r="M126" s="171">
        <v>2600</v>
      </c>
      <c r="N126" s="175">
        <v>0</v>
      </c>
      <c r="O126" s="171">
        <v>0</v>
      </c>
      <c r="P126" s="171">
        <v>0</v>
      </c>
      <c r="Q126" s="175">
        <v>0</v>
      </c>
      <c r="R126" s="6"/>
      <c r="S126" s="6"/>
      <c r="T126" s="6"/>
      <c r="U126" s="6"/>
      <c r="V126" s="6"/>
      <c r="W126" s="6"/>
      <c r="X126" s="6" t="s">
        <v>140</v>
      </c>
      <c r="Y126" s="6" t="s">
        <v>141</v>
      </c>
    </row>
    <row r="127" spans="1:25">
      <c r="A127" s="171">
        <v>19</v>
      </c>
      <c r="B127" s="174">
        <v>45047</v>
      </c>
      <c r="C127" s="174">
        <v>45054</v>
      </c>
      <c r="D127" s="174">
        <v>45052</v>
      </c>
      <c r="E127" s="171">
        <v>2023</v>
      </c>
      <c r="F127" s="171">
        <v>5</v>
      </c>
      <c r="G127" s="171">
        <v>6</v>
      </c>
      <c r="H127" s="131"/>
      <c r="I127" s="176"/>
      <c r="J127" s="176"/>
      <c r="K127" s="171"/>
      <c r="L127" s="171" t="s">
        <v>56</v>
      </c>
      <c r="M127" s="171">
        <v>100</v>
      </c>
      <c r="N127" s="175">
        <v>0</v>
      </c>
      <c r="O127" s="171">
        <v>0</v>
      </c>
      <c r="P127" s="171">
        <v>0</v>
      </c>
      <c r="Q127" s="175">
        <v>0</v>
      </c>
      <c r="R127" s="6"/>
      <c r="S127" s="6"/>
      <c r="T127" s="6"/>
      <c r="U127" s="6"/>
      <c r="V127" s="6"/>
      <c r="W127" s="6"/>
      <c r="X127" s="6" t="s">
        <v>140</v>
      </c>
      <c r="Y127" s="6" t="s">
        <v>141</v>
      </c>
    </row>
    <row r="128" spans="1:25">
      <c r="A128" s="171">
        <v>19</v>
      </c>
      <c r="B128" s="174">
        <v>45047</v>
      </c>
      <c r="C128" s="174">
        <v>45052</v>
      </c>
      <c r="D128" s="174">
        <v>45051</v>
      </c>
      <c r="E128" s="171">
        <v>2023</v>
      </c>
      <c r="F128" s="171">
        <v>5</v>
      </c>
      <c r="G128" s="171">
        <v>5</v>
      </c>
      <c r="H128" s="131"/>
      <c r="I128" s="176"/>
      <c r="J128" s="176"/>
      <c r="K128" s="171"/>
      <c r="L128" s="171" t="s">
        <v>56</v>
      </c>
      <c r="M128" s="171">
        <v>300</v>
      </c>
      <c r="N128" s="175">
        <v>0</v>
      </c>
      <c r="O128" s="171">
        <v>0</v>
      </c>
      <c r="P128" s="171">
        <v>0</v>
      </c>
      <c r="Q128" s="175">
        <v>0</v>
      </c>
      <c r="R128" s="6"/>
      <c r="S128" s="6"/>
      <c r="T128" s="6"/>
      <c r="U128" s="6"/>
      <c r="V128" s="6"/>
      <c r="W128" s="6"/>
      <c r="X128" s="6" t="s">
        <v>140</v>
      </c>
      <c r="Y128" s="6" t="s">
        <v>141</v>
      </c>
    </row>
    <row r="129" spans="1:25">
      <c r="A129" s="171">
        <v>19</v>
      </c>
      <c r="B129" s="174">
        <v>45047</v>
      </c>
      <c r="C129" s="174">
        <v>45051</v>
      </c>
      <c r="D129" s="174">
        <v>45050</v>
      </c>
      <c r="E129" s="171">
        <v>2023</v>
      </c>
      <c r="F129" s="171">
        <v>5</v>
      </c>
      <c r="G129" s="171">
        <v>4</v>
      </c>
      <c r="H129" s="131"/>
      <c r="I129" s="176"/>
      <c r="J129" s="176"/>
      <c r="K129" s="171"/>
      <c r="L129" s="171" t="s">
        <v>56</v>
      </c>
      <c r="M129" s="171">
        <v>400</v>
      </c>
      <c r="N129" s="175">
        <v>0</v>
      </c>
      <c r="O129" s="171">
        <v>0</v>
      </c>
      <c r="P129" s="171">
        <v>0</v>
      </c>
      <c r="Q129" s="175">
        <v>0</v>
      </c>
      <c r="R129" s="6"/>
      <c r="S129" s="6"/>
      <c r="T129" s="6"/>
      <c r="U129" s="6"/>
      <c r="V129" s="6"/>
      <c r="W129" s="6"/>
      <c r="X129" s="6" t="s">
        <v>140</v>
      </c>
      <c r="Y129" s="6" t="s">
        <v>141</v>
      </c>
    </row>
    <row r="130" spans="1:25">
      <c r="A130" s="171">
        <v>19</v>
      </c>
      <c r="B130" s="174">
        <v>45047</v>
      </c>
      <c r="C130" s="174">
        <v>45050</v>
      </c>
      <c r="D130" s="174">
        <v>45049</v>
      </c>
      <c r="E130" s="171">
        <v>2023</v>
      </c>
      <c r="F130" s="171">
        <v>5</v>
      </c>
      <c r="G130" s="171">
        <v>3</v>
      </c>
      <c r="H130" s="131"/>
      <c r="I130" s="176"/>
      <c r="J130" s="176"/>
      <c r="K130" s="171"/>
      <c r="L130" s="171" t="s">
        <v>56</v>
      </c>
      <c r="M130" s="171">
        <v>2486</v>
      </c>
      <c r="N130" s="175">
        <v>0</v>
      </c>
      <c r="O130" s="171">
        <v>0</v>
      </c>
      <c r="P130" s="171">
        <v>0</v>
      </c>
      <c r="Q130" s="175">
        <v>0</v>
      </c>
      <c r="R130" s="6"/>
      <c r="S130" s="6"/>
      <c r="T130" s="6"/>
      <c r="U130" s="6"/>
      <c r="V130" s="6"/>
      <c r="W130" s="6"/>
      <c r="X130" s="6" t="s">
        <v>140</v>
      </c>
      <c r="Y130" s="6" t="s">
        <v>141</v>
      </c>
    </row>
    <row r="131" spans="1:25">
      <c r="A131" s="171">
        <v>19</v>
      </c>
      <c r="B131" s="174">
        <v>45047</v>
      </c>
      <c r="C131" s="174">
        <v>45051</v>
      </c>
      <c r="D131" s="174">
        <v>45050</v>
      </c>
      <c r="E131" s="171">
        <v>2023</v>
      </c>
      <c r="F131" s="171">
        <v>5</v>
      </c>
      <c r="G131" s="171">
        <v>4</v>
      </c>
      <c r="H131" s="131"/>
      <c r="I131" s="176"/>
      <c r="J131" s="176"/>
      <c r="K131" s="171"/>
      <c r="L131" s="171" t="s">
        <v>56</v>
      </c>
      <c r="M131" s="171">
        <v>1800</v>
      </c>
      <c r="N131" s="175">
        <v>0</v>
      </c>
      <c r="O131" s="171">
        <v>0</v>
      </c>
      <c r="P131" s="171">
        <v>0</v>
      </c>
      <c r="Q131" s="175">
        <v>0</v>
      </c>
      <c r="R131" s="6"/>
      <c r="S131" s="6"/>
      <c r="T131" s="6"/>
      <c r="U131" s="6"/>
      <c r="V131" s="6"/>
      <c r="W131" s="6"/>
      <c r="X131" s="6" t="s">
        <v>140</v>
      </c>
      <c r="Y131" s="6" t="s">
        <v>141</v>
      </c>
    </row>
    <row r="132" spans="1:25">
      <c r="A132" s="171">
        <v>19</v>
      </c>
      <c r="B132" s="174">
        <v>45047</v>
      </c>
      <c r="C132" s="174">
        <v>45054</v>
      </c>
      <c r="D132" s="174">
        <v>45052</v>
      </c>
      <c r="E132" s="171">
        <v>2023</v>
      </c>
      <c r="F132" s="171">
        <v>5</v>
      </c>
      <c r="G132" s="171">
        <v>6</v>
      </c>
      <c r="H132" s="131"/>
      <c r="I132" s="176"/>
      <c r="J132" s="176"/>
      <c r="K132" s="171"/>
      <c r="L132" s="171" t="s">
        <v>56</v>
      </c>
      <c r="M132" s="171">
        <v>6400</v>
      </c>
      <c r="N132" s="175">
        <v>0</v>
      </c>
      <c r="O132" s="171">
        <v>0</v>
      </c>
      <c r="P132" s="171">
        <v>0</v>
      </c>
      <c r="Q132" s="175">
        <v>0</v>
      </c>
      <c r="R132" s="6"/>
      <c r="S132" s="6"/>
      <c r="T132" s="6"/>
      <c r="U132" s="6"/>
      <c r="V132" s="6"/>
      <c r="W132" s="6"/>
      <c r="X132" s="6" t="s">
        <v>140</v>
      </c>
      <c r="Y132" s="6" t="s">
        <v>141</v>
      </c>
    </row>
    <row r="133" spans="1:25">
      <c r="A133" s="171">
        <v>19</v>
      </c>
      <c r="B133" s="174">
        <v>45047</v>
      </c>
      <c r="C133" s="174">
        <v>45050</v>
      </c>
      <c r="D133" s="174">
        <v>45049</v>
      </c>
      <c r="E133" s="171">
        <v>2023</v>
      </c>
      <c r="F133" s="171">
        <v>5</v>
      </c>
      <c r="G133" s="171">
        <v>3</v>
      </c>
      <c r="H133" s="131"/>
      <c r="I133" s="176"/>
      <c r="J133" s="176"/>
      <c r="K133" s="171"/>
      <c r="L133" s="171" t="s">
        <v>56</v>
      </c>
      <c r="M133" s="171">
        <v>600</v>
      </c>
      <c r="N133" s="175">
        <v>0</v>
      </c>
      <c r="O133" s="171">
        <v>0</v>
      </c>
      <c r="P133" s="171">
        <v>0</v>
      </c>
      <c r="Q133" s="175">
        <v>0</v>
      </c>
      <c r="R133" s="6"/>
      <c r="S133" s="6"/>
      <c r="T133" s="6"/>
      <c r="U133" s="6"/>
      <c r="V133" s="6"/>
      <c r="W133" s="6"/>
      <c r="X133" s="6" t="s">
        <v>140</v>
      </c>
      <c r="Y133" s="6" t="s">
        <v>141</v>
      </c>
    </row>
    <row r="134" spans="1:25">
      <c r="A134" s="171">
        <v>19</v>
      </c>
      <c r="B134" s="174">
        <v>45047</v>
      </c>
      <c r="C134" s="174">
        <v>45050</v>
      </c>
      <c r="D134" s="174">
        <v>45049</v>
      </c>
      <c r="E134" s="171">
        <v>2023</v>
      </c>
      <c r="F134" s="171">
        <v>5</v>
      </c>
      <c r="G134" s="171">
        <v>3</v>
      </c>
      <c r="H134" s="131"/>
      <c r="I134" s="176"/>
      <c r="J134" s="176"/>
      <c r="K134" s="171"/>
      <c r="L134" s="171" t="s">
        <v>56</v>
      </c>
      <c r="M134" s="171">
        <v>800</v>
      </c>
      <c r="N134" s="175">
        <v>0</v>
      </c>
      <c r="O134" s="171">
        <v>0</v>
      </c>
      <c r="P134" s="171">
        <v>0</v>
      </c>
      <c r="Q134" s="175">
        <v>0</v>
      </c>
      <c r="R134" s="6"/>
      <c r="S134" s="6"/>
      <c r="T134" s="6"/>
      <c r="U134" s="6"/>
      <c r="V134" s="6"/>
      <c r="W134" s="6"/>
      <c r="X134" s="6" t="s">
        <v>140</v>
      </c>
      <c r="Y134" s="6" t="s">
        <v>141</v>
      </c>
    </row>
    <row r="135" spans="1:25">
      <c r="A135" s="171">
        <v>19</v>
      </c>
      <c r="B135" s="174">
        <v>45047</v>
      </c>
      <c r="C135" s="174">
        <v>45050</v>
      </c>
      <c r="D135" s="174">
        <v>45049</v>
      </c>
      <c r="E135" s="171">
        <v>2023</v>
      </c>
      <c r="F135" s="171">
        <v>5</v>
      </c>
      <c r="G135" s="171">
        <v>3</v>
      </c>
      <c r="H135" s="131"/>
      <c r="I135" s="176"/>
      <c r="J135" s="176"/>
      <c r="K135" s="171"/>
      <c r="L135" s="171" t="s">
        <v>56</v>
      </c>
      <c r="M135" s="171">
        <v>500</v>
      </c>
      <c r="N135" s="175">
        <v>0</v>
      </c>
      <c r="O135" s="171">
        <v>0</v>
      </c>
      <c r="P135" s="171">
        <v>0</v>
      </c>
      <c r="Q135" s="175">
        <v>0</v>
      </c>
      <c r="R135" s="6"/>
      <c r="S135" s="6"/>
      <c r="T135" s="6"/>
      <c r="U135" s="6"/>
      <c r="V135" s="6"/>
      <c r="W135" s="6"/>
      <c r="X135" s="6" t="s">
        <v>140</v>
      </c>
      <c r="Y135" s="6" t="s">
        <v>141</v>
      </c>
    </row>
    <row r="136" spans="1:25">
      <c r="A136" s="171">
        <v>19</v>
      </c>
      <c r="B136" s="174">
        <v>45047</v>
      </c>
      <c r="C136" s="174">
        <v>45050</v>
      </c>
      <c r="D136" s="174">
        <v>45049</v>
      </c>
      <c r="E136" s="171">
        <v>2023</v>
      </c>
      <c r="F136" s="171">
        <v>5</v>
      </c>
      <c r="G136" s="171">
        <v>3</v>
      </c>
      <c r="H136" s="131"/>
      <c r="I136" s="176"/>
      <c r="J136" s="176"/>
      <c r="K136" s="171"/>
      <c r="L136" s="171" t="s">
        <v>56</v>
      </c>
      <c r="M136" s="171">
        <v>80</v>
      </c>
      <c r="N136" s="175">
        <v>0</v>
      </c>
      <c r="O136" s="171">
        <v>0</v>
      </c>
      <c r="P136" s="171">
        <v>0</v>
      </c>
      <c r="Q136" s="175">
        <v>0</v>
      </c>
      <c r="R136" s="6"/>
      <c r="S136" s="6"/>
      <c r="T136" s="6"/>
      <c r="U136" s="6"/>
      <c r="V136" s="6"/>
      <c r="W136" s="6"/>
      <c r="X136" s="6" t="s">
        <v>140</v>
      </c>
      <c r="Y136" s="6" t="s">
        <v>141</v>
      </c>
    </row>
    <row r="137" spans="1:25">
      <c r="A137" s="171">
        <v>19</v>
      </c>
      <c r="B137" s="174">
        <v>45047</v>
      </c>
      <c r="C137" s="174">
        <v>45051</v>
      </c>
      <c r="D137" s="174">
        <v>45050</v>
      </c>
      <c r="E137" s="171">
        <v>2023</v>
      </c>
      <c r="F137" s="171">
        <v>5</v>
      </c>
      <c r="G137" s="171">
        <v>4</v>
      </c>
      <c r="H137" s="131"/>
      <c r="I137" s="176"/>
      <c r="J137" s="176"/>
      <c r="K137" s="171"/>
      <c r="L137" s="171" t="s">
        <v>56</v>
      </c>
      <c r="M137" s="171">
        <v>740</v>
      </c>
      <c r="N137" s="175">
        <v>0</v>
      </c>
      <c r="O137" s="171">
        <v>0</v>
      </c>
      <c r="P137" s="171">
        <v>0</v>
      </c>
      <c r="Q137" s="175">
        <v>0</v>
      </c>
      <c r="R137" s="6"/>
      <c r="S137" s="6"/>
      <c r="T137" s="6"/>
      <c r="U137" s="6"/>
      <c r="V137" s="6"/>
      <c r="W137" s="6"/>
      <c r="X137" s="6" t="s">
        <v>140</v>
      </c>
      <c r="Y137" s="6" t="s">
        <v>141</v>
      </c>
    </row>
    <row r="138" spans="1:25">
      <c r="A138" s="171">
        <v>19</v>
      </c>
      <c r="B138" s="174">
        <v>45047</v>
      </c>
      <c r="C138" s="174">
        <v>45051</v>
      </c>
      <c r="D138" s="174">
        <v>45050</v>
      </c>
      <c r="E138" s="171">
        <v>2023</v>
      </c>
      <c r="F138" s="171">
        <v>5</v>
      </c>
      <c r="G138" s="171">
        <v>4</v>
      </c>
      <c r="H138" s="131"/>
      <c r="I138" s="176"/>
      <c r="J138" s="176"/>
      <c r="K138" s="171"/>
      <c r="L138" s="171" t="s">
        <v>56</v>
      </c>
      <c r="M138" s="171">
        <v>1000</v>
      </c>
      <c r="N138" s="175">
        <v>0</v>
      </c>
      <c r="O138" s="171">
        <v>0</v>
      </c>
      <c r="P138" s="171">
        <v>0</v>
      </c>
      <c r="Q138" s="175">
        <v>0</v>
      </c>
      <c r="R138" s="6"/>
      <c r="S138" s="6"/>
      <c r="T138" s="6"/>
      <c r="U138" s="6"/>
      <c r="V138" s="6"/>
      <c r="W138" s="6"/>
      <c r="X138" s="6" t="s">
        <v>140</v>
      </c>
      <c r="Y138" s="6" t="s">
        <v>141</v>
      </c>
    </row>
    <row r="139" spans="1:25">
      <c r="A139" s="171">
        <v>19</v>
      </c>
      <c r="B139" s="174">
        <v>45047</v>
      </c>
      <c r="C139" s="174">
        <v>45051</v>
      </c>
      <c r="D139" s="174">
        <v>45050</v>
      </c>
      <c r="E139" s="171">
        <v>2023</v>
      </c>
      <c r="F139" s="171">
        <v>5</v>
      </c>
      <c r="G139" s="171">
        <v>4</v>
      </c>
      <c r="H139" s="131"/>
      <c r="I139" s="176"/>
      <c r="J139" s="176"/>
      <c r="K139" s="171"/>
      <c r="L139" s="171" t="s">
        <v>56</v>
      </c>
      <c r="M139" s="171">
        <v>400</v>
      </c>
      <c r="N139" s="175">
        <v>0</v>
      </c>
      <c r="O139" s="171">
        <v>0</v>
      </c>
      <c r="P139" s="171">
        <v>0</v>
      </c>
      <c r="Q139" s="175">
        <v>0</v>
      </c>
      <c r="R139" s="6"/>
      <c r="S139" s="6"/>
      <c r="T139" s="6"/>
      <c r="U139" s="6"/>
      <c r="V139" s="6"/>
      <c r="W139" s="6"/>
      <c r="X139" s="6" t="s">
        <v>140</v>
      </c>
      <c r="Y139" s="6" t="s">
        <v>141</v>
      </c>
    </row>
    <row r="140" spans="1:25">
      <c r="A140" s="171">
        <v>19</v>
      </c>
      <c r="B140" s="174">
        <v>45047</v>
      </c>
      <c r="C140" s="174">
        <v>45051</v>
      </c>
      <c r="D140" s="174">
        <v>45050</v>
      </c>
      <c r="E140" s="171">
        <v>2023</v>
      </c>
      <c r="F140" s="171">
        <v>5</v>
      </c>
      <c r="G140" s="171">
        <v>4</v>
      </c>
      <c r="H140" s="131"/>
      <c r="I140" s="176"/>
      <c r="J140" s="176"/>
      <c r="K140" s="171"/>
      <c r="L140" s="171" t="s">
        <v>56</v>
      </c>
      <c r="M140" s="171">
        <v>250</v>
      </c>
      <c r="N140" s="175">
        <v>0</v>
      </c>
      <c r="O140" s="171">
        <v>0</v>
      </c>
      <c r="P140" s="171">
        <v>0</v>
      </c>
      <c r="Q140" s="175">
        <v>0</v>
      </c>
      <c r="R140" s="6"/>
      <c r="S140" s="6"/>
      <c r="T140" s="6"/>
      <c r="U140" s="6"/>
      <c r="V140" s="6"/>
      <c r="W140" s="6"/>
      <c r="X140" s="6" t="s">
        <v>140</v>
      </c>
      <c r="Y140" s="6" t="s">
        <v>141</v>
      </c>
    </row>
    <row r="141" spans="1:25">
      <c r="A141" s="171">
        <v>19</v>
      </c>
      <c r="B141" s="174">
        <v>45047</v>
      </c>
      <c r="C141" s="174">
        <v>45052</v>
      </c>
      <c r="D141" s="174">
        <v>45051</v>
      </c>
      <c r="E141" s="171">
        <v>2023</v>
      </c>
      <c r="F141" s="171">
        <v>5</v>
      </c>
      <c r="G141" s="171">
        <v>5</v>
      </c>
      <c r="H141" s="131"/>
      <c r="I141" s="176"/>
      <c r="J141" s="176"/>
      <c r="K141" s="171"/>
      <c r="L141" s="171" t="s">
        <v>56</v>
      </c>
      <c r="M141" s="171">
        <v>750</v>
      </c>
      <c r="N141" s="175">
        <v>0</v>
      </c>
      <c r="O141" s="171">
        <v>0</v>
      </c>
      <c r="P141" s="171">
        <v>0</v>
      </c>
      <c r="Q141" s="175">
        <v>0</v>
      </c>
      <c r="R141" s="6"/>
      <c r="S141" s="6"/>
      <c r="T141" s="6"/>
      <c r="U141" s="6"/>
      <c r="V141" s="6"/>
      <c r="W141" s="6"/>
      <c r="X141" s="6" t="s">
        <v>140</v>
      </c>
      <c r="Y141" s="6" t="s">
        <v>141</v>
      </c>
    </row>
    <row r="142" spans="1:25">
      <c r="A142" s="171">
        <v>19</v>
      </c>
      <c r="B142" s="174">
        <v>45047</v>
      </c>
      <c r="C142" s="174">
        <v>45052</v>
      </c>
      <c r="D142" s="174">
        <v>45051</v>
      </c>
      <c r="E142" s="171">
        <v>2023</v>
      </c>
      <c r="F142" s="171">
        <v>5</v>
      </c>
      <c r="G142" s="171">
        <v>5</v>
      </c>
      <c r="H142" s="131"/>
      <c r="I142" s="176"/>
      <c r="J142" s="176"/>
      <c r="K142" s="171"/>
      <c r="L142" s="171" t="s">
        <v>56</v>
      </c>
      <c r="M142" s="171">
        <v>270</v>
      </c>
      <c r="N142" s="175">
        <v>0</v>
      </c>
      <c r="O142" s="171">
        <v>0</v>
      </c>
      <c r="P142" s="171">
        <v>0</v>
      </c>
      <c r="Q142" s="175">
        <v>0</v>
      </c>
      <c r="R142" s="6"/>
      <c r="S142" s="6"/>
      <c r="T142" s="6"/>
      <c r="U142" s="6"/>
      <c r="V142" s="6"/>
      <c r="W142" s="6"/>
      <c r="X142" s="6" t="s">
        <v>140</v>
      </c>
      <c r="Y142" s="6" t="s">
        <v>141</v>
      </c>
    </row>
    <row r="143" spans="1:25">
      <c r="A143" s="171">
        <v>19</v>
      </c>
      <c r="B143" s="174">
        <v>45047</v>
      </c>
      <c r="C143" s="174">
        <v>45052</v>
      </c>
      <c r="D143" s="174">
        <v>45051</v>
      </c>
      <c r="E143" s="171">
        <v>2023</v>
      </c>
      <c r="F143" s="171">
        <v>5</v>
      </c>
      <c r="G143" s="171">
        <v>5</v>
      </c>
      <c r="H143" s="131"/>
      <c r="I143" s="176"/>
      <c r="J143" s="176"/>
      <c r="K143" s="171"/>
      <c r="L143" s="171" t="s">
        <v>56</v>
      </c>
      <c r="M143" s="171">
        <v>400</v>
      </c>
      <c r="N143" s="175">
        <v>200</v>
      </c>
      <c r="O143" s="171">
        <v>200</v>
      </c>
      <c r="P143" s="171">
        <v>0</v>
      </c>
      <c r="Q143" s="175">
        <v>200</v>
      </c>
      <c r="R143" s="6" t="s">
        <v>160</v>
      </c>
      <c r="S143" s="6" t="s">
        <v>162</v>
      </c>
      <c r="T143" s="6"/>
      <c r="U143" s="6" t="s">
        <v>162</v>
      </c>
      <c r="V143" s="6" t="s">
        <v>227</v>
      </c>
      <c r="W143" s="6"/>
      <c r="X143" s="6" t="s">
        <v>140</v>
      </c>
      <c r="Y143" s="6" t="s">
        <v>141</v>
      </c>
    </row>
    <row r="144" spans="1:25">
      <c r="A144" s="171">
        <v>19</v>
      </c>
      <c r="B144" s="174">
        <v>45047</v>
      </c>
      <c r="C144" s="174">
        <v>45052</v>
      </c>
      <c r="D144" s="174">
        <v>45051</v>
      </c>
      <c r="E144" s="171">
        <v>2023</v>
      </c>
      <c r="F144" s="171">
        <v>5</v>
      </c>
      <c r="G144" s="171">
        <v>5</v>
      </c>
      <c r="H144" s="131"/>
      <c r="I144" s="176"/>
      <c r="J144" s="176"/>
      <c r="K144" s="171"/>
      <c r="L144" s="171" t="s">
        <v>56</v>
      </c>
      <c r="M144" s="171">
        <v>500</v>
      </c>
      <c r="N144" s="175">
        <v>0</v>
      </c>
      <c r="O144" s="171">
        <v>0</v>
      </c>
      <c r="P144" s="171">
        <v>0</v>
      </c>
      <c r="Q144" s="175">
        <v>0</v>
      </c>
      <c r="R144" s="6"/>
      <c r="S144" s="6"/>
      <c r="T144" s="6"/>
      <c r="U144" s="6"/>
      <c r="V144" s="6"/>
      <c r="W144" s="6"/>
      <c r="X144" s="6" t="s">
        <v>140</v>
      </c>
      <c r="Y144" s="6" t="s">
        <v>141</v>
      </c>
    </row>
    <row r="145" spans="1:25">
      <c r="A145" s="171">
        <v>19</v>
      </c>
      <c r="B145" s="174">
        <v>45047</v>
      </c>
      <c r="C145" s="174">
        <v>45051</v>
      </c>
      <c r="D145" s="174">
        <v>45050</v>
      </c>
      <c r="E145" s="171">
        <v>2023</v>
      </c>
      <c r="F145" s="171">
        <v>5</v>
      </c>
      <c r="G145" s="171">
        <v>4</v>
      </c>
      <c r="H145" s="131"/>
      <c r="I145" s="176"/>
      <c r="J145" s="176"/>
      <c r="K145" s="171"/>
      <c r="L145" s="171" t="s">
        <v>56</v>
      </c>
      <c r="M145" s="171">
        <v>50</v>
      </c>
      <c r="N145" s="175">
        <v>0</v>
      </c>
      <c r="O145" s="171">
        <v>0</v>
      </c>
      <c r="P145" s="171">
        <v>0</v>
      </c>
      <c r="Q145" s="175">
        <v>0</v>
      </c>
      <c r="R145" s="6"/>
      <c r="S145" s="6"/>
      <c r="T145" s="6"/>
      <c r="U145" s="6"/>
      <c r="V145" s="6"/>
      <c r="W145" s="6"/>
      <c r="X145" s="6" t="s">
        <v>140</v>
      </c>
      <c r="Y145" s="6" t="s">
        <v>141</v>
      </c>
    </row>
    <row r="146" spans="1:25">
      <c r="A146" s="171">
        <v>19</v>
      </c>
      <c r="B146" s="174">
        <v>45047</v>
      </c>
      <c r="C146" s="174">
        <v>45052</v>
      </c>
      <c r="D146" s="174">
        <v>45051</v>
      </c>
      <c r="E146" s="171">
        <v>2023</v>
      </c>
      <c r="F146" s="171">
        <v>5</v>
      </c>
      <c r="G146" s="171">
        <v>5</v>
      </c>
      <c r="H146" s="131"/>
      <c r="I146" s="176"/>
      <c r="J146" s="176"/>
      <c r="K146" s="171"/>
      <c r="L146" s="171" t="s">
        <v>56</v>
      </c>
      <c r="M146" s="171">
        <v>1600</v>
      </c>
      <c r="N146" s="175">
        <v>0</v>
      </c>
      <c r="O146" s="171">
        <v>0</v>
      </c>
      <c r="P146" s="171">
        <v>0</v>
      </c>
      <c r="Q146" s="175">
        <v>0</v>
      </c>
      <c r="R146" s="6"/>
      <c r="S146" s="6"/>
      <c r="T146" s="6"/>
      <c r="U146" s="6"/>
      <c r="V146" s="6"/>
      <c r="W146" s="6"/>
      <c r="X146" s="6" t="s">
        <v>140</v>
      </c>
      <c r="Y146" s="6" t="s">
        <v>141</v>
      </c>
    </row>
    <row r="147" spans="1:25">
      <c r="A147" s="171">
        <v>19</v>
      </c>
      <c r="B147" s="174">
        <v>45047</v>
      </c>
      <c r="C147" s="174">
        <v>45052</v>
      </c>
      <c r="D147" s="174">
        <v>45051</v>
      </c>
      <c r="E147" s="171">
        <v>2023</v>
      </c>
      <c r="F147" s="171">
        <v>5</v>
      </c>
      <c r="G147" s="171">
        <v>5</v>
      </c>
      <c r="H147" s="131"/>
      <c r="I147" s="176"/>
      <c r="J147" s="176"/>
      <c r="K147" s="171"/>
      <c r="L147" s="171" t="s">
        <v>56</v>
      </c>
      <c r="M147" s="171">
        <v>1000</v>
      </c>
      <c r="N147" s="175">
        <v>500</v>
      </c>
      <c r="O147" s="171">
        <v>500</v>
      </c>
      <c r="P147" s="171">
        <v>0</v>
      </c>
      <c r="Q147" s="175">
        <v>500</v>
      </c>
      <c r="R147" s="6" t="s">
        <v>160</v>
      </c>
      <c r="S147" s="6" t="s">
        <v>162</v>
      </c>
      <c r="T147" s="6"/>
      <c r="U147" s="6" t="s">
        <v>162</v>
      </c>
      <c r="V147" s="6" t="s">
        <v>228</v>
      </c>
      <c r="W147" s="6"/>
      <c r="X147" s="6" t="s">
        <v>140</v>
      </c>
      <c r="Y147" s="6" t="s">
        <v>141</v>
      </c>
    </row>
    <row r="148" spans="1:25">
      <c r="A148" s="171">
        <v>19</v>
      </c>
      <c r="B148" s="174">
        <v>45047</v>
      </c>
      <c r="C148" s="174">
        <v>45052</v>
      </c>
      <c r="D148" s="174">
        <v>45051</v>
      </c>
      <c r="E148" s="171">
        <v>2023</v>
      </c>
      <c r="F148" s="171">
        <v>5</v>
      </c>
      <c r="G148" s="171">
        <v>5</v>
      </c>
      <c r="H148" s="131"/>
      <c r="I148" s="176"/>
      <c r="J148" s="176"/>
      <c r="K148" s="171"/>
      <c r="L148" s="171" t="s">
        <v>56</v>
      </c>
      <c r="M148" s="171">
        <v>1500</v>
      </c>
      <c r="N148" s="175">
        <v>0</v>
      </c>
      <c r="O148" s="171">
        <v>0</v>
      </c>
      <c r="P148" s="171">
        <v>0</v>
      </c>
      <c r="Q148" s="175">
        <v>0</v>
      </c>
      <c r="R148" s="6"/>
      <c r="S148" s="6"/>
      <c r="T148" s="6"/>
      <c r="U148" s="6"/>
      <c r="V148" s="6"/>
      <c r="W148" s="6"/>
      <c r="X148" s="6" t="s">
        <v>140</v>
      </c>
      <c r="Y148" s="6" t="s">
        <v>141</v>
      </c>
    </row>
    <row r="149" spans="1:25">
      <c r="A149" s="171">
        <v>19</v>
      </c>
      <c r="B149" s="174">
        <v>45047</v>
      </c>
      <c r="C149" s="174">
        <v>45051</v>
      </c>
      <c r="D149" s="174">
        <v>45050</v>
      </c>
      <c r="E149" s="171">
        <v>2023</v>
      </c>
      <c r="F149" s="171">
        <v>5</v>
      </c>
      <c r="G149" s="171">
        <v>4</v>
      </c>
      <c r="H149" s="131"/>
      <c r="I149" s="176"/>
      <c r="J149" s="176"/>
      <c r="K149" s="171"/>
      <c r="L149" s="171" t="s">
        <v>56</v>
      </c>
      <c r="M149" s="171">
        <v>200</v>
      </c>
      <c r="N149" s="175">
        <v>0</v>
      </c>
      <c r="O149" s="171">
        <v>0</v>
      </c>
      <c r="P149" s="171">
        <v>0</v>
      </c>
      <c r="Q149" s="175">
        <v>0</v>
      </c>
      <c r="R149" s="6"/>
      <c r="S149" s="6"/>
      <c r="T149" s="6"/>
      <c r="U149" s="6"/>
      <c r="V149" s="6"/>
      <c r="W149" s="6"/>
      <c r="X149" s="6" t="s">
        <v>140</v>
      </c>
      <c r="Y149" s="6" t="s">
        <v>141</v>
      </c>
    </row>
    <row r="150" spans="1:25">
      <c r="A150" s="171">
        <v>19</v>
      </c>
      <c r="B150" s="174">
        <v>45047</v>
      </c>
      <c r="C150" s="174">
        <v>45051</v>
      </c>
      <c r="D150" s="174">
        <v>45050</v>
      </c>
      <c r="E150" s="171">
        <v>2023</v>
      </c>
      <c r="F150" s="171">
        <v>5</v>
      </c>
      <c r="G150" s="171">
        <v>4</v>
      </c>
      <c r="H150" s="131"/>
      <c r="I150" s="176"/>
      <c r="J150" s="176"/>
      <c r="K150" s="171"/>
      <c r="L150" s="171" t="s">
        <v>56</v>
      </c>
      <c r="M150" s="171">
        <v>300</v>
      </c>
      <c r="N150" s="175">
        <v>0</v>
      </c>
      <c r="O150" s="171">
        <v>0</v>
      </c>
      <c r="P150" s="171">
        <v>0</v>
      </c>
      <c r="Q150" s="175">
        <v>0</v>
      </c>
      <c r="R150" s="6"/>
      <c r="S150" s="6"/>
      <c r="T150" s="6"/>
      <c r="U150" s="6"/>
      <c r="V150" s="6"/>
      <c r="W150" s="6"/>
      <c r="X150" s="6" t="s">
        <v>140</v>
      </c>
      <c r="Y150" s="6" t="s">
        <v>141</v>
      </c>
    </row>
    <row r="151" spans="1:25">
      <c r="A151" s="171">
        <v>19</v>
      </c>
      <c r="B151" s="174">
        <v>45047</v>
      </c>
      <c r="C151" s="174">
        <v>45052</v>
      </c>
      <c r="D151" s="174">
        <v>45051</v>
      </c>
      <c r="E151" s="171">
        <v>2023</v>
      </c>
      <c r="F151" s="171">
        <v>5</v>
      </c>
      <c r="G151" s="171">
        <v>5</v>
      </c>
      <c r="H151" s="131"/>
      <c r="I151" s="176"/>
      <c r="J151" s="176"/>
      <c r="K151" s="171"/>
      <c r="L151" s="171" t="s">
        <v>56</v>
      </c>
      <c r="M151" s="171">
        <v>600</v>
      </c>
      <c r="N151" s="175">
        <v>300</v>
      </c>
      <c r="O151" s="171">
        <v>300</v>
      </c>
      <c r="P151" s="171">
        <v>0</v>
      </c>
      <c r="Q151" s="175">
        <v>300</v>
      </c>
      <c r="R151" s="6" t="s">
        <v>160</v>
      </c>
      <c r="S151" s="6" t="s">
        <v>162</v>
      </c>
      <c r="T151" s="6"/>
      <c r="U151" s="6" t="s">
        <v>162</v>
      </c>
      <c r="V151" s="6" t="s">
        <v>227</v>
      </c>
      <c r="W151" s="6"/>
      <c r="X151" s="6" t="s">
        <v>140</v>
      </c>
      <c r="Y151" s="6" t="s">
        <v>141</v>
      </c>
    </row>
    <row r="152" spans="1:25">
      <c r="A152" s="171">
        <v>19</v>
      </c>
      <c r="B152" s="174">
        <v>45047</v>
      </c>
      <c r="C152" s="174">
        <v>45051</v>
      </c>
      <c r="D152" s="174">
        <v>45050</v>
      </c>
      <c r="E152" s="171">
        <v>2023</v>
      </c>
      <c r="F152" s="171">
        <v>5</v>
      </c>
      <c r="G152" s="171">
        <v>4</v>
      </c>
      <c r="H152" s="131"/>
      <c r="I152" s="176"/>
      <c r="J152" s="176"/>
      <c r="K152" s="171"/>
      <c r="L152" s="171" t="s">
        <v>56</v>
      </c>
      <c r="M152" s="171">
        <v>700</v>
      </c>
      <c r="N152" s="175">
        <v>0</v>
      </c>
      <c r="O152" s="171">
        <v>0</v>
      </c>
      <c r="P152" s="171">
        <v>0</v>
      </c>
      <c r="Q152" s="175">
        <v>0</v>
      </c>
      <c r="R152" s="6"/>
      <c r="S152" s="6"/>
      <c r="T152" s="6"/>
      <c r="U152" s="6"/>
      <c r="V152" s="6"/>
      <c r="W152" s="6"/>
      <c r="X152" s="6" t="s">
        <v>140</v>
      </c>
      <c r="Y152" s="6" t="s">
        <v>141</v>
      </c>
    </row>
    <row r="153" spans="1:25">
      <c r="A153" s="171">
        <v>19</v>
      </c>
      <c r="B153" s="174">
        <v>45047</v>
      </c>
      <c r="C153" s="174">
        <v>45051</v>
      </c>
      <c r="D153" s="174">
        <v>45050</v>
      </c>
      <c r="E153" s="171">
        <v>2023</v>
      </c>
      <c r="F153" s="171">
        <v>5</v>
      </c>
      <c r="G153" s="171">
        <v>4</v>
      </c>
      <c r="H153" s="131"/>
      <c r="I153" s="176"/>
      <c r="J153" s="176"/>
      <c r="K153" s="171"/>
      <c r="L153" s="171" t="s">
        <v>56</v>
      </c>
      <c r="M153" s="171">
        <v>2400</v>
      </c>
      <c r="N153" s="175">
        <v>0</v>
      </c>
      <c r="O153" s="171">
        <v>0</v>
      </c>
      <c r="P153" s="171">
        <v>0</v>
      </c>
      <c r="Q153" s="175">
        <v>0</v>
      </c>
      <c r="R153" s="6"/>
      <c r="S153" s="6"/>
      <c r="T153" s="6"/>
      <c r="U153" s="6"/>
      <c r="V153" s="6"/>
      <c r="W153" s="6"/>
      <c r="X153" s="6" t="s">
        <v>140</v>
      </c>
      <c r="Y153" s="6" t="s">
        <v>141</v>
      </c>
    </row>
    <row r="154" spans="1:25">
      <c r="A154" s="171">
        <v>20</v>
      </c>
      <c r="B154" s="174">
        <v>45047</v>
      </c>
      <c r="C154" s="174">
        <v>45057</v>
      </c>
      <c r="D154" s="174">
        <v>45055</v>
      </c>
      <c r="E154" s="171">
        <v>2023</v>
      </c>
      <c r="F154" s="171">
        <v>5</v>
      </c>
      <c r="G154" s="171">
        <v>9</v>
      </c>
      <c r="H154" s="131"/>
      <c r="I154" s="176"/>
      <c r="J154" s="176"/>
      <c r="K154" s="171"/>
      <c r="L154" s="171" t="s">
        <v>56</v>
      </c>
      <c r="M154" s="171">
        <v>390</v>
      </c>
      <c r="N154" s="175">
        <v>0</v>
      </c>
      <c r="O154" s="171">
        <v>0</v>
      </c>
      <c r="P154" s="171">
        <v>0</v>
      </c>
      <c r="Q154" s="175">
        <v>0</v>
      </c>
      <c r="R154" s="6"/>
      <c r="S154" s="6"/>
      <c r="T154" s="6"/>
      <c r="U154" s="6"/>
      <c r="V154" s="6"/>
      <c r="W154" s="6"/>
      <c r="X154" s="6" t="s">
        <v>242</v>
      </c>
      <c r="Y154" s="6" t="s">
        <v>141</v>
      </c>
    </row>
    <row r="155" spans="1:25">
      <c r="A155" s="171">
        <v>20</v>
      </c>
      <c r="B155" s="174">
        <v>45047</v>
      </c>
      <c r="C155" s="174">
        <v>45057</v>
      </c>
      <c r="D155" s="174">
        <v>45056</v>
      </c>
      <c r="E155" s="171">
        <v>2023</v>
      </c>
      <c r="F155" s="171">
        <v>5</v>
      </c>
      <c r="G155" s="171">
        <v>10</v>
      </c>
      <c r="H155" s="131"/>
      <c r="I155" s="176"/>
      <c r="J155" s="176"/>
      <c r="K155" s="171"/>
      <c r="L155" s="171" t="s">
        <v>56</v>
      </c>
      <c r="M155" s="171"/>
      <c r="N155" s="175">
        <v>0</v>
      </c>
      <c r="O155" s="171">
        <v>3</v>
      </c>
      <c r="P155" s="171">
        <v>0</v>
      </c>
      <c r="Q155" s="175">
        <v>0</v>
      </c>
      <c r="R155" s="6" t="s">
        <v>160</v>
      </c>
      <c r="S155" s="6" t="s">
        <v>158</v>
      </c>
      <c r="T155" s="6" t="s">
        <v>314</v>
      </c>
      <c r="U155" s="6" t="s">
        <v>190</v>
      </c>
      <c r="V155" s="6" t="s">
        <v>271</v>
      </c>
      <c r="W155" s="6"/>
      <c r="X155" s="6" t="s">
        <v>242</v>
      </c>
      <c r="Y155" s="6" t="s">
        <v>141</v>
      </c>
    </row>
    <row r="156" spans="1:25">
      <c r="A156" s="171">
        <v>20</v>
      </c>
      <c r="B156" s="174">
        <v>45047</v>
      </c>
      <c r="C156" s="174">
        <v>45057</v>
      </c>
      <c r="D156" s="174">
        <v>45056</v>
      </c>
      <c r="E156" s="171">
        <v>2023</v>
      </c>
      <c r="F156" s="171">
        <v>5</v>
      </c>
      <c r="G156" s="171">
        <v>10</v>
      </c>
      <c r="H156" s="131"/>
      <c r="I156" s="176"/>
      <c r="J156" s="176"/>
      <c r="K156" s="171"/>
      <c r="L156" s="171" t="s">
        <v>56</v>
      </c>
      <c r="M156" s="171">
        <v>278</v>
      </c>
      <c r="N156" s="175">
        <v>8</v>
      </c>
      <c r="O156" s="171">
        <v>4</v>
      </c>
      <c r="P156" s="171">
        <v>4</v>
      </c>
      <c r="Q156" s="175">
        <v>4</v>
      </c>
      <c r="R156" s="6" t="s">
        <v>157</v>
      </c>
      <c r="S156" s="6" t="s">
        <v>158</v>
      </c>
      <c r="T156" s="6" t="s">
        <v>166</v>
      </c>
      <c r="U156" s="6" t="s">
        <v>229</v>
      </c>
      <c r="V156" s="6" t="s">
        <v>270</v>
      </c>
      <c r="W156" s="6"/>
      <c r="X156" s="6" t="s">
        <v>242</v>
      </c>
      <c r="Y156" s="6" t="s">
        <v>141</v>
      </c>
    </row>
    <row r="157" spans="1:25">
      <c r="A157" s="171">
        <v>20</v>
      </c>
      <c r="B157" s="174">
        <v>45047</v>
      </c>
      <c r="C157" s="174">
        <v>45058</v>
      </c>
      <c r="D157" s="174">
        <v>45057</v>
      </c>
      <c r="E157" s="171">
        <v>2023</v>
      </c>
      <c r="F157" s="171">
        <v>5</v>
      </c>
      <c r="G157" s="171">
        <v>11</v>
      </c>
      <c r="H157" s="131"/>
      <c r="I157" s="176"/>
      <c r="J157" s="176"/>
      <c r="K157" s="171"/>
      <c r="L157" s="171" t="s">
        <v>56</v>
      </c>
      <c r="M157" s="171"/>
      <c r="N157" s="175">
        <v>0</v>
      </c>
      <c r="O157" s="171">
        <v>1</v>
      </c>
      <c r="P157" s="171">
        <v>0</v>
      </c>
      <c r="Q157" s="175">
        <v>0</v>
      </c>
      <c r="R157" s="6" t="s">
        <v>157</v>
      </c>
      <c r="S157" s="6" t="s">
        <v>162</v>
      </c>
      <c r="T157" s="6" t="s">
        <v>166</v>
      </c>
      <c r="U157" s="6" t="s">
        <v>162</v>
      </c>
      <c r="V157" s="6" t="s">
        <v>277</v>
      </c>
      <c r="W157" s="6"/>
      <c r="X157" s="6" t="s">
        <v>242</v>
      </c>
      <c r="Y157" s="6" t="s">
        <v>141</v>
      </c>
    </row>
    <row r="158" spans="1:25">
      <c r="A158" s="171">
        <v>20</v>
      </c>
      <c r="B158" s="174">
        <v>45047</v>
      </c>
      <c r="C158" s="174">
        <v>45058</v>
      </c>
      <c r="D158" s="174">
        <v>45057</v>
      </c>
      <c r="E158" s="171">
        <v>2023</v>
      </c>
      <c r="F158" s="171">
        <v>5</v>
      </c>
      <c r="G158" s="171">
        <v>11</v>
      </c>
      <c r="H158" s="131"/>
      <c r="I158" s="176"/>
      <c r="J158" s="176"/>
      <c r="K158" s="171"/>
      <c r="L158" s="171" t="s">
        <v>56</v>
      </c>
      <c r="M158" s="171">
        <v>1008</v>
      </c>
      <c r="N158" s="175">
        <v>8</v>
      </c>
      <c r="O158" s="171">
        <v>7</v>
      </c>
      <c r="P158" s="171">
        <v>8</v>
      </c>
      <c r="Q158" s="175">
        <v>0</v>
      </c>
      <c r="R158" s="6" t="s">
        <v>157</v>
      </c>
      <c r="S158" s="6" t="s">
        <v>158</v>
      </c>
      <c r="T158" s="6" t="s">
        <v>166</v>
      </c>
      <c r="U158" s="6" t="s">
        <v>239</v>
      </c>
      <c r="V158" s="6"/>
      <c r="W158" s="6"/>
      <c r="X158" s="6" t="s">
        <v>242</v>
      </c>
      <c r="Y158" s="6" t="s">
        <v>141</v>
      </c>
    </row>
    <row r="159" spans="1:25">
      <c r="A159" s="171">
        <v>20</v>
      </c>
      <c r="B159" s="174">
        <v>45047</v>
      </c>
      <c r="C159" s="174">
        <v>45057</v>
      </c>
      <c r="D159" s="174">
        <v>45056</v>
      </c>
      <c r="E159" s="171">
        <v>2023</v>
      </c>
      <c r="F159" s="171">
        <v>5</v>
      </c>
      <c r="G159" s="171">
        <v>10</v>
      </c>
      <c r="H159" s="131"/>
      <c r="I159" s="176"/>
      <c r="J159" s="176"/>
      <c r="K159" s="171"/>
      <c r="L159" s="171" t="s">
        <v>56</v>
      </c>
      <c r="M159" s="171"/>
      <c r="N159" s="175">
        <v>0</v>
      </c>
      <c r="O159" s="171">
        <v>3</v>
      </c>
      <c r="P159" s="171">
        <v>0</v>
      </c>
      <c r="Q159" s="175">
        <v>0</v>
      </c>
      <c r="R159" s="6" t="s">
        <v>157</v>
      </c>
      <c r="S159" s="6" t="s">
        <v>162</v>
      </c>
      <c r="T159" s="6" t="s">
        <v>166</v>
      </c>
      <c r="U159" s="6" t="s">
        <v>162</v>
      </c>
      <c r="V159" s="6" t="s">
        <v>276</v>
      </c>
      <c r="W159" s="6"/>
      <c r="X159" s="6" t="s">
        <v>242</v>
      </c>
      <c r="Y159" s="6" t="s">
        <v>141</v>
      </c>
    </row>
    <row r="160" spans="1:25">
      <c r="A160" s="171">
        <v>20</v>
      </c>
      <c r="B160" s="174">
        <v>45047</v>
      </c>
      <c r="C160" s="174">
        <v>45055</v>
      </c>
      <c r="D160" s="174">
        <v>45054</v>
      </c>
      <c r="E160" s="171">
        <v>2023</v>
      </c>
      <c r="F160" s="171">
        <v>5</v>
      </c>
      <c r="G160" s="171">
        <v>8</v>
      </c>
      <c r="H160" s="131"/>
      <c r="I160" s="176"/>
      <c r="J160" s="176"/>
      <c r="K160" s="171"/>
      <c r="L160" s="171" t="s">
        <v>56</v>
      </c>
      <c r="M160" s="171">
        <v>1000</v>
      </c>
      <c r="N160" s="175">
        <v>0</v>
      </c>
      <c r="O160" s="171">
        <v>0</v>
      </c>
      <c r="P160" s="171">
        <v>0</v>
      </c>
      <c r="Q160" s="175">
        <v>0</v>
      </c>
      <c r="R160" s="6"/>
      <c r="S160" s="6"/>
      <c r="T160" s="6"/>
      <c r="U160" s="6"/>
      <c r="V160" s="6"/>
      <c r="W160" s="6"/>
      <c r="X160" s="6" t="s">
        <v>242</v>
      </c>
      <c r="Y160" s="6" t="s">
        <v>141</v>
      </c>
    </row>
    <row r="161" spans="1:25">
      <c r="A161" s="171">
        <v>20</v>
      </c>
      <c r="B161" s="174">
        <v>45047</v>
      </c>
      <c r="C161" s="174">
        <v>45056</v>
      </c>
      <c r="D161" s="174">
        <v>45055</v>
      </c>
      <c r="E161" s="171">
        <v>2023</v>
      </c>
      <c r="F161" s="171">
        <v>5</v>
      </c>
      <c r="G161" s="171">
        <v>9</v>
      </c>
      <c r="H161" s="131"/>
      <c r="I161" s="176"/>
      <c r="J161" s="176"/>
      <c r="K161" s="171"/>
      <c r="L161" s="171" t="s">
        <v>56</v>
      </c>
      <c r="M161" s="171">
        <v>5458</v>
      </c>
      <c r="N161" s="175">
        <v>8</v>
      </c>
      <c r="O161" s="171">
        <v>8</v>
      </c>
      <c r="P161" s="171">
        <v>8</v>
      </c>
      <c r="Q161" s="175">
        <v>0</v>
      </c>
      <c r="R161" s="6" t="s">
        <v>157</v>
      </c>
      <c r="S161" s="6" t="s">
        <v>158</v>
      </c>
      <c r="T161" s="6" t="s">
        <v>166</v>
      </c>
      <c r="U161" s="6" t="s">
        <v>229</v>
      </c>
      <c r="V161" s="6" t="s">
        <v>258</v>
      </c>
      <c r="W161" s="6"/>
      <c r="X161" s="6" t="s">
        <v>242</v>
      </c>
      <c r="Y161" s="6" t="s">
        <v>141</v>
      </c>
    </row>
    <row r="162" spans="1:25">
      <c r="A162" s="171">
        <v>20</v>
      </c>
      <c r="B162" s="174">
        <v>45047</v>
      </c>
      <c r="C162" s="174">
        <v>45061</v>
      </c>
      <c r="D162" s="174">
        <v>45058</v>
      </c>
      <c r="E162" s="171">
        <v>2023</v>
      </c>
      <c r="F162" s="171">
        <v>5</v>
      </c>
      <c r="G162" s="171">
        <v>12</v>
      </c>
      <c r="H162" s="131"/>
      <c r="I162" s="176"/>
      <c r="J162" s="176"/>
      <c r="K162" s="171"/>
      <c r="L162" s="171" t="s">
        <v>56</v>
      </c>
      <c r="M162" s="171">
        <v>720</v>
      </c>
      <c r="N162" s="175">
        <v>0</v>
      </c>
      <c r="O162" s="171">
        <v>0</v>
      </c>
      <c r="P162" s="171">
        <v>0</v>
      </c>
      <c r="Q162" s="175">
        <v>0</v>
      </c>
      <c r="R162" s="6"/>
      <c r="S162" s="6"/>
      <c r="T162" s="6"/>
      <c r="U162" s="6"/>
      <c r="V162" s="6"/>
      <c r="W162" s="6"/>
      <c r="X162" s="6" t="s">
        <v>242</v>
      </c>
      <c r="Y162" s="6" t="s">
        <v>141</v>
      </c>
    </row>
    <row r="163" spans="1:25">
      <c r="A163" s="171">
        <v>20</v>
      </c>
      <c r="B163" s="174">
        <v>45047</v>
      </c>
      <c r="C163" s="174">
        <v>45061</v>
      </c>
      <c r="D163" s="174">
        <v>45059</v>
      </c>
      <c r="E163" s="171">
        <v>2023</v>
      </c>
      <c r="F163" s="171">
        <v>5</v>
      </c>
      <c r="G163" s="171">
        <v>13</v>
      </c>
      <c r="H163" s="131"/>
      <c r="I163" s="176"/>
      <c r="J163" s="176"/>
      <c r="K163" s="171"/>
      <c r="L163" s="171" t="s">
        <v>56</v>
      </c>
      <c r="M163" s="171">
        <v>381</v>
      </c>
      <c r="N163" s="175">
        <v>1</v>
      </c>
      <c r="O163" s="171">
        <v>1</v>
      </c>
      <c r="P163" s="171">
        <v>0</v>
      </c>
      <c r="Q163" s="175">
        <v>1</v>
      </c>
      <c r="R163" s="6" t="s">
        <v>160</v>
      </c>
      <c r="S163" s="6" t="s">
        <v>205</v>
      </c>
      <c r="T163" s="6" t="s">
        <v>314</v>
      </c>
      <c r="U163" s="6" t="s">
        <v>184</v>
      </c>
      <c r="V163" s="6"/>
      <c r="W163" s="6"/>
      <c r="X163" s="6" t="s">
        <v>242</v>
      </c>
      <c r="Y163" s="6" t="s">
        <v>141</v>
      </c>
    </row>
    <row r="164" spans="1:25">
      <c r="A164" s="171">
        <v>20</v>
      </c>
      <c r="B164" s="174">
        <v>45047</v>
      </c>
      <c r="C164" s="174">
        <v>45058</v>
      </c>
      <c r="D164" s="174">
        <v>45057</v>
      </c>
      <c r="E164" s="171">
        <v>2023</v>
      </c>
      <c r="F164" s="171">
        <v>5</v>
      </c>
      <c r="G164" s="171">
        <v>11</v>
      </c>
      <c r="H164" s="131"/>
      <c r="I164" s="176"/>
      <c r="J164" s="176"/>
      <c r="K164" s="171"/>
      <c r="L164" s="171" t="s">
        <v>56</v>
      </c>
      <c r="M164" s="171">
        <v>350</v>
      </c>
      <c r="N164" s="175">
        <v>0</v>
      </c>
      <c r="O164" s="171">
        <v>0</v>
      </c>
      <c r="P164" s="171">
        <v>0</v>
      </c>
      <c r="Q164" s="175">
        <v>0</v>
      </c>
      <c r="R164" s="6"/>
      <c r="S164" s="6"/>
      <c r="T164" s="6"/>
      <c r="U164" s="6"/>
      <c r="V164" s="6"/>
      <c r="W164" s="6"/>
      <c r="X164" s="6" t="s">
        <v>242</v>
      </c>
      <c r="Y164" s="6" t="s">
        <v>141</v>
      </c>
    </row>
    <row r="165" spans="1:25">
      <c r="A165" s="171">
        <v>20</v>
      </c>
      <c r="B165" s="174">
        <v>45047</v>
      </c>
      <c r="C165" s="174">
        <v>45057</v>
      </c>
      <c r="D165" s="174">
        <v>45056</v>
      </c>
      <c r="E165" s="171">
        <v>2023</v>
      </c>
      <c r="F165" s="171">
        <v>5</v>
      </c>
      <c r="G165" s="171">
        <v>10</v>
      </c>
      <c r="H165" s="131"/>
      <c r="I165" s="176"/>
      <c r="J165" s="176"/>
      <c r="K165" s="171"/>
      <c r="L165" s="171" t="s">
        <v>56</v>
      </c>
      <c r="M165" s="171"/>
      <c r="N165" s="175">
        <v>0</v>
      </c>
      <c r="O165" s="171">
        <v>1</v>
      </c>
      <c r="P165" s="171">
        <v>0</v>
      </c>
      <c r="Q165" s="175">
        <v>0</v>
      </c>
      <c r="R165" s="6" t="s">
        <v>160</v>
      </c>
      <c r="S165" s="6" t="s">
        <v>158</v>
      </c>
      <c r="T165" s="6"/>
      <c r="U165" s="6" t="s">
        <v>162</v>
      </c>
      <c r="V165" s="6" t="s">
        <v>272</v>
      </c>
      <c r="W165" s="6"/>
      <c r="X165" s="6" t="s">
        <v>242</v>
      </c>
      <c r="Y165" s="6" t="s">
        <v>141</v>
      </c>
    </row>
    <row r="166" spans="1:25">
      <c r="A166" s="171">
        <v>20</v>
      </c>
      <c r="B166" s="174">
        <v>45047</v>
      </c>
      <c r="C166" s="174">
        <v>45057</v>
      </c>
      <c r="D166" s="174">
        <v>45056</v>
      </c>
      <c r="E166" s="171">
        <v>2023</v>
      </c>
      <c r="F166" s="171">
        <v>5</v>
      </c>
      <c r="G166" s="171">
        <v>10</v>
      </c>
      <c r="H166" s="131"/>
      <c r="I166" s="176"/>
      <c r="J166" s="176"/>
      <c r="K166" s="171"/>
      <c r="L166" s="171" t="s">
        <v>56</v>
      </c>
      <c r="M166" s="171">
        <v>606</v>
      </c>
      <c r="N166" s="175">
        <v>6</v>
      </c>
      <c r="O166" s="171">
        <v>3</v>
      </c>
      <c r="P166" s="171">
        <v>6</v>
      </c>
      <c r="Q166" s="175">
        <v>0</v>
      </c>
      <c r="R166" s="6" t="s">
        <v>157</v>
      </c>
      <c r="S166" s="6" t="s">
        <v>158</v>
      </c>
      <c r="T166" s="6" t="s">
        <v>166</v>
      </c>
      <c r="U166" s="6" t="s">
        <v>239</v>
      </c>
      <c r="V166" s="6" t="s">
        <v>275</v>
      </c>
      <c r="W166" s="6"/>
      <c r="X166" s="6" t="s">
        <v>242</v>
      </c>
      <c r="Y166" s="6" t="s">
        <v>141</v>
      </c>
    </row>
    <row r="167" spans="1:25">
      <c r="A167" s="171">
        <v>20</v>
      </c>
      <c r="B167" s="174">
        <v>45047</v>
      </c>
      <c r="C167" s="174">
        <v>45056</v>
      </c>
      <c r="D167" s="174">
        <v>45055</v>
      </c>
      <c r="E167" s="171">
        <v>2023</v>
      </c>
      <c r="F167" s="171">
        <v>5</v>
      </c>
      <c r="G167" s="171">
        <v>9</v>
      </c>
      <c r="H167" s="131"/>
      <c r="I167" s="176"/>
      <c r="J167" s="176"/>
      <c r="K167" s="171"/>
      <c r="L167" s="171" t="s">
        <v>56</v>
      </c>
      <c r="M167" s="171">
        <v>380</v>
      </c>
      <c r="N167" s="175">
        <v>0</v>
      </c>
      <c r="O167" s="171">
        <v>0</v>
      </c>
      <c r="P167" s="171">
        <v>0</v>
      </c>
      <c r="Q167" s="175">
        <v>0</v>
      </c>
      <c r="R167" s="6"/>
      <c r="S167" s="6"/>
      <c r="T167" s="6"/>
      <c r="U167" s="6"/>
      <c r="V167" s="6"/>
      <c r="W167" s="6"/>
      <c r="X167" s="6" t="s">
        <v>242</v>
      </c>
      <c r="Y167" s="6" t="s">
        <v>141</v>
      </c>
    </row>
    <row r="168" spans="1:25">
      <c r="A168" s="171">
        <v>20</v>
      </c>
      <c r="B168" s="174">
        <v>45047</v>
      </c>
      <c r="C168" s="174">
        <v>45055</v>
      </c>
      <c r="D168" s="174">
        <v>45054</v>
      </c>
      <c r="E168" s="171">
        <v>2023</v>
      </c>
      <c r="F168" s="171">
        <v>5</v>
      </c>
      <c r="G168" s="171">
        <v>8</v>
      </c>
      <c r="H168" s="131"/>
      <c r="I168" s="176"/>
      <c r="J168" s="176"/>
      <c r="K168" s="171"/>
      <c r="L168" s="171" t="s">
        <v>56</v>
      </c>
      <c r="M168" s="171">
        <v>700</v>
      </c>
      <c r="N168" s="175">
        <v>0</v>
      </c>
      <c r="O168" s="171">
        <v>0</v>
      </c>
      <c r="P168" s="171">
        <v>0</v>
      </c>
      <c r="Q168" s="175">
        <v>0</v>
      </c>
      <c r="R168" s="6"/>
      <c r="S168" s="6"/>
      <c r="T168" s="6"/>
      <c r="U168" s="6"/>
      <c r="V168" s="6"/>
      <c r="W168" s="6"/>
      <c r="X168" s="6" t="s">
        <v>242</v>
      </c>
      <c r="Y168" s="6" t="s">
        <v>141</v>
      </c>
    </row>
    <row r="169" spans="1:25">
      <c r="A169" s="171">
        <v>20</v>
      </c>
      <c r="B169" s="174">
        <v>45047</v>
      </c>
      <c r="C169" s="174">
        <v>45056</v>
      </c>
      <c r="D169" s="174">
        <v>45055</v>
      </c>
      <c r="E169" s="171">
        <v>2023</v>
      </c>
      <c r="F169" s="171">
        <v>5</v>
      </c>
      <c r="G169" s="171">
        <v>9</v>
      </c>
      <c r="H169" s="131"/>
      <c r="I169" s="176"/>
      <c r="J169" s="176"/>
      <c r="K169" s="171" t="s">
        <v>199</v>
      </c>
      <c r="L169" s="171" t="s">
        <v>56</v>
      </c>
      <c r="M169" s="171">
        <v>240</v>
      </c>
      <c r="N169" s="175">
        <v>1</v>
      </c>
      <c r="O169" s="171">
        <v>0</v>
      </c>
      <c r="P169" s="171">
        <v>0</v>
      </c>
      <c r="Q169" s="175">
        <v>1</v>
      </c>
      <c r="R169" s="6" t="s">
        <v>160</v>
      </c>
      <c r="S169" s="6" t="s">
        <v>256</v>
      </c>
      <c r="T169" s="6" t="s">
        <v>314</v>
      </c>
      <c r="U169" s="6" t="s">
        <v>240</v>
      </c>
      <c r="V169" s="6" t="s">
        <v>304</v>
      </c>
      <c r="W169" s="6"/>
      <c r="X169" s="6" t="s">
        <v>242</v>
      </c>
      <c r="Y169" s="6" t="s">
        <v>141</v>
      </c>
    </row>
    <row r="170" spans="1:25">
      <c r="A170" s="171">
        <v>20</v>
      </c>
      <c r="B170" s="174">
        <v>45047</v>
      </c>
      <c r="C170" s="174">
        <v>45056</v>
      </c>
      <c r="D170" s="174">
        <v>45055</v>
      </c>
      <c r="E170" s="171">
        <v>2023</v>
      </c>
      <c r="F170" s="171">
        <v>5</v>
      </c>
      <c r="G170" s="171">
        <v>9</v>
      </c>
      <c r="H170" s="131"/>
      <c r="I170" s="176"/>
      <c r="J170" s="176"/>
      <c r="K170" s="171" t="s">
        <v>199</v>
      </c>
      <c r="L170" s="171" t="s">
        <v>56</v>
      </c>
      <c r="M170" s="171"/>
      <c r="N170" s="175">
        <v>0</v>
      </c>
      <c r="O170" s="171">
        <v>1</v>
      </c>
      <c r="P170" s="171">
        <v>0</v>
      </c>
      <c r="Q170" s="175">
        <v>0</v>
      </c>
      <c r="R170" s="6" t="s">
        <v>160</v>
      </c>
      <c r="S170" s="6" t="s">
        <v>162</v>
      </c>
      <c r="T170" s="6"/>
      <c r="U170" s="6" t="s">
        <v>162</v>
      </c>
      <c r="V170" s="6" t="s">
        <v>257</v>
      </c>
      <c r="W170" s="6"/>
      <c r="X170" s="6" t="s">
        <v>242</v>
      </c>
      <c r="Y170" s="6" t="s">
        <v>141</v>
      </c>
    </row>
    <row r="171" spans="1:25">
      <c r="A171" s="171">
        <v>20</v>
      </c>
      <c r="B171" s="174">
        <v>45047</v>
      </c>
      <c r="C171" s="174">
        <v>45056</v>
      </c>
      <c r="D171" s="174">
        <v>45055</v>
      </c>
      <c r="E171" s="171">
        <v>2023</v>
      </c>
      <c r="F171" s="171">
        <v>5</v>
      </c>
      <c r="G171" s="171">
        <v>9</v>
      </c>
      <c r="H171" s="131"/>
      <c r="I171" s="176"/>
      <c r="J171" s="176"/>
      <c r="K171" s="171" t="s">
        <v>199</v>
      </c>
      <c r="L171" s="171" t="s">
        <v>56</v>
      </c>
      <c r="M171" s="171">
        <v>310</v>
      </c>
      <c r="N171" s="175">
        <v>0</v>
      </c>
      <c r="O171" s="171">
        <v>0</v>
      </c>
      <c r="P171" s="171">
        <v>0</v>
      </c>
      <c r="Q171" s="175">
        <v>0</v>
      </c>
      <c r="R171" s="6" t="s">
        <v>160</v>
      </c>
      <c r="S171" s="6" t="s">
        <v>256</v>
      </c>
      <c r="T171" s="6" t="s">
        <v>314</v>
      </c>
      <c r="U171" s="6" t="s">
        <v>240</v>
      </c>
      <c r="V171" s="6" t="s">
        <v>303</v>
      </c>
      <c r="W171" s="6"/>
      <c r="X171" s="6" t="s">
        <v>242</v>
      </c>
      <c r="Y171" s="6" t="s">
        <v>141</v>
      </c>
    </row>
    <row r="172" spans="1:25">
      <c r="A172" s="171">
        <v>20</v>
      </c>
      <c r="B172" s="174">
        <v>45047</v>
      </c>
      <c r="C172" s="174">
        <v>45055</v>
      </c>
      <c r="D172" s="174">
        <v>45054</v>
      </c>
      <c r="E172" s="171">
        <v>2023</v>
      </c>
      <c r="F172" s="171">
        <v>5</v>
      </c>
      <c r="G172" s="171">
        <v>8</v>
      </c>
      <c r="H172" s="131"/>
      <c r="I172" s="176"/>
      <c r="J172" s="176"/>
      <c r="K172" s="171" t="s">
        <v>199</v>
      </c>
      <c r="L172" s="171" t="s">
        <v>56</v>
      </c>
      <c r="M172" s="171">
        <v>184</v>
      </c>
      <c r="N172" s="175">
        <v>0</v>
      </c>
      <c r="O172" s="171">
        <v>0</v>
      </c>
      <c r="P172" s="171">
        <v>0</v>
      </c>
      <c r="Q172" s="175">
        <v>0</v>
      </c>
      <c r="R172" s="6" t="s">
        <v>160</v>
      </c>
      <c r="S172" s="6" t="s">
        <v>162</v>
      </c>
      <c r="T172" s="6" t="s">
        <v>314</v>
      </c>
      <c r="U172" s="6" t="s">
        <v>240</v>
      </c>
      <c r="V172" s="6" t="s">
        <v>250</v>
      </c>
      <c r="W172" s="6" t="s">
        <v>246</v>
      </c>
      <c r="X172" s="6" t="s">
        <v>242</v>
      </c>
      <c r="Y172" s="6" t="s">
        <v>141</v>
      </c>
    </row>
    <row r="173" spans="1:25">
      <c r="A173" s="171">
        <v>20</v>
      </c>
      <c r="B173" s="174">
        <v>45047</v>
      </c>
      <c r="C173" s="174">
        <v>45056</v>
      </c>
      <c r="D173" s="174">
        <v>45055</v>
      </c>
      <c r="E173" s="171">
        <v>2023</v>
      </c>
      <c r="F173" s="171">
        <v>5</v>
      </c>
      <c r="G173" s="171">
        <v>9</v>
      </c>
      <c r="H173" s="131"/>
      <c r="I173" s="176"/>
      <c r="J173" s="176"/>
      <c r="K173" s="171" t="s">
        <v>199</v>
      </c>
      <c r="L173" s="171" t="s">
        <v>56</v>
      </c>
      <c r="M173" s="171">
        <v>240</v>
      </c>
      <c r="N173" s="175">
        <v>0</v>
      </c>
      <c r="O173" s="171">
        <v>0</v>
      </c>
      <c r="P173" s="171">
        <v>0</v>
      </c>
      <c r="Q173" s="175">
        <v>0</v>
      </c>
      <c r="R173" s="6" t="s">
        <v>160</v>
      </c>
      <c r="S173" s="6" t="s">
        <v>256</v>
      </c>
      <c r="T173" s="6" t="s">
        <v>314</v>
      </c>
      <c r="U173" s="6" t="s">
        <v>240</v>
      </c>
      <c r="V173" s="6" t="s">
        <v>303</v>
      </c>
      <c r="W173" s="6"/>
      <c r="X173" s="6" t="s">
        <v>242</v>
      </c>
      <c r="Y173" s="6" t="s">
        <v>141</v>
      </c>
    </row>
    <row r="174" spans="1:25">
      <c r="A174" s="171">
        <v>20</v>
      </c>
      <c r="B174" s="174">
        <v>45047</v>
      </c>
      <c r="C174" s="174">
        <v>45056</v>
      </c>
      <c r="D174" s="174">
        <v>45055</v>
      </c>
      <c r="E174" s="171">
        <v>2023</v>
      </c>
      <c r="F174" s="171">
        <v>5</v>
      </c>
      <c r="G174" s="171">
        <v>9</v>
      </c>
      <c r="H174" s="131"/>
      <c r="I174" s="176"/>
      <c r="J174" s="176"/>
      <c r="K174" s="171" t="s">
        <v>199</v>
      </c>
      <c r="L174" s="171" t="s">
        <v>56</v>
      </c>
      <c r="M174" s="171">
        <v>250</v>
      </c>
      <c r="N174" s="175">
        <v>0</v>
      </c>
      <c r="O174" s="171">
        <v>0</v>
      </c>
      <c r="P174" s="171">
        <v>0</v>
      </c>
      <c r="Q174" s="175">
        <v>0</v>
      </c>
      <c r="R174" s="6" t="s">
        <v>160</v>
      </c>
      <c r="S174" s="6" t="s">
        <v>256</v>
      </c>
      <c r="T174" s="6" t="s">
        <v>314</v>
      </c>
      <c r="U174" s="6" t="s">
        <v>240</v>
      </c>
      <c r="V174" s="6" t="s">
        <v>303</v>
      </c>
      <c r="W174" s="6"/>
      <c r="X174" s="6" t="s">
        <v>242</v>
      </c>
      <c r="Y174" s="6" t="s">
        <v>141</v>
      </c>
    </row>
    <row r="175" spans="1:25">
      <c r="A175" s="171">
        <v>20</v>
      </c>
      <c r="B175" s="174">
        <v>45047</v>
      </c>
      <c r="C175" s="174">
        <v>45057</v>
      </c>
      <c r="D175" s="174">
        <v>45056</v>
      </c>
      <c r="E175" s="171">
        <v>2023</v>
      </c>
      <c r="F175" s="171">
        <v>5</v>
      </c>
      <c r="G175" s="171">
        <v>10</v>
      </c>
      <c r="H175" s="131"/>
      <c r="I175" s="176"/>
      <c r="J175" s="176"/>
      <c r="K175" s="171" t="s">
        <v>199</v>
      </c>
      <c r="L175" s="171" t="s">
        <v>56</v>
      </c>
      <c r="M175" s="171">
        <v>290</v>
      </c>
      <c r="N175" s="175">
        <v>0</v>
      </c>
      <c r="O175" s="171">
        <v>0</v>
      </c>
      <c r="P175" s="171">
        <v>0</v>
      </c>
      <c r="Q175" s="175">
        <v>0</v>
      </c>
      <c r="R175" s="6" t="s">
        <v>160</v>
      </c>
      <c r="S175" s="6" t="s">
        <v>256</v>
      </c>
      <c r="T175" s="6" t="s">
        <v>314</v>
      </c>
      <c r="U175" s="6" t="s">
        <v>240</v>
      </c>
      <c r="V175" s="6" t="s">
        <v>308</v>
      </c>
      <c r="W175" s="6"/>
      <c r="X175" s="6" t="s">
        <v>242</v>
      </c>
      <c r="Y175" s="6" t="s">
        <v>141</v>
      </c>
    </row>
    <row r="176" spans="1:25">
      <c r="A176" s="171">
        <v>20</v>
      </c>
      <c r="B176" s="174">
        <v>45047</v>
      </c>
      <c r="C176" s="174">
        <v>45058</v>
      </c>
      <c r="D176" s="174">
        <v>45057</v>
      </c>
      <c r="E176" s="171">
        <v>2023</v>
      </c>
      <c r="F176" s="171">
        <v>5</v>
      </c>
      <c r="G176" s="171">
        <v>11</v>
      </c>
      <c r="H176" s="131"/>
      <c r="I176" s="176"/>
      <c r="J176" s="176"/>
      <c r="K176" s="171" t="s">
        <v>199</v>
      </c>
      <c r="L176" s="171" t="s">
        <v>56</v>
      </c>
      <c r="M176" s="171">
        <v>430</v>
      </c>
      <c r="N176" s="175">
        <v>0</v>
      </c>
      <c r="O176" s="171">
        <v>0</v>
      </c>
      <c r="P176" s="171">
        <v>0</v>
      </c>
      <c r="Q176" s="175">
        <v>0</v>
      </c>
      <c r="R176" s="6" t="s">
        <v>160</v>
      </c>
      <c r="S176" s="6" t="s">
        <v>256</v>
      </c>
      <c r="T176" s="6" t="s">
        <v>314</v>
      </c>
      <c r="U176" s="6" t="s">
        <v>240</v>
      </c>
      <c r="V176" s="6" t="s">
        <v>306</v>
      </c>
      <c r="W176" s="6" t="s">
        <v>246</v>
      </c>
      <c r="X176" s="6" t="s">
        <v>242</v>
      </c>
      <c r="Y176" s="6" t="s">
        <v>141</v>
      </c>
    </row>
    <row r="177" spans="1:25">
      <c r="A177" s="171">
        <v>20</v>
      </c>
      <c r="B177" s="174">
        <v>45047</v>
      </c>
      <c r="C177" s="174">
        <v>45058</v>
      </c>
      <c r="D177" s="174">
        <v>45057</v>
      </c>
      <c r="E177" s="171">
        <v>2023</v>
      </c>
      <c r="F177" s="171">
        <v>5</v>
      </c>
      <c r="G177" s="171">
        <v>11</v>
      </c>
      <c r="H177" s="131"/>
      <c r="I177" s="176"/>
      <c r="J177" s="176"/>
      <c r="K177" s="171" t="s">
        <v>199</v>
      </c>
      <c r="L177" s="171" t="s">
        <v>56</v>
      </c>
      <c r="M177" s="171">
        <v>330</v>
      </c>
      <c r="N177" s="175">
        <v>0</v>
      </c>
      <c r="O177" s="171">
        <v>0</v>
      </c>
      <c r="P177" s="171">
        <v>0</v>
      </c>
      <c r="Q177" s="175">
        <v>0</v>
      </c>
      <c r="R177" s="6" t="s">
        <v>160</v>
      </c>
      <c r="S177" s="6" t="s">
        <v>256</v>
      </c>
      <c r="T177" s="6" t="s">
        <v>314</v>
      </c>
      <c r="U177" s="6" t="s">
        <v>240</v>
      </c>
      <c r="V177" s="6" t="s">
        <v>306</v>
      </c>
      <c r="W177" s="6"/>
      <c r="X177" s="6" t="s">
        <v>242</v>
      </c>
      <c r="Y177" s="6" t="s">
        <v>141</v>
      </c>
    </row>
    <row r="178" spans="1:25">
      <c r="A178" s="171">
        <v>20</v>
      </c>
      <c r="B178" s="174">
        <v>45047</v>
      </c>
      <c r="C178" s="174">
        <v>45057</v>
      </c>
      <c r="D178" s="174">
        <v>45056</v>
      </c>
      <c r="E178" s="171">
        <v>2023</v>
      </c>
      <c r="F178" s="171">
        <v>5</v>
      </c>
      <c r="G178" s="171">
        <v>10</v>
      </c>
      <c r="H178" s="131"/>
      <c r="I178" s="176"/>
      <c r="J178" s="176"/>
      <c r="K178" s="171" t="s">
        <v>199</v>
      </c>
      <c r="L178" s="171" t="s">
        <v>56</v>
      </c>
      <c r="M178" s="171">
        <v>210</v>
      </c>
      <c r="N178" s="175">
        <v>0</v>
      </c>
      <c r="O178" s="171">
        <v>0</v>
      </c>
      <c r="P178" s="171">
        <v>0</v>
      </c>
      <c r="Q178" s="175">
        <v>0</v>
      </c>
      <c r="R178" s="6" t="s">
        <v>160</v>
      </c>
      <c r="S178" s="6" t="s">
        <v>256</v>
      </c>
      <c r="T178" s="6" t="s">
        <v>314</v>
      </c>
      <c r="U178" s="6" t="s">
        <v>240</v>
      </c>
      <c r="V178" s="6" t="s">
        <v>305</v>
      </c>
      <c r="W178" s="6"/>
      <c r="X178" s="6" t="s">
        <v>242</v>
      </c>
      <c r="Y178" s="6" t="s">
        <v>141</v>
      </c>
    </row>
    <row r="179" spans="1:25">
      <c r="A179" s="171">
        <v>20</v>
      </c>
      <c r="B179" s="174">
        <v>45047</v>
      </c>
      <c r="C179" s="174">
        <v>45057</v>
      </c>
      <c r="D179" s="174">
        <v>45056</v>
      </c>
      <c r="E179" s="171">
        <v>2023</v>
      </c>
      <c r="F179" s="171">
        <v>5</v>
      </c>
      <c r="G179" s="171">
        <v>10</v>
      </c>
      <c r="H179" s="131"/>
      <c r="I179" s="176"/>
      <c r="J179" s="176"/>
      <c r="K179" s="171" t="s">
        <v>199</v>
      </c>
      <c r="L179" s="171" t="s">
        <v>56</v>
      </c>
      <c r="M179" s="171">
        <v>470</v>
      </c>
      <c r="N179" s="175">
        <v>0</v>
      </c>
      <c r="O179" s="171">
        <v>0</v>
      </c>
      <c r="P179" s="171">
        <v>0</v>
      </c>
      <c r="Q179" s="175">
        <v>0</v>
      </c>
      <c r="R179" s="6" t="s">
        <v>160</v>
      </c>
      <c r="S179" s="6" t="s">
        <v>256</v>
      </c>
      <c r="T179" s="6" t="s">
        <v>314</v>
      </c>
      <c r="U179" s="6" t="s">
        <v>240</v>
      </c>
      <c r="V179" s="6" t="s">
        <v>303</v>
      </c>
      <c r="W179" s="6"/>
      <c r="X179" s="6" t="s">
        <v>242</v>
      </c>
      <c r="Y179" s="6" t="s">
        <v>141</v>
      </c>
    </row>
    <row r="180" spans="1:25">
      <c r="A180" s="171">
        <v>20</v>
      </c>
      <c r="B180" s="174">
        <v>45047</v>
      </c>
      <c r="C180" s="174">
        <v>45057</v>
      </c>
      <c r="D180" s="174">
        <v>45056</v>
      </c>
      <c r="E180" s="171">
        <v>2023</v>
      </c>
      <c r="F180" s="171">
        <v>5</v>
      </c>
      <c r="G180" s="171">
        <v>10</v>
      </c>
      <c r="H180" s="131"/>
      <c r="I180" s="176"/>
      <c r="J180" s="176"/>
      <c r="K180" s="171" t="s">
        <v>199</v>
      </c>
      <c r="L180" s="171" t="s">
        <v>56</v>
      </c>
      <c r="M180" s="171">
        <v>360</v>
      </c>
      <c r="N180" s="175">
        <v>0</v>
      </c>
      <c r="O180" s="171">
        <v>0</v>
      </c>
      <c r="P180" s="171">
        <v>0</v>
      </c>
      <c r="Q180" s="175">
        <v>0</v>
      </c>
      <c r="R180" s="6" t="s">
        <v>160</v>
      </c>
      <c r="S180" s="6" t="s">
        <v>256</v>
      </c>
      <c r="T180" s="6" t="s">
        <v>314</v>
      </c>
      <c r="U180" s="6" t="s">
        <v>240</v>
      </c>
      <c r="V180" s="6" t="s">
        <v>303</v>
      </c>
      <c r="W180" s="6"/>
      <c r="X180" s="6" t="s">
        <v>242</v>
      </c>
      <c r="Y180" s="6" t="s">
        <v>141</v>
      </c>
    </row>
    <row r="181" spans="1:25">
      <c r="A181" s="171">
        <v>20</v>
      </c>
      <c r="B181" s="174">
        <v>45047</v>
      </c>
      <c r="C181" s="174">
        <v>45058</v>
      </c>
      <c r="D181" s="174">
        <v>45057</v>
      </c>
      <c r="E181" s="171">
        <v>2023</v>
      </c>
      <c r="F181" s="171">
        <v>5</v>
      </c>
      <c r="G181" s="171">
        <v>11</v>
      </c>
      <c r="H181" s="131"/>
      <c r="I181" s="176"/>
      <c r="J181" s="176"/>
      <c r="K181" s="171"/>
      <c r="L181" s="171" t="s">
        <v>56</v>
      </c>
      <c r="M181" s="171">
        <v>260</v>
      </c>
      <c r="N181" s="175">
        <v>0</v>
      </c>
      <c r="O181" s="171">
        <v>0</v>
      </c>
      <c r="P181" s="171">
        <v>0</v>
      </c>
      <c r="Q181" s="175">
        <v>0</v>
      </c>
      <c r="R181" s="6"/>
      <c r="S181" s="6"/>
      <c r="T181" s="6"/>
      <c r="U181" s="6"/>
      <c r="V181" s="6"/>
      <c r="W181" s="6"/>
      <c r="X181" s="6" t="s">
        <v>242</v>
      </c>
      <c r="Y181" s="6" t="s">
        <v>141</v>
      </c>
    </row>
    <row r="182" spans="1:25">
      <c r="A182" s="171">
        <v>20</v>
      </c>
      <c r="B182" s="174">
        <v>45047</v>
      </c>
      <c r="C182" s="174">
        <v>45057</v>
      </c>
      <c r="D182" s="174">
        <v>45056</v>
      </c>
      <c r="E182" s="171">
        <v>2023</v>
      </c>
      <c r="F182" s="171">
        <v>5</v>
      </c>
      <c r="G182" s="171">
        <v>10</v>
      </c>
      <c r="H182" s="131"/>
      <c r="I182" s="176"/>
      <c r="J182" s="176"/>
      <c r="K182" s="171"/>
      <c r="L182" s="171" t="s">
        <v>56</v>
      </c>
      <c r="M182" s="171">
        <v>640</v>
      </c>
      <c r="N182" s="175">
        <v>0</v>
      </c>
      <c r="O182" s="171">
        <v>0</v>
      </c>
      <c r="P182" s="171">
        <v>0</v>
      </c>
      <c r="Q182" s="175">
        <v>0</v>
      </c>
      <c r="R182" s="6"/>
      <c r="S182" s="6"/>
      <c r="T182" s="6"/>
      <c r="U182" s="6"/>
      <c r="V182" s="6"/>
      <c r="W182" s="6"/>
      <c r="X182" s="6" t="s">
        <v>242</v>
      </c>
      <c r="Y182" s="6" t="s">
        <v>141</v>
      </c>
    </row>
    <row r="183" spans="1:25">
      <c r="A183" s="171">
        <v>20</v>
      </c>
      <c r="B183" s="174">
        <v>45047</v>
      </c>
      <c r="C183" s="174">
        <v>45056</v>
      </c>
      <c r="D183" s="174">
        <v>45055</v>
      </c>
      <c r="E183" s="171">
        <v>2023</v>
      </c>
      <c r="F183" s="171">
        <v>5</v>
      </c>
      <c r="G183" s="171">
        <v>9</v>
      </c>
      <c r="H183" s="131"/>
      <c r="I183" s="176"/>
      <c r="J183" s="176"/>
      <c r="K183" s="171"/>
      <c r="L183" s="171" t="s">
        <v>56</v>
      </c>
      <c r="M183" s="171">
        <v>100</v>
      </c>
      <c r="N183" s="175">
        <v>0</v>
      </c>
      <c r="O183" s="171">
        <v>0</v>
      </c>
      <c r="P183" s="171">
        <v>0</v>
      </c>
      <c r="Q183" s="175">
        <v>0</v>
      </c>
      <c r="R183" s="6"/>
      <c r="S183" s="6"/>
      <c r="T183" s="6"/>
      <c r="U183" s="6"/>
      <c r="V183" s="6"/>
      <c r="W183" s="6"/>
      <c r="X183" s="6" t="s">
        <v>242</v>
      </c>
      <c r="Y183" s="6" t="s">
        <v>141</v>
      </c>
    </row>
    <row r="184" spans="1:25">
      <c r="A184" s="171">
        <v>20</v>
      </c>
      <c r="B184" s="174">
        <v>45047</v>
      </c>
      <c r="C184" s="174">
        <v>45055</v>
      </c>
      <c r="D184" s="174">
        <v>45054</v>
      </c>
      <c r="E184" s="171">
        <v>2023</v>
      </c>
      <c r="F184" s="171">
        <v>5</v>
      </c>
      <c r="G184" s="171">
        <v>8</v>
      </c>
      <c r="H184" s="131"/>
      <c r="I184" s="176"/>
      <c r="J184" s="176"/>
      <c r="K184" s="171"/>
      <c r="L184" s="171" t="s">
        <v>56</v>
      </c>
      <c r="M184" s="171">
        <v>950</v>
      </c>
      <c r="N184" s="175">
        <v>0</v>
      </c>
      <c r="O184" s="171">
        <v>0</v>
      </c>
      <c r="P184" s="171">
        <v>0</v>
      </c>
      <c r="Q184" s="175">
        <v>0</v>
      </c>
      <c r="R184" s="6"/>
      <c r="S184" s="6"/>
      <c r="T184" s="6"/>
      <c r="U184" s="6"/>
      <c r="V184" s="6"/>
      <c r="W184" s="6"/>
      <c r="X184" s="6" t="s">
        <v>242</v>
      </c>
      <c r="Y184" s="6" t="s">
        <v>141</v>
      </c>
    </row>
    <row r="185" spans="1:25">
      <c r="A185" s="171">
        <v>20</v>
      </c>
      <c r="B185" s="174">
        <v>45047</v>
      </c>
      <c r="C185" s="174">
        <v>45061</v>
      </c>
      <c r="D185" s="174">
        <v>45059</v>
      </c>
      <c r="E185" s="171">
        <v>2023</v>
      </c>
      <c r="F185" s="171">
        <v>5</v>
      </c>
      <c r="G185" s="171">
        <v>13</v>
      </c>
      <c r="H185" s="131"/>
      <c r="I185" s="176"/>
      <c r="J185" s="176"/>
      <c r="K185" s="171"/>
      <c r="L185" s="171" t="s">
        <v>56</v>
      </c>
      <c r="M185" s="171">
        <v>100</v>
      </c>
      <c r="N185" s="175">
        <v>0</v>
      </c>
      <c r="O185" s="171">
        <v>0</v>
      </c>
      <c r="P185" s="171">
        <v>0</v>
      </c>
      <c r="Q185" s="175">
        <v>0</v>
      </c>
      <c r="R185" s="6"/>
      <c r="S185" s="6"/>
      <c r="T185" s="6"/>
      <c r="U185" s="6"/>
      <c r="V185" s="6"/>
      <c r="W185" s="6"/>
      <c r="X185" s="6" t="s">
        <v>242</v>
      </c>
      <c r="Y185" s="6" t="s">
        <v>141</v>
      </c>
    </row>
    <row r="186" spans="1:25">
      <c r="A186" s="171">
        <v>20</v>
      </c>
      <c r="B186" s="174">
        <v>45047</v>
      </c>
      <c r="C186" s="174">
        <v>45061</v>
      </c>
      <c r="D186" s="174">
        <v>45058</v>
      </c>
      <c r="E186" s="171">
        <v>2023</v>
      </c>
      <c r="F186" s="171">
        <v>5</v>
      </c>
      <c r="G186" s="171">
        <v>12</v>
      </c>
      <c r="H186" s="131"/>
      <c r="I186" s="176"/>
      <c r="J186" s="176"/>
      <c r="K186" s="171"/>
      <c r="L186" s="171" t="s">
        <v>56</v>
      </c>
      <c r="M186" s="171">
        <v>100</v>
      </c>
      <c r="N186" s="175">
        <v>0</v>
      </c>
      <c r="O186" s="171">
        <v>0</v>
      </c>
      <c r="P186" s="171">
        <v>0</v>
      </c>
      <c r="Q186" s="175">
        <v>0</v>
      </c>
      <c r="R186" s="6"/>
      <c r="S186" s="6"/>
      <c r="T186" s="6"/>
      <c r="U186" s="6"/>
      <c r="V186" s="6"/>
      <c r="W186" s="6"/>
      <c r="X186" s="6" t="s">
        <v>242</v>
      </c>
      <c r="Y186" s="6" t="s">
        <v>141</v>
      </c>
    </row>
    <row r="187" spans="1:25">
      <c r="A187" s="171">
        <v>20</v>
      </c>
      <c r="B187" s="174">
        <v>45047</v>
      </c>
      <c r="C187" s="174">
        <v>45055</v>
      </c>
      <c r="D187" s="174">
        <v>45054</v>
      </c>
      <c r="E187" s="171">
        <v>2023</v>
      </c>
      <c r="F187" s="171">
        <v>5</v>
      </c>
      <c r="G187" s="171">
        <v>8</v>
      </c>
      <c r="H187" s="131"/>
      <c r="I187" s="176"/>
      <c r="J187" s="176"/>
      <c r="K187" s="171" t="s">
        <v>199</v>
      </c>
      <c r="L187" s="171" t="s">
        <v>56</v>
      </c>
      <c r="M187" s="171"/>
      <c r="N187" s="175">
        <v>0</v>
      </c>
      <c r="O187" s="171">
        <v>0</v>
      </c>
      <c r="P187" s="171">
        <v>0</v>
      </c>
      <c r="Q187" s="175">
        <v>0</v>
      </c>
      <c r="R187" s="6" t="s">
        <v>160</v>
      </c>
      <c r="S187" s="6" t="s">
        <v>162</v>
      </c>
      <c r="T187" s="6" t="s">
        <v>314</v>
      </c>
      <c r="U187" s="6" t="s">
        <v>240</v>
      </c>
      <c r="V187" s="6" t="s">
        <v>245</v>
      </c>
      <c r="W187" s="6" t="s">
        <v>246</v>
      </c>
      <c r="X187" s="6" t="s">
        <v>242</v>
      </c>
      <c r="Y187" s="6" t="s">
        <v>141</v>
      </c>
    </row>
    <row r="188" spans="1:25">
      <c r="A188" s="171">
        <v>20</v>
      </c>
      <c r="B188" s="174">
        <v>45047</v>
      </c>
      <c r="C188" s="174">
        <v>45055</v>
      </c>
      <c r="D188" s="174">
        <v>45054</v>
      </c>
      <c r="E188" s="171">
        <v>2023</v>
      </c>
      <c r="F188" s="171">
        <v>5</v>
      </c>
      <c r="G188" s="171">
        <v>8</v>
      </c>
      <c r="H188" s="131"/>
      <c r="I188" s="176"/>
      <c r="J188" s="176"/>
      <c r="K188" s="171" t="s">
        <v>199</v>
      </c>
      <c r="L188" s="171" t="s">
        <v>56</v>
      </c>
      <c r="M188" s="171">
        <v>190</v>
      </c>
      <c r="N188" s="175">
        <v>0</v>
      </c>
      <c r="O188" s="171">
        <v>0</v>
      </c>
      <c r="P188" s="171">
        <v>0</v>
      </c>
      <c r="Q188" s="175">
        <v>0</v>
      </c>
      <c r="R188" s="6" t="s">
        <v>160</v>
      </c>
      <c r="S188" s="6" t="s">
        <v>162</v>
      </c>
      <c r="T188" s="6" t="s">
        <v>314</v>
      </c>
      <c r="U188" s="6" t="s">
        <v>240</v>
      </c>
      <c r="V188" s="6" t="s">
        <v>247</v>
      </c>
      <c r="W188" s="6" t="s">
        <v>246</v>
      </c>
      <c r="X188" s="6" t="s">
        <v>242</v>
      </c>
      <c r="Y188" s="6" t="s">
        <v>141</v>
      </c>
    </row>
    <row r="189" spans="1:25">
      <c r="A189" s="171">
        <v>20</v>
      </c>
      <c r="B189" s="174">
        <v>45047</v>
      </c>
      <c r="C189" s="174">
        <v>45055</v>
      </c>
      <c r="D189" s="174">
        <v>45054</v>
      </c>
      <c r="E189" s="171">
        <v>2023</v>
      </c>
      <c r="F189" s="171">
        <v>5</v>
      </c>
      <c r="G189" s="171">
        <v>8</v>
      </c>
      <c r="H189" s="131"/>
      <c r="I189" s="176"/>
      <c r="J189" s="176"/>
      <c r="K189" s="171" t="s">
        <v>199</v>
      </c>
      <c r="L189" s="171" t="s">
        <v>56</v>
      </c>
      <c r="M189" s="171">
        <v>286</v>
      </c>
      <c r="N189" s="175">
        <v>0</v>
      </c>
      <c r="O189" s="171">
        <v>0</v>
      </c>
      <c r="P189" s="171">
        <v>0</v>
      </c>
      <c r="Q189" s="175">
        <v>0</v>
      </c>
      <c r="R189" s="6" t="s">
        <v>160</v>
      </c>
      <c r="S189" s="6" t="s">
        <v>162</v>
      </c>
      <c r="T189" s="6" t="s">
        <v>314</v>
      </c>
      <c r="U189" s="6" t="s">
        <v>240</v>
      </c>
      <c r="V189" s="6" t="s">
        <v>248</v>
      </c>
      <c r="W189" s="6" t="s">
        <v>249</v>
      </c>
      <c r="X189" s="6" t="s">
        <v>242</v>
      </c>
      <c r="Y189" s="6" t="s">
        <v>141</v>
      </c>
    </row>
    <row r="190" spans="1:25">
      <c r="A190" s="171">
        <v>20</v>
      </c>
      <c r="B190" s="174">
        <v>45047</v>
      </c>
      <c r="C190" s="174">
        <v>45055</v>
      </c>
      <c r="D190" s="174">
        <v>45054</v>
      </c>
      <c r="E190" s="171">
        <v>2023</v>
      </c>
      <c r="F190" s="171">
        <v>5</v>
      </c>
      <c r="G190" s="171">
        <v>8</v>
      </c>
      <c r="H190" s="131"/>
      <c r="I190" s="176"/>
      <c r="J190" s="176"/>
      <c r="K190" s="171"/>
      <c r="L190" s="171" t="s">
        <v>56</v>
      </c>
      <c r="M190" s="171">
        <v>460</v>
      </c>
      <c r="N190" s="175">
        <v>0</v>
      </c>
      <c r="O190" s="171">
        <v>0</v>
      </c>
      <c r="P190" s="171">
        <v>0</v>
      </c>
      <c r="Q190" s="175">
        <v>0</v>
      </c>
      <c r="R190" s="6"/>
      <c r="S190" s="6"/>
      <c r="T190" s="6"/>
      <c r="U190" s="6"/>
      <c r="V190" s="6"/>
      <c r="W190" s="6"/>
      <c r="X190" s="6" t="s">
        <v>242</v>
      </c>
      <c r="Y190" s="6" t="s">
        <v>141</v>
      </c>
    </row>
    <row r="191" spans="1:25">
      <c r="A191" s="171">
        <v>20</v>
      </c>
      <c r="B191" s="174">
        <v>45047</v>
      </c>
      <c r="C191" s="174">
        <v>45055</v>
      </c>
      <c r="D191" s="174">
        <v>45054</v>
      </c>
      <c r="E191" s="171">
        <v>2023</v>
      </c>
      <c r="F191" s="171">
        <v>5</v>
      </c>
      <c r="G191" s="171">
        <v>8</v>
      </c>
      <c r="H191" s="131"/>
      <c r="I191" s="176"/>
      <c r="J191" s="176"/>
      <c r="K191" s="171" t="s">
        <v>199</v>
      </c>
      <c r="L191" s="171" t="s">
        <v>56</v>
      </c>
      <c r="M191" s="171">
        <v>380</v>
      </c>
      <c r="N191" s="175">
        <v>2</v>
      </c>
      <c r="O191" s="171">
        <v>1</v>
      </c>
      <c r="P191" s="171">
        <v>2</v>
      </c>
      <c r="Q191" s="175">
        <v>0</v>
      </c>
      <c r="R191" s="6" t="s">
        <v>157</v>
      </c>
      <c r="S191" s="6" t="s">
        <v>158</v>
      </c>
      <c r="T191" s="6" t="s">
        <v>166</v>
      </c>
      <c r="U191" s="6" t="s">
        <v>167</v>
      </c>
      <c r="V191" s="6" t="s">
        <v>243</v>
      </c>
      <c r="W191" s="6"/>
      <c r="X191" s="6" t="s">
        <v>242</v>
      </c>
      <c r="Y191" s="6" t="s">
        <v>141</v>
      </c>
    </row>
    <row r="192" spans="1:25">
      <c r="A192" s="171">
        <v>20</v>
      </c>
      <c r="B192" s="174">
        <v>45047</v>
      </c>
      <c r="C192" s="174">
        <v>45055</v>
      </c>
      <c r="D192" s="174">
        <v>45054</v>
      </c>
      <c r="E192" s="171">
        <v>2023</v>
      </c>
      <c r="F192" s="171">
        <v>5</v>
      </c>
      <c r="G192" s="171">
        <v>8</v>
      </c>
      <c r="H192" s="131"/>
      <c r="I192" s="176"/>
      <c r="J192" s="176"/>
      <c r="K192" s="171" t="s">
        <v>199</v>
      </c>
      <c r="L192" s="171" t="s">
        <v>56</v>
      </c>
      <c r="M192" s="171"/>
      <c r="N192" s="175">
        <v>0</v>
      </c>
      <c r="O192" s="171">
        <v>1</v>
      </c>
      <c r="P192" s="171">
        <v>0</v>
      </c>
      <c r="Q192" s="175">
        <v>0</v>
      </c>
      <c r="R192" s="6" t="s">
        <v>157</v>
      </c>
      <c r="S192" s="6" t="s">
        <v>162</v>
      </c>
      <c r="T192" s="6" t="s">
        <v>166</v>
      </c>
      <c r="U192" s="6" t="s">
        <v>162</v>
      </c>
      <c r="V192" s="6" t="s">
        <v>244</v>
      </c>
      <c r="W192" s="6"/>
      <c r="X192" s="6" t="s">
        <v>242</v>
      </c>
      <c r="Y192" s="6" t="s">
        <v>141</v>
      </c>
    </row>
    <row r="193" spans="1:25">
      <c r="A193" s="171">
        <v>20</v>
      </c>
      <c r="B193" s="174">
        <v>45047</v>
      </c>
      <c r="C193" s="174">
        <v>45061</v>
      </c>
      <c r="D193" s="174">
        <v>45058</v>
      </c>
      <c r="E193" s="171">
        <v>2023</v>
      </c>
      <c r="F193" s="171">
        <v>5</v>
      </c>
      <c r="G193" s="171">
        <v>12</v>
      </c>
      <c r="H193" s="131"/>
      <c r="I193" s="176"/>
      <c r="J193" s="176"/>
      <c r="K193" s="171" t="s">
        <v>199</v>
      </c>
      <c r="L193" s="171" t="s">
        <v>56</v>
      </c>
      <c r="M193" s="171">
        <v>510</v>
      </c>
      <c r="N193" s="175">
        <v>0</v>
      </c>
      <c r="O193" s="171">
        <v>0</v>
      </c>
      <c r="P193" s="171">
        <v>0</v>
      </c>
      <c r="Q193" s="175">
        <v>0</v>
      </c>
      <c r="R193" s="6" t="s">
        <v>160</v>
      </c>
      <c r="S193" s="6" t="s">
        <v>256</v>
      </c>
      <c r="T193" s="6" t="s">
        <v>314</v>
      </c>
      <c r="U193" s="6" t="s">
        <v>240</v>
      </c>
      <c r="V193" s="6" t="s">
        <v>303</v>
      </c>
      <c r="W193" s="6"/>
      <c r="X193" s="6" t="s">
        <v>242</v>
      </c>
      <c r="Y193" s="6" t="s">
        <v>141</v>
      </c>
    </row>
    <row r="194" spans="1:25">
      <c r="A194" s="171">
        <v>20</v>
      </c>
      <c r="B194" s="174">
        <v>45047</v>
      </c>
      <c r="C194" s="174">
        <v>45061</v>
      </c>
      <c r="D194" s="174">
        <v>45058</v>
      </c>
      <c r="E194" s="171">
        <v>2023</v>
      </c>
      <c r="F194" s="171">
        <v>5</v>
      </c>
      <c r="G194" s="171">
        <v>12</v>
      </c>
      <c r="H194" s="131"/>
      <c r="I194" s="176"/>
      <c r="J194" s="176"/>
      <c r="K194" s="171" t="s">
        <v>199</v>
      </c>
      <c r="L194" s="171" t="s">
        <v>56</v>
      </c>
      <c r="M194" s="171">
        <v>460</v>
      </c>
      <c r="N194" s="175">
        <v>0</v>
      </c>
      <c r="O194" s="171">
        <v>0</v>
      </c>
      <c r="P194" s="171">
        <v>0</v>
      </c>
      <c r="Q194" s="175">
        <v>0</v>
      </c>
      <c r="R194" s="6" t="s">
        <v>160</v>
      </c>
      <c r="S194" s="6" t="s">
        <v>256</v>
      </c>
      <c r="T194" s="6" t="s">
        <v>314</v>
      </c>
      <c r="U194" s="6" t="s">
        <v>240</v>
      </c>
      <c r="V194" s="6" t="s">
        <v>303</v>
      </c>
      <c r="W194" s="6"/>
      <c r="X194" s="6" t="s">
        <v>242</v>
      </c>
      <c r="Y194" s="6" t="s">
        <v>141</v>
      </c>
    </row>
    <row r="195" spans="1:25">
      <c r="A195" s="171">
        <v>20</v>
      </c>
      <c r="B195" s="174">
        <v>45047</v>
      </c>
      <c r="C195" s="174">
        <v>45061</v>
      </c>
      <c r="D195" s="174">
        <v>45059</v>
      </c>
      <c r="E195" s="171">
        <v>2023</v>
      </c>
      <c r="F195" s="171">
        <v>5</v>
      </c>
      <c r="G195" s="171">
        <v>13</v>
      </c>
      <c r="H195" s="131"/>
      <c r="I195" s="176"/>
      <c r="J195" s="176"/>
      <c r="K195" s="171" t="s">
        <v>199</v>
      </c>
      <c r="L195" s="171" t="s">
        <v>56</v>
      </c>
      <c r="M195" s="171">
        <v>360</v>
      </c>
      <c r="N195" s="175">
        <v>0</v>
      </c>
      <c r="O195" s="171">
        <v>0</v>
      </c>
      <c r="P195" s="171">
        <v>0</v>
      </c>
      <c r="Q195" s="175">
        <v>0</v>
      </c>
      <c r="R195" s="6" t="s">
        <v>160</v>
      </c>
      <c r="S195" s="6" t="s">
        <v>256</v>
      </c>
      <c r="T195" s="6" t="s">
        <v>314</v>
      </c>
      <c r="U195" s="6" t="s">
        <v>240</v>
      </c>
      <c r="V195" s="6" t="s">
        <v>303</v>
      </c>
      <c r="W195" s="6"/>
      <c r="X195" s="6" t="s">
        <v>242</v>
      </c>
      <c r="Y195" s="6" t="s">
        <v>141</v>
      </c>
    </row>
    <row r="196" spans="1:25">
      <c r="A196" s="171">
        <v>20</v>
      </c>
      <c r="B196" s="174">
        <v>45047</v>
      </c>
      <c r="C196" s="174">
        <v>45061</v>
      </c>
      <c r="D196" s="174">
        <v>45058</v>
      </c>
      <c r="E196" s="171">
        <v>2023</v>
      </c>
      <c r="F196" s="171">
        <v>5</v>
      </c>
      <c r="G196" s="171">
        <v>12</v>
      </c>
      <c r="H196" s="131"/>
      <c r="I196" s="176"/>
      <c r="J196" s="176"/>
      <c r="K196" s="171" t="s">
        <v>199</v>
      </c>
      <c r="L196" s="171" t="s">
        <v>56</v>
      </c>
      <c r="M196" s="171">
        <v>281</v>
      </c>
      <c r="N196" s="175">
        <v>1</v>
      </c>
      <c r="O196" s="171">
        <v>1</v>
      </c>
      <c r="P196" s="171">
        <v>0</v>
      </c>
      <c r="Q196" s="175">
        <v>1</v>
      </c>
      <c r="R196" s="6" t="s">
        <v>160</v>
      </c>
      <c r="S196" s="6" t="s">
        <v>205</v>
      </c>
      <c r="T196" s="6" t="s">
        <v>314</v>
      </c>
      <c r="U196" s="6" t="s">
        <v>322</v>
      </c>
      <c r="V196" s="6" t="s">
        <v>307</v>
      </c>
      <c r="W196" s="6"/>
      <c r="X196" s="6" t="s">
        <v>242</v>
      </c>
      <c r="Y196" s="6" t="s">
        <v>141</v>
      </c>
    </row>
    <row r="197" spans="1:25">
      <c r="A197" s="171">
        <v>20</v>
      </c>
      <c r="B197" s="174">
        <v>45047</v>
      </c>
      <c r="C197" s="174">
        <v>45061</v>
      </c>
      <c r="D197" s="174">
        <v>45058</v>
      </c>
      <c r="E197" s="171">
        <v>2023</v>
      </c>
      <c r="F197" s="171">
        <v>5</v>
      </c>
      <c r="G197" s="171">
        <v>12</v>
      </c>
      <c r="H197" s="131"/>
      <c r="I197" s="176"/>
      <c r="J197" s="176"/>
      <c r="K197" s="171" t="s">
        <v>199</v>
      </c>
      <c r="L197" s="171" t="s">
        <v>56</v>
      </c>
      <c r="M197" s="171"/>
      <c r="N197" s="175">
        <v>0</v>
      </c>
      <c r="O197" s="171">
        <v>0</v>
      </c>
      <c r="P197" s="171">
        <v>0</v>
      </c>
      <c r="Q197" s="175">
        <v>0</v>
      </c>
      <c r="R197" s="6" t="s">
        <v>160</v>
      </c>
      <c r="S197" s="6" t="s">
        <v>256</v>
      </c>
      <c r="T197" s="6" t="s">
        <v>314</v>
      </c>
      <c r="U197" s="6" t="s">
        <v>240</v>
      </c>
      <c r="V197" s="6" t="s">
        <v>269</v>
      </c>
      <c r="W197" s="6"/>
      <c r="X197" s="6" t="s">
        <v>242</v>
      </c>
      <c r="Y197" s="6" t="s">
        <v>141</v>
      </c>
    </row>
    <row r="198" spans="1:25">
      <c r="A198" s="171">
        <v>20</v>
      </c>
      <c r="B198" s="174">
        <v>45047</v>
      </c>
      <c r="C198" s="174">
        <v>45061</v>
      </c>
      <c r="D198" s="174">
        <v>45059</v>
      </c>
      <c r="E198" s="171">
        <v>2023</v>
      </c>
      <c r="F198" s="171">
        <v>5</v>
      </c>
      <c r="G198" s="171">
        <v>13</v>
      </c>
      <c r="H198" s="131"/>
      <c r="I198" s="176"/>
      <c r="J198" s="176"/>
      <c r="K198" s="171" t="s">
        <v>199</v>
      </c>
      <c r="L198" s="171" t="s">
        <v>56</v>
      </c>
      <c r="M198" s="171">
        <v>170</v>
      </c>
      <c r="N198" s="175">
        <v>0</v>
      </c>
      <c r="O198" s="171">
        <v>0</v>
      </c>
      <c r="P198" s="171">
        <v>0</v>
      </c>
      <c r="Q198" s="175">
        <v>0</v>
      </c>
      <c r="R198" s="6" t="s">
        <v>160</v>
      </c>
      <c r="S198" s="6" t="s">
        <v>256</v>
      </c>
      <c r="T198" s="6" t="s">
        <v>314</v>
      </c>
      <c r="U198" s="6" t="s">
        <v>240</v>
      </c>
      <c r="V198" s="6" t="s">
        <v>309</v>
      </c>
      <c r="W198" s="6"/>
      <c r="X198" s="6" t="s">
        <v>242</v>
      </c>
      <c r="Y198" s="6" t="s">
        <v>141</v>
      </c>
    </row>
    <row r="199" spans="1:25">
      <c r="A199" s="171">
        <v>20</v>
      </c>
      <c r="B199" s="174">
        <v>45047</v>
      </c>
      <c r="C199" s="174">
        <v>45055</v>
      </c>
      <c r="D199" s="174">
        <v>45054</v>
      </c>
      <c r="E199" s="171">
        <v>2023</v>
      </c>
      <c r="F199" s="171">
        <v>5</v>
      </c>
      <c r="G199" s="171">
        <v>8</v>
      </c>
      <c r="H199" s="131"/>
      <c r="I199" s="176"/>
      <c r="J199" s="176"/>
      <c r="K199" s="171"/>
      <c r="L199" s="171" t="s">
        <v>56</v>
      </c>
      <c r="M199" s="171">
        <v>510</v>
      </c>
      <c r="N199" s="175">
        <v>10</v>
      </c>
      <c r="O199" s="171">
        <v>7</v>
      </c>
      <c r="P199" s="171">
        <v>0</v>
      </c>
      <c r="Q199" s="175">
        <v>10</v>
      </c>
      <c r="R199" s="6" t="s">
        <v>160</v>
      </c>
      <c r="S199" s="6" t="s">
        <v>162</v>
      </c>
      <c r="T199" s="6"/>
      <c r="U199" s="6" t="s">
        <v>162</v>
      </c>
      <c r="V199" s="6" t="s">
        <v>251</v>
      </c>
      <c r="W199" s="6"/>
      <c r="X199" s="6" t="s">
        <v>242</v>
      </c>
      <c r="Y199" s="6" t="s">
        <v>141</v>
      </c>
    </row>
    <row r="200" spans="1:25">
      <c r="A200" s="171">
        <v>20</v>
      </c>
      <c r="B200" s="174">
        <v>45047</v>
      </c>
      <c r="C200" s="174">
        <v>45055</v>
      </c>
      <c r="D200" s="174">
        <v>45054</v>
      </c>
      <c r="E200" s="171">
        <v>2023</v>
      </c>
      <c r="F200" s="171">
        <v>5</v>
      </c>
      <c r="G200" s="171">
        <v>8</v>
      </c>
      <c r="H200" s="131"/>
      <c r="I200" s="176"/>
      <c r="J200" s="176"/>
      <c r="K200" s="171"/>
      <c r="L200" s="171" t="s">
        <v>56</v>
      </c>
      <c r="M200" s="171"/>
      <c r="N200" s="175">
        <v>0</v>
      </c>
      <c r="O200" s="171">
        <v>3</v>
      </c>
      <c r="P200" s="171">
        <v>0</v>
      </c>
      <c r="Q200" s="175">
        <v>0</v>
      </c>
      <c r="R200" s="6" t="s">
        <v>160</v>
      </c>
      <c r="S200" s="6" t="s">
        <v>162</v>
      </c>
      <c r="T200" s="6"/>
      <c r="U200" s="6" t="s">
        <v>162</v>
      </c>
      <c r="V200" s="6" t="s">
        <v>252</v>
      </c>
      <c r="W200" s="6"/>
      <c r="X200" s="6" t="s">
        <v>242</v>
      </c>
      <c r="Y200" s="6" t="s">
        <v>141</v>
      </c>
    </row>
    <row r="201" spans="1:25">
      <c r="A201" s="171">
        <v>20</v>
      </c>
      <c r="B201" s="174">
        <v>45047</v>
      </c>
      <c r="C201" s="174">
        <v>45055</v>
      </c>
      <c r="D201" s="174">
        <v>45054</v>
      </c>
      <c r="E201" s="171">
        <v>2023</v>
      </c>
      <c r="F201" s="171">
        <v>5</v>
      </c>
      <c r="G201" s="171">
        <v>8</v>
      </c>
      <c r="H201" s="131"/>
      <c r="I201" s="176"/>
      <c r="J201" s="176"/>
      <c r="K201" s="171"/>
      <c r="L201" s="171" t="s">
        <v>56</v>
      </c>
      <c r="M201" s="171">
        <v>350</v>
      </c>
      <c r="N201" s="175">
        <v>0</v>
      </c>
      <c r="O201" s="171">
        <v>0</v>
      </c>
      <c r="P201" s="171">
        <v>0</v>
      </c>
      <c r="Q201" s="175">
        <v>0</v>
      </c>
      <c r="R201" s="6"/>
      <c r="S201" s="6"/>
      <c r="T201" s="6"/>
      <c r="U201" s="6"/>
      <c r="V201" s="6"/>
      <c r="W201" s="6"/>
      <c r="X201" s="6" t="s">
        <v>242</v>
      </c>
      <c r="Y201" s="6" t="s">
        <v>141</v>
      </c>
    </row>
    <row r="202" spans="1:25">
      <c r="A202" s="171">
        <v>20</v>
      </c>
      <c r="B202" s="174">
        <v>45047</v>
      </c>
      <c r="C202" s="174">
        <v>45061</v>
      </c>
      <c r="D202" s="174">
        <v>45059</v>
      </c>
      <c r="E202" s="171">
        <v>2023</v>
      </c>
      <c r="F202" s="171">
        <v>5</v>
      </c>
      <c r="G202" s="171">
        <v>13</v>
      </c>
      <c r="H202" s="131"/>
      <c r="I202" s="176"/>
      <c r="J202" s="176"/>
      <c r="K202" s="171" t="s">
        <v>199</v>
      </c>
      <c r="L202" s="171" t="s">
        <v>56</v>
      </c>
      <c r="M202" s="171">
        <v>270</v>
      </c>
      <c r="N202" s="175">
        <v>0</v>
      </c>
      <c r="O202" s="171">
        <v>0</v>
      </c>
      <c r="P202" s="171">
        <v>0</v>
      </c>
      <c r="Q202" s="175">
        <v>0</v>
      </c>
      <c r="R202" s="6" t="s">
        <v>160</v>
      </c>
      <c r="S202" s="6" t="s">
        <v>256</v>
      </c>
      <c r="T202" s="6" t="s">
        <v>314</v>
      </c>
      <c r="U202" s="6" t="s">
        <v>240</v>
      </c>
      <c r="V202" s="6" t="s">
        <v>303</v>
      </c>
      <c r="W202" s="6"/>
      <c r="X202" s="6" t="s">
        <v>242</v>
      </c>
      <c r="Y202" s="6" t="s">
        <v>141</v>
      </c>
    </row>
    <row r="203" spans="1:25">
      <c r="A203" s="171">
        <v>20</v>
      </c>
      <c r="B203" s="174">
        <v>45047</v>
      </c>
      <c r="C203" s="174">
        <v>45055</v>
      </c>
      <c r="D203" s="174">
        <v>45054</v>
      </c>
      <c r="E203" s="171">
        <v>2023</v>
      </c>
      <c r="F203" s="171">
        <v>5</v>
      </c>
      <c r="G203" s="171">
        <v>8</v>
      </c>
      <c r="H203" s="131"/>
      <c r="I203" s="176"/>
      <c r="J203" s="176"/>
      <c r="K203" s="171"/>
      <c r="L203" s="171" t="s">
        <v>56</v>
      </c>
      <c r="M203" s="171">
        <v>12</v>
      </c>
      <c r="N203" s="175">
        <v>0</v>
      </c>
      <c r="O203" s="171">
        <v>0</v>
      </c>
      <c r="P203" s="171">
        <v>0</v>
      </c>
      <c r="Q203" s="175">
        <v>0</v>
      </c>
      <c r="R203" s="6"/>
      <c r="S203" s="6"/>
      <c r="T203" s="6"/>
      <c r="U203" s="6"/>
      <c r="V203" s="6"/>
      <c r="W203" s="6"/>
      <c r="X203" s="6" t="s">
        <v>242</v>
      </c>
      <c r="Y203" s="6" t="s">
        <v>141</v>
      </c>
    </row>
    <row r="204" spans="1:25">
      <c r="A204" s="171">
        <v>20</v>
      </c>
      <c r="B204" s="174">
        <v>45047</v>
      </c>
      <c r="C204" s="174">
        <v>45055</v>
      </c>
      <c r="D204" s="174">
        <v>45054</v>
      </c>
      <c r="E204" s="171">
        <v>2023</v>
      </c>
      <c r="F204" s="171">
        <v>5</v>
      </c>
      <c r="G204" s="171">
        <v>8</v>
      </c>
      <c r="H204" s="131"/>
      <c r="I204" s="176"/>
      <c r="J204" s="176"/>
      <c r="K204" s="171"/>
      <c r="L204" s="171" t="s">
        <v>56</v>
      </c>
      <c r="M204" s="171">
        <v>26</v>
      </c>
      <c r="N204" s="175">
        <v>0</v>
      </c>
      <c r="O204" s="171">
        <v>0</v>
      </c>
      <c r="P204" s="171">
        <v>0</v>
      </c>
      <c r="Q204" s="175">
        <v>0</v>
      </c>
      <c r="R204" s="6"/>
      <c r="S204" s="6"/>
      <c r="T204" s="6"/>
      <c r="U204" s="6"/>
      <c r="V204" s="6"/>
      <c r="W204" s="6"/>
      <c r="X204" s="6" t="s">
        <v>242</v>
      </c>
      <c r="Y204" s="6" t="s">
        <v>141</v>
      </c>
    </row>
    <row r="205" spans="1:25">
      <c r="A205" s="171">
        <v>20</v>
      </c>
      <c r="B205" s="174">
        <v>45047</v>
      </c>
      <c r="C205" s="174">
        <v>45058</v>
      </c>
      <c r="D205" s="174">
        <v>45057</v>
      </c>
      <c r="E205" s="171">
        <v>2023</v>
      </c>
      <c r="F205" s="171">
        <v>5</v>
      </c>
      <c r="G205" s="171">
        <v>11</v>
      </c>
      <c r="H205" s="131"/>
      <c r="I205" s="176"/>
      <c r="J205" s="176"/>
      <c r="K205" s="171" t="s">
        <v>199</v>
      </c>
      <c r="L205" s="171" t="s">
        <v>56</v>
      </c>
      <c r="M205" s="171"/>
      <c r="N205" s="175">
        <v>0</v>
      </c>
      <c r="O205" s="171">
        <v>1</v>
      </c>
      <c r="P205" s="171">
        <v>0</v>
      </c>
      <c r="Q205" s="175">
        <v>0</v>
      </c>
      <c r="R205" s="6" t="s">
        <v>160</v>
      </c>
      <c r="S205" s="6" t="s">
        <v>205</v>
      </c>
      <c r="T205" s="6" t="s">
        <v>314</v>
      </c>
      <c r="U205" s="6" t="s">
        <v>322</v>
      </c>
      <c r="V205" s="6" t="s">
        <v>262</v>
      </c>
      <c r="W205" s="6"/>
      <c r="X205" s="6" t="s">
        <v>242</v>
      </c>
      <c r="Y205" s="6" t="s">
        <v>141</v>
      </c>
    </row>
    <row r="206" spans="1:25">
      <c r="A206" s="171">
        <v>20</v>
      </c>
      <c r="B206" s="174">
        <v>45047</v>
      </c>
      <c r="C206" s="174">
        <v>45058</v>
      </c>
      <c r="D206" s="174">
        <v>45057</v>
      </c>
      <c r="E206" s="171">
        <v>2023</v>
      </c>
      <c r="F206" s="171">
        <v>5</v>
      </c>
      <c r="G206" s="171">
        <v>11</v>
      </c>
      <c r="H206" s="131"/>
      <c r="I206" s="176"/>
      <c r="J206" s="176"/>
      <c r="K206" s="171" t="s">
        <v>199</v>
      </c>
      <c r="L206" s="171" t="s">
        <v>56</v>
      </c>
      <c r="M206" s="171"/>
      <c r="N206" s="175">
        <v>0</v>
      </c>
      <c r="O206" s="171">
        <v>1</v>
      </c>
      <c r="P206" s="171">
        <v>0</v>
      </c>
      <c r="Q206" s="175">
        <v>0</v>
      </c>
      <c r="R206" s="6" t="s">
        <v>157</v>
      </c>
      <c r="S206" s="6" t="s">
        <v>205</v>
      </c>
      <c r="T206" s="6" t="s">
        <v>166</v>
      </c>
      <c r="U206" s="6" t="s">
        <v>169</v>
      </c>
      <c r="V206" s="6" t="s">
        <v>263</v>
      </c>
      <c r="W206" s="6"/>
      <c r="X206" s="6" t="s">
        <v>242</v>
      </c>
      <c r="Y206" s="6" t="s">
        <v>141</v>
      </c>
    </row>
    <row r="207" spans="1:25">
      <c r="A207" s="171">
        <v>20</v>
      </c>
      <c r="B207" s="174">
        <v>45047</v>
      </c>
      <c r="C207" s="174">
        <v>45058</v>
      </c>
      <c r="D207" s="174">
        <v>45057</v>
      </c>
      <c r="E207" s="171">
        <v>2023</v>
      </c>
      <c r="F207" s="171">
        <v>5</v>
      </c>
      <c r="G207" s="171">
        <v>11</v>
      </c>
      <c r="H207" s="131"/>
      <c r="I207" s="176"/>
      <c r="J207" s="176"/>
      <c r="K207" s="171" t="s">
        <v>199</v>
      </c>
      <c r="L207" s="171" t="s">
        <v>56</v>
      </c>
      <c r="M207" s="171">
        <v>276</v>
      </c>
      <c r="N207" s="175">
        <v>6</v>
      </c>
      <c r="O207" s="171">
        <v>0</v>
      </c>
      <c r="P207" s="171">
        <v>3</v>
      </c>
      <c r="Q207" s="175">
        <v>3</v>
      </c>
      <c r="R207" s="6" t="s">
        <v>160</v>
      </c>
      <c r="S207" s="6" t="s">
        <v>256</v>
      </c>
      <c r="T207" s="6" t="s">
        <v>314</v>
      </c>
      <c r="U207" s="6" t="s">
        <v>240</v>
      </c>
      <c r="V207" s="6" t="s">
        <v>306</v>
      </c>
      <c r="W207" s="6"/>
      <c r="X207" s="6" t="s">
        <v>242</v>
      </c>
      <c r="Y207" s="6" t="s">
        <v>141</v>
      </c>
    </row>
    <row r="208" spans="1:25">
      <c r="A208" s="171">
        <v>20</v>
      </c>
      <c r="B208" s="174">
        <v>45047</v>
      </c>
      <c r="C208" s="174">
        <v>45058</v>
      </c>
      <c r="D208" s="174">
        <v>45057</v>
      </c>
      <c r="E208" s="171">
        <v>2023</v>
      </c>
      <c r="F208" s="171">
        <v>5</v>
      </c>
      <c r="G208" s="171">
        <v>11</v>
      </c>
      <c r="H208" s="131"/>
      <c r="I208" s="176"/>
      <c r="J208" s="176"/>
      <c r="K208" s="171" t="s">
        <v>199</v>
      </c>
      <c r="L208" s="171" t="s">
        <v>56</v>
      </c>
      <c r="M208" s="171">
        <v>280</v>
      </c>
      <c r="N208" s="175">
        <v>10</v>
      </c>
      <c r="O208" s="171">
        <v>0</v>
      </c>
      <c r="P208" s="171">
        <v>3</v>
      </c>
      <c r="Q208" s="175">
        <v>7</v>
      </c>
      <c r="R208" s="6" t="s">
        <v>160</v>
      </c>
      <c r="S208" s="6" t="s">
        <v>256</v>
      </c>
      <c r="T208" s="6" t="s">
        <v>314</v>
      </c>
      <c r="U208" s="6" t="s">
        <v>240</v>
      </c>
      <c r="V208" s="6" t="s">
        <v>306</v>
      </c>
      <c r="W208" s="6"/>
      <c r="X208" s="6" t="s">
        <v>242</v>
      </c>
      <c r="Y208" s="6" t="s">
        <v>141</v>
      </c>
    </row>
    <row r="209" spans="1:25">
      <c r="A209" s="171">
        <v>20</v>
      </c>
      <c r="B209" s="174">
        <v>45047</v>
      </c>
      <c r="C209" s="174">
        <v>45058</v>
      </c>
      <c r="D209" s="174">
        <v>45057</v>
      </c>
      <c r="E209" s="171">
        <v>2023</v>
      </c>
      <c r="F209" s="171">
        <v>5</v>
      </c>
      <c r="G209" s="171">
        <v>11</v>
      </c>
      <c r="H209" s="131"/>
      <c r="I209" s="176"/>
      <c r="J209" s="176"/>
      <c r="K209" s="171" t="s">
        <v>199</v>
      </c>
      <c r="L209" s="171" t="s">
        <v>56</v>
      </c>
      <c r="M209" s="171"/>
      <c r="N209" s="175">
        <v>0</v>
      </c>
      <c r="O209" s="171">
        <v>6</v>
      </c>
      <c r="P209" s="171">
        <v>0</v>
      </c>
      <c r="Q209" s="175">
        <v>0</v>
      </c>
      <c r="R209" s="6" t="s">
        <v>160</v>
      </c>
      <c r="S209" s="6" t="s">
        <v>161</v>
      </c>
      <c r="T209" s="6" t="s">
        <v>198</v>
      </c>
      <c r="U209" s="6" t="s">
        <v>172</v>
      </c>
      <c r="V209" s="6" t="s">
        <v>260</v>
      </c>
      <c r="W209" s="6"/>
      <c r="X209" s="6" t="s">
        <v>242</v>
      </c>
      <c r="Y209" s="6" t="s">
        <v>141</v>
      </c>
    </row>
    <row r="210" spans="1:25">
      <c r="A210" s="171">
        <v>20</v>
      </c>
      <c r="B210" s="174">
        <v>45047</v>
      </c>
      <c r="C210" s="174">
        <v>45058</v>
      </c>
      <c r="D210" s="174">
        <v>45057</v>
      </c>
      <c r="E210" s="171">
        <v>2023</v>
      </c>
      <c r="F210" s="171">
        <v>5</v>
      </c>
      <c r="G210" s="171">
        <v>11</v>
      </c>
      <c r="H210" s="131"/>
      <c r="I210" s="176"/>
      <c r="J210" s="176"/>
      <c r="K210" s="171" t="s">
        <v>199</v>
      </c>
      <c r="L210" s="171" t="s">
        <v>56</v>
      </c>
      <c r="M210" s="171"/>
      <c r="N210" s="175">
        <v>0</v>
      </c>
      <c r="O210" s="171">
        <v>2</v>
      </c>
      <c r="P210" s="171">
        <v>0</v>
      </c>
      <c r="Q210" s="175">
        <v>0</v>
      </c>
      <c r="R210" s="6" t="s">
        <v>157</v>
      </c>
      <c r="S210" s="6" t="s">
        <v>161</v>
      </c>
      <c r="T210" s="6" t="s">
        <v>166</v>
      </c>
      <c r="U210" s="6" t="s">
        <v>170</v>
      </c>
      <c r="V210" s="6" t="s">
        <v>261</v>
      </c>
      <c r="W210" s="6"/>
      <c r="X210" s="6" t="s">
        <v>242</v>
      </c>
      <c r="Y210" s="6" t="s">
        <v>141</v>
      </c>
    </row>
    <row r="211" spans="1:25">
      <c r="A211" s="171">
        <v>20</v>
      </c>
      <c r="B211" s="174">
        <v>45047</v>
      </c>
      <c r="C211" s="174">
        <v>45058</v>
      </c>
      <c r="D211" s="174">
        <v>45057</v>
      </c>
      <c r="E211" s="171">
        <v>2023</v>
      </c>
      <c r="F211" s="171">
        <v>5</v>
      </c>
      <c r="G211" s="171">
        <v>11</v>
      </c>
      <c r="H211" s="131"/>
      <c r="I211" s="176"/>
      <c r="J211" s="176"/>
      <c r="K211" s="171" t="s">
        <v>199</v>
      </c>
      <c r="L211" s="171" t="s">
        <v>56</v>
      </c>
      <c r="M211" s="171"/>
      <c r="N211" s="175">
        <v>0</v>
      </c>
      <c r="O211" s="171">
        <v>1</v>
      </c>
      <c r="P211" s="171">
        <v>0</v>
      </c>
      <c r="Q211" s="175">
        <v>0</v>
      </c>
      <c r="R211" s="6" t="s">
        <v>157</v>
      </c>
      <c r="S211" s="6" t="s">
        <v>162</v>
      </c>
      <c r="T211" s="6" t="s">
        <v>166</v>
      </c>
      <c r="U211" s="6" t="s">
        <v>162</v>
      </c>
      <c r="V211" s="6" t="s">
        <v>267</v>
      </c>
      <c r="W211" s="6"/>
      <c r="X211" s="6" t="s">
        <v>242</v>
      </c>
      <c r="Y211" s="6" t="s">
        <v>141</v>
      </c>
    </row>
    <row r="212" spans="1:25">
      <c r="A212" s="171">
        <v>20</v>
      </c>
      <c r="B212" s="174">
        <v>45047</v>
      </c>
      <c r="C212" s="174">
        <v>45061</v>
      </c>
      <c r="D212" s="174">
        <v>45058</v>
      </c>
      <c r="E212" s="171">
        <v>2023</v>
      </c>
      <c r="F212" s="171">
        <v>5</v>
      </c>
      <c r="G212" s="171">
        <v>12</v>
      </c>
      <c r="H212" s="131"/>
      <c r="I212" s="176"/>
      <c r="J212" s="176"/>
      <c r="K212" s="171" t="s">
        <v>199</v>
      </c>
      <c r="L212" s="171" t="s">
        <v>56</v>
      </c>
      <c r="M212" s="171">
        <v>280</v>
      </c>
      <c r="N212" s="175">
        <v>0</v>
      </c>
      <c r="O212" s="171">
        <v>0</v>
      </c>
      <c r="P212" s="171">
        <v>0</v>
      </c>
      <c r="Q212" s="175">
        <v>0</v>
      </c>
      <c r="R212" s="6" t="s">
        <v>160</v>
      </c>
      <c r="S212" s="6" t="s">
        <v>256</v>
      </c>
      <c r="T212" s="6" t="s">
        <v>314</v>
      </c>
      <c r="U212" s="6" t="s">
        <v>240</v>
      </c>
      <c r="V212" s="6" t="s">
        <v>306</v>
      </c>
      <c r="W212" s="6"/>
      <c r="X212" s="6" t="s">
        <v>242</v>
      </c>
      <c r="Y212" s="6" t="s">
        <v>141</v>
      </c>
    </row>
    <row r="213" spans="1:25">
      <c r="A213" s="171">
        <v>20</v>
      </c>
      <c r="B213" s="174">
        <v>45047</v>
      </c>
      <c r="C213" s="174">
        <v>45061</v>
      </c>
      <c r="D213" s="174">
        <v>45059</v>
      </c>
      <c r="E213" s="171">
        <v>2023</v>
      </c>
      <c r="F213" s="171">
        <v>5</v>
      </c>
      <c r="G213" s="171">
        <v>13</v>
      </c>
      <c r="H213" s="131"/>
      <c r="I213" s="176"/>
      <c r="J213" s="176"/>
      <c r="K213" s="171" t="s">
        <v>199</v>
      </c>
      <c r="L213" s="171" t="s">
        <v>56</v>
      </c>
      <c r="M213" s="171">
        <v>230</v>
      </c>
      <c r="N213" s="175">
        <v>0</v>
      </c>
      <c r="O213" s="171">
        <v>0</v>
      </c>
      <c r="P213" s="171">
        <v>0</v>
      </c>
      <c r="Q213" s="175">
        <v>0</v>
      </c>
      <c r="R213" s="6" t="s">
        <v>160</v>
      </c>
      <c r="S213" s="6" t="s">
        <v>256</v>
      </c>
      <c r="T213" s="6" t="s">
        <v>314</v>
      </c>
      <c r="U213" s="6" t="s">
        <v>240</v>
      </c>
      <c r="V213" s="6" t="s">
        <v>306</v>
      </c>
      <c r="W213" s="6"/>
      <c r="X213" s="6" t="s">
        <v>242</v>
      </c>
      <c r="Y213" s="6" t="s">
        <v>141</v>
      </c>
    </row>
    <row r="214" spans="1:25">
      <c r="A214" s="171">
        <v>20</v>
      </c>
      <c r="B214" s="174">
        <v>45047</v>
      </c>
      <c r="C214" s="174">
        <v>45058</v>
      </c>
      <c r="D214" s="174">
        <v>45057</v>
      </c>
      <c r="E214" s="171">
        <v>2023</v>
      </c>
      <c r="F214" s="171">
        <v>5</v>
      </c>
      <c r="G214" s="171">
        <v>11</v>
      </c>
      <c r="H214" s="131"/>
      <c r="I214" s="176"/>
      <c r="J214" s="176"/>
      <c r="K214" s="171" t="s">
        <v>199</v>
      </c>
      <c r="L214" s="171" t="s">
        <v>56</v>
      </c>
      <c r="M214" s="171"/>
      <c r="N214" s="175">
        <v>0</v>
      </c>
      <c r="O214" s="171">
        <v>1</v>
      </c>
      <c r="P214" s="171">
        <v>0</v>
      </c>
      <c r="Q214" s="175">
        <v>0</v>
      </c>
      <c r="R214" s="6" t="s">
        <v>160</v>
      </c>
      <c r="S214" s="6" t="s">
        <v>205</v>
      </c>
      <c r="T214" s="6" t="s">
        <v>314</v>
      </c>
      <c r="U214" s="6" t="s">
        <v>322</v>
      </c>
      <c r="V214" s="6" t="s">
        <v>264</v>
      </c>
      <c r="W214" s="6"/>
      <c r="X214" s="6" t="s">
        <v>242</v>
      </c>
      <c r="Y214" s="6" t="s">
        <v>141</v>
      </c>
    </row>
    <row r="215" spans="1:25">
      <c r="A215" s="171">
        <v>20</v>
      </c>
      <c r="B215" s="174">
        <v>45047</v>
      </c>
      <c r="C215" s="174">
        <v>45058</v>
      </c>
      <c r="D215" s="174">
        <v>45057</v>
      </c>
      <c r="E215" s="171">
        <v>2023</v>
      </c>
      <c r="F215" s="171">
        <v>5</v>
      </c>
      <c r="G215" s="171">
        <v>11</v>
      </c>
      <c r="H215" s="131"/>
      <c r="I215" s="176"/>
      <c r="J215" s="176"/>
      <c r="K215" s="171" t="s">
        <v>199</v>
      </c>
      <c r="L215" s="171" t="s">
        <v>56</v>
      </c>
      <c r="M215" s="171"/>
      <c r="N215" s="175">
        <v>0</v>
      </c>
      <c r="O215" s="171">
        <v>2</v>
      </c>
      <c r="P215" s="171">
        <v>0</v>
      </c>
      <c r="Q215" s="175">
        <v>0</v>
      </c>
      <c r="R215" s="6" t="s">
        <v>160</v>
      </c>
      <c r="S215" s="6" t="s">
        <v>161</v>
      </c>
      <c r="T215" s="6" t="s">
        <v>198</v>
      </c>
      <c r="U215" s="6" t="s">
        <v>172</v>
      </c>
      <c r="V215" s="6" t="s">
        <v>265</v>
      </c>
      <c r="W215" s="6"/>
      <c r="X215" s="6" t="s">
        <v>242</v>
      </c>
      <c r="Y215" s="6" t="s">
        <v>141</v>
      </c>
    </row>
    <row r="216" spans="1:25">
      <c r="A216" s="171">
        <v>20</v>
      </c>
      <c r="B216" s="174">
        <v>45047</v>
      </c>
      <c r="C216" s="174">
        <v>45058</v>
      </c>
      <c r="D216" s="174">
        <v>45057</v>
      </c>
      <c r="E216" s="171">
        <v>2023</v>
      </c>
      <c r="F216" s="171">
        <v>5</v>
      </c>
      <c r="G216" s="171">
        <v>11</v>
      </c>
      <c r="H216" s="131"/>
      <c r="I216" s="176"/>
      <c r="J216" s="176"/>
      <c r="K216" s="171" t="s">
        <v>199</v>
      </c>
      <c r="L216" s="171" t="s">
        <v>56</v>
      </c>
      <c r="M216" s="171"/>
      <c r="N216" s="175">
        <v>0</v>
      </c>
      <c r="O216" s="171">
        <v>2</v>
      </c>
      <c r="P216" s="171">
        <v>0</v>
      </c>
      <c r="Q216" s="175">
        <v>0</v>
      </c>
      <c r="R216" s="6" t="s">
        <v>157</v>
      </c>
      <c r="S216" s="6" t="s">
        <v>205</v>
      </c>
      <c r="T216" s="6" t="s">
        <v>166</v>
      </c>
      <c r="U216" s="6" t="s">
        <v>169</v>
      </c>
      <c r="V216" s="6" t="s">
        <v>266</v>
      </c>
      <c r="W216" s="6"/>
      <c r="X216" s="6" t="s">
        <v>242</v>
      </c>
      <c r="Y216" s="6" t="s">
        <v>141</v>
      </c>
    </row>
    <row r="217" spans="1:25">
      <c r="A217" s="171">
        <v>20</v>
      </c>
      <c r="B217" s="174">
        <v>45047</v>
      </c>
      <c r="C217" s="174">
        <v>45058</v>
      </c>
      <c r="D217" s="174">
        <v>45057</v>
      </c>
      <c r="E217" s="171">
        <v>2023</v>
      </c>
      <c r="F217" s="171">
        <v>5</v>
      </c>
      <c r="G217" s="171">
        <v>11</v>
      </c>
      <c r="H217" s="131"/>
      <c r="I217" s="176"/>
      <c r="J217" s="176"/>
      <c r="K217" s="171"/>
      <c r="L217" s="171" t="s">
        <v>56</v>
      </c>
      <c r="M217" s="171">
        <v>1400</v>
      </c>
      <c r="N217" s="175">
        <v>0</v>
      </c>
      <c r="O217" s="171">
        <v>0</v>
      </c>
      <c r="P217" s="171">
        <v>0</v>
      </c>
      <c r="Q217" s="175">
        <v>0</v>
      </c>
      <c r="R217" s="6"/>
      <c r="S217" s="6"/>
      <c r="T217" s="6"/>
      <c r="U217" s="6"/>
      <c r="V217" s="6"/>
      <c r="W217" s="6"/>
      <c r="X217" s="6" t="s">
        <v>242</v>
      </c>
      <c r="Y217" s="6" t="s">
        <v>141</v>
      </c>
    </row>
    <row r="218" spans="1:25">
      <c r="A218" s="171">
        <v>20</v>
      </c>
      <c r="B218" s="174">
        <v>45047</v>
      </c>
      <c r="C218" s="174">
        <v>45058</v>
      </c>
      <c r="D218" s="174">
        <v>45057</v>
      </c>
      <c r="E218" s="171">
        <v>2023</v>
      </c>
      <c r="F218" s="171">
        <v>5</v>
      </c>
      <c r="G218" s="171">
        <v>11</v>
      </c>
      <c r="H218" s="131"/>
      <c r="I218" s="176"/>
      <c r="J218" s="176"/>
      <c r="K218" s="171"/>
      <c r="L218" s="171" t="s">
        <v>56</v>
      </c>
      <c r="M218" s="171">
        <v>2600</v>
      </c>
      <c r="N218" s="175">
        <v>0</v>
      </c>
      <c r="O218" s="171">
        <v>0</v>
      </c>
      <c r="P218" s="171">
        <v>0</v>
      </c>
      <c r="Q218" s="175">
        <v>0</v>
      </c>
      <c r="R218" s="6"/>
      <c r="S218" s="6"/>
      <c r="T218" s="6"/>
      <c r="U218" s="6"/>
      <c r="V218" s="6"/>
      <c r="W218" s="6"/>
      <c r="X218" s="6" t="s">
        <v>242</v>
      </c>
      <c r="Y218" s="6" t="s">
        <v>141</v>
      </c>
    </row>
    <row r="219" spans="1:25">
      <c r="A219" s="171">
        <v>20</v>
      </c>
      <c r="B219" s="174">
        <v>45047</v>
      </c>
      <c r="C219" s="174">
        <v>45058</v>
      </c>
      <c r="D219" s="174">
        <v>45057</v>
      </c>
      <c r="E219" s="171">
        <v>2023</v>
      </c>
      <c r="F219" s="171">
        <v>5</v>
      </c>
      <c r="G219" s="171">
        <v>11</v>
      </c>
      <c r="H219" s="131"/>
      <c r="I219" s="176"/>
      <c r="J219" s="176"/>
      <c r="K219" s="171"/>
      <c r="L219" s="171" t="s">
        <v>56</v>
      </c>
      <c r="M219" s="171">
        <v>3501</v>
      </c>
      <c r="N219" s="175">
        <v>1</v>
      </c>
      <c r="O219" s="171">
        <v>1</v>
      </c>
      <c r="P219" s="171">
        <v>1</v>
      </c>
      <c r="Q219" s="175">
        <v>0</v>
      </c>
      <c r="R219" s="6" t="s">
        <v>157</v>
      </c>
      <c r="S219" s="6" t="s">
        <v>205</v>
      </c>
      <c r="T219" s="6" t="s">
        <v>166</v>
      </c>
      <c r="U219" s="6" t="s">
        <v>169</v>
      </c>
      <c r="V219" s="6"/>
      <c r="W219" s="6"/>
      <c r="X219" s="6" t="s">
        <v>242</v>
      </c>
      <c r="Y219" s="6" t="s">
        <v>141</v>
      </c>
    </row>
    <row r="220" spans="1:25">
      <c r="A220" s="171">
        <v>20</v>
      </c>
      <c r="B220" s="174">
        <v>45047</v>
      </c>
      <c r="C220" s="174">
        <v>45057</v>
      </c>
      <c r="D220" s="174">
        <v>45056</v>
      </c>
      <c r="E220" s="171">
        <v>2023</v>
      </c>
      <c r="F220" s="171">
        <v>5</v>
      </c>
      <c r="G220" s="171">
        <v>10</v>
      </c>
      <c r="H220" s="131"/>
      <c r="I220" s="176"/>
      <c r="J220" s="176"/>
      <c r="K220" s="171"/>
      <c r="L220" s="171" t="s">
        <v>56</v>
      </c>
      <c r="M220" s="171">
        <v>300</v>
      </c>
      <c r="N220" s="175">
        <v>0</v>
      </c>
      <c r="O220" s="171">
        <v>0</v>
      </c>
      <c r="P220" s="171">
        <v>0</v>
      </c>
      <c r="Q220" s="175">
        <v>0</v>
      </c>
      <c r="R220" s="6"/>
      <c r="S220" s="6"/>
      <c r="T220" s="6"/>
      <c r="U220" s="6"/>
      <c r="V220" s="6"/>
      <c r="W220" s="6"/>
      <c r="X220" s="6" t="s">
        <v>242</v>
      </c>
      <c r="Y220" s="6" t="s">
        <v>141</v>
      </c>
    </row>
    <row r="221" spans="1:25">
      <c r="A221" s="171">
        <v>20</v>
      </c>
      <c r="B221" s="174">
        <v>45047</v>
      </c>
      <c r="C221" s="174">
        <v>45057</v>
      </c>
      <c r="D221" s="174">
        <v>45056</v>
      </c>
      <c r="E221" s="171">
        <v>2023</v>
      </c>
      <c r="F221" s="171">
        <v>5</v>
      </c>
      <c r="G221" s="171">
        <v>10</v>
      </c>
      <c r="H221" s="131"/>
      <c r="I221" s="176"/>
      <c r="J221" s="176"/>
      <c r="K221" s="171"/>
      <c r="L221" s="171" t="s">
        <v>56</v>
      </c>
      <c r="M221" s="171">
        <v>3000</v>
      </c>
      <c r="N221" s="175">
        <v>0</v>
      </c>
      <c r="O221" s="171">
        <v>0</v>
      </c>
      <c r="P221" s="171">
        <v>0</v>
      </c>
      <c r="Q221" s="175">
        <v>0</v>
      </c>
      <c r="R221" s="6"/>
      <c r="S221" s="6"/>
      <c r="T221" s="6"/>
      <c r="U221" s="6"/>
      <c r="V221" s="6"/>
      <c r="W221" s="6"/>
      <c r="X221" s="6" t="s">
        <v>242</v>
      </c>
      <c r="Y221" s="6" t="s">
        <v>141</v>
      </c>
    </row>
    <row r="222" spans="1:25">
      <c r="A222" s="171">
        <v>20</v>
      </c>
      <c r="B222" s="174">
        <v>45047</v>
      </c>
      <c r="C222" s="174">
        <v>45061</v>
      </c>
      <c r="D222" s="174">
        <v>45059</v>
      </c>
      <c r="E222" s="171">
        <v>2023</v>
      </c>
      <c r="F222" s="171">
        <v>5</v>
      </c>
      <c r="G222" s="171">
        <v>13</v>
      </c>
      <c r="H222" s="131"/>
      <c r="I222" s="176"/>
      <c r="J222" s="176"/>
      <c r="K222" s="171"/>
      <c r="L222" s="171" t="s">
        <v>56</v>
      </c>
      <c r="M222" s="171">
        <v>1700</v>
      </c>
      <c r="N222" s="175">
        <v>0</v>
      </c>
      <c r="O222" s="171">
        <v>0</v>
      </c>
      <c r="P222" s="171">
        <v>0</v>
      </c>
      <c r="Q222" s="175">
        <v>0</v>
      </c>
      <c r="R222" s="6"/>
      <c r="S222" s="6"/>
      <c r="T222" s="6"/>
      <c r="U222" s="6"/>
      <c r="V222" s="6"/>
      <c r="W222" s="6"/>
      <c r="X222" s="6" t="s">
        <v>242</v>
      </c>
      <c r="Y222" s="6" t="s">
        <v>141</v>
      </c>
    </row>
    <row r="223" spans="1:25">
      <c r="A223" s="171">
        <v>20</v>
      </c>
      <c r="B223" s="174">
        <v>45047</v>
      </c>
      <c r="C223" s="174">
        <v>45061</v>
      </c>
      <c r="D223" s="174">
        <v>45058</v>
      </c>
      <c r="E223" s="171">
        <v>2023</v>
      </c>
      <c r="F223" s="171">
        <v>5</v>
      </c>
      <c r="G223" s="171">
        <v>12</v>
      </c>
      <c r="H223" s="131"/>
      <c r="I223" s="176"/>
      <c r="J223" s="176"/>
      <c r="K223" s="171"/>
      <c r="L223" s="171" t="s">
        <v>56</v>
      </c>
      <c r="M223" s="171">
        <v>220</v>
      </c>
      <c r="N223" s="175">
        <v>0</v>
      </c>
      <c r="O223" s="171">
        <v>0</v>
      </c>
      <c r="P223" s="171">
        <v>0</v>
      </c>
      <c r="Q223" s="175">
        <v>0</v>
      </c>
      <c r="R223" s="6"/>
      <c r="S223" s="6"/>
      <c r="T223" s="6"/>
      <c r="U223" s="6"/>
      <c r="V223" s="6"/>
      <c r="W223" s="6"/>
      <c r="X223" s="6" t="s">
        <v>242</v>
      </c>
      <c r="Y223" s="6" t="s">
        <v>141</v>
      </c>
    </row>
    <row r="224" spans="1:25">
      <c r="A224" s="171">
        <v>20</v>
      </c>
      <c r="B224" s="174">
        <v>45047</v>
      </c>
      <c r="C224" s="174">
        <v>45061</v>
      </c>
      <c r="D224" s="174">
        <v>45058</v>
      </c>
      <c r="E224" s="171">
        <v>2023</v>
      </c>
      <c r="F224" s="171">
        <v>5</v>
      </c>
      <c r="G224" s="171">
        <v>12</v>
      </c>
      <c r="H224" s="131"/>
      <c r="I224" s="176"/>
      <c r="J224" s="176"/>
      <c r="K224" s="171"/>
      <c r="L224" s="171" t="s">
        <v>56</v>
      </c>
      <c r="M224" s="171">
        <v>3001</v>
      </c>
      <c r="N224" s="175">
        <v>1</v>
      </c>
      <c r="O224" s="171">
        <v>1</v>
      </c>
      <c r="P224" s="171">
        <v>1</v>
      </c>
      <c r="Q224" s="175">
        <v>0</v>
      </c>
      <c r="R224" s="6" t="s">
        <v>157</v>
      </c>
      <c r="S224" s="6" t="s">
        <v>205</v>
      </c>
      <c r="T224" s="6" t="s">
        <v>166</v>
      </c>
      <c r="U224" s="6" t="s">
        <v>169</v>
      </c>
      <c r="V224" s="6"/>
      <c r="W224" s="6"/>
      <c r="X224" s="6" t="s">
        <v>242</v>
      </c>
      <c r="Y224" s="6" t="s">
        <v>141</v>
      </c>
    </row>
    <row r="225" spans="1:25">
      <c r="A225" s="171">
        <v>20</v>
      </c>
      <c r="B225" s="174">
        <v>45047</v>
      </c>
      <c r="C225" s="174">
        <v>45058</v>
      </c>
      <c r="D225" s="174">
        <v>45057</v>
      </c>
      <c r="E225" s="171">
        <v>2023</v>
      </c>
      <c r="F225" s="171">
        <v>5</v>
      </c>
      <c r="G225" s="171">
        <v>11</v>
      </c>
      <c r="H225" s="131"/>
      <c r="I225" s="176"/>
      <c r="J225" s="176"/>
      <c r="K225" s="171"/>
      <c r="L225" s="171" t="s">
        <v>56</v>
      </c>
      <c r="M225" s="171">
        <v>600</v>
      </c>
      <c r="N225" s="175">
        <v>0</v>
      </c>
      <c r="O225" s="171">
        <v>0</v>
      </c>
      <c r="P225" s="171">
        <v>0</v>
      </c>
      <c r="Q225" s="175">
        <v>0</v>
      </c>
      <c r="R225" s="6"/>
      <c r="S225" s="6"/>
      <c r="T225" s="6"/>
      <c r="U225" s="6"/>
      <c r="V225" s="6"/>
      <c r="W225" s="6"/>
      <c r="X225" s="6" t="s">
        <v>242</v>
      </c>
      <c r="Y225" s="6" t="s">
        <v>141</v>
      </c>
    </row>
    <row r="226" spans="1:25">
      <c r="A226" s="171">
        <v>20</v>
      </c>
      <c r="B226" s="174">
        <v>45047</v>
      </c>
      <c r="C226" s="174">
        <v>45058</v>
      </c>
      <c r="D226" s="174">
        <v>45057</v>
      </c>
      <c r="E226" s="171">
        <v>2023</v>
      </c>
      <c r="F226" s="171">
        <v>5</v>
      </c>
      <c r="G226" s="171">
        <v>11</v>
      </c>
      <c r="H226" s="131"/>
      <c r="I226" s="176"/>
      <c r="J226" s="176"/>
      <c r="K226" s="171"/>
      <c r="L226" s="171" t="s">
        <v>56</v>
      </c>
      <c r="M226" s="171">
        <v>2992</v>
      </c>
      <c r="N226" s="175">
        <v>0</v>
      </c>
      <c r="O226" s="171">
        <v>0</v>
      </c>
      <c r="P226" s="171">
        <v>0</v>
      </c>
      <c r="Q226" s="175">
        <v>0</v>
      </c>
      <c r="R226" s="6"/>
      <c r="S226" s="6"/>
      <c r="T226" s="6"/>
      <c r="U226" s="6"/>
      <c r="V226" s="6"/>
      <c r="W226" s="6"/>
      <c r="X226" s="6" t="s">
        <v>242</v>
      </c>
      <c r="Y226" s="6" t="s">
        <v>141</v>
      </c>
    </row>
    <row r="227" spans="1:25">
      <c r="A227" s="171">
        <v>20</v>
      </c>
      <c r="B227" s="174">
        <v>45047</v>
      </c>
      <c r="C227" s="174">
        <v>45057</v>
      </c>
      <c r="D227" s="174">
        <v>45056</v>
      </c>
      <c r="E227" s="171">
        <v>2023</v>
      </c>
      <c r="F227" s="171">
        <v>5</v>
      </c>
      <c r="G227" s="171">
        <v>10</v>
      </c>
      <c r="H227" s="131"/>
      <c r="I227" s="176"/>
      <c r="J227" s="176"/>
      <c r="K227" s="171"/>
      <c r="L227" s="171" t="s">
        <v>56</v>
      </c>
      <c r="M227" s="171">
        <v>720</v>
      </c>
      <c r="N227" s="175">
        <v>0</v>
      </c>
      <c r="O227" s="171">
        <v>0</v>
      </c>
      <c r="P227" s="171">
        <v>0</v>
      </c>
      <c r="Q227" s="175">
        <v>0</v>
      </c>
      <c r="R227" s="6"/>
      <c r="S227" s="6"/>
      <c r="T227" s="6"/>
      <c r="U227" s="6"/>
      <c r="V227" s="6"/>
      <c r="W227" s="6"/>
      <c r="X227" s="6" t="s">
        <v>242</v>
      </c>
      <c r="Y227" s="6" t="s">
        <v>141</v>
      </c>
    </row>
    <row r="228" spans="1:25">
      <c r="A228" s="171">
        <v>20</v>
      </c>
      <c r="B228" s="174">
        <v>45047</v>
      </c>
      <c r="C228" s="174">
        <v>45056</v>
      </c>
      <c r="D228" s="174">
        <v>45055</v>
      </c>
      <c r="E228" s="171">
        <v>2023</v>
      </c>
      <c r="F228" s="171">
        <v>5</v>
      </c>
      <c r="G228" s="171">
        <v>9</v>
      </c>
      <c r="H228" s="131"/>
      <c r="I228" s="176"/>
      <c r="J228" s="176"/>
      <c r="K228" s="171"/>
      <c r="L228" s="171" t="s">
        <v>56</v>
      </c>
      <c r="M228" s="171">
        <v>200</v>
      </c>
      <c r="N228" s="175">
        <v>0</v>
      </c>
      <c r="O228" s="171">
        <v>0</v>
      </c>
      <c r="P228" s="171">
        <v>0</v>
      </c>
      <c r="Q228" s="175">
        <v>0</v>
      </c>
      <c r="R228" s="6"/>
      <c r="S228" s="6"/>
      <c r="T228" s="6"/>
      <c r="U228" s="6"/>
      <c r="V228" s="6"/>
      <c r="W228" s="6"/>
      <c r="X228" s="6" t="s">
        <v>242</v>
      </c>
      <c r="Y228" s="6" t="s">
        <v>141</v>
      </c>
    </row>
    <row r="229" spans="1:25">
      <c r="A229" s="171">
        <v>20</v>
      </c>
      <c r="B229" s="174">
        <v>45047</v>
      </c>
      <c r="C229" s="174">
        <v>45056</v>
      </c>
      <c r="D229" s="174">
        <v>45055</v>
      </c>
      <c r="E229" s="171">
        <v>2023</v>
      </c>
      <c r="F229" s="171">
        <v>5</v>
      </c>
      <c r="G229" s="171">
        <v>9</v>
      </c>
      <c r="H229" s="131"/>
      <c r="I229" s="176"/>
      <c r="J229" s="176"/>
      <c r="K229" s="171"/>
      <c r="L229" s="171" t="s">
        <v>56</v>
      </c>
      <c r="M229" s="171">
        <v>350</v>
      </c>
      <c r="N229" s="175">
        <v>0</v>
      </c>
      <c r="O229" s="171">
        <v>0</v>
      </c>
      <c r="P229" s="171">
        <v>0</v>
      </c>
      <c r="Q229" s="175">
        <v>0</v>
      </c>
      <c r="R229" s="6"/>
      <c r="S229" s="6"/>
      <c r="T229" s="6"/>
      <c r="U229" s="6"/>
      <c r="V229" s="6"/>
      <c r="W229" s="6"/>
      <c r="X229" s="6" t="s">
        <v>242</v>
      </c>
      <c r="Y229" s="6" t="s">
        <v>141</v>
      </c>
    </row>
    <row r="230" spans="1:25">
      <c r="A230" s="171">
        <v>20</v>
      </c>
      <c r="B230" s="174">
        <v>45047</v>
      </c>
      <c r="C230" s="174">
        <v>45057</v>
      </c>
      <c r="D230" s="174">
        <v>45056</v>
      </c>
      <c r="E230" s="171">
        <v>2023</v>
      </c>
      <c r="F230" s="171">
        <v>5</v>
      </c>
      <c r="G230" s="171">
        <v>10</v>
      </c>
      <c r="H230" s="131"/>
      <c r="I230" s="176"/>
      <c r="J230" s="176"/>
      <c r="K230" s="171"/>
      <c r="L230" s="171" t="s">
        <v>56</v>
      </c>
      <c r="M230" s="171">
        <v>1000</v>
      </c>
      <c r="N230" s="175">
        <v>0</v>
      </c>
      <c r="O230" s="171">
        <v>0</v>
      </c>
      <c r="P230" s="171">
        <v>0</v>
      </c>
      <c r="Q230" s="175">
        <v>0</v>
      </c>
      <c r="R230" s="6"/>
      <c r="S230" s="6"/>
      <c r="T230" s="6"/>
      <c r="U230" s="6"/>
      <c r="V230" s="6"/>
      <c r="W230" s="6"/>
      <c r="X230" s="6" t="s">
        <v>242</v>
      </c>
      <c r="Y230" s="6" t="s">
        <v>141</v>
      </c>
    </row>
    <row r="231" spans="1:25">
      <c r="A231" s="171">
        <v>20</v>
      </c>
      <c r="B231" s="174">
        <v>45047</v>
      </c>
      <c r="C231" s="174">
        <v>45057</v>
      </c>
      <c r="D231" s="174">
        <v>45056</v>
      </c>
      <c r="E231" s="171">
        <v>2023</v>
      </c>
      <c r="F231" s="171">
        <v>5</v>
      </c>
      <c r="G231" s="171">
        <v>10</v>
      </c>
      <c r="H231" s="131"/>
      <c r="I231" s="176"/>
      <c r="J231" s="176"/>
      <c r="K231" s="171"/>
      <c r="L231" s="171" t="s">
        <v>56</v>
      </c>
      <c r="M231" s="171">
        <v>1030</v>
      </c>
      <c r="N231" s="175">
        <v>0</v>
      </c>
      <c r="O231" s="171">
        <v>0</v>
      </c>
      <c r="P231" s="171">
        <v>0</v>
      </c>
      <c r="Q231" s="175">
        <v>0</v>
      </c>
      <c r="R231" s="6"/>
      <c r="S231" s="6"/>
      <c r="T231" s="6"/>
      <c r="U231" s="6"/>
      <c r="V231" s="6"/>
      <c r="W231" s="6"/>
      <c r="X231" s="6" t="s">
        <v>242</v>
      </c>
      <c r="Y231" s="6" t="s">
        <v>141</v>
      </c>
    </row>
    <row r="232" spans="1:25">
      <c r="A232" s="171">
        <v>20</v>
      </c>
      <c r="B232" s="174">
        <v>45047</v>
      </c>
      <c r="C232" s="174">
        <v>45061</v>
      </c>
      <c r="D232" s="174">
        <v>45059</v>
      </c>
      <c r="E232" s="171">
        <v>2023</v>
      </c>
      <c r="F232" s="171">
        <v>5</v>
      </c>
      <c r="G232" s="171">
        <v>13</v>
      </c>
      <c r="H232" s="131"/>
      <c r="I232" s="176"/>
      <c r="J232" s="176"/>
      <c r="K232" s="171"/>
      <c r="L232" s="171" t="s">
        <v>56</v>
      </c>
      <c r="M232" s="171">
        <v>1000</v>
      </c>
      <c r="N232" s="175">
        <v>0</v>
      </c>
      <c r="O232" s="171">
        <v>0</v>
      </c>
      <c r="P232" s="171">
        <v>0</v>
      </c>
      <c r="Q232" s="175">
        <v>0</v>
      </c>
      <c r="R232" s="6"/>
      <c r="S232" s="6"/>
      <c r="T232" s="6"/>
      <c r="U232" s="6"/>
      <c r="V232" s="6"/>
      <c r="W232" s="6"/>
      <c r="X232" s="6" t="s">
        <v>242</v>
      </c>
      <c r="Y232" s="6" t="s">
        <v>141</v>
      </c>
    </row>
    <row r="233" spans="1:25">
      <c r="A233" s="171">
        <v>20</v>
      </c>
      <c r="B233" s="174">
        <v>45047</v>
      </c>
      <c r="C233" s="174">
        <v>45056</v>
      </c>
      <c r="D233" s="174">
        <v>45055</v>
      </c>
      <c r="E233" s="171">
        <v>2023</v>
      </c>
      <c r="F233" s="171">
        <v>5</v>
      </c>
      <c r="G233" s="171">
        <v>9</v>
      </c>
      <c r="H233" s="131"/>
      <c r="I233" s="176"/>
      <c r="J233" s="176"/>
      <c r="K233" s="171"/>
      <c r="L233" s="171" t="s">
        <v>56</v>
      </c>
      <c r="M233" s="171">
        <v>4650</v>
      </c>
      <c r="N233" s="175">
        <v>0</v>
      </c>
      <c r="O233" s="171">
        <v>0</v>
      </c>
      <c r="P233" s="171">
        <v>0</v>
      </c>
      <c r="Q233" s="175">
        <v>0</v>
      </c>
      <c r="R233" s="6"/>
      <c r="S233" s="6"/>
      <c r="T233" s="6"/>
      <c r="U233" s="6"/>
      <c r="V233" s="6"/>
      <c r="W233" s="6"/>
      <c r="X233" s="6" t="s">
        <v>242</v>
      </c>
      <c r="Y233" s="6" t="s">
        <v>141</v>
      </c>
    </row>
    <row r="234" spans="1:25">
      <c r="A234" s="171">
        <v>20</v>
      </c>
      <c r="B234" s="174">
        <v>45047</v>
      </c>
      <c r="C234" s="174">
        <v>45056</v>
      </c>
      <c r="D234" s="174">
        <v>45055</v>
      </c>
      <c r="E234" s="171">
        <v>2023</v>
      </c>
      <c r="F234" s="171">
        <v>5</v>
      </c>
      <c r="G234" s="171">
        <v>9</v>
      </c>
      <c r="H234" s="131"/>
      <c r="I234" s="176"/>
      <c r="J234" s="176"/>
      <c r="K234" s="171"/>
      <c r="L234" s="171" t="s">
        <v>56</v>
      </c>
      <c r="M234" s="171">
        <v>660</v>
      </c>
      <c r="N234" s="175">
        <v>0</v>
      </c>
      <c r="O234" s="171">
        <v>0</v>
      </c>
      <c r="P234" s="171">
        <v>0</v>
      </c>
      <c r="Q234" s="175">
        <v>0</v>
      </c>
      <c r="R234" s="6"/>
      <c r="S234" s="6"/>
      <c r="T234" s="6"/>
      <c r="U234" s="6"/>
      <c r="V234" s="6"/>
      <c r="W234" s="6"/>
      <c r="X234" s="6" t="s">
        <v>242</v>
      </c>
      <c r="Y234" s="6" t="s">
        <v>141</v>
      </c>
    </row>
    <row r="235" spans="1:25">
      <c r="A235" s="171">
        <v>20</v>
      </c>
      <c r="B235" s="174">
        <v>45047</v>
      </c>
      <c r="C235" s="174">
        <v>45055</v>
      </c>
      <c r="D235" s="174">
        <v>45054</v>
      </c>
      <c r="E235" s="171">
        <v>2023</v>
      </c>
      <c r="F235" s="171">
        <v>5</v>
      </c>
      <c r="G235" s="171">
        <v>8</v>
      </c>
      <c r="H235" s="131"/>
      <c r="I235" s="176"/>
      <c r="J235" s="176"/>
      <c r="K235" s="171"/>
      <c r="L235" s="171" t="s">
        <v>56</v>
      </c>
      <c r="M235" s="171">
        <v>500</v>
      </c>
      <c r="N235" s="175">
        <v>0</v>
      </c>
      <c r="O235" s="171">
        <v>0</v>
      </c>
      <c r="P235" s="171">
        <v>0</v>
      </c>
      <c r="Q235" s="175">
        <v>0</v>
      </c>
      <c r="R235" s="6"/>
      <c r="S235" s="6"/>
      <c r="T235" s="6"/>
      <c r="U235" s="6"/>
      <c r="V235" s="6"/>
      <c r="W235" s="6"/>
      <c r="X235" s="6" t="s">
        <v>242</v>
      </c>
      <c r="Y235" s="6" t="s">
        <v>141</v>
      </c>
    </row>
    <row r="236" spans="1:25">
      <c r="A236" s="171">
        <v>20</v>
      </c>
      <c r="B236" s="174">
        <v>45047</v>
      </c>
      <c r="C236" s="174">
        <v>45056</v>
      </c>
      <c r="D236" s="174">
        <v>45055</v>
      </c>
      <c r="E236" s="171">
        <v>2023</v>
      </c>
      <c r="F236" s="171">
        <v>5</v>
      </c>
      <c r="G236" s="171">
        <v>9</v>
      </c>
      <c r="H236" s="131"/>
      <c r="I236" s="176"/>
      <c r="J236" s="176"/>
      <c r="K236" s="171"/>
      <c r="L236" s="171" t="s">
        <v>56</v>
      </c>
      <c r="M236" s="171">
        <v>300</v>
      </c>
      <c r="N236" s="175">
        <v>0</v>
      </c>
      <c r="O236" s="171">
        <v>0</v>
      </c>
      <c r="P236" s="171">
        <v>0</v>
      </c>
      <c r="Q236" s="175">
        <v>0</v>
      </c>
      <c r="R236" s="6"/>
      <c r="S236" s="6"/>
      <c r="T236" s="6"/>
      <c r="U236" s="6"/>
      <c r="V236" s="6"/>
      <c r="W236" s="6"/>
      <c r="X236" s="6" t="s">
        <v>242</v>
      </c>
      <c r="Y236" s="6" t="s">
        <v>141</v>
      </c>
    </row>
    <row r="237" spans="1:25">
      <c r="A237" s="171">
        <v>20</v>
      </c>
      <c r="B237" s="174">
        <v>45047</v>
      </c>
      <c r="C237" s="174">
        <v>45055</v>
      </c>
      <c r="D237" s="174">
        <v>45054</v>
      </c>
      <c r="E237" s="171">
        <v>2023</v>
      </c>
      <c r="F237" s="171">
        <v>5</v>
      </c>
      <c r="G237" s="171">
        <v>8</v>
      </c>
      <c r="H237" s="131"/>
      <c r="I237" s="176"/>
      <c r="J237" s="176"/>
      <c r="K237" s="171"/>
      <c r="L237" s="171" t="s">
        <v>56</v>
      </c>
      <c r="M237" s="171">
        <v>1000</v>
      </c>
      <c r="N237" s="175">
        <v>0</v>
      </c>
      <c r="O237" s="171">
        <v>0</v>
      </c>
      <c r="P237" s="171">
        <v>0</v>
      </c>
      <c r="Q237" s="175">
        <v>0</v>
      </c>
      <c r="R237" s="6"/>
      <c r="S237" s="6"/>
      <c r="T237" s="6"/>
      <c r="U237" s="6"/>
      <c r="V237" s="6"/>
      <c r="W237" s="6"/>
      <c r="X237" s="6" t="s">
        <v>242</v>
      </c>
      <c r="Y237" s="6" t="s">
        <v>141</v>
      </c>
    </row>
    <row r="238" spans="1:25">
      <c r="A238" s="171">
        <v>20</v>
      </c>
      <c r="B238" s="174">
        <v>45047</v>
      </c>
      <c r="C238" s="174">
        <v>45061</v>
      </c>
      <c r="D238" s="174">
        <v>45058</v>
      </c>
      <c r="E238" s="171">
        <v>2023</v>
      </c>
      <c r="F238" s="171">
        <v>5</v>
      </c>
      <c r="G238" s="171">
        <v>12</v>
      </c>
      <c r="H238" s="131"/>
      <c r="I238" s="176"/>
      <c r="J238" s="176"/>
      <c r="K238" s="171"/>
      <c r="L238" s="171" t="s">
        <v>56</v>
      </c>
      <c r="M238" s="171">
        <v>900</v>
      </c>
      <c r="N238" s="175">
        <v>0</v>
      </c>
      <c r="O238" s="171">
        <v>0</v>
      </c>
      <c r="P238" s="171">
        <v>0</v>
      </c>
      <c r="Q238" s="175">
        <v>0</v>
      </c>
      <c r="R238" s="6"/>
      <c r="S238" s="6"/>
      <c r="T238" s="6"/>
      <c r="U238" s="6"/>
      <c r="V238" s="6"/>
      <c r="W238" s="6"/>
      <c r="X238" s="6" t="s">
        <v>242</v>
      </c>
      <c r="Y238" s="6" t="s">
        <v>141</v>
      </c>
    </row>
    <row r="239" spans="1:25">
      <c r="A239" s="171">
        <v>20</v>
      </c>
      <c r="B239" s="174">
        <v>45047</v>
      </c>
      <c r="C239" s="174">
        <v>45057</v>
      </c>
      <c r="D239" s="174">
        <v>45056</v>
      </c>
      <c r="E239" s="171">
        <v>2023</v>
      </c>
      <c r="F239" s="171">
        <v>5</v>
      </c>
      <c r="G239" s="171">
        <v>10</v>
      </c>
      <c r="H239" s="131"/>
      <c r="I239" s="176"/>
      <c r="J239" s="176"/>
      <c r="K239" s="171"/>
      <c r="L239" s="171" t="s">
        <v>56</v>
      </c>
      <c r="M239" s="171">
        <v>1100</v>
      </c>
      <c r="N239" s="175">
        <v>0</v>
      </c>
      <c r="O239" s="171">
        <v>0</v>
      </c>
      <c r="P239" s="171">
        <v>0</v>
      </c>
      <c r="Q239" s="175">
        <v>0</v>
      </c>
      <c r="R239" s="6"/>
      <c r="S239" s="6"/>
      <c r="T239" s="6"/>
      <c r="U239" s="6"/>
      <c r="V239" s="6"/>
      <c r="W239" s="6"/>
      <c r="X239" s="6" t="s">
        <v>242</v>
      </c>
      <c r="Y239" s="6" t="s">
        <v>141</v>
      </c>
    </row>
    <row r="240" spans="1:25">
      <c r="A240" s="171">
        <v>20</v>
      </c>
      <c r="B240" s="174">
        <v>45047</v>
      </c>
      <c r="C240" s="174">
        <v>45058</v>
      </c>
      <c r="D240" s="174">
        <v>45057</v>
      </c>
      <c r="E240" s="171">
        <v>2023</v>
      </c>
      <c r="F240" s="171">
        <v>5</v>
      </c>
      <c r="G240" s="171">
        <v>11</v>
      </c>
      <c r="H240" s="131"/>
      <c r="I240" s="176"/>
      <c r="J240" s="176"/>
      <c r="K240" s="171"/>
      <c r="L240" s="171" t="s">
        <v>56</v>
      </c>
      <c r="M240" s="171">
        <v>1103</v>
      </c>
      <c r="N240" s="175">
        <v>3</v>
      </c>
      <c r="O240" s="171">
        <v>2</v>
      </c>
      <c r="P240" s="171">
        <v>0</v>
      </c>
      <c r="Q240" s="175">
        <v>3</v>
      </c>
      <c r="R240" s="6" t="s">
        <v>160</v>
      </c>
      <c r="S240" s="6" t="s">
        <v>161</v>
      </c>
      <c r="T240" s="6" t="s">
        <v>314</v>
      </c>
      <c r="U240" s="6" t="s">
        <v>175</v>
      </c>
      <c r="V240" s="6" t="s">
        <v>300</v>
      </c>
      <c r="W240" s="6"/>
      <c r="X240" s="6" t="s">
        <v>242</v>
      </c>
      <c r="Y240" s="6" t="s">
        <v>141</v>
      </c>
    </row>
    <row r="241" spans="1:25">
      <c r="A241" s="171">
        <v>20</v>
      </c>
      <c r="B241" s="174">
        <v>45047</v>
      </c>
      <c r="C241" s="174">
        <v>45056</v>
      </c>
      <c r="D241" s="174">
        <v>45055</v>
      </c>
      <c r="E241" s="171">
        <v>2023</v>
      </c>
      <c r="F241" s="171">
        <v>5</v>
      </c>
      <c r="G241" s="171">
        <v>9</v>
      </c>
      <c r="H241" s="131"/>
      <c r="I241" s="176"/>
      <c r="J241" s="176"/>
      <c r="K241" s="171"/>
      <c r="L241" s="171" t="s">
        <v>56</v>
      </c>
      <c r="M241" s="171">
        <v>500</v>
      </c>
      <c r="N241" s="175">
        <v>0</v>
      </c>
      <c r="O241" s="171">
        <v>0</v>
      </c>
      <c r="P241" s="171">
        <v>0</v>
      </c>
      <c r="Q241" s="175">
        <v>0</v>
      </c>
      <c r="R241" s="6"/>
      <c r="S241" s="6"/>
      <c r="T241" s="6"/>
      <c r="U241" s="6"/>
      <c r="V241" s="6"/>
      <c r="W241" s="6"/>
      <c r="X241" s="6" t="s">
        <v>242</v>
      </c>
      <c r="Y241" s="6" t="s">
        <v>141</v>
      </c>
    </row>
    <row r="242" spans="1:25">
      <c r="A242" s="171">
        <v>20</v>
      </c>
      <c r="B242" s="174">
        <v>45047</v>
      </c>
      <c r="C242" s="174">
        <v>45055</v>
      </c>
      <c r="D242" s="174">
        <v>45054</v>
      </c>
      <c r="E242" s="171">
        <v>2023</v>
      </c>
      <c r="F242" s="171">
        <v>5</v>
      </c>
      <c r="G242" s="171">
        <v>8</v>
      </c>
      <c r="H242" s="131"/>
      <c r="I242" s="176"/>
      <c r="J242" s="176"/>
      <c r="K242" s="171"/>
      <c r="L242" s="171" t="s">
        <v>56</v>
      </c>
      <c r="M242" s="171">
        <v>400</v>
      </c>
      <c r="N242" s="175">
        <v>0</v>
      </c>
      <c r="O242" s="171">
        <v>0</v>
      </c>
      <c r="P242" s="171">
        <v>0</v>
      </c>
      <c r="Q242" s="175">
        <v>0</v>
      </c>
      <c r="R242" s="6"/>
      <c r="S242" s="6"/>
      <c r="T242" s="6"/>
      <c r="U242" s="6"/>
      <c r="V242" s="6"/>
      <c r="W242" s="6"/>
      <c r="X242" s="6" t="s">
        <v>242</v>
      </c>
      <c r="Y242" s="6" t="s">
        <v>141</v>
      </c>
    </row>
    <row r="243" spans="1:25">
      <c r="A243" s="171">
        <v>20</v>
      </c>
      <c r="B243" s="174">
        <v>45047</v>
      </c>
      <c r="C243" s="174">
        <v>45055</v>
      </c>
      <c r="D243" s="174">
        <v>45054</v>
      </c>
      <c r="E243" s="171">
        <v>2023</v>
      </c>
      <c r="F243" s="171">
        <v>5</v>
      </c>
      <c r="G243" s="171">
        <v>8</v>
      </c>
      <c r="H243" s="131"/>
      <c r="I243" s="176"/>
      <c r="J243" s="176"/>
      <c r="K243" s="171"/>
      <c r="L243" s="171" t="s">
        <v>56</v>
      </c>
      <c r="M243" s="171">
        <v>501</v>
      </c>
      <c r="N243" s="175">
        <v>1</v>
      </c>
      <c r="O243" s="171">
        <v>1</v>
      </c>
      <c r="P243" s="171">
        <v>1</v>
      </c>
      <c r="Q243" s="175">
        <v>0</v>
      </c>
      <c r="R243" s="6" t="s">
        <v>157</v>
      </c>
      <c r="S243" s="6" t="s">
        <v>205</v>
      </c>
      <c r="T243" s="6"/>
      <c r="U243" s="6" t="s">
        <v>162</v>
      </c>
      <c r="V243" s="6" t="s">
        <v>255</v>
      </c>
      <c r="W243" s="6"/>
      <c r="X243" s="6" t="s">
        <v>242</v>
      </c>
      <c r="Y243" s="6" t="s">
        <v>141</v>
      </c>
    </row>
    <row r="244" spans="1:25">
      <c r="A244" s="171">
        <v>20</v>
      </c>
      <c r="B244" s="174">
        <v>45047</v>
      </c>
      <c r="C244" s="174">
        <v>45061</v>
      </c>
      <c r="D244" s="174">
        <v>45059</v>
      </c>
      <c r="E244" s="171">
        <v>2023</v>
      </c>
      <c r="F244" s="171">
        <v>5</v>
      </c>
      <c r="G244" s="171">
        <v>13</v>
      </c>
      <c r="H244" s="131"/>
      <c r="I244" s="176"/>
      <c r="J244" s="176"/>
      <c r="K244" s="171"/>
      <c r="L244" s="171" t="s">
        <v>56</v>
      </c>
      <c r="M244" s="171">
        <v>500</v>
      </c>
      <c r="N244" s="175">
        <v>0</v>
      </c>
      <c r="O244" s="171">
        <v>0</v>
      </c>
      <c r="P244" s="171">
        <v>0</v>
      </c>
      <c r="Q244" s="175">
        <v>0</v>
      </c>
      <c r="R244" s="6"/>
      <c r="S244" s="6"/>
      <c r="T244" s="6"/>
      <c r="U244" s="6"/>
      <c r="V244" s="6"/>
      <c r="W244" s="6"/>
      <c r="X244" s="6" t="s">
        <v>242</v>
      </c>
      <c r="Y244" s="6" t="s">
        <v>141</v>
      </c>
    </row>
    <row r="245" spans="1:25">
      <c r="A245" s="171">
        <v>20</v>
      </c>
      <c r="B245" s="174">
        <v>45047</v>
      </c>
      <c r="C245" s="174">
        <v>45061</v>
      </c>
      <c r="D245" s="174">
        <v>45059</v>
      </c>
      <c r="E245" s="171">
        <v>2023</v>
      </c>
      <c r="F245" s="171">
        <v>5</v>
      </c>
      <c r="G245" s="171">
        <v>13</v>
      </c>
      <c r="H245" s="131"/>
      <c r="I245" s="176"/>
      <c r="J245" s="176"/>
      <c r="K245" s="171"/>
      <c r="L245" s="171" t="s">
        <v>56</v>
      </c>
      <c r="M245" s="171">
        <v>681</v>
      </c>
      <c r="N245" s="175">
        <v>1</v>
      </c>
      <c r="O245" s="171">
        <v>1</v>
      </c>
      <c r="P245" s="171">
        <v>1</v>
      </c>
      <c r="Q245" s="175">
        <v>0</v>
      </c>
      <c r="R245" s="6" t="s">
        <v>157</v>
      </c>
      <c r="S245" s="6" t="s">
        <v>158</v>
      </c>
      <c r="T245" s="6" t="s">
        <v>166</v>
      </c>
      <c r="U245" s="6" t="s">
        <v>229</v>
      </c>
      <c r="V245" s="6" t="s">
        <v>302</v>
      </c>
      <c r="W245" s="6"/>
      <c r="X245" s="6" t="s">
        <v>242</v>
      </c>
      <c r="Y245" s="6" t="s">
        <v>141</v>
      </c>
    </row>
    <row r="246" spans="1:25">
      <c r="A246" s="171">
        <v>20</v>
      </c>
      <c r="B246" s="174">
        <v>45047</v>
      </c>
      <c r="C246" s="174">
        <v>45061</v>
      </c>
      <c r="D246" s="174">
        <v>45058</v>
      </c>
      <c r="E246" s="171">
        <v>2023</v>
      </c>
      <c r="F246" s="171">
        <v>5</v>
      </c>
      <c r="G246" s="171">
        <v>12</v>
      </c>
      <c r="H246" s="131"/>
      <c r="I246" s="176"/>
      <c r="J246" s="176"/>
      <c r="K246" s="171"/>
      <c r="L246" s="171" t="s">
        <v>56</v>
      </c>
      <c r="M246" s="171">
        <v>300</v>
      </c>
      <c r="N246" s="175">
        <v>0</v>
      </c>
      <c r="O246" s="171">
        <v>0</v>
      </c>
      <c r="P246" s="171">
        <v>0</v>
      </c>
      <c r="Q246" s="175">
        <v>0</v>
      </c>
      <c r="R246" s="6"/>
      <c r="S246" s="6"/>
      <c r="T246" s="6"/>
      <c r="U246" s="6"/>
      <c r="V246" s="6"/>
      <c r="W246" s="6"/>
      <c r="X246" s="6" t="s">
        <v>242</v>
      </c>
      <c r="Y246" s="6" t="s">
        <v>141</v>
      </c>
    </row>
    <row r="247" spans="1:25">
      <c r="A247" s="171">
        <v>20</v>
      </c>
      <c r="B247" s="174">
        <v>45047</v>
      </c>
      <c r="C247" s="174">
        <v>45058</v>
      </c>
      <c r="D247" s="174">
        <v>45057</v>
      </c>
      <c r="E247" s="171">
        <v>2023</v>
      </c>
      <c r="F247" s="171">
        <v>5</v>
      </c>
      <c r="G247" s="171">
        <v>11</v>
      </c>
      <c r="H247" s="131"/>
      <c r="I247" s="176"/>
      <c r="J247" s="176"/>
      <c r="K247" s="171"/>
      <c r="L247" s="171" t="s">
        <v>56</v>
      </c>
      <c r="M247" s="171"/>
      <c r="N247" s="175">
        <v>0</v>
      </c>
      <c r="O247" s="171">
        <v>1</v>
      </c>
      <c r="P247" s="171">
        <v>0</v>
      </c>
      <c r="Q247" s="175">
        <v>0</v>
      </c>
      <c r="R247" s="6" t="s">
        <v>160</v>
      </c>
      <c r="S247" s="6" t="s">
        <v>161</v>
      </c>
      <c r="T247" s="6" t="s">
        <v>198</v>
      </c>
      <c r="U247" s="6" t="s">
        <v>172</v>
      </c>
      <c r="V247" s="6" t="s">
        <v>301</v>
      </c>
      <c r="W247" s="6"/>
      <c r="X247" s="6" t="s">
        <v>242</v>
      </c>
      <c r="Y247" s="6" t="s">
        <v>141</v>
      </c>
    </row>
    <row r="248" spans="1:25">
      <c r="A248" s="171">
        <v>20</v>
      </c>
      <c r="B248" s="174">
        <v>45047</v>
      </c>
      <c r="C248" s="174">
        <v>45061</v>
      </c>
      <c r="D248" s="174">
        <v>45058</v>
      </c>
      <c r="E248" s="171">
        <v>2023</v>
      </c>
      <c r="F248" s="171">
        <v>5</v>
      </c>
      <c r="G248" s="171">
        <v>12</v>
      </c>
      <c r="H248" s="131"/>
      <c r="I248" s="176"/>
      <c r="J248" s="176"/>
      <c r="K248" s="171"/>
      <c r="L248" s="171" t="s">
        <v>56</v>
      </c>
      <c r="M248" s="171">
        <v>600</v>
      </c>
      <c r="N248" s="175">
        <v>0</v>
      </c>
      <c r="O248" s="171">
        <v>0</v>
      </c>
      <c r="P248" s="171">
        <v>0</v>
      </c>
      <c r="Q248" s="175">
        <v>0</v>
      </c>
      <c r="R248" s="6"/>
      <c r="S248" s="6"/>
      <c r="T248" s="6"/>
      <c r="U248" s="6"/>
      <c r="V248" s="6"/>
      <c r="W248" s="6"/>
      <c r="X248" s="6" t="s">
        <v>242</v>
      </c>
      <c r="Y248" s="6" t="s">
        <v>141</v>
      </c>
    </row>
    <row r="249" spans="1:25">
      <c r="A249" s="171">
        <v>20</v>
      </c>
      <c r="B249" s="174">
        <v>45047</v>
      </c>
      <c r="C249" s="174">
        <v>45056</v>
      </c>
      <c r="D249" s="174">
        <v>45055</v>
      </c>
      <c r="E249" s="171">
        <v>2023</v>
      </c>
      <c r="F249" s="171">
        <v>5</v>
      </c>
      <c r="G249" s="171">
        <v>9</v>
      </c>
      <c r="H249" s="131"/>
      <c r="I249" s="176"/>
      <c r="J249" s="176"/>
      <c r="K249" s="171"/>
      <c r="L249" s="171" t="s">
        <v>56</v>
      </c>
      <c r="M249" s="171">
        <v>361</v>
      </c>
      <c r="N249" s="175">
        <v>0</v>
      </c>
      <c r="O249" s="171">
        <v>0</v>
      </c>
      <c r="P249" s="171">
        <v>0</v>
      </c>
      <c r="Q249" s="175">
        <v>0</v>
      </c>
      <c r="R249" s="6"/>
      <c r="S249" s="6"/>
      <c r="T249" s="6"/>
      <c r="U249" s="6"/>
      <c r="V249" s="6"/>
      <c r="W249" s="6"/>
      <c r="X249" s="6" t="s">
        <v>242</v>
      </c>
      <c r="Y249" s="6" t="s">
        <v>141</v>
      </c>
    </row>
    <row r="250" spans="1:25">
      <c r="A250" s="171">
        <v>20</v>
      </c>
      <c r="B250" s="174">
        <v>45047</v>
      </c>
      <c r="C250" s="174">
        <v>45061</v>
      </c>
      <c r="D250" s="174">
        <v>45058</v>
      </c>
      <c r="E250" s="171">
        <v>2023</v>
      </c>
      <c r="F250" s="171">
        <v>5</v>
      </c>
      <c r="G250" s="171">
        <v>12</v>
      </c>
      <c r="H250" s="131"/>
      <c r="I250" s="176"/>
      <c r="J250" s="176"/>
      <c r="K250" s="171"/>
      <c r="L250" s="171" t="s">
        <v>56</v>
      </c>
      <c r="M250" s="171">
        <v>1650</v>
      </c>
      <c r="N250" s="175">
        <v>0</v>
      </c>
      <c r="O250" s="171">
        <v>0</v>
      </c>
      <c r="P250" s="171">
        <v>0</v>
      </c>
      <c r="Q250" s="175">
        <v>0</v>
      </c>
      <c r="R250" s="6"/>
      <c r="S250" s="6"/>
      <c r="T250" s="6"/>
      <c r="U250" s="6"/>
      <c r="V250" s="6"/>
      <c r="W250" s="6"/>
      <c r="X250" s="6" t="s">
        <v>242</v>
      </c>
      <c r="Y250" s="6" t="s">
        <v>141</v>
      </c>
    </row>
    <row r="251" spans="1:25">
      <c r="A251" s="171">
        <v>20</v>
      </c>
      <c r="B251" s="174">
        <v>45047</v>
      </c>
      <c r="C251" s="174">
        <v>45061</v>
      </c>
      <c r="D251" s="174">
        <v>45058</v>
      </c>
      <c r="E251" s="171">
        <v>2023</v>
      </c>
      <c r="F251" s="171">
        <v>5</v>
      </c>
      <c r="G251" s="171">
        <v>12</v>
      </c>
      <c r="H251" s="131"/>
      <c r="I251" s="176"/>
      <c r="J251" s="176"/>
      <c r="K251" s="171"/>
      <c r="L251" s="171" t="s">
        <v>56</v>
      </c>
      <c r="M251" s="171">
        <v>2150</v>
      </c>
      <c r="N251" s="175">
        <v>0</v>
      </c>
      <c r="O251" s="171">
        <v>0</v>
      </c>
      <c r="P251" s="171">
        <v>0</v>
      </c>
      <c r="Q251" s="175">
        <v>0</v>
      </c>
      <c r="R251" s="6"/>
      <c r="S251" s="6"/>
      <c r="T251" s="6"/>
      <c r="U251" s="6"/>
      <c r="V251" s="6"/>
      <c r="W251" s="6"/>
      <c r="X251" s="6" t="s">
        <v>242</v>
      </c>
      <c r="Y251" s="6" t="s">
        <v>141</v>
      </c>
    </row>
    <row r="252" spans="1:25">
      <c r="A252" s="171">
        <v>20</v>
      </c>
      <c r="B252" s="174">
        <v>45047</v>
      </c>
      <c r="C252" s="174">
        <v>45061</v>
      </c>
      <c r="D252" s="174">
        <v>45058</v>
      </c>
      <c r="E252" s="171">
        <v>2023</v>
      </c>
      <c r="F252" s="171">
        <v>5</v>
      </c>
      <c r="G252" s="171">
        <v>12</v>
      </c>
      <c r="H252" s="131"/>
      <c r="I252" s="176"/>
      <c r="J252" s="176"/>
      <c r="K252" s="171"/>
      <c r="L252" s="171" t="s">
        <v>56</v>
      </c>
      <c r="M252" s="171">
        <v>400</v>
      </c>
      <c r="N252" s="175">
        <v>0</v>
      </c>
      <c r="O252" s="171">
        <v>0</v>
      </c>
      <c r="P252" s="171">
        <v>0</v>
      </c>
      <c r="Q252" s="175">
        <v>0</v>
      </c>
      <c r="R252" s="6"/>
      <c r="S252" s="6"/>
      <c r="T252" s="6"/>
      <c r="U252" s="6"/>
      <c r="V252" s="6"/>
      <c r="W252" s="6"/>
      <c r="X252" s="6" t="s">
        <v>242</v>
      </c>
      <c r="Y252" s="6" t="s">
        <v>141</v>
      </c>
    </row>
    <row r="253" spans="1:25">
      <c r="A253" s="171">
        <v>20</v>
      </c>
      <c r="B253" s="174">
        <v>45047</v>
      </c>
      <c r="C253" s="174">
        <v>45061</v>
      </c>
      <c r="D253" s="174">
        <v>45058</v>
      </c>
      <c r="E253" s="171">
        <v>2023</v>
      </c>
      <c r="F253" s="171">
        <v>5</v>
      </c>
      <c r="G253" s="171">
        <v>12</v>
      </c>
      <c r="H253" s="131"/>
      <c r="I253" s="176"/>
      <c r="J253" s="176"/>
      <c r="K253" s="171"/>
      <c r="L253" s="171" t="s">
        <v>56</v>
      </c>
      <c r="M253" s="171">
        <v>2200</v>
      </c>
      <c r="N253" s="175">
        <v>0</v>
      </c>
      <c r="O253" s="171">
        <v>0</v>
      </c>
      <c r="P253" s="171">
        <v>0</v>
      </c>
      <c r="Q253" s="175">
        <v>0</v>
      </c>
      <c r="R253" s="6"/>
      <c r="S253" s="6"/>
      <c r="T253" s="6"/>
      <c r="U253" s="6"/>
      <c r="V253" s="6"/>
      <c r="W253" s="6"/>
      <c r="X253" s="6" t="s">
        <v>242</v>
      </c>
      <c r="Y253" s="6" t="s">
        <v>141</v>
      </c>
    </row>
    <row r="254" spans="1:25">
      <c r="A254" s="171">
        <v>20</v>
      </c>
      <c r="B254" s="174">
        <v>45047</v>
      </c>
      <c r="C254" s="174">
        <v>45061</v>
      </c>
      <c r="D254" s="174">
        <v>45058</v>
      </c>
      <c r="E254" s="171">
        <v>2023</v>
      </c>
      <c r="F254" s="171">
        <v>5</v>
      </c>
      <c r="G254" s="171">
        <v>12</v>
      </c>
      <c r="H254" s="131"/>
      <c r="I254" s="176"/>
      <c r="J254" s="176"/>
      <c r="K254" s="171"/>
      <c r="L254" s="171" t="s">
        <v>56</v>
      </c>
      <c r="M254" s="171">
        <v>8</v>
      </c>
      <c r="N254" s="175">
        <v>0</v>
      </c>
      <c r="O254" s="171">
        <v>0</v>
      </c>
      <c r="P254" s="171">
        <v>0</v>
      </c>
      <c r="Q254" s="175">
        <v>0</v>
      </c>
      <c r="R254" s="6"/>
      <c r="S254" s="6"/>
      <c r="T254" s="6"/>
      <c r="U254" s="6"/>
      <c r="V254" s="6"/>
      <c r="W254" s="6"/>
      <c r="X254" s="6" t="s">
        <v>242</v>
      </c>
      <c r="Y254" s="6" t="s">
        <v>141</v>
      </c>
    </row>
    <row r="255" spans="1:25">
      <c r="A255" s="171">
        <v>20</v>
      </c>
      <c r="B255" s="174">
        <v>45047</v>
      </c>
      <c r="C255" s="174">
        <v>45057</v>
      </c>
      <c r="D255" s="174">
        <v>45056</v>
      </c>
      <c r="E255" s="171">
        <v>2023</v>
      </c>
      <c r="F255" s="171">
        <v>5</v>
      </c>
      <c r="G255" s="171">
        <v>10</v>
      </c>
      <c r="H255" s="131"/>
      <c r="I255" s="176"/>
      <c r="J255" s="176"/>
      <c r="K255" s="171"/>
      <c r="L255" s="171" t="s">
        <v>56</v>
      </c>
      <c r="M255" s="171">
        <v>3000</v>
      </c>
      <c r="N255" s="175">
        <v>0</v>
      </c>
      <c r="O255" s="171">
        <v>0</v>
      </c>
      <c r="P255" s="171">
        <v>0</v>
      </c>
      <c r="Q255" s="175">
        <v>0</v>
      </c>
      <c r="R255" s="6"/>
      <c r="S255" s="6"/>
      <c r="T255" s="6"/>
      <c r="U255" s="6"/>
      <c r="V255" s="6"/>
      <c r="W255" s="6"/>
      <c r="X255" s="6" t="s">
        <v>242</v>
      </c>
      <c r="Y255" s="6" t="s">
        <v>141</v>
      </c>
    </row>
    <row r="256" spans="1:25">
      <c r="A256" s="171">
        <v>20</v>
      </c>
      <c r="B256" s="174">
        <v>45047</v>
      </c>
      <c r="C256" s="174">
        <v>45055</v>
      </c>
      <c r="D256" s="174">
        <v>45054</v>
      </c>
      <c r="E256" s="171">
        <v>2023</v>
      </c>
      <c r="F256" s="171">
        <v>5</v>
      </c>
      <c r="G256" s="171">
        <v>8</v>
      </c>
      <c r="H256" s="131"/>
      <c r="I256" s="176"/>
      <c r="J256" s="176"/>
      <c r="K256" s="171"/>
      <c r="L256" s="171" t="s">
        <v>56</v>
      </c>
      <c r="M256" s="171">
        <v>808</v>
      </c>
      <c r="N256" s="175">
        <v>0</v>
      </c>
      <c r="O256" s="171">
        <v>0</v>
      </c>
      <c r="P256" s="171">
        <v>0</v>
      </c>
      <c r="Q256" s="175">
        <v>0</v>
      </c>
      <c r="R256" s="6"/>
      <c r="S256" s="6"/>
      <c r="T256" s="6"/>
      <c r="U256" s="6"/>
      <c r="V256" s="6"/>
      <c r="W256" s="6"/>
      <c r="X256" s="6" t="s">
        <v>242</v>
      </c>
      <c r="Y256" s="6" t="s">
        <v>141</v>
      </c>
    </row>
    <row r="257" spans="1:25">
      <c r="A257" s="171">
        <v>20</v>
      </c>
      <c r="B257" s="174">
        <v>45047</v>
      </c>
      <c r="C257" s="174">
        <v>45056</v>
      </c>
      <c r="D257" s="174">
        <v>45055</v>
      </c>
      <c r="E257" s="171">
        <v>2023</v>
      </c>
      <c r="F257" s="171">
        <v>5</v>
      </c>
      <c r="G257" s="171">
        <v>9</v>
      </c>
      <c r="H257" s="131"/>
      <c r="I257" s="176"/>
      <c r="J257" s="176"/>
      <c r="K257" s="171"/>
      <c r="L257" s="171" t="s">
        <v>56</v>
      </c>
      <c r="M257" s="171">
        <v>2000</v>
      </c>
      <c r="N257" s="175">
        <v>0</v>
      </c>
      <c r="O257" s="171">
        <v>0</v>
      </c>
      <c r="P257" s="171">
        <v>0</v>
      </c>
      <c r="Q257" s="175">
        <v>0</v>
      </c>
      <c r="R257" s="6"/>
      <c r="S257" s="6"/>
      <c r="T257" s="6"/>
      <c r="U257" s="6"/>
      <c r="V257" s="6"/>
      <c r="W257" s="6"/>
      <c r="X257" s="6" t="s">
        <v>242</v>
      </c>
      <c r="Y257" s="6" t="s">
        <v>141</v>
      </c>
    </row>
    <row r="258" spans="1:25">
      <c r="A258" s="171">
        <v>20</v>
      </c>
      <c r="B258" s="174">
        <v>45047</v>
      </c>
      <c r="C258" s="174">
        <v>45061</v>
      </c>
      <c r="D258" s="174">
        <v>45059</v>
      </c>
      <c r="E258" s="171">
        <v>2023</v>
      </c>
      <c r="F258" s="171">
        <v>5</v>
      </c>
      <c r="G258" s="171">
        <v>13</v>
      </c>
      <c r="H258" s="131"/>
      <c r="I258" s="176"/>
      <c r="J258" s="176"/>
      <c r="K258" s="171"/>
      <c r="L258" s="171" t="s">
        <v>56</v>
      </c>
      <c r="M258" s="171">
        <v>1348</v>
      </c>
      <c r="N258" s="175">
        <v>0</v>
      </c>
      <c r="O258" s="171">
        <v>0</v>
      </c>
      <c r="P258" s="171">
        <v>0</v>
      </c>
      <c r="Q258" s="175">
        <v>0</v>
      </c>
      <c r="R258" s="6"/>
      <c r="S258" s="6"/>
      <c r="T258" s="6"/>
      <c r="U258" s="6"/>
      <c r="V258" s="6"/>
      <c r="W258" s="6"/>
      <c r="X258" s="6" t="s">
        <v>242</v>
      </c>
      <c r="Y258" s="6" t="s">
        <v>141</v>
      </c>
    </row>
    <row r="259" spans="1:25">
      <c r="A259" s="171">
        <v>20</v>
      </c>
      <c r="B259" s="174">
        <v>45047</v>
      </c>
      <c r="C259" s="174">
        <v>45061</v>
      </c>
      <c r="D259" s="174">
        <v>45059</v>
      </c>
      <c r="E259" s="171">
        <v>2023</v>
      </c>
      <c r="F259" s="171">
        <v>5</v>
      </c>
      <c r="G259" s="171">
        <v>13</v>
      </c>
      <c r="H259" s="131"/>
      <c r="I259" s="176"/>
      <c r="J259" s="176"/>
      <c r="K259" s="171"/>
      <c r="L259" s="171" t="s">
        <v>56</v>
      </c>
      <c r="M259" s="171">
        <v>250</v>
      </c>
      <c r="N259" s="175">
        <v>0</v>
      </c>
      <c r="O259" s="171">
        <v>0</v>
      </c>
      <c r="P259" s="171">
        <v>0</v>
      </c>
      <c r="Q259" s="175">
        <v>0</v>
      </c>
      <c r="R259" s="6"/>
      <c r="S259" s="6"/>
      <c r="T259" s="6"/>
      <c r="U259" s="6"/>
      <c r="V259" s="6"/>
      <c r="W259" s="6"/>
      <c r="X259" s="6" t="s">
        <v>242</v>
      </c>
      <c r="Y259" s="6" t="s">
        <v>141</v>
      </c>
    </row>
    <row r="260" spans="1:25">
      <c r="A260" s="171">
        <v>20</v>
      </c>
      <c r="B260" s="174">
        <v>45047</v>
      </c>
      <c r="C260" s="174">
        <v>45057</v>
      </c>
      <c r="D260" s="174">
        <v>45056</v>
      </c>
      <c r="E260" s="171">
        <v>2023</v>
      </c>
      <c r="F260" s="171">
        <v>5</v>
      </c>
      <c r="G260" s="171">
        <v>10</v>
      </c>
      <c r="H260" s="131"/>
      <c r="I260" s="176"/>
      <c r="J260" s="176"/>
      <c r="K260" s="171"/>
      <c r="L260" s="171" t="s">
        <v>56</v>
      </c>
      <c r="M260" s="171">
        <v>390</v>
      </c>
      <c r="N260" s="175">
        <v>0</v>
      </c>
      <c r="O260" s="171">
        <v>0</v>
      </c>
      <c r="P260" s="171">
        <v>0</v>
      </c>
      <c r="Q260" s="175">
        <v>0</v>
      </c>
      <c r="R260" s="6"/>
      <c r="S260" s="6"/>
      <c r="T260" s="6"/>
      <c r="U260" s="6"/>
      <c r="V260" s="6"/>
      <c r="W260" s="6"/>
      <c r="X260" s="6" t="s">
        <v>242</v>
      </c>
      <c r="Y260" s="6" t="s">
        <v>141</v>
      </c>
    </row>
    <row r="261" spans="1:25">
      <c r="A261" s="171">
        <v>20</v>
      </c>
      <c r="B261" s="174">
        <v>45047</v>
      </c>
      <c r="C261" s="174">
        <v>45061</v>
      </c>
      <c r="D261" s="174">
        <v>45058</v>
      </c>
      <c r="E261" s="171">
        <v>2023</v>
      </c>
      <c r="F261" s="171">
        <v>5</v>
      </c>
      <c r="G261" s="171">
        <v>12</v>
      </c>
      <c r="H261" s="131"/>
      <c r="I261" s="176"/>
      <c r="J261" s="176"/>
      <c r="K261" s="171"/>
      <c r="L261" s="171" t="s">
        <v>52</v>
      </c>
      <c r="M261" s="171">
        <v>1300</v>
      </c>
      <c r="N261" s="175">
        <v>0</v>
      </c>
      <c r="O261" s="171">
        <v>0</v>
      </c>
      <c r="P261" s="171">
        <v>0</v>
      </c>
      <c r="Q261" s="175">
        <v>0</v>
      </c>
      <c r="R261" s="6"/>
      <c r="S261" s="6"/>
      <c r="T261" s="6"/>
      <c r="U261" s="6"/>
      <c r="V261" s="6"/>
      <c r="W261" s="6"/>
      <c r="X261" s="6" t="s">
        <v>254</v>
      </c>
      <c r="Y261" s="6" t="s">
        <v>143</v>
      </c>
    </row>
    <row r="262" spans="1:25">
      <c r="A262" s="171">
        <v>20</v>
      </c>
      <c r="B262" s="174">
        <v>45047</v>
      </c>
      <c r="C262" s="174">
        <v>45061</v>
      </c>
      <c r="D262" s="174">
        <v>45058</v>
      </c>
      <c r="E262" s="171">
        <v>2023</v>
      </c>
      <c r="F262" s="171">
        <v>5</v>
      </c>
      <c r="G262" s="171">
        <v>12</v>
      </c>
      <c r="H262" s="131"/>
      <c r="I262" s="176"/>
      <c r="J262" s="176"/>
      <c r="K262" s="171"/>
      <c r="L262" s="171" t="s">
        <v>52</v>
      </c>
      <c r="M262" s="171">
        <v>5202</v>
      </c>
      <c r="N262" s="175">
        <v>2</v>
      </c>
      <c r="O262" s="171">
        <v>1</v>
      </c>
      <c r="P262" s="171">
        <v>1</v>
      </c>
      <c r="Q262" s="175">
        <v>1</v>
      </c>
      <c r="R262" s="6" t="s">
        <v>157</v>
      </c>
      <c r="S262" s="6" t="s">
        <v>161</v>
      </c>
      <c r="T262" s="6" t="s">
        <v>166</v>
      </c>
      <c r="U262" s="6" t="s">
        <v>170</v>
      </c>
      <c r="V262" s="6" t="s">
        <v>286</v>
      </c>
      <c r="W262" s="6"/>
      <c r="X262" s="6" t="s">
        <v>254</v>
      </c>
      <c r="Y262" s="6" t="s">
        <v>143</v>
      </c>
    </row>
    <row r="263" spans="1:25">
      <c r="A263" s="171">
        <v>20</v>
      </c>
      <c r="B263" s="174">
        <v>45047</v>
      </c>
      <c r="C263" s="174">
        <v>45058</v>
      </c>
      <c r="D263" s="174">
        <v>45057</v>
      </c>
      <c r="E263" s="171">
        <v>2023</v>
      </c>
      <c r="F263" s="171">
        <v>5</v>
      </c>
      <c r="G263" s="171">
        <v>11</v>
      </c>
      <c r="H263" s="131"/>
      <c r="I263" s="176"/>
      <c r="J263" s="176"/>
      <c r="K263" s="171"/>
      <c r="L263" s="171" t="s">
        <v>52</v>
      </c>
      <c r="M263" s="171"/>
      <c r="N263" s="175">
        <v>0</v>
      </c>
      <c r="O263" s="171">
        <v>1</v>
      </c>
      <c r="P263" s="171">
        <v>0</v>
      </c>
      <c r="Q263" s="175">
        <v>0</v>
      </c>
      <c r="R263" s="6" t="s">
        <v>160</v>
      </c>
      <c r="S263" s="6" t="s">
        <v>161</v>
      </c>
      <c r="T263" s="6" t="s">
        <v>314</v>
      </c>
      <c r="U263" s="6" t="s">
        <v>238</v>
      </c>
      <c r="V263" s="6" t="s">
        <v>285</v>
      </c>
      <c r="W263" s="6"/>
      <c r="X263" s="6" t="s">
        <v>254</v>
      </c>
      <c r="Y263" s="6" t="s">
        <v>143</v>
      </c>
    </row>
    <row r="264" spans="1:25">
      <c r="A264" s="171">
        <v>20</v>
      </c>
      <c r="B264" s="174">
        <v>45047</v>
      </c>
      <c r="C264" s="174">
        <v>45058</v>
      </c>
      <c r="D264" s="174">
        <v>45057</v>
      </c>
      <c r="E264" s="171">
        <v>2023</v>
      </c>
      <c r="F264" s="171">
        <v>5</v>
      </c>
      <c r="G264" s="171">
        <v>11</v>
      </c>
      <c r="H264" s="131"/>
      <c r="I264" s="176"/>
      <c r="J264" s="176"/>
      <c r="K264" s="171"/>
      <c r="L264" s="171" t="s">
        <v>52</v>
      </c>
      <c r="M264" s="171"/>
      <c r="N264" s="175">
        <v>0</v>
      </c>
      <c r="O264" s="171">
        <v>1</v>
      </c>
      <c r="P264" s="171">
        <v>0</v>
      </c>
      <c r="Q264" s="175">
        <v>0</v>
      </c>
      <c r="R264" s="6" t="s">
        <v>160</v>
      </c>
      <c r="S264" s="6" t="s">
        <v>161</v>
      </c>
      <c r="T264" s="6" t="s">
        <v>253</v>
      </c>
      <c r="U264" s="6" t="s">
        <v>233</v>
      </c>
      <c r="V264" s="6" t="s">
        <v>283</v>
      </c>
      <c r="W264" s="6"/>
      <c r="X264" s="6" t="s">
        <v>254</v>
      </c>
      <c r="Y264" s="6" t="s">
        <v>143</v>
      </c>
    </row>
    <row r="265" spans="1:25">
      <c r="A265" s="171">
        <v>20</v>
      </c>
      <c r="B265" s="174">
        <v>45047</v>
      </c>
      <c r="C265" s="174">
        <v>45058</v>
      </c>
      <c r="D265" s="174">
        <v>45057</v>
      </c>
      <c r="E265" s="171">
        <v>2023</v>
      </c>
      <c r="F265" s="171">
        <v>5</v>
      </c>
      <c r="G265" s="171">
        <v>11</v>
      </c>
      <c r="H265" s="131"/>
      <c r="I265" s="176"/>
      <c r="J265" s="176"/>
      <c r="K265" s="171"/>
      <c r="L265" s="171" t="s">
        <v>52</v>
      </c>
      <c r="M265" s="171"/>
      <c r="N265" s="175">
        <v>0</v>
      </c>
      <c r="O265" s="171">
        <v>2</v>
      </c>
      <c r="P265" s="171">
        <v>0</v>
      </c>
      <c r="Q265" s="175">
        <v>0</v>
      </c>
      <c r="R265" s="6" t="s">
        <v>160</v>
      </c>
      <c r="S265" s="6" t="s">
        <v>161</v>
      </c>
      <c r="T265" s="6" t="s">
        <v>253</v>
      </c>
      <c r="U265" s="6" t="s">
        <v>233</v>
      </c>
      <c r="V265" s="6" t="s">
        <v>284</v>
      </c>
      <c r="W265" s="6"/>
      <c r="X265" s="6" t="s">
        <v>254</v>
      </c>
      <c r="Y265" s="6" t="s">
        <v>143</v>
      </c>
    </row>
    <row r="266" spans="1:25">
      <c r="A266" s="171">
        <v>20</v>
      </c>
      <c r="B266" s="174">
        <v>45047</v>
      </c>
      <c r="C266" s="174">
        <v>45055</v>
      </c>
      <c r="D266" s="174">
        <v>45054</v>
      </c>
      <c r="E266" s="171">
        <v>2023</v>
      </c>
      <c r="F266" s="171">
        <v>5</v>
      </c>
      <c r="G266" s="171">
        <v>8</v>
      </c>
      <c r="H266" s="131"/>
      <c r="I266" s="176"/>
      <c r="J266" s="176"/>
      <c r="K266" s="171"/>
      <c r="L266" s="171" t="s">
        <v>52</v>
      </c>
      <c r="M266" s="171">
        <v>10000</v>
      </c>
      <c r="N266" s="175">
        <v>0</v>
      </c>
      <c r="O266" s="171">
        <v>0</v>
      </c>
      <c r="P266" s="171">
        <v>0</v>
      </c>
      <c r="Q266" s="175">
        <v>0</v>
      </c>
      <c r="R266" s="6"/>
      <c r="S266" s="6"/>
      <c r="T266" s="6"/>
      <c r="U266" s="6"/>
      <c r="V266" s="6"/>
      <c r="W266" s="6"/>
      <c r="X266" s="6" t="s">
        <v>254</v>
      </c>
      <c r="Y266" s="6" t="s">
        <v>143</v>
      </c>
    </row>
    <row r="267" spans="1:25">
      <c r="A267" s="171">
        <v>20</v>
      </c>
      <c r="B267" s="174">
        <v>45047</v>
      </c>
      <c r="C267" s="174">
        <v>45055</v>
      </c>
      <c r="D267" s="174">
        <v>45054</v>
      </c>
      <c r="E267" s="171">
        <v>2023</v>
      </c>
      <c r="F267" s="171">
        <v>5</v>
      </c>
      <c r="G267" s="171">
        <v>8</v>
      </c>
      <c r="H267" s="131"/>
      <c r="I267" s="176"/>
      <c r="J267" s="176"/>
      <c r="K267" s="171"/>
      <c r="L267" s="171" t="s">
        <v>52</v>
      </c>
      <c r="M267" s="171">
        <v>8500</v>
      </c>
      <c r="N267" s="175">
        <v>0</v>
      </c>
      <c r="O267" s="171">
        <v>0</v>
      </c>
      <c r="P267" s="171">
        <v>0</v>
      </c>
      <c r="Q267" s="175">
        <v>0</v>
      </c>
      <c r="R267" s="6"/>
      <c r="S267" s="6"/>
      <c r="T267" s="6"/>
      <c r="U267" s="6"/>
      <c r="V267" s="6"/>
      <c r="W267" s="6"/>
      <c r="X267" s="6" t="s">
        <v>254</v>
      </c>
      <c r="Y267" s="6" t="s">
        <v>143</v>
      </c>
    </row>
    <row r="268" spans="1:25">
      <c r="A268" s="171">
        <v>20</v>
      </c>
      <c r="B268" s="174">
        <v>45047</v>
      </c>
      <c r="C268" s="174">
        <v>45061</v>
      </c>
      <c r="D268" s="174">
        <v>45058</v>
      </c>
      <c r="E268" s="171">
        <v>2023</v>
      </c>
      <c r="F268" s="171">
        <v>5</v>
      </c>
      <c r="G268" s="171">
        <v>12</v>
      </c>
      <c r="H268" s="131"/>
      <c r="I268" s="176"/>
      <c r="J268" s="176"/>
      <c r="K268" s="171"/>
      <c r="L268" s="171" t="s">
        <v>52</v>
      </c>
      <c r="M268" s="171"/>
      <c r="N268" s="175">
        <v>0</v>
      </c>
      <c r="O268" s="171">
        <v>1</v>
      </c>
      <c r="P268" s="171">
        <v>0</v>
      </c>
      <c r="Q268" s="175">
        <v>0</v>
      </c>
      <c r="R268" s="6" t="s">
        <v>160</v>
      </c>
      <c r="S268" s="6" t="s">
        <v>161</v>
      </c>
      <c r="T268" s="6" t="s">
        <v>314</v>
      </c>
      <c r="U268" s="6" t="s">
        <v>238</v>
      </c>
      <c r="V268" s="6" t="s">
        <v>289</v>
      </c>
      <c r="W268" s="6"/>
      <c r="X268" s="6" t="s">
        <v>254</v>
      </c>
      <c r="Y268" s="6" t="s">
        <v>143</v>
      </c>
    </row>
    <row r="269" spans="1:25">
      <c r="A269" s="171">
        <v>20</v>
      </c>
      <c r="B269" s="174">
        <v>45047</v>
      </c>
      <c r="C269" s="174">
        <v>45061</v>
      </c>
      <c r="D269" s="174">
        <v>45058</v>
      </c>
      <c r="E269" s="171">
        <v>2023</v>
      </c>
      <c r="F269" s="171">
        <v>5</v>
      </c>
      <c r="G269" s="171">
        <v>12</v>
      </c>
      <c r="H269" s="131"/>
      <c r="I269" s="176"/>
      <c r="J269" s="176"/>
      <c r="K269" s="171"/>
      <c r="L269" s="171" t="s">
        <v>52</v>
      </c>
      <c r="M269" s="171"/>
      <c r="N269" s="175">
        <v>0</v>
      </c>
      <c r="O269" s="171">
        <v>1</v>
      </c>
      <c r="P269" s="171">
        <v>0</v>
      </c>
      <c r="Q269" s="175">
        <v>0</v>
      </c>
      <c r="R269" s="6" t="s">
        <v>160</v>
      </c>
      <c r="S269" s="6" t="s">
        <v>161</v>
      </c>
      <c r="T269" s="6" t="s">
        <v>253</v>
      </c>
      <c r="U269" s="6" t="s">
        <v>233</v>
      </c>
      <c r="V269" s="6" t="s">
        <v>287</v>
      </c>
      <c r="W269" s="6"/>
      <c r="X269" s="6" t="s">
        <v>254</v>
      </c>
      <c r="Y269" s="6" t="s">
        <v>143</v>
      </c>
    </row>
    <row r="270" spans="1:25">
      <c r="A270" s="171">
        <v>20</v>
      </c>
      <c r="B270" s="174">
        <v>45047</v>
      </c>
      <c r="C270" s="174">
        <v>45061</v>
      </c>
      <c r="D270" s="174">
        <v>45058</v>
      </c>
      <c r="E270" s="171">
        <v>2023</v>
      </c>
      <c r="F270" s="171">
        <v>5</v>
      </c>
      <c r="G270" s="171">
        <v>12</v>
      </c>
      <c r="H270" s="131"/>
      <c r="I270" s="176"/>
      <c r="J270" s="176"/>
      <c r="K270" s="171"/>
      <c r="L270" s="171" t="s">
        <v>52</v>
      </c>
      <c r="M270" s="171">
        <v>3503</v>
      </c>
      <c r="N270" s="175">
        <v>3</v>
      </c>
      <c r="O270" s="171">
        <v>2</v>
      </c>
      <c r="P270" s="171">
        <v>2</v>
      </c>
      <c r="Q270" s="175">
        <v>1</v>
      </c>
      <c r="R270" s="6" t="s">
        <v>157</v>
      </c>
      <c r="S270" s="6" t="s">
        <v>161</v>
      </c>
      <c r="T270" s="6" t="s">
        <v>166</v>
      </c>
      <c r="U270" s="6" t="s">
        <v>170</v>
      </c>
      <c r="V270" s="6" t="s">
        <v>288</v>
      </c>
      <c r="W270" s="6"/>
      <c r="X270" s="6" t="s">
        <v>254</v>
      </c>
      <c r="Y270" s="6" t="s">
        <v>143</v>
      </c>
    </row>
    <row r="271" spans="1:25">
      <c r="A271" s="171">
        <v>20</v>
      </c>
      <c r="B271" s="174">
        <v>45047</v>
      </c>
      <c r="C271" s="174">
        <v>45058</v>
      </c>
      <c r="D271" s="174">
        <v>45057</v>
      </c>
      <c r="E271" s="171">
        <v>2023</v>
      </c>
      <c r="F271" s="171">
        <v>5</v>
      </c>
      <c r="G271" s="171">
        <v>11</v>
      </c>
      <c r="H271" s="131"/>
      <c r="I271" s="176"/>
      <c r="J271" s="176"/>
      <c r="K271" s="171"/>
      <c r="L271" s="171" t="s">
        <v>52</v>
      </c>
      <c r="M271" s="171"/>
      <c r="N271" s="175">
        <v>0</v>
      </c>
      <c r="O271" s="171">
        <v>1</v>
      </c>
      <c r="P271" s="171">
        <v>0</v>
      </c>
      <c r="Q271" s="175">
        <v>0</v>
      </c>
      <c r="R271" s="6" t="s">
        <v>157</v>
      </c>
      <c r="S271" s="6" t="s">
        <v>162</v>
      </c>
      <c r="T271" s="6" t="s">
        <v>166</v>
      </c>
      <c r="U271" s="6" t="s">
        <v>162</v>
      </c>
      <c r="V271" s="6" t="s">
        <v>282</v>
      </c>
      <c r="W271" s="6"/>
      <c r="X271" s="6" t="s">
        <v>254</v>
      </c>
      <c r="Y271" s="6" t="s">
        <v>143</v>
      </c>
    </row>
    <row r="272" spans="1:25">
      <c r="A272" s="171">
        <v>20</v>
      </c>
      <c r="B272" s="174">
        <v>45047</v>
      </c>
      <c r="C272" s="174">
        <v>45056</v>
      </c>
      <c r="D272" s="174">
        <v>45055</v>
      </c>
      <c r="E272" s="171">
        <v>2023</v>
      </c>
      <c r="F272" s="171">
        <v>5</v>
      </c>
      <c r="G272" s="171">
        <v>9</v>
      </c>
      <c r="H272" s="131"/>
      <c r="I272" s="176"/>
      <c r="J272" s="176"/>
      <c r="K272" s="171"/>
      <c r="L272" s="171" t="s">
        <v>52</v>
      </c>
      <c r="M272" s="171">
        <v>4150</v>
      </c>
      <c r="N272" s="175">
        <v>0</v>
      </c>
      <c r="O272" s="171">
        <v>0</v>
      </c>
      <c r="P272" s="171">
        <v>0</v>
      </c>
      <c r="Q272" s="175">
        <v>0</v>
      </c>
      <c r="R272" s="6"/>
      <c r="S272" s="6"/>
      <c r="T272" s="6"/>
      <c r="U272" s="6"/>
      <c r="V272" s="6"/>
      <c r="W272" s="6"/>
      <c r="X272" s="6" t="s">
        <v>254</v>
      </c>
      <c r="Y272" s="6" t="s">
        <v>143</v>
      </c>
    </row>
    <row r="273" spans="1:25">
      <c r="A273" s="171">
        <v>20</v>
      </c>
      <c r="B273" s="174">
        <v>45047</v>
      </c>
      <c r="C273" s="174">
        <v>45056</v>
      </c>
      <c r="D273" s="174">
        <v>45055</v>
      </c>
      <c r="E273" s="171">
        <v>2023</v>
      </c>
      <c r="F273" s="171">
        <v>5</v>
      </c>
      <c r="G273" s="171">
        <v>9</v>
      </c>
      <c r="H273" s="131"/>
      <c r="I273" s="176"/>
      <c r="J273" s="176"/>
      <c r="K273" s="171"/>
      <c r="L273" s="171" t="s">
        <v>52</v>
      </c>
      <c r="M273" s="171">
        <v>6800</v>
      </c>
      <c r="N273" s="175">
        <v>0</v>
      </c>
      <c r="O273" s="171">
        <v>0</v>
      </c>
      <c r="P273" s="171">
        <v>0</v>
      </c>
      <c r="Q273" s="175">
        <v>0</v>
      </c>
      <c r="R273" s="6"/>
      <c r="S273" s="6"/>
      <c r="T273" s="6"/>
      <c r="U273" s="6"/>
      <c r="V273" s="6"/>
      <c r="W273" s="6"/>
      <c r="X273" s="6" t="s">
        <v>254</v>
      </c>
      <c r="Y273" s="6" t="s">
        <v>143</v>
      </c>
    </row>
    <row r="274" spans="1:25">
      <c r="A274" s="171">
        <v>20</v>
      </c>
      <c r="B274" s="174">
        <v>45047</v>
      </c>
      <c r="C274" s="174">
        <v>45055</v>
      </c>
      <c r="D274" s="174">
        <v>45054</v>
      </c>
      <c r="E274" s="171">
        <v>2023</v>
      </c>
      <c r="F274" s="171">
        <v>5</v>
      </c>
      <c r="G274" s="171">
        <v>8</v>
      </c>
      <c r="H274" s="131"/>
      <c r="I274" s="176"/>
      <c r="J274" s="176"/>
      <c r="K274" s="171"/>
      <c r="L274" s="171" t="s">
        <v>52</v>
      </c>
      <c r="M274" s="171">
        <v>600</v>
      </c>
      <c r="N274" s="175">
        <v>0</v>
      </c>
      <c r="O274" s="171">
        <v>0</v>
      </c>
      <c r="P274" s="171">
        <v>0</v>
      </c>
      <c r="Q274" s="175">
        <v>0</v>
      </c>
      <c r="R274" s="6"/>
      <c r="S274" s="6"/>
      <c r="T274" s="6"/>
      <c r="U274" s="6"/>
      <c r="V274" s="6"/>
      <c r="W274" s="6"/>
      <c r="X274" s="6" t="s">
        <v>254</v>
      </c>
      <c r="Y274" s="6" t="s">
        <v>143</v>
      </c>
    </row>
    <row r="275" spans="1:25">
      <c r="A275" s="171">
        <v>20</v>
      </c>
      <c r="B275" s="174">
        <v>45047</v>
      </c>
      <c r="C275" s="174">
        <v>45055</v>
      </c>
      <c r="D275" s="174">
        <v>45054</v>
      </c>
      <c r="E275" s="171">
        <v>2023</v>
      </c>
      <c r="F275" s="171">
        <v>5</v>
      </c>
      <c r="G275" s="171">
        <v>8</v>
      </c>
      <c r="H275" s="131"/>
      <c r="I275" s="176"/>
      <c r="J275" s="176"/>
      <c r="K275" s="171"/>
      <c r="L275" s="171" t="s">
        <v>56</v>
      </c>
      <c r="M275" s="171">
        <v>6550</v>
      </c>
      <c r="N275" s="175">
        <v>0</v>
      </c>
      <c r="O275" s="171">
        <v>0</v>
      </c>
      <c r="P275" s="171">
        <v>0</v>
      </c>
      <c r="Q275" s="175">
        <v>0</v>
      </c>
      <c r="R275" s="6"/>
      <c r="S275" s="6"/>
      <c r="T275" s="6"/>
      <c r="U275" s="6"/>
      <c r="V275" s="6"/>
      <c r="W275" s="6"/>
      <c r="X275" s="6" t="s">
        <v>242</v>
      </c>
      <c r="Y275" s="6" t="s">
        <v>141</v>
      </c>
    </row>
    <row r="276" spans="1:25">
      <c r="A276" s="171">
        <v>20</v>
      </c>
      <c r="B276" s="174">
        <v>45047</v>
      </c>
      <c r="C276" s="174">
        <v>45055</v>
      </c>
      <c r="D276" s="174">
        <v>45054</v>
      </c>
      <c r="E276" s="171">
        <v>2023</v>
      </c>
      <c r="F276" s="171">
        <v>5</v>
      </c>
      <c r="G276" s="171">
        <v>8</v>
      </c>
      <c r="H276" s="131"/>
      <c r="I276" s="176"/>
      <c r="J276" s="176"/>
      <c r="K276" s="171"/>
      <c r="L276" s="171" t="s">
        <v>52</v>
      </c>
      <c r="M276" s="171">
        <v>8300</v>
      </c>
      <c r="N276" s="175">
        <v>0</v>
      </c>
      <c r="O276" s="171">
        <v>0</v>
      </c>
      <c r="P276" s="171">
        <v>0</v>
      </c>
      <c r="Q276" s="175">
        <v>0</v>
      </c>
      <c r="R276" s="6"/>
      <c r="S276" s="6"/>
      <c r="T276" s="6"/>
      <c r="U276" s="6"/>
      <c r="V276" s="6"/>
      <c r="W276" s="6"/>
      <c r="X276" s="6" t="s">
        <v>254</v>
      </c>
      <c r="Y276" s="6" t="s">
        <v>143</v>
      </c>
    </row>
    <row r="277" spans="1:25">
      <c r="A277" s="171">
        <v>20</v>
      </c>
      <c r="B277" s="174">
        <v>45047</v>
      </c>
      <c r="C277" s="174">
        <v>45057</v>
      </c>
      <c r="D277" s="174">
        <v>45056</v>
      </c>
      <c r="E277" s="171">
        <v>2023</v>
      </c>
      <c r="F277" s="171">
        <v>5</v>
      </c>
      <c r="G277" s="171">
        <v>10</v>
      </c>
      <c r="H277" s="131"/>
      <c r="I277" s="176"/>
      <c r="J277" s="176"/>
      <c r="K277" s="171"/>
      <c r="L277" s="171" t="s">
        <v>52</v>
      </c>
      <c r="M277" s="171">
        <v>6000</v>
      </c>
      <c r="N277" s="175">
        <v>0</v>
      </c>
      <c r="O277" s="171">
        <v>0</v>
      </c>
      <c r="P277" s="171">
        <v>0</v>
      </c>
      <c r="Q277" s="175">
        <v>0</v>
      </c>
      <c r="R277" s="6"/>
      <c r="S277" s="6"/>
      <c r="T277" s="6"/>
      <c r="U277" s="6"/>
      <c r="V277" s="6"/>
      <c r="W277" s="6"/>
      <c r="X277" s="6" t="s">
        <v>254</v>
      </c>
      <c r="Y277" s="6" t="s">
        <v>143</v>
      </c>
    </row>
    <row r="278" spans="1:25">
      <c r="A278" s="171">
        <v>20</v>
      </c>
      <c r="B278" s="174">
        <v>45047</v>
      </c>
      <c r="C278" s="174">
        <v>45058</v>
      </c>
      <c r="D278" s="174">
        <v>45057</v>
      </c>
      <c r="E278" s="171">
        <v>2023</v>
      </c>
      <c r="F278" s="171">
        <v>5</v>
      </c>
      <c r="G278" s="171">
        <v>11</v>
      </c>
      <c r="H278" s="131"/>
      <c r="I278" s="176"/>
      <c r="J278" s="176"/>
      <c r="K278" s="171"/>
      <c r="L278" s="171" t="s">
        <v>52</v>
      </c>
      <c r="M278" s="171">
        <v>8210</v>
      </c>
      <c r="N278" s="175">
        <v>10</v>
      </c>
      <c r="O278" s="171">
        <v>5</v>
      </c>
      <c r="P278" s="171">
        <v>6</v>
      </c>
      <c r="Q278" s="175">
        <v>4</v>
      </c>
      <c r="R278" s="6" t="s">
        <v>157</v>
      </c>
      <c r="S278" s="6" t="s">
        <v>161</v>
      </c>
      <c r="T278" s="6" t="s">
        <v>166</v>
      </c>
      <c r="U278" s="6" t="s">
        <v>170</v>
      </c>
      <c r="V278" s="6" t="s">
        <v>281</v>
      </c>
      <c r="W278" s="6"/>
      <c r="X278" s="6" t="s">
        <v>254</v>
      </c>
      <c r="Y278" s="6" t="s">
        <v>143</v>
      </c>
    </row>
    <row r="279" spans="1:25">
      <c r="A279" s="171">
        <v>20</v>
      </c>
      <c r="B279" s="174">
        <v>45047</v>
      </c>
      <c r="C279" s="174">
        <v>45057</v>
      </c>
      <c r="D279" s="174">
        <v>45056</v>
      </c>
      <c r="E279" s="171">
        <v>2023</v>
      </c>
      <c r="F279" s="171">
        <v>5</v>
      </c>
      <c r="G279" s="171">
        <v>10</v>
      </c>
      <c r="H279" s="131"/>
      <c r="I279" s="176"/>
      <c r="J279" s="176"/>
      <c r="K279" s="171"/>
      <c r="L279" s="171" t="s">
        <v>52</v>
      </c>
      <c r="M279" s="171">
        <v>3202</v>
      </c>
      <c r="N279" s="175">
        <v>2</v>
      </c>
      <c r="O279" s="171">
        <v>2</v>
      </c>
      <c r="P279" s="171">
        <v>0</v>
      </c>
      <c r="Q279" s="175">
        <v>2</v>
      </c>
      <c r="R279" s="6" t="s">
        <v>160</v>
      </c>
      <c r="S279" s="6" t="s">
        <v>161</v>
      </c>
      <c r="T279" s="6" t="s">
        <v>253</v>
      </c>
      <c r="U279" s="6" t="s">
        <v>233</v>
      </c>
      <c r="V279" s="6" t="s">
        <v>310</v>
      </c>
      <c r="W279" s="6"/>
      <c r="X279" s="6" t="s">
        <v>254</v>
      </c>
      <c r="Y279" s="6" t="s">
        <v>143</v>
      </c>
    </row>
    <row r="280" spans="1:25">
      <c r="A280" s="171">
        <v>20</v>
      </c>
      <c r="B280" s="174">
        <v>45047</v>
      </c>
      <c r="C280" s="174">
        <v>45056</v>
      </c>
      <c r="D280" s="174">
        <v>45055</v>
      </c>
      <c r="E280" s="171">
        <v>2023</v>
      </c>
      <c r="F280" s="171">
        <v>5</v>
      </c>
      <c r="G280" s="171">
        <v>9</v>
      </c>
      <c r="H280" s="131"/>
      <c r="I280" s="176"/>
      <c r="J280" s="176"/>
      <c r="K280" s="171"/>
      <c r="L280" s="171" t="s">
        <v>52</v>
      </c>
      <c r="M280" s="171">
        <v>90</v>
      </c>
      <c r="N280" s="175">
        <v>0</v>
      </c>
      <c r="O280" s="171">
        <v>0</v>
      </c>
      <c r="P280" s="171">
        <v>0</v>
      </c>
      <c r="Q280" s="175">
        <v>0</v>
      </c>
      <c r="R280" s="6"/>
      <c r="S280" s="6"/>
      <c r="T280" s="6"/>
      <c r="U280" s="6"/>
      <c r="V280" s="6"/>
      <c r="W280" s="6"/>
      <c r="X280" s="6" t="s">
        <v>254</v>
      </c>
      <c r="Y280" s="6" t="s">
        <v>143</v>
      </c>
    </row>
    <row r="281" spans="1:25">
      <c r="A281" s="171">
        <v>20</v>
      </c>
      <c r="B281" s="174">
        <v>45047</v>
      </c>
      <c r="C281" s="174">
        <v>45056</v>
      </c>
      <c r="D281" s="174">
        <v>45055</v>
      </c>
      <c r="E281" s="171">
        <v>2023</v>
      </c>
      <c r="F281" s="171">
        <v>5</v>
      </c>
      <c r="G281" s="171">
        <v>9</v>
      </c>
      <c r="H281" s="131"/>
      <c r="I281" s="176"/>
      <c r="J281" s="176"/>
      <c r="K281" s="171"/>
      <c r="L281" s="171" t="s">
        <v>52</v>
      </c>
      <c r="M281" s="171">
        <v>330</v>
      </c>
      <c r="N281" s="175">
        <v>0</v>
      </c>
      <c r="O281" s="171">
        <v>0</v>
      </c>
      <c r="P281" s="171">
        <v>0</v>
      </c>
      <c r="Q281" s="175">
        <v>0</v>
      </c>
      <c r="R281" s="6"/>
      <c r="S281" s="6"/>
      <c r="T281" s="6"/>
      <c r="U281" s="6"/>
      <c r="V281" s="6"/>
      <c r="W281" s="6"/>
      <c r="X281" s="6" t="s">
        <v>254</v>
      </c>
      <c r="Y281" s="6" t="s">
        <v>143</v>
      </c>
    </row>
    <row r="282" spans="1:25">
      <c r="A282" s="171">
        <v>20</v>
      </c>
      <c r="B282" s="174">
        <v>45047</v>
      </c>
      <c r="C282" s="174">
        <v>45061</v>
      </c>
      <c r="D282" s="174">
        <v>45059</v>
      </c>
      <c r="E282" s="171">
        <v>2023</v>
      </c>
      <c r="F282" s="171">
        <v>5</v>
      </c>
      <c r="G282" s="171">
        <v>13</v>
      </c>
      <c r="H282" s="131"/>
      <c r="I282" s="176"/>
      <c r="J282" s="176"/>
      <c r="K282" s="171"/>
      <c r="L282" s="171" t="s">
        <v>56</v>
      </c>
      <c r="M282" s="171">
        <v>300</v>
      </c>
      <c r="N282" s="175">
        <v>0</v>
      </c>
      <c r="O282" s="171">
        <v>0</v>
      </c>
      <c r="P282" s="171">
        <v>0</v>
      </c>
      <c r="Q282" s="175">
        <v>0</v>
      </c>
      <c r="R282" s="6"/>
      <c r="S282" s="6"/>
      <c r="T282" s="6"/>
      <c r="U282" s="6"/>
      <c r="V282" s="6"/>
      <c r="W282" s="6"/>
      <c r="X282" s="6" t="s">
        <v>242</v>
      </c>
      <c r="Y282" s="6" t="s">
        <v>141</v>
      </c>
    </row>
    <row r="283" spans="1:25">
      <c r="A283" s="171">
        <v>20</v>
      </c>
      <c r="B283" s="174">
        <v>45047</v>
      </c>
      <c r="C283" s="174">
        <v>45058</v>
      </c>
      <c r="D283" s="174">
        <v>45057</v>
      </c>
      <c r="E283" s="171">
        <v>2023</v>
      </c>
      <c r="F283" s="171">
        <v>5</v>
      </c>
      <c r="G283" s="171">
        <v>11</v>
      </c>
      <c r="H283" s="131"/>
      <c r="I283" s="176"/>
      <c r="J283" s="176"/>
      <c r="K283" s="171"/>
      <c r="L283" s="171" t="s">
        <v>56</v>
      </c>
      <c r="M283" s="171">
        <v>1000</v>
      </c>
      <c r="N283" s="175">
        <v>0</v>
      </c>
      <c r="O283" s="171">
        <v>0</v>
      </c>
      <c r="P283" s="171">
        <v>0</v>
      </c>
      <c r="Q283" s="175">
        <v>0</v>
      </c>
      <c r="R283" s="6"/>
      <c r="S283" s="6"/>
      <c r="T283" s="6"/>
      <c r="U283" s="6"/>
      <c r="V283" s="6"/>
      <c r="W283" s="6"/>
      <c r="X283" s="6" t="s">
        <v>242</v>
      </c>
      <c r="Y283" s="6" t="s">
        <v>141</v>
      </c>
    </row>
    <row r="284" spans="1:25">
      <c r="A284" s="171">
        <v>20</v>
      </c>
      <c r="B284" s="174">
        <v>45047</v>
      </c>
      <c r="C284" s="174">
        <v>45058</v>
      </c>
      <c r="D284" s="174">
        <v>45057</v>
      </c>
      <c r="E284" s="171">
        <v>2023</v>
      </c>
      <c r="F284" s="171">
        <v>5</v>
      </c>
      <c r="G284" s="171">
        <v>11</v>
      </c>
      <c r="H284" s="131"/>
      <c r="I284" s="176"/>
      <c r="J284" s="176"/>
      <c r="K284" s="171"/>
      <c r="L284" s="171" t="s">
        <v>56</v>
      </c>
      <c r="M284" s="171">
        <v>300</v>
      </c>
      <c r="N284" s="175">
        <v>0</v>
      </c>
      <c r="O284" s="171">
        <v>0</v>
      </c>
      <c r="P284" s="171">
        <v>0</v>
      </c>
      <c r="Q284" s="175">
        <v>0</v>
      </c>
      <c r="R284" s="6"/>
      <c r="S284" s="6"/>
      <c r="T284" s="6"/>
      <c r="U284" s="6"/>
      <c r="V284" s="6"/>
      <c r="W284" s="6"/>
      <c r="X284" s="6" t="s">
        <v>242</v>
      </c>
      <c r="Y284" s="6" t="s">
        <v>141</v>
      </c>
    </row>
    <row r="285" spans="1:25">
      <c r="A285" s="171">
        <v>20</v>
      </c>
      <c r="B285" s="174">
        <v>45047</v>
      </c>
      <c r="C285" s="174">
        <v>45058</v>
      </c>
      <c r="D285" s="174">
        <v>45057</v>
      </c>
      <c r="E285" s="171">
        <v>2023</v>
      </c>
      <c r="F285" s="171">
        <v>5</v>
      </c>
      <c r="G285" s="171">
        <v>11</v>
      </c>
      <c r="H285" s="131"/>
      <c r="I285" s="176"/>
      <c r="J285" s="176"/>
      <c r="K285" s="171"/>
      <c r="L285" s="171" t="s">
        <v>52</v>
      </c>
      <c r="M285" s="171">
        <v>4000</v>
      </c>
      <c r="N285" s="175">
        <v>0</v>
      </c>
      <c r="O285" s="171">
        <v>0</v>
      </c>
      <c r="P285" s="171">
        <v>0</v>
      </c>
      <c r="Q285" s="175">
        <v>0</v>
      </c>
      <c r="R285" s="6"/>
      <c r="S285" s="6"/>
      <c r="T285" s="6"/>
      <c r="U285" s="6"/>
      <c r="V285" s="6"/>
      <c r="W285" s="6"/>
      <c r="X285" s="6" t="s">
        <v>254</v>
      </c>
      <c r="Y285" s="6" t="s">
        <v>143</v>
      </c>
    </row>
    <row r="286" spans="1:25">
      <c r="A286" s="171">
        <v>20</v>
      </c>
      <c r="B286" s="174">
        <v>45047</v>
      </c>
      <c r="C286" s="174">
        <v>45056</v>
      </c>
      <c r="D286" s="174">
        <v>45055</v>
      </c>
      <c r="E286" s="171">
        <v>2023</v>
      </c>
      <c r="F286" s="171">
        <v>5</v>
      </c>
      <c r="G286" s="171">
        <v>9</v>
      </c>
      <c r="H286" s="131"/>
      <c r="I286" s="176"/>
      <c r="J286" s="176"/>
      <c r="K286" s="171"/>
      <c r="L286" s="171" t="s">
        <v>52</v>
      </c>
      <c r="M286" s="171">
        <v>5000</v>
      </c>
      <c r="N286" s="175">
        <v>0</v>
      </c>
      <c r="O286" s="171">
        <v>0</v>
      </c>
      <c r="P286" s="171">
        <v>0</v>
      </c>
      <c r="Q286" s="175">
        <v>0</v>
      </c>
      <c r="R286" s="6"/>
      <c r="S286" s="6"/>
      <c r="T286" s="6"/>
      <c r="U286" s="6"/>
      <c r="V286" s="6"/>
      <c r="W286" s="6"/>
      <c r="X286" s="6" t="s">
        <v>254</v>
      </c>
      <c r="Y286" s="6" t="s">
        <v>143</v>
      </c>
    </row>
    <row r="287" spans="1:25">
      <c r="A287" s="171">
        <v>20</v>
      </c>
      <c r="B287" s="174">
        <v>45047</v>
      </c>
      <c r="C287" s="174">
        <v>45057</v>
      </c>
      <c r="D287" s="174">
        <v>45056</v>
      </c>
      <c r="E287" s="171">
        <v>2023</v>
      </c>
      <c r="F287" s="171">
        <v>5</v>
      </c>
      <c r="G287" s="171">
        <v>10</v>
      </c>
      <c r="H287" s="131"/>
      <c r="I287" s="176"/>
      <c r="J287" s="176"/>
      <c r="K287" s="171"/>
      <c r="L287" s="171" t="s">
        <v>52</v>
      </c>
      <c r="M287" s="171">
        <v>5002</v>
      </c>
      <c r="N287" s="175">
        <v>2</v>
      </c>
      <c r="O287" s="171">
        <v>2</v>
      </c>
      <c r="P287" s="171">
        <v>2</v>
      </c>
      <c r="Q287" s="175">
        <v>0</v>
      </c>
      <c r="R287" s="6" t="s">
        <v>157</v>
      </c>
      <c r="S287" s="6" t="s">
        <v>162</v>
      </c>
      <c r="T287" s="6" t="s">
        <v>166</v>
      </c>
      <c r="U287" s="6" t="s">
        <v>162</v>
      </c>
      <c r="V287" s="6" t="s">
        <v>294</v>
      </c>
      <c r="W287" s="6"/>
      <c r="X287" s="6" t="s">
        <v>254</v>
      </c>
      <c r="Y287" s="6" t="s">
        <v>143</v>
      </c>
    </row>
    <row r="288" spans="1:25">
      <c r="A288" s="171">
        <v>20</v>
      </c>
      <c r="B288" s="174">
        <v>45047</v>
      </c>
      <c r="C288" s="174">
        <v>45058</v>
      </c>
      <c r="D288" s="174">
        <v>45057</v>
      </c>
      <c r="E288" s="171">
        <v>2023</v>
      </c>
      <c r="F288" s="171">
        <v>5</v>
      </c>
      <c r="G288" s="171">
        <v>11</v>
      </c>
      <c r="H288" s="131"/>
      <c r="I288" s="176"/>
      <c r="J288" s="176"/>
      <c r="K288" s="171"/>
      <c r="L288" s="171" t="s">
        <v>56</v>
      </c>
      <c r="M288" s="171"/>
      <c r="N288" s="175">
        <v>0</v>
      </c>
      <c r="O288" s="171">
        <v>1</v>
      </c>
      <c r="P288" s="171">
        <v>0</v>
      </c>
      <c r="Q288" s="175">
        <v>0</v>
      </c>
      <c r="R288" s="6" t="s">
        <v>160</v>
      </c>
      <c r="S288" s="6" t="s">
        <v>161</v>
      </c>
      <c r="T288" s="6" t="s">
        <v>253</v>
      </c>
      <c r="U288" s="6" t="s">
        <v>233</v>
      </c>
      <c r="V288" s="6" t="s">
        <v>298</v>
      </c>
      <c r="W288" s="6"/>
      <c r="X288" s="6" t="s">
        <v>242</v>
      </c>
      <c r="Y288" s="6" t="s">
        <v>141</v>
      </c>
    </row>
    <row r="289" spans="1:25">
      <c r="A289" s="171">
        <v>20</v>
      </c>
      <c r="B289" s="174">
        <v>45047</v>
      </c>
      <c r="C289" s="174">
        <v>45058</v>
      </c>
      <c r="D289" s="174">
        <v>45057</v>
      </c>
      <c r="E289" s="171">
        <v>2023</v>
      </c>
      <c r="F289" s="171">
        <v>5</v>
      </c>
      <c r="G289" s="171">
        <v>11</v>
      </c>
      <c r="H289" s="131"/>
      <c r="I289" s="176"/>
      <c r="J289" s="176"/>
      <c r="K289" s="171"/>
      <c r="L289" s="171" t="s">
        <v>56</v>
      </c>
      <c r="M289" s="171"/>
      <c r="N289" s="175">
        <v>0</v>
      </c>
      <c r="O289" s="171">
        <v>1</v>
      </c>
      <c r="P289" s="171">
        <v>0</v>
      </c>
      <c r="Q289" s="175">
        <v>0</v>
      </c>
      <c r="R289" s="6" t="s">
        <v>160</v>
      </c>
      <c r="S289" s="6" t="s">
        <v>161</v>
      </c>
      <c r="T289" s="6" t="s">
        <v>314</v>
      </c>
      <c r="U289" s="6" t="s">
        <v>168</v>
      </c>
      <c r="V289" s="6" t="s">
        <v>299</v>
      </c>
      <c r="W289" s="6"/>
      <c r="X289" s="6" t="s">
        <v>242</v>
      </c>
      <c r="Y289" s="6" t="s">
        <v>141</v>
      </c>
    </row>
    <row r="290" spans="1:25">
      <c r="A290" s="171">
        <v>20</v>
      </c>
      <c r="B290" s="174">
        <v>45047</v>
      </c>
      <c r="C290" s="174">
        <v>45058</v>
      </c>
      <c r="D290" s="174">
        <v>45057</v>
      </c>
      <c r="E290" s="171">
        <v>2023</v>
      </c>
      <c r="F290" s="171">
        <v>5</v>
      </c>
      <c r="G290" s="171">
        <v>11</v>
      </c>
      <c r="H290" s="131"/>
      <c r="I290" s="176"/>
      <c r="J290" s="176"/>
      <c r="K290" s="171"/>
      <c r="L290" s="171" t="s">
        <v>56</v>
      </c>
      <c r="M290" s="171"/>
      <c r="N290" s="175">
        <v>0</v>
      </c>
      <c r="O290" s="171">
        <v>1</v>
      </c>
      <c r="P290" s="171">
        <v>0</v>
      </c>
      <c r="Q290" s="175">
        <v>0</v>
      </c>
      <c r="R290" s="6" t="s">
        <v>157</v>
      </c>
      <c r="S290" s="6" t="s">
        <v>161</v>
      </c>
      <c r="T290" s="6" t="s">
        <v>166</v>
      </c>
      <c r="U290" s="6" t="s">
        <v>170</v>
      </c>
      <c r="V290" s="6" t="s">
        <v>297</v>
      </c>
      <c r="W290" s="6"/>
      <c r="X290" s="6" t="s">
        <v>242</v>
      </c>
      <c r="Y290" s="6" t="s">
        <v>141</v>
      </c>
    </row>
    <row r="291" spans="1:25">
      <c r="A291" s="171">
        <v>20</v>
      </c>
      <c r="B291" s="174">
        <v>45047</v>
      </c>
      <c r="C291" s="174">
        <v>45057</v>
      </c>
      <c r="D291" s="174">
        <v>45056</v>
      </c>
      <c r="E291" s="171">
        <v>2023</v>
      </c>
      <c r="F291" s="171">
        <v>5</v>
      </c>
      <c r="G291" s="171">
        <v>10</v>
      </c>
      <c r="H291" s="131"/>
      <c r="I291" s="176"/>
      <c r="J291" s="176"/>
      <c r="K291" s="171"/>
      <c r="L291" s="171" t="s">
        <v>56</v>
      </c>
      <c r="M291" s="171">
        <v>103</v>
      </c>
      <c r="N291" s="175">
        <v>3</v>
      </c>
      <c r="O291" s="171">
        <v>3</v>
      </c>
      <c r="P291" s="171">
        <v>0</v>
      </c>
      <c r="Q291" s="175">
        <v>3</v>
      </c>
      <c r="R291" s="6" t="s">
        <v>160</v>
      </c>
      <c r="S291" s="6" t="s">
        <v>161</v>
      </c>
      <c r="T291" s="6" t="s">
        <v>253</v>
      </c>
      <c r="U291" s="6" t="s">
        <v>233</v>
      </c>
      <c r="V291" s="6"/>
      <c r="W291" s="6"/>
      <c r="X291" s="6" t="s">
        <v>242</v>
      </c>
      <c r="Y291" s="6" t="s">
        <v>141</v>
      </c>
    </row>
    <row r="292" spans="1:25">
      <c r="A292" s="171">
        <v>20</v>
      </c>
      <c r="B292" s="174">
        <v>45047</v>
      </c>
      <c r="C292" s="174">
        <v>45058</v>
      </c>
      <c r="D292" s="174">
        <v>45057</v>
      </c>
      <c r="E292" s="171">
        <v>2023</v>
      </c>
      <c r="F292" s="171">
        <v>5</v>
      </c>
      <c r="G292" s="171">
        <v>11</v>
      </c>
      <c r="H292" s="131"/>
      <c r="I292" s="176"/>
      <c r="J292" s="176"/>
      <c r="K292" s="171"/>
      <c r="L292" s="171" t="s">
        <v>56</v>
      </c>
      <c r="M292" s="171">
        <v>1006</v>
      </c>
      <c r="N292" s="175">
        <v>6</v>
      </c>
      <c r="O292" s="171">
        <v>3</v>
      </c>
      <c r="P292" s="171">
        <v>1</v>
      </c>
      <c r="Q292" s="175">
        <v>5</v>
      </c>
      <c r="R292" s="6" t="s">
        <v>160</v>
      </c>
      <c r="S292" s="6" t="s">
        <v>295</v>
      </c>
      <c r="T292" s="6" t="s">
        <v>253</v>
      </c>
      <c r="U292" s="6" t="s">
        <v>177</v>
      </c>
      <c r="V292" s="6" t="s">
        <v>296</v>
      </c>
      <c r="W292" s="6"/>
      <c r="X292" s="6" t="s">
        <v>242</v>
      </c>
      <c r="Y292" s="6" t="s">
        <v>141</v>
      </c>
    </row>
    <row r="293" spans="1:25">
      <c r="A293" s="171">
        <v>20</v>
      </c>
      <c r="B293" s="174">
        <v>45047</v>
      </c>
      <c r="C293" s="174">
        <v>45061</v>
      </c>
      <c r="D293" s="174">
        <v>45058</v>
      </c>
      <c r="E293" s="171">
        <v>2023</v>
      </c>
      <c r="F293" s="171">
        <v>5</v>
      </c>
      <c r="G293" s="171">
        <v>12</v>
      </c>
      <c r="H293" s="131"/>
      <c r="I293" s="176"/>
      <c r="J293" s="176"/>
      <c r="K293" s="171"/>
      <c r="L293" s="171" t="s">
        <v>52</v>
      </c>
      <c r="M293" s="171">
        <v>30000</v>
      </c>
      <c r="N293" s="175">
        <v>0</v>
      </c>
      <c r="O293" s="171">
        <v>0</v>
      </c>
      <c r="P293" s="171">
        <v>0</v>
      </c>
      <c r="Q293" s="175">
        <v>0</v>
      </c>
      <c r="R293" s="6"/>
      <c r="S293" s="6"/>
      <c r="T293" s="6"/>
      <c r="U293" s="6"/>
      <c r="V293" s="6"/>
      <c r="W293" s="6"/>
      <c r="X293" s="6" t="s">
        <v>254</v>
      </c>
      <c r="Y293" s="6" t="s">
        <v>143</v>
      </c>
    </row>
    <row r="294" spans="1:25">
      <c r="A294" s="171">
        <v>20</v>
      </c>
      <c r="B294" s="174">
        <v>45047</v>
      </c>
      <c r="C294" s="174">
        <v>45058</v>
      </c>
      <c r="D294" s="174">
        <v>45057</v>
      </c>
      <c r="E294" s="171">
        <v>2023</v>
      </c>
      <c r="F294" s="171">
        <v>5</v>
      </c>
      <c r="G294" s="171">
        <v>11</v>
      </c>
      <c r="H294" s="131"/>
      <c r="I294" s="176"/>
      <c r="J294" s="176"/>
      <c r="K294" s="171"/>
      <c r="L294" s="171" t="s">
        <v>56</v>
      </c>
      <c r="M294" s="171">
        <v>310</v>
      </c>
      <c r="N294" s="175">
        <v>0</v>
      </c>
      <c r="O294" s="171">
        <v>0</v>
      </c>
      <c r="P294" s="171">
        <v>0</v>
      </c>
      <c r="Q294" s="175">
        <v>0</v>
      </c>
      <c r="R294" s="6"/>
      <c r="S294" s="6"/>
      <c r="T294" s="6"/>
      <c r="U294" s="6"/>
      <c r="V294" s="6"/>
      <c r="W294" s="6"/>
      <c r="X294" s="6" t="s">
        <v>242</v>
      </c>
      <c r="Y294" s="6" t="s">
        <v>141</v>
      </c>
    </row>
    <row r="295" spans="1:25">
      <c r="A295" s="171">
        <v>20</v>
      </c>
      <c r="B295" s="174">
        <v>45047</v>
      </c>
      <c r="C295" s="174">
        <v>45055</v>
      </c>
      <c r="D295" s="174">
        <v>45054</v>
      </c>
      <c r="E295" s="171">
        <v>2023</v>
      </c>
      <c r="F295" s="171">
        <v>5</v>
      </c>
      <c r="G295" s="171">
        <v>8</v>
      </c>
      <c r="H295" s="131"/>
      <c r="I295" s="176"/>
      <c r="J295" s="176"/>
      <c r="K295" s="171"/>
      <c r="L295" s="171" t="s">
        <v>52</v>
      </c>
      <c r="M295" s="171">
        <v>30000</v>
      </c>
      <c r="N295" s="175">
        <v>0</v>
      </c>
      <c r="O295" s="171">
        <v>0</v>
      </c>
      <c r="P295" s="171">
        <v>0</v>
      </c>
      <c r="Q295" s="175">
        <v>0</v>
      </c>
      <c r="R295" s="6"/>
      <c r="S295" s="6"/>
      <c r="T295" s="6"/>
      <c r="U295" s="6"/>
      <c r="V295" s="6"/>
      <c r="W295" s="6"/>
      <c r="X295" s="6" t="s">
        <v>254</v>
      </c>
      <c r="Y295" s="6" t="s">
        <v>143</v>
      </c>
    </row>
    <row r="296" spans="1:25">
      <c r="A296" s="171">
        <v>20</v>
      </c>
      <c r="B296" s="174">
        <v>45047</v>
      </c>
      <c r="C296" s="174">
        <v>45058</v>
      </c>
      <c r="D296" s="174">
        <v>45057</v>
      </c>
      <c r="E296" s="171">
        <v>2023</v>
      </c>
      <c r="F296" s="171">
        <v>5</v>
      </c>
      <c r="G296" s="171">
        <v>11</v>
      </c>
      <c r="H296" s="131"/>
      <c r="I296" s="176"/>
      <c r="J296" s="176"/>
      <c r="K296" s="171"/>
      <c r="L296" s="171" t="s">
        <v>56</v>
      </c>
      <c r="M296" s="171">
        <v>820</v>
      </c>
      <c r="N296" s="175">
        <v>0</v>
      </c>
      <c r="O296" s="171">
        <v>0</v>
      </c>
      <c r="P296" s="171">
        <v>0</v>
      </c>
      <c r="Q296" s="175">
        <v>0</v>
      </c>
      <c r="R296" s="6"/>
      <c r="S296" s="6"/>
      <c r="T296" s="6"/>
      <c r="U296" s="6"/>
      <c r="V296" s="6"/>
      <c r="W296" s="6"/>
      <c r="X296" s="6" t="s">
        <v>242</v>
      </c>
      <c r="Y296" s="6" t="s">
        <v>141</v>
      </c>
    </row>
    <row r="297" spans="1:25">
      <c r="A297" s="171">
        <v>20</v>
      </c>
      <c r="B297" s="174">
        <v>45047</v>
      </c>
      <c r="C297" s="174">
        <v>45061</v>
      </c>
      <c r="D297" s="174">
        <v>45058</v>
      </c>
      <c r="E297" s="171">
        <v>2023</v>
      </c>
      <c r="F297" s="171">
        <v>5</v>
      </c>
      <c r="G297" s="171">
        <v>12</v>
      </c>
      <c r="H297" s="131"/>
      <c r="I297" s="176"/>
      <c r="J297" s="176"/>
      <c r="K297" s="171"/>
      <c r="L297" s="171" t="s">
        <v>56</v>
      </c>
      <c r="M297" s="171">
        <v>1500</v>
      </c>
      <c r="N297" s="175">
        <v>0</v>
      </c>
      <c r="O297" s="171">
        <v>0</v>
      </c>
      <c r="P297" s="171">
        <v>0</v>
      </c>
      <c r="Q297" s="175">
        <v>0</v>
      </c>
      <c r="R297" s="6"/>
      <c r="S297" s="6"/>
      <c r="T297" s="6"/>
      <c r="U297" s="6"/>
      <c r="V297" s="6"/>
      <c r="W297" s="6"/>
      <c r="X297" s="6" t="s">
        <v>242</v>
      </c>
      <c r="Y297" s="6" t="s">
        <v>141</v>
      </c>
    </row>
    <row r="298" spans="1:25">
      <c r="A298" s="171">
        <v>20</v>
      </c>
      <c r="B298" s="174">
        <v>45047</v>
      </c>
      <c r="C298" s="174">
        <v>45061</v>
      </c>
      <c r="D298" s="174">
        <v>45058</v>
      </c>
      <c r="E298" s="171">
        <v>2023</v>
      </c>
      <c r="F298" s="171">
        <v>5</v>
      </c>
      <c r="G298" s="171">
        <v>12</v>
      </c>
      <c r="H298" s="131"/>
      <c r="I298" s="176"/>
      <c r="J298" s="176"/>
      <c r="K298" s="171"/>
      <c r="L298" s="171" t="s">
        <v>56</v>
      </c>
      <c r="M298" s="171">
        <v>300</v>
      </c>
      <c r="N298" s="175">
        <v>0</v>
      </c>
      <c r="O298" s="171">
        <v>0</v>
      </c>
      <c r="P298" s="171">
        <v>0</v>
      </c>
      <c r="Q298" s="175">
        <v>0</v>
      </c>
      <c r="R298" s="6"/>
      <c r="S298" s="6"/>
      <c r="T298" s="6"/>
      <c r="U298" s="6"/>
      <c r="V298" s="6"/>
      <c r="W298" s="6"/>
      <c r="X298" s="6" t="s">
        <v>242</v>
      </c>
      <c r="Y298" s="6" t="s">
        <v>141</v>
      </c>
    </row>
    <row r="299" spans="1:25">
      <c r="A299" s="171">
        <v>20</v>
      </c>
      <c r="B299" s="174">
        <v>45047</v>
      </c>
      <c r="C299" s="174">
        <v>45057</v>
      </c>
      <c r="D299" s="174">
        <v>45056</v>
      </c>
      <c r="E299" s="171">
        <v>2023</v>
      </c>
      <c r="F299" s="171">
        <v>5</v>
      </c>
      <c r="G299" s="171">
        <v>10</v>
      </c>
      <c r="H299" s="131"/>
      <c r="I299" s="176"/>
      <c r="J299" s="176"/>
      <c r="K299" s="171"/>
      <c r="L299" s="171" t="s">
        <v>52</v>
      </c>
      <c r="M299" s="171">
        <v>40009</v>
      </c>
      <c r="N299" s="175">
        <v>9</v>
      </c>
      <c r="O299" s="171">
        <v>9</v>
      </c>
      <c r="P299" s="171">
        <v>9</v>
      </c>
      <c r="Q299" s="175">
        <v>0</v>
      </c>
      <c r="R299" s="6" t="s">
        <v>157</v>
      </c>
      <c r="S299" s="6" t="s">
        <v>158</v>
      </c>
      <c r="T299" s="6" t="s">
        <v>166</v>
      </c>
      <c r="U299" s="6" t="s">
        <v>167</v>
      </c>
      <c r="V299" s="6"/>
      <c r="W299" s="6"/>
      <c r="X299" s="6" t="s">
        <v>254</v>
      </c>
      <c r="Y299" s="6" t="s">
        <v>143</v>
      </c>
    </row>
    <row r="300" spans="1:25">
      <c r="A300" s="171">
        <v>20</v>
      </c>
      <c r="B300" s="174">
        <v>45047</v>
      </c>
      <c r="C300" s="174">
        <v>45058</v>
      </c>
      <c r="D300" s="174">
        <v>45057</v>
      </c>
      <c r="E300" s="171">
        <v>2023</v>
      </c>
      <c r="F300" s="171">
        <v>5</v>
      </c>
      <c r="G300" s="171">
        <v>11</v>
      </c>
      <c r="H300" s="131"/>
      <c r="I300" s="176"/>
      <c r="J300" s="176"/>
      <c r="K300" s="171"/>
      <c r="L300" s="171" t="s">
        <v>52</v>
      </c>
      <c r="M300" s="171">
        <v>25000</v>
      </c>
      <c r="N300" s="175">
        <v>0</v>
      </c>
      <c r="O300" s="171">
        <v>0</v>
      </c>
      <c r="P300" s="171">
        <v>0</v>
      </c>
      <c r="Q300" s="175">
        <v>0</v>
      </c>
      <c r="R300" s="6"/>
      <c r="S300" s="6"/>
      <c r="T300" s="6"/>
      <c r="U300" s="6"/>
      <c r="V300" s="6"/>
      <c r="W300" s="6"/>
      <c r="X300" s="6" t="s">
        <v>254</v>
      </c>
      <c r="Y300" s="6" t="s">
        <v>143</v>
      </c>
    </row>
    <row r="301" spans="1:25">
      <c r="A301" s="171">
        <v>20</v>
      </c>
      <c r="B301" s="174">
        <v>45047</v>
      </c>
      <c r="C301" s="174">
        <v>45056</v>
      </c>
      <c r="D301" s="174">
        <v>45055</v>
      </c>
      <c r="E301" s="171">
        <v>2023</v>
      </c>
      <c r="F301" s="171">
        <v>5</v>
      </c>
      <c r="G301" s="171">
        <v>9</v>
      </c>
      <c r="H301" s="131"/>
      <c r="I301" s="176"/>
      <c r="J301" s="176"/>
      <c r="K301" s="171"/>
      <c r="L301" s="171" t="s">
        <v>52</v>
      </c>
      <c r="M301" s="171">
        <v>1000</v>
      </c>
      <c r="N301" s="175">
        <v>0</v>
      </c>
      <c r="O301" s="171">
        <v>0</v>
      </c>
      <c r="P301" s="171">
        <v>0</v>
      </c>
      <c r="Q301" s="175">
        <v>0</v>
      </c>
      <c r="R301" s="6"/>
      <c r="S301" s="6"/>
      <c r="T301" s="6"/>
      <c r="U301" s="6"/>
      <c r="V301" s="6"/>
      <c r="W301" s="6"/>
      <c r="X301" s="6" t="s">
        <v>254</v>
      </c>
      <c r="Y301" s="6" t="s">
        <v>143</v>
      </c>
    </row>
    <row r="302" spans="1:25">
      <c r="A302" s="171">
        <v>20</v>
      </c>
      <c r="B302" s="174">
        <v>45047</v>
      </c>
      <c r="C302" s="174">
        <v>45055</v>
      </c>
      <c r="D302" s="174">
        <v>45054</v>
      </c>
      <c r="E302" s="171">
        <v>2023</v>
      </c>
      <c r="F302" s="171">
        <v>5</v>
      </c>
      <c r="G302" s="171">
        <v>8</v>
      </c>
      <c r="H302" s="131"/>
      <c r="I302" s="176"/>
      <c r="J302" s="176"/>
      <c r="K302" s="171"/>
      <c r="L302" s="171" t="s">
        <v>52</v>
      </c>
      <c r="M302" s="171">
        <v>1000</v>
      </c>
      <c r="N302" s="175">
        <v>0</v>
      </c>
      <c r="O302" s="171">
        <v>0</v>
      </c>
      <c r="P302" s="171">
        <v>0</v>
      </c>
      <c r="Q302" s="175">
        <v>0</v>
      </c>
      <c r="R302" s="6"/>
      <c r="S302" s="6"/>
      <c r="T302" s="6"/>
      <c r="U302" s="6"/>
      <c r="V302" s="6"/>
      <c r="W302" s="6"/>
      <c r="X302" s="6" t="s">
        <v>254</v>
      </c>
      <c r="Y302" s="6" t="s">
        <v>143</v>
      </c>
    </row>
    <row r="303" spans="1:25">
      <c r="A303" s="171">
        <v>20</v>
      </c>
      <c r="B303" s="174">
        <v>45047</v>
      </c>
      <c r="C303" s="174">
        <v>45056</v>
      </c>
      <c r="D303" s="174">
        <v>45055</v>
      </c>
      <c r="E303" s="171">
        <v>2023</v>
      </c>
      <c r="F303" s="171">
        <v>5</v>
      </c>
      <c r="G303" s="171">
        <v>9</v>
      </c>
      <c r="H303" s="131"/>
      <c r="I303" s="176"/>
      <c r="J303" s="176"/>
      <c r="K303" s="171"/>
      <c r="L303" s="171" t="s">
        <v>52</v>
      </c>
      <c r="M303" s="171">
        <v>30000</v>
      </c>
      <c r="N303" s="175">
        <v>0</v>
      </c>
      <c r="O303" s="171">
        <v>0</v>
      </c>
      <c r="P303" s="171">
        <v>0</v>
      </c>
      <c r="Q303" s="175">
        <v>0</v>
      </c>
      <c r="R303" s="6"/>
      <c r="S303" s="6"/>
      <c r="T303" s="6"/>
      <c r="U303" s="6"/>
      <c r="V303" s="6"/>
      <c r="W303" s="6"/>
      <c r="X303" s="6" t="s">
        <v>254</v>
      </c>
      <c r="Y303" s="6" t="s">
        <v>143</v>
      </c>
    </row>
    <row r="304" spans="1:25">
      <c r="A304" s="171">
        <v>20</v>
      </c>
      <c r="B304" s="174">
        <v>45047</v>
      </c>
      <c r="C304" s="174">
        <v>45057</v>
      </c>
      <c r="D304" s="174">
        <v>45056</v>
      </c>
      <c r="E304" s="171">
        <v>2023</v>
      </c>
      <c r="F304" s="171">
        <v>5</v>
      </c>
      <c r="G304" s="171">
        <v>10</v>
      </c>
      <c r="H304" s="131"/>
      <c r="I304" s="176"/>
      <c r="J304" s="176"/>
      <c r="K304" s="171"/>
      <c r="L304" s="171" t="s">
        <v>56</v>
      </c>
      <c r="M304" s="171">
        <v>2200</v>
      </c>
      <c r="N304" s="175">
        <v>0</v>
      </c>
      <c r="O304" s="171">
        <v>0</v>
      </c>
      <c r="P304" s="171">
        <v>0</v>
      </c>
      <c r="Q304" s="175">
        <v>0</v>
      </c>
      <c r="R304" s="6"/>
      <c r="S304" s="6"/>
      <c r="T304" s="6"/>
      <c r="U304" s="6"/>
      <c r="V304" s="6"/>
      <c r="W304" s="6"/>
      <c r="X304" s="6" t="s">
        <v>242</v>
      </c>
      <c r="Y304" s="6" t="s">
        <v>141</v>
      </c>
    </row>
    <row r="305" spans="1:25">
      <c r="A305" s="171">
        <v>20</v>
      </c>
      <c r="B305" s="174">
        <v>45047</v>
      </c>
      <c r="C305" s="174">
        <v>45056</v>
      </c>
      <c r="D305" s="174">
        <v>45055</v>
      </c>
      <c r="E305" s="171">
        <v>2023</v>
      </c>
      <c r="F305" s="171">
        <v>5</v>
      </c>
      <c r="G305" s="171">
        <v>9</v>
      </c>
      <c r="H305" s="131"/>
      <c r="I305" s="176"/>
      <c r="J305" s="176"/>
      <c r="K305" s="171"/>
      <c r="L305" s="171" t="s">
        <v>56</v>
      </c>
      <c r="M305" s="171">
        <v>1000</v>
      </c>
      <c r="N305" s="175">
        <v>0</v>
      </c>
      <c r="O305" s="171">
        <v>0</v>
      </c>
      <c r="P305" s="171">
        <v>0</v>
      </c>
      <c r="Q305" s="175">
        <v>0</v>
      </c>
      <c r="R305" s="6"/>
      <c r="S305" s="6"/>
      <c r="T305" s="6"/>
      <c r="U305" s="6"/>
      <c r="V305" s="6"/>
      <c r="W305" s="6"/>
      <c r="X305" s="6" t="s">
        <v>242</v>
      </c>
      <c r="Y305" s="6" t="s">
        <v>141</v>
      </c>
    </row>
    <row r="306" spans="1:25">
      <c r="A306" s="171">
        <v>20</v>
      </c>
      <c r="B306" s="174">
        <v>45047</v>
      </c>
      <c r="C306" s="174">
        <v>45057</v>
      </c>
      <c r="D306" s="174">
        <v>45056</v>
      </c>
      <c r="E306" s="171">
        <v>2023</v>
      </c>
      <c r="F306" s="171">
        <v>5</v>
      </c>
      <c r="G306" s="171">
        <v>10</v>
      </c>
      <c r="H306" s="131"/>
      <c r="I306" s="176"/>
      <c r="J306" s="176"/>
      <c r="K306" s="171"/>
      <c r="L306" s="171" t="s">
        <v>56</v>
      </c>
      <c r="M306" s="171">
        <v>1750</v>
      </c>
      <c r="N306" s="175">
        <v>0</v>
      </c>
      <c r="O306" s="171">
        <v>0</v>
      </c>
      <c r="P306" s="171">
        <v>0</v>
      </c>
      <c r="Q306" s="175">
        <v>0</v>
      </c>
      <c r="R306" s="6"/>
      <c r="S306" s="6"/>
      <c r="T306" s="6"/>
      <c r="U306" s="6"/>
      <c r="V306" s="6"/>
      <c r="W306" s="6"/>
      <c r="X306" s="6" t="s">
        <v>242</v>
      </c>
      <c r="Y306" s="6" t="s">
        <v>141</v>
      </c>
    </row>
    <row r="307" spans="1:25">
      <c r="A307" s="171">
        <v>20</v>
      </c>
      <c r="B307" s="174">
        <v>45047</v>
      </c>
      <c r="C307" s="174">
        <v>45057</v>
      </c>
      <c r="D307" s="174">
        <v>45056</v>
      </c>
      <c r="E307" s="171">
        <v>2023</v>
      </c>
      <c r="F307" s="171">
        <v>5</v>
      </c>
      <c r="G307" s="171">
        <v>10</v>
      </c>
      <c r="H307" s="131"/>
      <c r="I307" s="176"/>
      <c r="J307" s="176"/>
      <c r="K307" s="171"/>
      <c r="L307" s="171" t="s">
        <v>56</v>
      </c>
      <c r="M307" s="171">
        <v>5750</v>
      </c>
      <c r="N307" s="175">
        <v>0</v>
      </c>
      <c r="O307" s="171">
        <v>0</v>
      </c>
      <c r="P307" s="171">
        <v>0</v>
      </c>
      <c r="Q307" s="175">
        <v>0</v>
      </c>
      <c r="R307" s="6"/>
      <c r="S307" s="6"/>
      <c r="T307" s="6"/>
      <c r="U307" s="6"/>
      <c r="V307" s="6"/>
      <c r="W307" s="6"/>
      <c r="X307" s="6" t="s">
        <v>242</v>
      </c>
      <c r="Y307" s="6" t="s">
        <v>141</v>
      </c>
    </row>
    <row r="308" spans="1:25">
      <c r="A308" s="171">
        <v>20</v>
      </c>
      <c r="B308" s="174">
        <v>45047</v>
      </c>
      <c r="C308" s="174">
        <v>45058</v>
      </c>
      <c r="D308" s="174">
        <v>45057</v>
      </c>
      <c r="E308" s="171">
        <v>2023</v>
      </c>
      <c r="F308" s="171">
        <v>5</v>
      </c>
      <c r="G308" s="171">
        <v>11</v>
      </c>
      <c r="H308" s="131"/>
      <c r="I308" s="176"/>
      <c r="J308" s="176"/>
      <c r="K308" s="171"/>
      <c r="L308" s="171" t="s">
        <v>56</v>
      </c>
      <c r="M308" s="171">
        <v>5501</v>
      </c>
      <c r="N308" s="175">
        <v>1</v>
      </c>
      <c r="O308" s="171">
        <v>1</v>
      </c>
      <c r="P308" s="171">
        <v>0</v>
      </c>
      <c r="Q308" s="175">
        <v>1</v>
      </c>
      <c r="R308" s="6" t="s">
        <v>160</v>
      </c>
      <c r="S308" s="6" t="s">
        <v>205</v>
      </c>
      <c r="T308" s="6" t="s">
        <v>314</v>
      </c>
      <c r="U308" s="6" t="s">
        <v>183</v>
      </c>
      <c r="V308" s="6"/>
      <c r="W308" s="6"/>
      <c r="X308" s="6" t="s">
        <v>242</v>
      </c>
      <c r="Y308" s="6" t="s">
        <v>141</v>
      </c>
    </row>
    <row r="309" spans="1:25">
      <c r="A309" s="171">
        <v>20</v>
      </c>
      <c r="B309" s="174">
        <v>45047</v>
      </c>
      <c r="C309" s="174">
        <v>45056</v>
      </c>
      <c r="D309" s="174">
        <v>45055</v>
      </c>
      <c r="E309" s="171">
        <v>2023</v>
      </c>
      <c r="F309" s="171">
        <v>5</v>
      </c>
      <c r="G309" s="171">
        <v>9</v>
      </c>
      <c r="H309" s="131"/>
      <c r="I309" s="176"/>
      <c r="J309" s="176"/>
      <c r="K309" s="171"/>
      <c r="L309" s="171" t="s">
        <v>56</v>
      </c>
      <c r="M309" s="171">
        <v>800</v>
      </c>
      <c r="N309" s="175">
        <v>0</v>
      </c>
      <c r="O309" s="171">
        <v>0</v>
      </c>
      <c r="P309" s="171">
        <v>0</v>
      </c>
      <c r="Q309" s="175">
        <v>0</v>
      </c>
      <c r="R309" s="6"/>
      <c r="S309" s="6"/>
      <c r="T309" s="6"/>
      <c r="U309" s="6"/>
      <c r="V309" s="6"/>
      <c r="W309" s="6"/>
      <c r="X309" s="6" t="s">
        <v>242</v>
      </c>
      <c r="Y309" s="6" t="s">
        <v>141</v>
      </c>
    </row>
    <row r="310" spans="1:25">
      <c r="A310" s="171">
        <v>20</v>
      </c>
      <c r="B310" s="174">
        <v>45047</v>
      </c>
      <c r="C310" s="174">
        <v>45056</v>
      </c>
      <c r="D310" s="174">
        <v>45055</v>
      </c>
      <c r="E310" s="171">
        <v>2023</v>
      </c>
      <c r="F310" s="171">
        <v>5</v>
      </c>
      <c r="G310" s="171">
        <v>9</v>
      </c>
      <c r="H310" s="131"/>
      <c r="I310" s="176"/>
      <c r="J310" s="176"/>
      <c r="K310" s="171"/>
      <c r="L310" s="171" t="s">
        <v>56</v>
      </c>
      <c r="M310" s="171">
        <v>600</v>
      </c>
      <c r="N310" s="175">
        <v>0</v>
      </c>
      <c r="O310" s="171">
        <v>0</v>
      </c>
      <c r="P310" s="171">
        <v>0</v>
      </c>
      <c r="Q310" s="175">
        <v>0</v>
      </c>
      <c r="R310" s="6"/>
      <c r="S310" s="6"/>
      <c r="T310" s="6"/>
      <c r="U310" s="6"/>
      <c r="V310" s="6"/>
      <c r="W310" s="6"/>
      <c r="X310" s="6" t="s">
        <v>242</v>
      </c>
      <c r="Y310" s="6" t="s">
        <v>141</v>
      </c>
    </row>
    <row r="311" spans="1:25">
      <c r="A311" s="171">
        <v>20</v>
      </c>
      <c r="B311" s="174">
        <v>45047</v>
      </c>
      <c r="C311" s="174">
        <v>45056</v>
      </c>
      <c r="D311" s="174">
        <v>45055</v>
      </c>
      <c r="E311" s="171">
        <v>2023</v>
      </c>
      <c r="F311" s="171">
        <v>5</v>
      </c>
      <c r="G311" s="171">
        <v>9</v>
      </c>
      <c r="H311" s="131"/>
      <c r="I311" s="176"/>
      <c r="J311" s="176"/>
      <c r="K311" s="171"/>
      <c r="L311" s="171" t="s">
        <v>56</v>
      </c>
      <c r="M311" s="171">
        <v>1000</v>
      </c>
      <c r="N311" s="175">
        <v>0</v>
      </c>
      <c r="O311" s="171">
        <v>0</v>
      </c>
      <c r="P311" s="171">
        <v>0</v>
      </c>
      <c r="Q311" s="175">
        <v>0</v>
      </c>
      <c r="R311" s="6"/>
      <c r="S311" s="6"/>
      <c r="T311" s="6"/>
      <c r="U311" s="6"/>
      <c r="V311" s="6"/>
      <c r="W311" s="6"/>
      <c r="X311" s="6" t="s">
        <v>242</v>
      </c>
      <c r="Y311" s="6" t="s">
        <v>141</v>
      </c>
    </row>
    <row r="312" spans="1:25">
      <c r="A312" s="171">
        <v>20</v>
      </c>
      <c r="B312" s="174">
        <v>45047</v>
      </c>
      <c r="C312" s="174">
        <v>45056</v>
      </c>
      <c r="D312" s="174">
        <v>45055</v>
      </c>
      <c r="E312" s="171">
        <v>2023</v>
      </c>
      <c r="F312" s="171">
        <v>5</v>
      </c>
      <c r="G312" s="171">
        <v>9</v>
      </c>
      <c r="H312" s="131"/>
      <c r="I312" s="176"/>
      <c r="J312" s="176"/>
      <c r="K312" s="171"/>
      <c r="L312" s="171" t="s">
        <v>56</v>
      </c>
      <c r="M312" s="171">
        <v>900</v>
      </c>
      <c r="N312" s="175">
        <v>0</v>
      </c>
      <c r="O312" s="171">
        <v>0</v>
      </c>
      <c r="P312" s="171">
        <v>0</v>
      </c>
      <c r="Q312" s="175">
        <v>0</v>
      </c>
      <c r="R312" s="6"/>
      <c r="S312" s="6"/>
      <c r="T312" s="6"/>
      <c r="U312" s="6"/>
      <c r="V312" s="6"/>
      <c r="W312" s="6"/>
      <c r="X312" s="6" t="s">
        <v>242</v>
      </c>
      <c r="Y312" s="6" t="s">
        <v>141</v>
      </c>
    </row>
    <row r="313" spans="1:25">
      <c r="A313" s="171">
        <v>20</v>
      </c>
      <c r="B313" s="174">
        <v>45047</v>
      </c>
      <c r="C313" s="174">
        <v>45056</v>
      </c>
      <c r="D313" s="174">
        <v>45055</v>
      </c>
      <c r="E313" s="171">
        <v>2023</v>
      </c>
      <c r="F313" s="171">
        <v>5</v>
      </c>
      <c r="G313" s="171">
        <v>9</v>
      </c>
      <c r="H313" s="131"/>
      <c r="I313" s="176"/>
      <c r="J313" s="176"/>
      <c r="K313" s="171"/>
      <c r="L313" s="171" t="s">
        <v>56</v>
      </c>
      <c r="M313" s="171">
        <v>2000</v>
      </c>
      <c r="N313" s="175">
        <v>0</v>
      </c>
      <c r="O313" s="171">
        <v>0</v>
      </c>
      <c r="P313" s="171">
        <v>0</v>
      </c>
      <c r="Q313" s="175">
        <v>0</v>
      </c>
      <c r="R313" s="6"/>
      <c r="S313" s="6"/>
      <c r="T313" s="6"/>
      <c r="U313" s="6"/>
      <c r="V313" s="6"/>
      <c r="W313" s="6"/>
      <c r="X313" s="6" t="s">
        <v>242</v>
      </c>
      <c r="Y313" s="6" t="s">
        <v>141</v>
      </c>
    </row>
    <row r="314" spans="1:25">
      <c r="A314" s="171">
        <v>20</v>
      </c>
      <c r="B314" s="174">
        <v>45047</v>
      </c>
      <c r="C314" s="174">
        <v>45057</v>
      </c>
      <c r="D314" s="174">
        <v>45056</v>
      </c>
      <c r="E314" s="171">
        <v>2023</v>
      </c>
      <c r="F314" s="171">
        <v>5</v>
      </c>
      <c r="G314" s="171">
        <v>10</v>
      </c>
      <c r="H314" s="131"/>
      <c r="I314" s="176"/>
      <c r="J314" s="176"/>
      <c r="K314" s="171"/>
      <c r="L314" s="171" t="s">
        <v>56</v>
      </c>
      <c r="M314" s="171">
        <v>340</v>
      </c>
      <c r="N314" s="175">
        <v>0</v>
      </c>
      <c r="O314" s="171">
        <v>0</v>
      </c>
      <c r="P314" s="171">
        <v>0</v>
      </c>
      <c r="Q314" s="175">
        <v>0</v>
      </c>
      <c r="R314" s="6"/>
      <c r="S314" s="6"/>
      <c r="T314" s="6"/>
      <c r="U314" s="6"/>
      <c r="V314" s="6"/>
      <c r="W314" s="6"/>
      <c r="X314" s="6" t="s">
        <v>242</v>
      </c>
      <c r="Y314" s="6" t="s">
        <v>141</v>
      </c>
    </row>
    <row r="315" spans="1:25">
      <c r="A315" s="171">
        <v>20</v>
      </c>
      <c r="B315" s="174">
        <v>45047</v>
      </c>
      <c r="C315" s="174">
        <v>45061</v>
      </c>
      <c r="D315" s="174">
        <v>45058</v>
      </c>
      <c r="E315" s="171">
        <v>2023</v>
      </c>
      <c r="F315" s="171">
        <v>5</v>
      </c>
      <c r="G315" s="171">
        <v>12</v>
      </c>
      <c r="H315" s="131"/>
      <c r="I315" s="176"/>
      <c r="J315" s="176"/>
      <c r="K315" s="171"/>
      <c r="L315" s="171" t="s">
        <v>56</v>
      </c>
      <c r="M315" s="171">
        <v>250</v>
      </c>
      <c r="N315" s="175">
        <v>0</v>
      </c>
      <c r="O315" s="171">
        <v>0</v>
      </c>
      <c r="P315" s="171">
        <v>0</v>
      </c>
      <c r="Q315" s="175">
        <v>0</v>
      </c>
      <c r="R315" s="6"/>
      <c r="S315" s="6"/>
      <c r="T315" s="6"/>
      <c r="U315" s="6"/>
      <c r="V315" s="6"/>
      <c r="W315" s="6"/>
      <c r="X315" s="6" t="s">
        <v>242</v>
      </c>
      <c r="Y315" s="6" t="s">
        <v>141</v>
      </c>
    </row>
    <row r="316" spans="1:25">
      <c r="A316" s="171">
        <v>20</v>
      </c>
      <c r="B316" s="174">
        <v>45047</v>
      </c>
      <c r="C316" s="174">
        <v>45061</v>
      </c>
      <c r="D316" s="174">
        <v>45058</v>
      </c>
      <c r="E316" s="171">
        <v>2023</v>
      </c>
      <c r="F316" s="171">
        <v>5</v>
      </c>
      <c r="G316" s="171">
        <v>12</v>
      </c>
      <c r="H316" s="131"/>
      <c r="I316" s="176"/>
      <c r="J316" s="176"/>
      <c r="K316" s="171"/>
      <c r="L316" s="171" t="s">
        <v>56</v>
      </c>
      <c r="M316" s="171">
        <v>5000</v>
      </c>
      <c r="N316" s="175">
        <v>0</v>
      </c>
      <c r="O316" s="171">
        <v>0</v>
      </c>
      <c r="P316" s="171">
        <v>0</v>
      </c>
      <c r="Q316" s="175">
        <v>0</v>
      </c>
      <c r="R316" s="6"/>
      <c r="S316" s="6"/>
      <c r="T316" s="6"/>
      <c r="U316" s="6"/>
      <c r="V316" s="6"/>
      <c r="W316" s="6"/>
      <c r="X316" s="6" t="s">
        <v>242</v>
      </c>
      <c r="Y316" s="6" t="s">
        <v>141</v>
      </c>
    </row>
    <row r="317" spans="1:25">
      <c r="A317" s="171">
        <v>20</v>
      </c>
      <c r="B317" s="174">
        <v>45047</v>
      </c>
      <c r="C317" s="174">
        <v>45061</v>
      </c>
      <c r="D317" s="174">
        <v>45058</v>
      </c>
      <c r="E317" s="171">
        <v>2023</v>
      </c>
      <c r="F317" s="171">
        <v>5</v>
      </c>
      <c r="G317" s="171">
        <v>12</v>
      </c>
      <c r="H317" s="131"/>
      <c r="I317" s="176"/>
      <c r="J317" s="176"/>
      <c r="K317" s="171"/>
      <c r="L317" s="171" t="s">
        <v>56</v>
      </c>
      <c r="M317" s="171">
        <v>1000</v>
      </c>
      <c r="N317" s="175">
        <v>0</v>
      </c>
      <c r="O317" s="171">
        <v>0</v>
      </c>
      <c r="P317" s="171">
        <v>0</v>
      </c>
      <c r="Q317" s="175">
        <v>0</v>
      </c>
      <c r="R317" s="6"/>
      <c r="S317" s="6"/>
      <c r="T317" s="6"/>
      <c r="U317" s="6"/>
      <c r="V317" s="6"/>
      <c r="W317" s="6"/>
      <c r="X317" s="6" t="s">
        <v>242</v>
      </c>
      <c r="Y317" s="6" t="s">
        <v>141</v>
      </c>
    </row>
    <row r="318" spans="1:25">
      <c r="A318" s="171">
        <v>20</v>
      </c>
      <c r="B318" s="174">
        <v>45047</v>
      </c>
      <c r="C318" s="174">
        <v>45061</v>
      </c>
      <c r="D318" s="174">
        <v>45059</v>
      </c>
      <c r="E318" s="171">
        <v>2023</v>
      </c>
      <c r="F318" s="171">
        <v>5</v>
      </c>
      <c r="G318" s="171">
        <v>13</v>
      </c>
      <c r="H318" s="131"/>
      <c r="I318" s="176"/>
      <c r="J318" s="176"/>
      <c r="K318" s="171"/>
      <c r="L318" s="171" t="s">
        <v>56</v>
      </c>
      <c r="M318" s="171">
        <v>100</v>
      </c>
      <c r="N318" s="175">
        <v>0</v>
      </c>
      <c r="O318" s="171">
        <v>0</v>
      </c>
      <c r="P318" s="171">
        <v>0</v>
      </c>
      <c r="Q318" s="175">
        <v>0</v>
      </c>
      <c r="R318" s="6"/>
      <c r="S318" s="6"/>
      <c r="T318" s="6"/>
      <c r="U318" s="6"/>
      <c r="V318" s="6"/>
      <c r="W318" s="6"/>
      <c r="X318" s="6" t="s">
        <v>242</v>
      </c>
      <c r="Y318" s="6" t="s">
        <v>141</v>
      </c>
    </row>
    <row r="319" spans="1:25">
      <c r="A319" s="171">
        <v>20</v>
      </c>
      <c r="B319" s="174">
        <v>45047</v>
      </c>
      <c r="C319" s="174">
        <v>45061</v>
      </c>
      <c r="D319" s="174">
        <v>45058</v>
      </c>
      <c r="E319" s="171">
        <v>2023</v>
      </c>
      <c r="F319" s="171">
        <v>5</v>
      </c>
      <c r="G319" s="171">
        <v>12</v>
      </c>
      <c r="H319" s="131"/>
      <c r="I319" s="176"/>
      <c r="J319" s="176"/>
      <c r="K319" s="171"/>
      <c r="L319" s="171" t="s">
        <v>56</v>
      </c>
      <c r="M319" s="171">
        <v>2280</v>
      </c>
      <c r="N319" s="175">
        <v>0</v>
      </c>
      <c r="O319" s="171">
        <v>0</v>
      </c>
      <c r="P319" s="171">
        <v>0</v>
      </c>
      <c r="Q319" s="175">
        <v>0</v>
      </c>
      <c r="R319" s="6"/>
      <c r="S319" s="6"/>
      <c r="T319" s="6"/>
      <c r="U319" s="6"/>
      <c r="V319" s="6"/>
      <c r="W319" s="6"/>
      <c r="X319" s="6" t="s">
        <v>242</v>
      </c>
      <c r="Y319" s="6" t="s">
        <v>141</v>
      </c>
    </row>
    <row r="320" spans="1:25">
      <c r="A320" s="171">
        <v>20</v>
      </c>
      <c r="B320" s="174">
        <v>45047</v>
      </c>
      <c r="C320" s="174">
        <v>45057</v>
      </c>
      <c r="D320" s="174">
        <v>45055</v>
      </c>
      <c r="E320" s="171">
        <v>2023</v>
      </c>
      <c r="F320" s="171">
        <v>5</v>
      </c>
      <c r="G320" s="171">
        <v>9</v>
      </c>
      <c r="H320" s="131"/>
      <c r="I320" s="176"/>
      <c r="J320" s="176"/>
      <c r="K320" s="171"/>
      <c r="L320" s="171" t="s">
        <v>56</v>
      </c>
      <c r="M320" s="171">
        <v>3750</v>
      </c>
      <c r="N320" s="175">
        <v>0</v>
      </c>
      <c r="O320" s="171">
        <v>0</v>
      </c>
      <c r="P320" s="171">
        <v>0</v>
      </c>
      <c r="Q320" s="175">
        <v>0</v>
      </c>
      <c r="R320" s="6"/>
      <c r="S320" s="6"/>
      <c r="T320" s="6"/>
      <c r="U320" s="6"/>
      <c r="V320" s="6"/>
      <c r="W320" s="6"/>
      <c r="X320" s="6" t="s">
        <v>242</v>
      </c>
      <c r="Y320" s="6" t="s">
        <v>141</v>
      </c>
    </row>
    <row r="321" spans="1:25">
      <c r="A321" s="171">
        <v>20</v>
      </c>
      <c r="B321" s="174">
        <v>45047</v>
      </c>
      <c r="C321" s="174">
        <v>45057</v>
      </c>
      <c r="D321" s="174">
        <v>45055</v>
      </c>
      <c r="E321" s="171">
        <v>2023</v>
      </c>
      <c r="F321" s="171">
        <v>5</v>
      </c>
      <c r="G321" s="171">
        <v>9</v>
      </c>
      <c r="H321" s="131"/>
      <c r="I321" s="176"/>
      <c r="J321" s="176"/>
      <c r="K321" s="171"/>
      <c r="L321" s="171" t="s">
        <v>56</v>
      </c>
      <c r="M321" s="171">
        <v>360</v>
      </c>
      <c r="N321" s="175">
        <v>0</v>
      </c>
      <c r="O321" s="171">
        <v>0</v>
      </c>
      <c r="P321" s="171">
        <v>0</v>
      </c>
      <c r="Q321" s="175">
        <v>0</v>
      </c>
      <c r="R321" s="6"/>
      <c r="S321" s="6"/>
      <c r="T321" s="6"/>
      <c r="U321" s="6"/>
      <c r="V321" s="6"/>
      <c r="W321" s="6"/>
      <c r="X321" s="6" t="s">
        <v>242</v>
      </c>
      <c r="Y321" s="6" t="s">
        <v>141</v>
      </c>
    </row>
    <row r="322" spans="1:25">
      <c r="A322" s="171">
        <v>20</v>
      </c>
      <c r="B322" s="174">
        <v>45047</v>
      </c>
      <c r="C322" s="174">
        <v>45061</v>
      </c>
      <c r="D322" s="174">
        <v>45059</v>
      </c>
      <c r="E322" s="171">
        <v>2023</v>
      </c>
      <c r="F322" s="171">
        <v>5</v>
      </c>
      <c r="G322" s="171">
        <v>13</v>
      </c>
      <c r="H322" s="131"/>
      <c r="I322" s="176"/>
      <c r="J322" s="176"/>
      <c r="K322" s="171"/>
      <c r="L322" s="171" t="s">
        <v>56</v>
      </c>
      <c r="M322" s="171">
        <v>1700</v>
      </c>
      <c r="N322" s="175">
        <v>0</v>
      </c>
      <c r="O322" s="171">
        <v>0</v>
      </c>
      <c r="P322" s="171">
        <v>0</v>
      </c>
      <c r="Q322" s="175">
        <v>0</v>
      </c>
      <c r="R322" s="6"/>
      <c r="S322" s="6"/>
      <c r="T322" s="6"/>
      <c r="U322" s="6"/>
      <c r="V322" s="6"/>
      <c r="W322" s="6"/>
      <c r="X322" s="6" t="s">
        <v>242</v>
      </c>
      <c r="Y322" s="6" t="s">
        <v>141</v>
      </c>
    </row>
    <row r="323" spans="1:25">
      <c r="A323" s="171">
        <v>20</v>
      </c>
      <c r="B323" s="174">
        <v>45047</v>
      </c>
      <c r="C323" s="174">
        <v>45058</v>
      </c>
      <c r="D323" s="174">
        <v>45057</v>
      </c>
      <c r="E323" s="171">
        <v>2023</v>
      </c>
      <c r="F323" s="171">
        <v>5</v>
      </c>
      <c r="G323" s="171">
        <v>11</v>
      </c>
      <c r="H323" s="131"/>
      <c r="I323" s="176"/>
      <c r="J323" s="176"/>
      <c r="K323" s="171"/>
      <c r="L323" s="171" t="s">
        <v>56</v>
      </c>
      <c r="M323" s="171">
        <v>2000</v>
      </c>
      <c r="N323" s="175">
        <v>0</v>
      </c>
      <c r="O323" s="171">
        <v>0</v>
      </c>
      <c r="P323" s="171">
        <v>0</v>
      </c>
      <c r="Q323" s="175">
        <v>0</v>
      </c>
      <c r="R323" s="6"/>
      <c r="S323" s="6"/>
      <c r="T323" s="6"/>
      <c r="U323" s="6"/>
      <c r="V323" s="6"/>
      <c r="W323" s="6"/>
      <c r="X323" s="6" t="s">
        <v>242</v>
      </c>
      <c r="Y323" s="6" t="s">
        <v>141</v>
      </c>
    </row>
    <row r="324" spans="1:25">
      <c r="A324" s="171">
        <v>20</v>
      </c>
      <c r="B324" s="174">
        <v>45047</v>
      </c>
      <c r="C324" s="174">
        <v>45057</v>
      </c>
      <c r="D324" s="174">
        <v>45056</v>
      </c>
      <c r="E324" s="171">
        <v>2023</v>
      </c>
      <c r="F324" s="171">
        <v>5</v>
      </c>
      <c r="G324" s="171">
        <v>10</v>
      </c>
      <c r="H324" s="131"/>
      <c r="I324" s="176"/>
      <c r="J324" s="176"/>
      <c r="K324" s="171"/>
      <c r="L324" s="171" t="s">
        <v>56</v>
      </c>
      <c r="M324" s="171">
        <v>300</v>
      </c>
      <c r="N324" s="175">
        <v>0</v>
      </c>
      <c r="O324" s="171">
        <v>0</v>
      </c>
      <c r="P324" s="171">
        <v>0</v>
      </c>
      <c r="Q324" s="175">
        <v>0</v>
      </c>
      <c r="R324" s="6"/>
      <c r="S324" s="6"/>
      <c r="T324" s="6"/>
      <c r="U324" s="6"/>
      <c r="V324" s="6"/>
      <c r="W324" s="6"/>
      <c r="X324" s="6" t="s">
        <v>242</v>
      </c>
      <c r="Y324" s="6" t="s">
        <v>141</v>
      </c>
    </row>
    <row r="325" spans="1:25">
      <c r="A325" s="171">
        <v>20</v>
      </c>
      <c r="B325" s="174">
        <v>45047</v>
      </c>
      <c r="C325" s="174">
        <v>45055</v>
      </c>
      <c r="D325" s="174">
        <v>45054</v>
      </c>
      <c r="E325" s="171">
        <v>2023</v>
      </c>
      <c r="F325" s="171">
        <v>5</v>
      </c>
      <c r="G325" s="171">
        <v>8</v>
      </c>
      <c r="H325" s="131"/>
      <c r="I325" s="176"/>
      <c r="J325" s="176"/>
      <c r="K325" s="171"/>
      <c r="L325" s="171" t="s">
        <v>56</v>
      </c>
      <c r="M325" s="171">
        <v>1350</v>
      </c>
      <c r="N325" s="175">
        <v>0</v>
      </c>
      <c r="O325" s="171">
        <v>0</v>
      </c>
      <c r="P325" s="171">
        <v>0</v>
      </c>
      <c r="Q325" s="175">
        <v>0</v>
      </c>
      <c r="R325" s="6"/>
      <c r="S325" s="6"/>
      <c r="T325" s="6"/>
      <c r="U325" s="6"/>
      <c r="V325" s="6"/>
      <c r="W325" s="6"/>
      <c r="X325" s="6" t="s">
        <v>242</v>
      </c>
      <c r="Y325" s="6" t="s">
        <v>141</v>
      </c>
    </row>
    <row r="326" spans="1:25">
      <c r="A326" s="171">
        <v>20</v>
      </c>
      <c r="B326" s="174">
        <v>45047</v>
      </c>
      <c r="C326" s="174">
        <v>45055</v>
      </c>
      <c r="D326" s="174">
        <v>45054</v>
      </c>
      <c r="E326" s="171">
        <v>2023</v>
      </c>
      <c r="F326" s="171">
        <v>5</v>
      </c>
      <c r="G326" s="171">
        <v>8</v>
      </c>
      <c r="H326" s="131"/>
      <c r="I326" s="176"/>
      <c r="J326" s="176"/>
      <c r="K326" s="171"/>
      <c r="L326" s="171" t="s">
        <v>56</v>
      </c>
      <c r="M326" s="171">
        <v>4200</v>
      </c>
      <c r="N326" s="175">
        <v>0</v>
      </c>
      <c r="O326" s="171">
        <v>0</v>
      </c>
      <c r="P326" s="171">
        <v>0</v>
      </c>
      <c r="Q326" s="175">
        <v>0</v>
      </c>
      <c r="R326" s="6"/>
      <c r="S326" s="6"/>
      <c r="T326" s="6"/>
      <c r="U326" s="6"/>
      <c r="V326" s="6"/>
      <c r="W326" s="6"/>
      <c r="X326" s="6" t="s">
        <v>242</v>
      </c>
      <c r="Y326" s="6" t="s">
        <v>141</v>
      </c>
    </row>
    <row r="327" spans="1:25">
      <c r="A327" s="171">
        <v>20</v>
      </c>
      <c r="B327" s="174">
        <v>45047</v>
      </c>
      <c r="C327" s="174">
        <v>45055</v>
      </c>
      <c r="D327" s="174">
        <v>45054</v>
      </c>
      <c r="E327" s="171">
        <v>2023</v>
      </c>
      <c r="F327" s="171">
        <v>5</v>
      </c>
      <c r="G327" s="171">
        <v>8</v>
      </c>
      <c r="H327" s="131"/>
      <c r="I327" s="176"/>
      <c r="J327" s="176"/>
      <c r="K327" s="171"/>
      <c r="L327" s="171" t="s">
        <v>56</v>
      </c>
      <c r="M327" s="171">
        <v>1850</v>
      </c>
      <c r="N327" s="175">
        <v>0</v>
      </c>
      <c r="O327" s="171">
        <v>0</v>
      </c>
      <c r="P327" s="171">
        <v>0</v>
      </c>
      <c r="Q327" s="175">
        <v>0</v>
      </c>
      <c r="R327" s="6"/>
      <c r="S327" s="6"/>
      <c r="T327" s="6"/>
      <c r="U327" s="6"/>
      <c r="V327" s="6"/>
      <c r="W327" s="6"/>
      <c r="X327" s="6" t="s">
        <v>242</v>
      </c>
      <c r="Y327" s="6" t="s">
        <v>141</v>
      </c>
    </row>
    <row r="328" spans="1:25">
      <c r="A328" s="171">
        <v>20</v>
      </c>
      <c r="B328" s="174">
        <v>45047</v>
      </c>
      <c r="C328" s="174">
        <v>45055</v>
      </c>
      <c r="D328" s="174">
        <v>45054</v>
      </c>
      <c r="E328" s="171">
        <v>2023</v>
      </c>
      <c r="F328" s="171">
        <v>5</v>
      </c>
      <c r="G328" s="171">
        <v>8</v>
      </c>
      <c r="H328" s="131"/>
      <c r="I328" s="176"/>
      <c r="J328" s="176"/>
      <c r="K328" s="171"/>
      <c r="L328" s="171" t="s">
        <v>56</v>
      </c>
      <c r="M328" s="171">
        <v>200</v>
      </c>
      <c r="N328" s="175">
        <v>0</v>
      </c>
      <c r="O328" s="171">
        <v>0</v>
      </c>
      <c r="P328" s="171">
        <v>0</v>
      </c>
      <c r="Q328" s="175">
        <v>0</v>
      </c>
      <c r="R328" s="6"/>
      <c r="S328" s="6"/>
      <c r="T328" s="6"/>
      <c r="U328" s="6"/>
      <c r="V328" s="6"/>
      <c r="W328" s="6"/>
      <c r="X328" s="6" t="s">
        <v>242</v>
      </c>
      <c r="Y328" s="6" t="s">
        <v>141</v>
      </c>
    </row>
    <row r="329" spans="1:25">
      <c r="A329" s="171">
        <v>20</v>
      </c>
      <c r="B329" s="174">
        <v>45047</v>
      </c>
      <c r="C329" s="174">
        <v>45056</v>
      </c>
      <c r="D329" s="174">
        <v>45055</v>
      </c>
      <c r="E329" s="171">
        <v>2023</v>
      </c>
      <c r="F329" s="171">
        <v>5</v>
      </c>
      <c r="G329" s="171">
        <v>9</v>
      </c>
      <c r="H329" s="131"/>
      <c r="I329" s="176"/>
      <c r="J329" s="176"/>
      <c r="K329" s="171"/>
      <c r="L329" s="171" t="s">
        <v>56</v>
      </c>
      <c r="M329" s="171">
        <v>1650</v>
      </c>
      <c r="N329" s="175">
        <v>0</v>
      </c>
      <c r="O329" s="171">
        <v>0</v>
      </c>
      <c r="P329" s="171">
        <v>0</v>
      </c>
      <c r="Q329" s="175">
        <v>0</v>
      </c>
      <c r="R329" s="6"/>
      <c r="S329" s="6"/>
      <c r="T329" s="6"/>
      <c r="U329" s="6"/>
      <c r="V329" s="6"/>
      <c r="W329" s="6"/>
      <c r="X329" s="6" t="s">
        <v>242</v>
      </c>
      <c r="Y329" s="6" t="s">
        <v>141</v>
      </c>
    </row>
    <row r="330" spans="1:25">
      <c r="A330" s="171">
        <v>20</v>
      </c>
      <c r="B330" s="174">
        <v>45047</v>
      </c>
      <c r="C330" s="174">
        <v>45061</v>
      </c>
      <c r="D330" s="174">
        <v>45058</v>
      </c>
      <c r="E330" s="171">
        <v>2023</v>
      </c>
      <c r="F330" s="171">
        <v>5</v>
      </c>
      <c r="G330" s="171">
        <v>12</v>
      </c>
      <c r="H330" s="131"/>
      <c r="I330" s="176"/>
      <c r="J330" s="176"/>
      <c r="K330" s="171"/>
      <c r="L330" s="171" t="s">
        <v>56</v>
      </c>
      <c r="M330" s="171">
        <v>5001</v>
      </c>
      <c r="N330" s="175">
        <v>1</v>
      </c>
      <c r="O330" s="171">
        <v>1</v>
      </c>
      <c r="P330" s="171">
        <v>0</v>
      </c>
      <c r="Q330" s="175">
        <v>1</v>
      </c>
      <c r="R330" s="6" t="s">
        <v>160</v>
      </c>
      <c r="S330" s="6" t="s">
        <v>205</v>
      </c>
      <c r="T330" s="6" t="s">
        <v>314</v>
      </c>
      <c r="U330" s="6" t="s">
        <v>322</v>
      </c>
      <c r="V330" s="6"/>
      <c r="W330" s="6"/>
      <c r="X330" s="6" t="s">
        <v>242</v>
      </c>
      <c r="Y330" s="6" t="s">
        <v>141</v>
      </c>
    </row>
    <row r="331" spans="1:25">
      <c r="A331" s="171">
        <v>20</v>
      </c>
      <c r="B331" s="174">
        <v>45047</v>
      </c>
      <c r="C331" s="174">
        <v>45055</v>
      </c>
      <c r="D331" s="174">
        <v>45054</v>
      </c>
      <c r="E331" s="171">
        <v>2023</v>
      </c>
      <c r="F331" s="171">
        <v>5</v>
      </c>
      <c r="G331" s="171">
        <v>8</v>
      </c>
      <c r="H331" s="131"/>
      <c r="I331" s="176"/>
      <c r="J331" s="176"/>
      <c r="K331" s="171"/>
      <c r="L331" s="171" t="s">
        <v>56</v>
      </c>
      <c r="M331" s="171">
        <v>550</v>
      </c>
      <c r="N331" s="175">
        <v>0</v>
      </c>
      <c r="O331" s="171">
        <v>0</v>
      </c>
      <c r="P331" s="171">
        <v>0</v>
      </c>
      <c r="Q331" s="175">
        <v>0</v>
      </c>
      <c r="R331" s="6"/>
      <c r="S331" s="6"/>
      <c r="T331" s="6"/>
      <c r="U331" s="6"/>
      <c r="V331" s="6"/>
      <c r="W331" s="6"/>
      <c r="X331" s="6" t="s">
        <v>242</v>
      </c>
      <c r="Y331" s="6" t="s">
        <v>141</v>
      </c>
    </row>
    <row r="332" spans="1:25">
      <c r="A332" s="171">
        <v>20</v>
      </c>
      <c r="B332" s="174">
        <v>45047</v>
      </c>
      <c r="C332" s="174">
        <v>45056</v>
      </c>
      <c r="D332" s="174">
        <v>45055</v>
      </c>
      <c r="E332" s="171">
        <v>2023</v>
      </c>
      <c r="F332" s="171">
        <v>5</v>
      </c>
      <c r="G332" s="171">
        <v>9</v>
      </c>
      <c r="H332" s="131"/>
      <c r="I332" s="176"/>
      <c r="J332" s="176"/>
      <c r="K332" s="171"/>
      <c r="L332" s="171" t="s">
        <v>56</v>
      </c>
      <c r="M332" s="171">
        <v>701</v>
      </c>
      <c r="N332" s="175">
        <v>1</v>
      </c>
      <c r="O332" s="171">
        <v>1</v>
      </c>
      <c r="P332" s="171">
        <v>1</v>
      </c>
      <c r="Q332" s="175">
        <v>0</v>
      </c>
      <c r="R332" s="6" t="s">
        <v>157</v>
      </c>
      <c r="S332" s="6" t="s">
        <v>205</v>
      </c>
      <c r="T332" s="6" t="s">
        <v>166</v>
      </c>
      <c r="U332" s="6" t="s">
        <v>169</v>
      </c>
      <c r="V332" s="6"/>
      <c r="W332" s="6"/>
      <c r="X332" s="6" t="s">
        <v>242</v>
      </c>
      <c r="Y332" s="6" t="s">
        <v>141</v>
      </c>
    </row>
    <row r="333" spans="1:25">
      <c r="A333" s="171">
        <v>20</v>
      </c>
      <c r="B333" s="174">
        <v>45047</v>
      </c>
      <c r="C333" s="174">
        <v>45061</v>
      </c>
      <c r="D333" s="174">
        <v>45059</v>
      </c>
      <c r="E333" s="171">
        <v>2023</v>
      </c>
      <c r="F333" s="171">
        <v>5</v>
      </c>
      <c r="G333" s="171">
        <v>13</v>
      </c>
      <c r="H333" s="131"/>
      <c r="I333" s="176"/>
      <c r="J333" s="176"/>
      <c r="K333" s="171"/>
      <c r="L333" s="171" t="s">
        <v>56</v>
      </c>
      <c r="M333" s="171">
        <v>5600</v>
      </c>
      <c r="N333" s="175">
        <v>0</v>
      </c>
      <c r="O333" s="171">
        <v>0</v>
      </c>
      <c r="P333" s="171">
        <v>0</v>
      </c>
      <c r="Q333" s="175">
        <v>0</v>
      </c>
      <c r="R333" s="6"/>
      <c r="S333" s="6"/>
      <c r="T333" s="6"/>
      <c r="U333" s="6"/>
      <c r="V333" s="6"/>
      <c r="W333" s="6"/>
      <c r="X333" s="6" t="s">
        <v>242</v>
      </c>
      <c r="Y333" s="6" t="s">
        <v>141</v>
      </c>
    </row>
    <row r="334" spans="1:25">
      <c r="A334" s="171">
        <v>20</v>
      </c>
      <c r="B334" s="174">
        <v>45047</v>
      </c>
      <c r="C334" s="174">
        <v>45061</v>
      </c>
      <c r="D334" s="174">
        <v>45058</v>
      </c>
      <c r="E334" s="171">
        <v>2023</v>
      </c>
      <c r="F334" s="171">
        <v>5</v>
      </c>
      <c r="G334" s="171">
        <v>12</v>
      </c>
      <c r="H334" s="131"/>
      <c r="I334" s="176"/>
      <c r="J334" s="176"/>
      <c r="K334" s="171"/>
      <c r="L334" s="171" t="s">
        <v>56</v>
      </c>
      <c r="M334" s="171">
        <v>1000</v>
      </c>
      <c r="N334" s="175">
        <v>0</v>
      </c>
      <c r="O334" s="171">
        <v>0</v>
      </c>
      <c r="P334" s="171">
        <v>0</v>
      </c>
      <c r="Q334" s="175">
        <v>0</v>
      </c>
      <c r="R334" s="6"/>
      <c r="S334" s="6"/>
      <c r="T334" s="6"/>
      <c r="U334" s="6"/>
      <c r="V334" s="6"/>
      <c r="W334" s="6"/>
      <c r="X334" s="6" t="s">
        <v>242</v>
      </c>
      <c r="Y334" s="6" t="s">
        <v>141</v>
      </c>
    </row>
    <row r="335" spans="1:25">
      <c r="A335" s="171">
        <v>20</v>
      </c>
      <c r="B335" s="174">
        <v>45047</v>
      </c>
      <c r="C335" s="174">
        <v>45061</v>
      </c>
      <c r="D335" s="174">
        <v>45059</v>
      </c>
      <c r="E335" s="171">
        <v>2023</v>
      </c>
      <c r="F335" s="171">
        <v>5</v>
      </c>
      <c r="G335" s="171">
        <v>13</v>
      </c>
      <c r="H335" s="131"/>
      <c r="I335" s="176"/>
      <c r="J335" s="176"/>
      <c r="K335" s="171"/>
      <c r="L335" s="171" t="s">
        <v>56</v>
      </c>
      <c r="M335" s="171">
        <v>750</v>
      </c>
      <c r="N335" s="175">
        <v>0</v>
      </c>
      <c r="O335" s="171">
        <v>0</v>
      </c>
      <c r="P335" s="171">
        <v>0</v>
      </c>
      <c r="Q335" s="175">
        <v>0</v>
      </c>
      <c r="R335" s="6"/>
      <c r="S335" s="6"/>
      <c r="T335" s="6"/>
      <c r="U335" s="6"/>
      <c r="V335" s="6"/>
      <c r="W335" s="6"/>
      <c r="X335" s="6" t="s">
        <v>242</v>
      </c>
      <c r="Y335" s="6" t="s">
        <v>141</v>
      </c>
    </row>
    <row r="336" spans="1:25">
      <c r="A336" s="171">
        <v>20</v>
      </c>
      <c r="B336" s="174">
        <v>45047</v>
      </c>
      <c r="C336" s="174">
        <v>45055</v>
      </c>
      <c r="D336" s="174">
        <v>45054</v>
      </c>
      <c r="E336" s="171">
        <v>2023</v>
      </c>
      <c r="F336" s="171">
        <v>5</v>
      </c>
      <c r="G336" s="171">
        <v>8</v>
      </c>
      <c r="H336" s="131"/>
      <c r="I336" s="176"/>
      <c r="J336" s="176"/>
      <c r="K336" s="171"/>
      <c r="L336" s="171" t="s">
        <v>56</v>
      </c>
      <c r="M336" s="171">
        <v>1500</v>
      </c>
      <c r="N336" s="175">
        <v>0</v>
      </c>
      <c r="O336" s="171">
        <v>0</v>
      </c>
      <c r="P336" s="171">
        <v>0</v>
      </c>
      <c r="Q336" s="175">
        <v>0</v>
      </c>
      <c r="R336" s="6"/>
      <c r="S336" s="6"/>
      <c r="T336" s="6"/>
      <c r="U336" s="6"/>
      <c r="V336" s="6"/>
      <c r="W336" s="6"/>
      <c r="X336" s="6" t="s">
        <v>242</v>
      </c>
      <c r="Y336" s="6" t="s">
        <v>141</v>
      </c>
    </row>
    <row r="337" spans="1:25">
      <c r="A337" s="171">
        <v>20</v>
      </c>
      <c r="B337" s="174">
        <v>45047</v>
      </c>
      <c r="C337" s="174">
        <v>45055</v>
      </c>
      <c r="D337" s="174">
        <v>45054</v>
      </c>
      <c r="E337" s="171">
        <v>2023</v>
      </c>
      <c r="F337" s="171">
        <v>5</v>
      </c>
      <c r="G337" s="171">
        <v>8</v>
      </c>
      <c r="H337" s="131"/>
      <c r="I337" s="176"/>
      <c r="J337" s="176"/>
      <c r="K337" s="171"/>
      <c r="L337" s="171" t="s">
        <v>56</v>
      </c>
      <c r="M337" s="171">
        <v>1900</v>
      </c>
      <c r="N337" s="175">
        <v>0</v>
      </c>
      <c r="O337" s="171">
        <v>0</v>
      </c>
      <c r="P337" s="171">
        <v>0</v>
      </c>
      <c r="Q337" s="175">
        <v>0</v>
      </c>
      <c r="R337" s="6"/>
      <c r="S337" s="6"/>
      <c r="T337" s="6"/>
      <c r="U337" s="6"/>
      <c r="V337" s="6"/>
      <c r="W337" s="6"/>
      <c r="X337" s="6" t="s">
        <v>242</v>
      </c>
      <c r="Y337" s="6" t="s">
        <v>141</v>
      </c>
    </row>
    <row r="338" spans="1:25">
      <c r="A338" s="171">
        <v>20</v>
      </c>
      <c r="B338" s="174">
        <v>45047</v>
      </c>
      <c r="C338" s="174">
        <v>45055</v>
      </c>
      <c r="D338" s="174">
        <v>45054</v>
      </c>
      <c r="E338" s="171">
        <v>2023</v>
      </c>
      <c r="F338" s="171">
        <v>5</v>
      </c>
      <c r="G338" s="171">
        <v>8</v>
      </c>
      <c r="H338" s="131"/>
      <c r="I338" s="176"/>
      <c r="J338" s="176"/>
      <c r="K338" s="171"/>
      <c r="L338" s="171" t="s">
        <v>56</v>
      </c>
      <c r="M338" s="171">
        <v>160</v>
      </c>
      <c r="N338" s="175">
        <v>0</v>
      </c>
      <c r="O338" s="171">
        <v>0</v>
      </c>
      <c r="P338" s="171">
        <v>0</v>
      </c>
      <c r="Q338" s="175">
        <v>0</v>
      </c>
      <c r="R338" s="6"/>
      <c r="S338" s="6"/>
      <c r="T338" s="6"/>
      <c r="U338" s="6"/>
      <c r="V338" s="6"/>
      <c r="W338" s="6"/>
      <c r="X338" s="6" t="s">
        <v>242</v>
      </c>
      <c r="Y338" s="6" t="s">
        <v>141</v>
      </c>
    </row>
    <row r="339" spans="1:25">
      <c r="A339" s="171">
        <v>21</v>
      </c>
      <c r="B339" s="174">
        <v>45047</v>
      </c>
      <c r="C339" s="174">
        <v>45065</v>
      </c>
      <c r="D339" s="174">
        <v>45064</v>
      </c>
      <c r="E339" s="171">
        <v>2023</v>
      </c>
      <c r="F339" s="171">
        <v>5</v>
      </c>
      <c r="G339" s="171">
        <v>18</v>
      </c>
      <c r="H339" s="131"/>
      <c r="I339" s="176"/>
      <c r="J339" s="176"/>
      <c r="K339" s="171"/>
      <c r="L339" s="171" t="s">
        <v>56</v>
      </c>
      <c r="M339" s="171">
        <v>2000</v>
      </c>
      <c r="N339" s="175">
        <v>0</v>
      </c>
      <c r="O339" s="171">
        <v>0</v>
      </c>
      <c r="P339" s="171">
        <v>0</v>
      </c>
      <c r="Q339" s="175">
        <v>0</v>
      </c>
      <c r="R339" s="6"/>
      <c r="S339" s="6"/>
      <c r="T339" s="6"/>
      <c r="U339" s="6"/>
      <c r="V339" s="6"/>
      <c r="W339" s="6"/>
      <c r="X339" s="6" t="s">
        <v>259</v>
      </c>
      <c r="Y339" s="6" t="s">
        <v>141</v>
      </c>
    </row>
    <row r="340" spans="1:25">
      <c r="A340" s="171">
        <v>21</v>
      </c>
      <c r="B340" s="174">
        <v>45047</v>
      </c>
      <c r="C340" s="174">
        <v>45068</v>
      </c>
      <c r="D340" s="174">
        <v>45065</v>
      </c>
      <c r="E340" s="171">
        <v>2023</v>
      </c>
      <c r="F340" s="171">
        <v>5</v>
      </c>
      <c r="G340" s="171">
        <v>19</v>
      </c>
      <c r="H340" s="131"/>
      <c r="I340" s="176"/>
      <c r="J340" s="176"/>
      <c r="K340" s="171"/>
      <c r="L340" s="171" t="s">
        <v>56</v>
      </c>
      <c r="M340" s="171">
        <v>3000</v>
      </c>
      <c r="N340" s="175">
        <v>0</v>
      </c>
      <c r="O340" s="171">
        <v>0</v>
      </c>
      <c r="P340" s="171">
        <v>0</v>
      </c>
      <c r="Q340" s="175">
        <v>0</v>
      </c>
      <c r="R340" s="6"/>
      <c r="S340" s="6"/>
      <c r="T340" s="6"/>
      <c r="U340" s="6"/>
      <c r="V340" s="6"/>
      <c r="W340" s="6"/>
      <c r="X340" s="6" t="s">
        <v>259</v>
      </c>
      <c r="Y340" s="6" t="s">
        <v>141</v>
      </c>
    </row>
    <row r="341" spans="1:25">
      <c r="A341" s="171">
        <v>21</v>
      </c>
      <c r="B341" s="174">
        <v>45047</v>
      </c>
      <c r="C341" s="174">
        <v>45068</v>
      </c>
      <c r="D341" s="174">
        <v>45066</v>
      </c>
      <c r="E341" s="171">
        <v>2023</v>
      </c>
      <c r="F341" s="171">
        <v>5</v>
      </c>
      <c r="G341" s="171">
        <v>20</v>
      </c>
      <c r="H341" s="131"/>
      <c r="I341" s="176"/>
      <c r="J341" s="176"/>
      <c r="K341" s="171"/>
      <c r="L341" s="171" t="s">
        <v>56</v>
      </c>
      <c r="M341" s="171">
        <v>3</v>
      </c>
      <c r="N341" s="175">
        <v>0</v>
      </c>
      <c r="O341" s="171">
        <v>0</v>
      </c>
      <c r="P341" s="171">
        <v>0</v>
      </c>
      <c r="Q341" s="175">
        <v>0</v>
      </c>
      <c r="R341" s="6"/>
      <c r="S341" s="6"/>
      <c r="T341" s="6"/>
      <c r="U341" s="6"/>
      <c r="V341" s="6"/>
      <c r="W341" s="6"/>
      <c r="X341" s="6" t="s">
        <v>259</v>
      </c>
      <c r="Y341" s="6" t="s">
        <v>141</v>
      </c>
    </row>
    <row r="342" spans="1:25">
      <c r="A342" s="171">
        <v>21</v>
      </c>
      <c r="B342" s="174">
        <v>45047</v>
      </c>
      <c r="C342" s="174">
        <v>45068</v>
      </c>
      <c r="D342" s="174">
        <v>45066</v>
      </c>
      <c r="E342" s="171">
        <v>2023</v>
      </c>
      <c r="F342" s="171">
        <v>5</v>
      </c>
      <c r="G342" s="171">
        <v>20</v>
      </c>
      <c r="H342" s="131"/>
      <c r="I342" s="176"/>
      <c r="J342" s="176"/>
      <c r="K342" s="171"/>
      <c r="L342" s="171" t="s">
        <v>56</v>
      </c>
      <c r="M342" s="171">
        <v>1200</v>
      </c>
      <c r="N342" s="175">
        <v>0</v>
      </c>
      <c r="O342" s="171">
        <v>0</v>
      </c>
      <c r="P342" s="171">
        <v>0</v>
      </c>
      <c r="Q342" s="175">
        <v>0</v>
      </c>
      <c r="R342" s="6"/>
      <c r="S342" s="6"/>
      <c r="T342" s="6"/>
      <c r="U342" s="6"/>
      <c r="V342" s="6"/>
      <c r="W342" s="6"/>
      <c r="X342" s="6" t="s">
        <v>259</v>
      </c>
      <c r="Y342" s="6" t="s">
        <v>141</v>
      </c>
    </row>
    <row r="343" spans="1:25">
      <c r="A343" s="171">
        <v>21</v>
      </c>
      <c r="B343" s="174">
        <v>45047</v>
      </c>
      <c r="C343" s="174">
        <v>45068</v>
      </c>
      <c r="D343" s="174">
        <v>45066</v>
      </c>
      <c r="E343" s="171">
        <v>2023</v>
      </c>
      <c r="F343" s="171">
        <v>5</v>
      </c>
      <c r="G343" s="171">
        <v>20</v>
      </c>
      <c r="H343" s="131"/>
      <c r="I343" s="176"/>
      <c r="J343" s="176"/>
      <c r="K343" s="171"/>
      <c r="L343" s="171" t="s">
        <v>56</v>
      </c>
      <c r="M343" s="171">
        <v>900</v>
      </c>
      <c r="N343" s="175">
        <v>0</v>
      </c>
      <c r="O343" s="171">
        <v>0</v>
      </c>
      <c r="P343" s="171">
        <v>0</v>
      </c>
      <c r="Q343" s="175">
        <v>0</v>
      </c>
      <c r="R343" s="6"/>
      <c r="S343" s="6"/>
      <c r="T343" s="6"/>
      <c r="U343" s="6"/>
      <c r="V343" s="6"/>
      <c r="W343" s="6"/>
      <c r="X343" s="6" t="s">
        <v>259</v>
      </c>
      <c r="Y343" s="6" t="s">
        <v>141</v>
      </c>
    </row>
    <row r="344" spans="1:25">
      <c r="A344" s="171">
        <v>21</v>
      </c>
      <c r="B344" s="174">
        <v>45047</v>
      </c>
      <c r="C344" s="174">
        <v>45064</v>
      </c>
      <c r="D344" s="174">
        <v>45063</v>
      </c>
      <c r="E344" s="171">
        <v>2023</v>
      </c>
      <c r="F344" s="171">
        <v>5</v>
      </c>
      <c r="G344" s="171">
        <v>17</v>
      </c>
      <c r="H344" s="131"/>
      <c r="I344" s="176"/>
      <c r="J344" s="176"/>
      <c r="K344" s="171"/>
      <c r="L344" s="171" t="s">
        <v>56</v>
      </c>
      <c r="M344" s="171">
        <v>3000</v>
      </c>
      <c r="N344" s="175">
        <v>0</v>
      </c>
      <c r="O344" s="171">
        <v>0</v>
      </c>
      <c r="P344" s="171">
        <v>0</v>
      </c>
      <c r="Q344" s="175">
        <v>0</v>
      </c>
      <c r="R344" s="6"/>
      <c r="S344" s="6"/>
      <c r="T344" s="6"/>
      <c r="U344" s="6"/>
      <c r="V344" s="6"/>
      <c r="W344" s="6"/>
      <c r="X344" s="6" t="s">
        <v>259</v>
      </c>
      <c r="Y344" s="6" t="s">
        <v>141</v>
      </c>
    </row>
    <row r="345" spans="1:25">
      <c r="A345" s="171">
        <v>21</v>
      </c>
      <c r="B345" s="174">
        <v>45047</v>
      </c>
      <c r="C345" s="174">
        <v>45068</v>
      </c>
      <c r="D345" s="174">
        <v>45066</v>
      </c>
      <c r="E345" s="171">
        <v>2023</v>
      </c>
      <c r="F345" s="171">
        <v>5</v>
      </c>
      <c r="G345" s="171">
        <v>20</v>
      </c>
      <c r="H345" s="131"/>
      <c r="I345" s="176"/>
      <c r="J345" s="176"/>
      <c r="K345" s="171"/>
      <c r="L345" s="171" t="s">
        <v>56</v>
      </c>
      <c r="M345" s="171"/>
      <c r="N345" s="175">
        <v>0</v>
      </c>
      <c r="O345" s="171">
        <v>1</v>
      </c>
      <c r="P345" s="171">
        <v>0</v>
      </c>
      <c r="Q345" s="175">
        <v>0</v>
      </c>
      <c r="R345" s="6" t="s">
        <v>160</v>
      </c>
      <c r="S345" s="6" t="s">
        <v>162</v>
      </c>
      <c r="T345" s="6"/>
      <c r="U345" s="6" t="s">
        <v>162</v>
      </c>
      <c r="V345" s="6" t="s">
        <v>343</v>
      </c>
      <c r="W345" s="6"/>
      <c r="X345" s="6" t="s">
        <v>259</v>
      </c>
      <c r="Y345" s="6" t="s">
        <v>141</v>
      </c>
    </row>
    <row r="346" spans="1:25">
      <c r="A346" s="171">
        <v>21</v>
      </c>
      <c r="B346" s="174">
        <v>45047</v>
      </c>
      <c r="C346" s="174">
        <v>45068</v>
      </c>
      <c r="D346" s="174">
        <v>45066</v>
      </c>
      <c r="E346" s="171">
        <v>2023</v>
      </c>
      <c r="F346" s="171">
        <v>5</v>
      </c>
      <c r="G346" s="171">
        <v>20</v>
      </c>
      <c r="H346" s="131"/>
      <c r="I346" s="176"/>
      <c r="J346" s="176"/>
      <c r="K346" s="171"/>
      <c r="L346" s="171" t="s">
        <v>56</v>
      </c>
      <c r="M346" s="171">
        <v>1202</v>
      </c>
      <c r="N346" s="175">
        <v>2</v>
      </c>
      <c r="O346" s="171">
        <v>1</v>
      </c>
      <c r="P346" s="171">
        <v>1</v>
      </c>
      <c r="Q346" s="175">
        <v>1</v>
      </c>
      <c r="R346" s="6" t="s">
        <v>157</v>
      </c>
      <c r="S346" s="6" t="s">
        <v>158</v>
      </c>
      <c r="T346" s="6" t="s">
        <v>166</v>
      </c>
      <c r="U346" s="6" t="s">
        <v>239</v>
      </c>
      <c r="V346" s="6"/>
      <c r="W346" s="6"/>
      <c r="X346" s="6" t="s">
        <v>259</v>
      </c>
      <c r="Y346" s="6" t="s">
        <v>141</v>
      </c>
    </row>
    <row r="347" spans="1:25">
      <c r="A347" s="171">
        <v>21</v>
      </c>
      <c r="B347" s="174">
        <v>45047</v>
      </c>
      <c r="C347" s="174">
        <v>45066</v>
      </c>
      <c r="D347" s="174">
        <v>45065</v>
      </c>
      <c r="E347" s="171">
        <v>2023</v>
      </c>
      <c r="F347" s="171">
        <v>5</v>
      </c>
      <c r="G347" s="171">
        <v>19</v>
      </c>
      <c r="H347" s="131"/>
      <c r="I347" s="176"/>
      <c r="J347" s="176"/>
      <c r="K347" s="171"/>
      <c r="L347" s="171" t="s">
        <v>56</v>
      </c>
      <c r="M347" s="171"/>
      <c r="N347" s="175">
        <v>0</v>
      </c>
      <c r="O347" s="171">
        <v>1</v>
      </c>
      <c r="P347" s="171">
        <v>0</v>
      </c>
      <c r="Q347" s="175">
        <v>0</v>
      </c>
      <c r="R347" s="6" t="s">
        <v>160</v>
      </c>
      <c r="S347" s="6" t="s">
        <v>205</v>
      </c>
      <c r="T347" s="6" t="s">
        <v>314</v>
      </c>
      <c r="U347" s="6" t="s">
        <v>322</v>
      </c>
      <c r="V347" s="6"/>
      <c r="W347" s="6"/>
      <c r="X347" s="6" t="s">
        <v>259</v>
      </c>
      <c r="Y347" s="6" t="s">
        <v>141</v>
      </c>
    </row>
    <row r="348" spans="1:25">
      <c r="A348" s="171">
        <v>21</v>
      </c>
      <c r="B348" s="174">
        <v>45047</v>
      </c>
      <c r="C348" s="174">
        <v>45064</v>
      </c>
      <c r="D348" s="174">
        <v>45063</v>
      </c>
      <c r="E348" s="171">
        <v>2023</v>
      </c>
      <c r="F348" s="171">
        <v>5</v>
      </c>
      <c r="G348" s="171">
        <v>17</v>
      </c>
      <c r="H348" s="131"/>
      <c r="I348" s="176"/>
      <c r="J348" s="176"/>
      <c r="K348" s="171"/>
      <c r="L348" s="171" t="s">
        <v>56</v>
      </c>
      <c r="M348" s="171">
        <v>97</v>
      </c>
      <c r="N348" s="175">
        <v>0</v>
      </c>
      <c r="O348" s="171">
        <v>0</v>
      </c>
      <c r="P348" s="171">
        <v>0</v>
      </c>
      <c r="Q348" s="175">
        <v>0</v>
      </c>
      <c r="R348" s="6"/>
      <c r="S348" s="6"/>
      <c r="T348" s="6"/>
      <c r="U348" s="6"/>
      <c r="V348" s="6"/>
      <c r="W348" s="6"/>
      <c r="X348" s="6" t="s">
        <v>259</v>
      </c>
      <c r="Y348" s="6" t="s">
        <v>141</v>
      </c>
    </row>
    <row r="349" spans="1:25">
      <c r="A349" s="171">
        <v>21</v>
      </c>
      <c r="B349" s="174">
        <v>45047</v>
      </c>
      <c r="C349" s="174">
        <v>45065</v>
      </c>
      <c r="D349" s="174">
        <v>45064</v>
      </c>
      <c r="E349" s="171">
        <v>2023</v>
      </c>
      <c r="F349" s="171">
        <v>5</v>
      </c>
      <c r="G349" s="171">
        <v>18</v>
      </c>
      <c r="H349" s="131"/>
      <c r="I349" s="176"/>
      <c r="J349" s="176"/>
      <c r="K349" s="171"/>
      <c r="L349" s="171" t="s">
        <v>56</v>
      </c>
      <c r="M349" s="171">
        <v>36</v>
      </c>
      <c r="N349" s="175">
        <v>0</v>
      </c>
      <c r="O349" s="171">
        <v>0</v>
      </c>
      <c r="P349" s="171">
        <v>0</v>
      </c>
      <c r="Q349" s="175">
        <v>0</v>
      </c>
      <c r="R349" s="6"/>
      <c r="S349" s="6"/>
      <c r="T349" s="6"/>
      <c r="U349" s="6"/>
      <c r="V349" s="6"/>
      <c r="W349" s="6"/>
      <c r="X349" s="6" t="s">
        <v>259</v>
      </c>
      <c r="Y349" s="6" t="s">
        <v>141</v>
      </c>
    </row>
    <row r="350" spans="1:25">
      <c r="A350" s="171">
        <v>21</v>
      </c>
      <c r="B350" s="174">
        <v>45047</v>
      </c>
      <c r="C350" s="174">
        <v>45068</v>
      </c>
      <c r="D350" s="174">
        <v>45066</v>
      </c>
      <c r="E350" s="171">
        <v>2023</v>
      </c>
      <c r="F350" s="171">
        <v>5</v>
      </c>
      <c r="G350" s="171">
        <v>20</v>
      </c>
      <c r="H350" s="131"/>
      <c r="I350" s="176"/>
      <c r="J350" s="176"/>
      <c r="K350" s="171"/>
      <c r="L350" s="171" t="s">
        <v>56</v>
      </c>
      <c r="M350" s="171">
        <v>270</v>
      </c>
      <c r="N350" s="175">
        <v>0</v>
      </c>
      <c r="O350" s="171">
        <v>0</v>
      </c>
      <c r="P350" s="171">
        <v>0</v>
      </c>
      <c r="Q350" s="175">
        <v>0</v>
      </c>
      <c r="R350" s="6"/>
      <c r="S350" s="6"/>
      <c r="T350" s="6"/>
      <c r="U350" s="6"/>
      <c r="V350" s="6"/>
      <c r="W350" s="6"/>
      <c r="X350" s="6" t="s">
        <v>259</v>
      </c>
      <c r="Y350" s="6" t="s">
        <v>141</v>
      </c>
    </row>
    <row r="351" spans="1:25">
      <c r="A351" s="171">
        <v>21</v>
      </c>
      <c r="B351" s="174">
        <v>45047</v>
      </c>
      <c r="C351" s="174">
        <v>45066</v>
      </c>
      <c r="D351" s="174">
        <v>45065</v>
      </c>
      <c r="E351" s="171">
        <v>2023</v>
      </c>
      <c r="F351" s="171">
        <v>5</v>
      </c>
      <c r="G351" s="171">
        <v>19</v>
      </c>
      <c r="H351" s="131"/>
      <c r="I351" s="176"/>
      <c r="J351" s="176"/>
      <c r="K351" s="171"/>
      <c r="L351" s="171" t="s">
        <v>56</v>
      </c>
      <c r="M351" s="171">
        <v>802</v>
      </c>
      <c r="N351" s="175">
        <v>2</v>
      </c>
      <c r="O351" s="171">
        <v>2</v>
      </c>
      <c r="P351" s="171">
        <v>0</v>
      </c>
      <c r="Q351" s="175">
        <v>2</v>
      </c>
      <c r="R351" s="6" t="s">
        <v>160</v>
      </c>
      <c r="S351" s="6" t="s">
        <v>205</v>
      </c>
      <c r="T351" s="6" t="s">
        <v>314</v>
      </c>
      <c r="U351" s="6" t="s">
        <v>322</v>
      </c>
      <c r="V351" s="6"/>
      <c r="W351" s="6"/>
      <c r="X351" s="6" t="s">
        <v>259</v>
      </c>
      <c r="Y351" s="6" t="s">
        <v>141</v>
      </c>
    </row>
    <row r="352" spans="1:25">
      <c r="A352" s="171">
        <v>21</v>
      </c>
      <c r="B352" s="174">
        <v>45047</v>
      </c>
      <c r="C352" s="174">
        <v>45068</v>
      </c>
      <c r="D352" s="174">
        <v>45066</v>
      </c>
      <c r="E352" s="171">
        <v>2023</v>
      </c>
      <c r="F352" s="171">
        <v>5</v>
      </c>
      <c r="G352" s="171">
        <v>20</v>
      </c>
      <c r="H352" s="131"/>
      <c r="I352" s="176"/>
      <c r="J352" s="176"/>
      <c r="K352" s="171"/>
      <c r="L352" s="171" t="s">
        <v>56</v>
      </c>
      <c r="M352" s="171">
        <v>203</v>
      </c>
      <c r="N352" s="175">
        <v>3</v>
      </c>
      <c r="O352" s="171">
        <v>3</v>
      </c>
      <c r="P352" s="171">
        <v>0</v>
      </c>
      <c r="Q352" s="175">
        <v>3</v>
      </c>
      <c r="R352" s="6" t="s">
        <v>160</v>
      </c>
      <c r="S352" s="6" t="s">
        <v>205</v>
      </c>
      <c r="T352" s="6"/>
      <c r="U352" s="6" t="s">
        <v>322</v>
      </c>
      <c r="V352" s="6"/>
      <c r="W352" s="6"/>
      <c r="X352" s="6" t="s">
        <v>259</v>
      </c>
      <c r="Y352" s="6" t="s">
        <v>141</v>
      </c>
    </row>
    <row r="353" spans="1:25">
      <c r="A353" s="171">
        <v>21</v>
      </c>
      <c r="B353" s="174">
        <v>45047</v>
      </c>
      <c r="C353" s="174">
        <v>45062</v>
      </c>
      <c r="D353" s="174">
        <v>45061</v>
      </c>
      <c r="E353" s="171">
        <v>2023</v>
      </c>
      <c r="F353" s="171">
        <v>5</v>
      </c>
      <c r="G353" s="171">
        <v>15</v>
      </c>
      <c r="H353" s="131"/>
      <c r="I353" s="176"/>
      <c r="J353" s="176"/>
      <c r="K353" s="171"/>
      <c r="L353" s="171" t="s">
        <v>56</v>
      </c>
      <c r="M353" s="171">
        <v>464</v>
      </c>
      <c r="N353" s="175">
        <v>4</v>
      </c>
      <c r="O353" s="171">
        <v>3</v>
      </c>
      <c r="P353" s="171">
        <v>3</v>
      </c>
      <c r="Q353" s="175">
        <v>1</v>
      </c>
      <c r="R353" s="6" t="s">
        <v>157</v>
      </c>
      <c r="S353" s="6" t="s">
        <v>158</v>
      </c>
      <c r="T353" s="6" t="s">
        <v>166</v>
      </c>
      <c r="U353" s="6" t="s">
        <v>229</v>
      </c>
      <c r="V353" s="6" t="s">
        <v>273</v>
      </c>
      <c r="W353" s="6"/>
      <c r="X353" s="6" t="s">
        <v>259</v>
      </c>
      <c r="Y353" s="6" t="s">
        <v>141</v>
      </c>
    </row>
    <row r="354" spans="1:25">
      <c r="A354" s="171">
        <v>21</v>
      </c>
      <c r="B354" s="174">
        <v>45047</v>
      </c>
      <c r="C354" s="174">
        <v>45065</v>
      </c>
      <c r="D354" s="174">
        <v>45064</v>
      </c>
      <c r="E354" s="171">
        <v>2023</v>
      </c>
      <c r="F354" s="171">
        <v>5</v>
      </c>
      <c r="G354" s="171">
        <v>18</v>
      </c>
      <c r="H354" s="131"/>
      <c r="I354" s="176"/>
      <c r="J354" s="176"/>
      <c r="K354" s="171"/>
      <c r="L354" s="171" t="s">
        <v>56</v>
      </c>
      <c r="M354" s="171">
        <v>3000</v>
      </c>
      <c r="N354" s="175">
        <v>0</v>
      </c>
      <c r="O354" s="171">
        <v>0</v>
      </c>
      <c r="P354" s="171">
        <v>0</v>
      </c>
      <c r="Q354" s="175">
        <v>0</v>
      </c>
      <c r="R354" s="6"/>
      <c r="S354" s="6"/>
      <c r="T354" s="6"/>
      <c r="U354" s="6"/>
      <c r="V354" s="6"/>
      <c r="W354" s="6"/>
      <c r="X354" s="6" t="s">
        <v>259</v>
      </c>
      <c r="Y354" s="6" t="s">
        <v>141</v>
      </c>
    </row>
    <row r="355" spans="1:25">
      <c r="A355" s="171">
        <v>21</v>
      </c>
      <c r="B355" s="174">
        <v>45047</v>
      </c>
      <c r="C355" s="174">
        <v>45065</v>
      </c>
      <c r="D355" s="174">
        <v>45064</v>
      </c>
      <c r="E355" s="171">
        <v>2023</v>
      </c>
      <c r="F355" s="171">
        <v>5</v>
      </c>
      <c r="G355" s="171">
        <v>18</v>
      </c>
      <c r="H355" s="131"/>
      <c r="I355" s="176"/>
      <c r="J355" s="176"/>
      <c r="K355" s="171"/>
      <c r="L355" s="171" t="s">
        <v>56</v>
      </c>
      <c r="M355" s="171">
        <v>4300</v>
      </c>
      <c r="N355" s="175">
        <v>0</v>
      </c>
      <c r="O355" s="171">
        <v>0</v>
      </c>
      <c r="P355" s="171">
        <v>0</v>
      </c>
      <c r="Q355" s="175">
        <v>0</v>
      </c>
      <c r="R355" s="6"/>
      <c r="S355" s="6"/>
      <c r="T355" s="6"/>
      <c r="U355" s="6"/>
      <c r="V355" s="6"/>
      <c r="W355" s="6"/>
      <c r="X355" s="6" t="s">
        <v>259</v>
      </c>
      <c r="Y355" s="6" t="s">
        <v>141</v>
      </c>
    </row>
    <row r="356" spans="1:25">
      <c r="A356" s="171">
        <v>21</v>
      </c>
      <c r="B356" s="174">
        <v>45047</v>
      </c>
      <c r="C356" s="174">
        <v>45066</v>
      </c>
      <c r="D356" s="174">
        <v>45065</v>
      </c>
      <c r="E356" s="171">
        <v>2023</v>
      </c>
      <c r="F356" s="171">
        <v>5</v>
      </c>
      <c r="G356" s="171">
        <v>19</v>
      </c>
      <c r="H356" s="131"/>
      <c r="I356" s="176"/>
      <c r="J356" s="176"/>
      <c r="K356" s="171"/>
      <c r="L356" s="171" t="s">
        <v>56</v>
      </c>
      <c r="M356" s="171">
        <v>700</v>
      </c>
      <c r="N356" s="175">
        <v>0</v>
      </c>
      <c r="O356" s="171">
        <v>0</v>
      </c>
      <c r="P356" s="171">
        <v>0</v>
      </c>
      <c r="Q356" s="175">
        <v>0</v>
      </c>
      <c r="R356" s="6"/>
      <c r="S356" s="6"/>
      <c r="T356" s="6"/>
      <c r="U356" s="6"/>
      <c r="V356" s="6"/>
      <c r="W356" s="6"/>
      <c r="X356" s="6" t="s">
        <v>259</v>
      </c>
      <c r="Y356" s="6" t="s">
        <v>141</v>
      </c>
    </row>
    <row r="357" spans="1:25">
      <c r="A357" s="171">
        <v>21</v>
      </c>
      <c r="B357" s="174">
        <v>45047</v>
      </c>
      <c r="C357" s="174">
        <v>45062</v>
      </c>
      <c r="D357" s="174">
        <v>45061</v>
      </c>
      <c r="E357" s="171">
        <v>2023</v>
      </c>
      <c r="F357" s="171">
        <v>5</v>
      </c>
      <c r="G357" s="171">
        <v>15</v>
      </c>
      <c r="H357" s="131"/>
      <c r="I357" s="176"/>
      <c r="J357" s="176"/>
      <c r="K357" s="171"/>
      <c r="L357" s="171" t="s">
        <v>52</v>
      </c>
      <c r="M357" s="171">
        <v>30</v>
      </c>
      <c r="N357" s="175">
        <v>0</v>
      </c>
      <c r="O357" s="171">
        <v>0</v>
      </c>
      <c r="P357" s="171">
        <v>0</v>
      </c>
      <c r="Q357" s="175">
        <v>0</v>
      </c>
      <c r="R357" s="6"/>
      <c r="S357" s="6"/>
      <c r="T357" s="6"/>
      <c r="U357" s="6"/>
      <c r="V357" s="6"/>
      <c r="W357" s="6"/>
      <c r="X357" s="6" t="s">
        <v>291</v>
      </c>
      <c r="Y357" s="6" t="s">
        <v>143</v>
      </c>
    </row>
    <row r="358" spans="1:25">
      <c r="A358" s="171">
        <v>21</v>
      </c>
      <c r="B358" s="174">
        <v>45047</v>
      </c>
      <c r="C358" s="174">
        <v>45062</v>
      </c>
      <c r="D358" s="174">
        <v>45061</v>
      </c>
      <c r="E358" s="171">
        <v>2023</v>
      </c>
      <c r="F358" s="171">
        <v>5</v>
      </c>
      <c r="G358" s="171">
        <v>15</v>
      </c>
      <c r="H358" s="131"/>
      <c r="I358" s="176"/>
      <c r="J358" s="176"/>
      <c r="K358" s="171"/>
      <c r="L358" s="171" t="s">
        <v>52</v>
      </c>
      <c r="M358" s="171">
        <v>3501</v>
      </c>
      <c r="N358" s="175">
        <v>1</v>
      </c>
      <c r="O358" s="171">
        <v>1</v>
      </c>
      <c r="P358" s="171">
        <v>0</v>
      </c>
      <c r="Q358" s="175">
        <v>1</v>
      </c>
      <c r="R358" s="6" t="s">
        <v>160</v>
      </c>
      <c r="S358" s="6" t="s">
        <v>161</v>
      </c>
      <c r="T358" s="6" t="s">
        <v>253</v>
      </c>
      <c r="U358" s="6" t="s">
        <v>233</v>
      </c>
      <c r="V358" s="6" t="s">
        <v>290</v>
      </c>
      <c r="W358" s="6"/>
      <c r="X358" s="6" t="s">
        <v>291</v>
      </c>
      <c r="Y358" s="6" t="s">
        <v>143</v>
      </c>
    </row>
    <row r="359" spans="1:25">
      <c r="A359" s="171">
        <v>21</v>
      </c>
      <c r="B359" s="174">
        <v>45047</v>
      </c>
      <c r="C359" s="174">
        <v>45068</v>
      </c>
      <c r="D359" s="174">
        <v>45066</v>
      </c>
      <c r="E359" s="171">
        <v>2023</v>
      </c>
      <c r="F359" s="171">
        <v>5</v>
      </c>
      <c r="G359" s="171">
        <v>20</v>
      </c>
      <c r="H359" s="131"/>
      <c r="I359" s="176"/>
      <c r="J359" s="176"/>
      <c r="K359" s="171"/>
      <c r="L359" s="171" t="s">
        <v>56</v>
      </c>
      <c r="M359" s="171">
        <v>1240</v>
      </c>
      <c r="N359" s="175">
        <v>0</v>
      </c>
      <c r="O359" s="171">
        <v>0</v>
      </c>
      <c r="P359" s="171">
        <v>0</v>
      </c>
      <c r="Q359" s="175">
        <v>0</v>
      </c>
      <c r="R359" s="6"/>
      <c r="S359" s="6"/>
      <c r="T359" s="6"/>
      <c r="U359" s="6"/>
      <c r="V359" s="6"/>
      <c r="W359" s="6"/>
      <c r="X359" s="6" t="s">
        <v>259</v>
      </c>
      <c r="Y359" s="6" t="s">
        <v>141</v>
      </c>
    </row>
    <row r="360" spans="1:25">
      <c r="A360" s="171">
        <v>21</v>
      </c>
      <c r="B360" s="174">
        <v>45047</v>
      </c>
      <c r="C360" s="174">
        <v>45063</v>
      </c>
      <c r="D360" s="174">
        <v>45062</v>
      </c>
      <c r="E360" s="171">
        <v>2023</v>
      </c>
      <c r="F360" s="171">
        <v>5</v>
      </c>
      <c r="G360" s="171">
        <v>16</v>
      </c>
      <c r="H360" s="131"/>
      <c r="I360" s="176"/>
      <c r="J360" s="176"/>
      <c r="K360" s="171"/>
      <c r="L360" s="171" t="s">
        <v>52</v>
      </c>
      <c r="M360" s="171">
        <v>2128</v>
      </c>
      <c r="N360" s="175">
        <v>0</v>
      </c>
      <c r="O360" s="171">
        <v>0</v>
      </c>
      <c r="P360" s="171">
        <v>0</v>
      </c>
      <c r="Q360" s="175">
        <v>0</v>
      </c>
      <c r="R360" s="6"/>
      <c r="S360" s="6"/>
      <c r="T360" s="6"/>
      <c r="U360" s="6"/>
      <c r="V360" s="6"/>
      <c r="W360" s="6"/>
      <c r="X360" s="6" t="s">
        <v>291</v>
      </c>
      <c r="Y360" s="6" t="s">
        <v>143</v>
      </c>
    </row>
    <row r="361" spans="1:25">
      <c r="A361" s="171">
        <v>21</v>
      </c>
      <c r="B361" s="174">
        <v>45047</v>
      </c>
      <c r="C361" s="174">
        <v>45062</v>
      </c>
      <c r="D361" s="174">
        <v>45061</v>
      </c>
      <c r="E361" s="171">
        <v>2023</v>
      </c>
      <c r="F361" s="171">
        <v>5</v>
      </c>
      <c r="G361" s="171">
        <v>15</v>
      </c>
      <c r="H361" s="131"/>
      <c r="I361" s="176"/>
      <c r="J361" s="176"/>
      <c r="K361" s="171"/>
      <c r="L361" s="171" t="s">
        <v>52</v>
      </c>
      <c r="M361" s="171"/>
      <c r="N361" s="175">
        <v>0</v>
      </c>
      <c r="O361" s="171">
        <v>1</v>
      </c>
      <c r="P361" s="171">
        <v>0</v>
      </c>
      <c r="Q361" s="175">
        <v>0</v>
      </c>
      <c r="R361" s="6" t="s">
        <v>160</v>
      </c>
      <c r="S361" s="6" t="s">
        <v>161</v>
      </c>
      <c r="T361" s="6" t="s">
        <v>253</v>
      </c>
      <c r="U361" s="6" t="s">
        <v>233</v>
      </c>
      <c r="V361" s="6" t="s">
        <v>293</v>
      </c>
      <c r="W361" s="6"/>
      <c r="X361" s="6" t="s">
        <v>291</v>
      </c>
      <c r="Y361" s="6" t="s">
        <v>143</v>
      </c>
    </row>
    <row r="362" spans="1:25">
      <c r="A362" s="171">
        <v>21</v>
      </c>
      <c r="B362" s="174">
        <v>45047</v>
      </c>
      <c r="C362" s="174">
        <v>45062</v>
      </c>
      <c r="D362" s="174">
        <v>45061</v>
      </c>
      <c r="E362" s="171">
        <v>2023</v>
      </c>
      <c r="F362" s="171">
        <v>5</v>
      </c>
      <c r="G362" s="171">
        <v>15</v>
      </c>
      <c r="H362" s="131"/>
      <c r="I362" s="176"/>
      <c r="J362" s="176"/>
      <c r="K362" s="171"/>
      <c r="L362" s="171" t="s">
        <v>52</v>
      </c>
      <c r="M362" s="171">
        <v>8402</v>
      </c>
      <c r="N362" s="175">
        <v>2</v>
      </c>
      <c r="O362" s="171">
        <v>1</v>
      </c>
      <c r="P362" s="171">
        <v>0</v>
      </c>
      <c r="Q362" s="175">
        <v>2</v>
      </c>
      <c r="R362" s="6" t="s">
        <v>160</v>
      </c>
      <c r="S362" s="6" t="s">
        <v>161</v>
      </c>
      <c r="T362" s="6" t="s">
        <v>253</v>
      </c>
      <c r="U362" s="6" t="s">
        <v>233</v>
      </c>
      <c r="V362" s="6" t="s">
        <v>292</v>
      </c>
      <c r="W362" s="6"/>
      <c r="X362" s="6" t="s">
        <v>291</v>
      </c>
      <c r="Y362" s="6" t="s">
        <v>143</v>
      </c>
    </row>
    <row r="363" spans="1:25">
      <c r="A363" s="171">
        <v>21</v>
      </c>
      <c r="B363" s="174">
        <v>45047</v>
      </c>
      <c r="C363" s="174">
        <v>45066</v>
      </c>
      <c r="D363" s="174">
        <v>45065</v>
      </c>
      <c r="E363" s="171">
        <v>2023</v>
      </c>
      <c r="F363" s="171">
        <v>5</v>
      </c>
      <c r="G363" s="171">
        <v>19</v>
      </c>
      <c r="H363" s="131"/>
      <c r="I363" s="176"/>
      <c r="J363" s="176"/>
      <c r="K363" s="171"/>
      <c r="L363" s="171" t="s">
        <v>56</v>
      </c>
      <c r="M363" s="171">
        <v>1007</v>
      </c>
      <c r="N363" s="175">
        <v>7</v>
      </c>
      <c r="O363" s="171">
        <v>6</v>
      </c>
      <c r="P363" s="171">
        <v>6</v>
      </c>
      <c r="Q363" s="175">
        <v>1</v>
      </c>
      <c r="R363" s="6" t="s">
        <v>157</v>
      </c>
      <c r="S363" s="6" t="s">
        <v>158</v>
      </c>
      <c r="T363" s="6" t="s">
        <v>166</v>
      </c>
      <c r="U363" s="6" t="s">
        <v>239</v>
      </c>
      <c r="V363" s="6"/>
      <c r="W363" s="6"/>
      <c r="X363" s="6" t="s">
        <v>259</v>
      </c>
      <c r="Y363" s="6" t="s">
        <v>141</v>
      </c>
    </row>
    <row r="364" spans="1:25">
      <c r="A364" s="171">
        <v>21</v>
      </c>
      <c r="B364" s="174">
        <v>45047</v>
      </c>
      <c r="C364" s="174">
        <v>45062</v>
      </c>
      <c r="D364" s="174">
        <v>45061</v>
      </c>
      <c r="E364" s="171">
        <v>2023</v>
      </c>
      <c r="F364" s="171">
        <v>5</v>
      </c>
      <c r="G364" s="171">
        <v>15</v>
      </c>
      <c r="H364" s="131"/>
      <c r="I364" s="176"/>
      <c r="J364" s="176"/>
      <c r="K364" s="171"/>
      <c r="L364" s="171" t="s">
        <v>56</v>
      </c>
      <c r="M364" s="171">
        <v>1400</v>
      </c>
      <c r="N364" s="175">
        <v>0</v>
      </c>
      <c r="O364" s="171">
        <v>0</v>
      </c>
      <c r="P364" s="171">
        <v>0</v>
      </c>
      <c r="Q364" s="175">
        <v>0</v>
      </c>
      <c r="R364" s="6"/>
      <c r="S364" s="6"/>
      <c r="T364" s="6"/>
      <c r="U364" s="6"/>
      <c r="V364" s="6"/>
      <c r="W364" s="6"/>
      <c r="X364" s="6" t="s">
        <v>259</v>
      </c>
      <c r="Y364" s="6" t="s">
        <v>141</v>
      </c>
    </row>
    <row r="365" spans="1:25">
      <c r="A365" s="171">
        <v>21</v>
      </c>
      <c r="B365" s="174">
        <v>45047</v>
      </c>
      <c r="C365" s="174">
        <v>45063</v>
      </c>
      <c r="D365" s="174">
        <v>45062</v>
      </c>
      <c r="E365" s="171">
        <v>2023</v>
      </c>
      <c r="F365" s="171">
        <v>5</v>
      </c>
      <c r="G365" s="171">
        <v>16</v>
      </c>
      <c r="H365" s="131"/>
      <c r="I365" s="176"/>
      <c r="J365" s="176"/>
      <c r="K365" s="171"/>
      <c r="L365" s="171" t="s">
        <v>56</v>
      </c>
      <c r="M365" s="171">
        <v>2000</v>
      </c>
      <c r="N365" s="175">
        <v>0</v>
      </c>
      <c r="O365" s="171">
        <v>0</v>
      </c>
      <c r="P365" s="171">
        <v>0</v>
      </c>
      <c r="Q365" s="175">
        <v>0</v>
      </c>
      <c r="R365" s="6"/>
      <c r="S365" s="6"/>
      <c r="T365" s="6"/>
      <c r="U365" s="6"/>
      <c r="V365" s="6"/>
      <c r="W365" s="6"/>
      <c r="X365" s="6" t="s">
        <v>259</v>
      </c>
      <c r="Y365" s="6" t="s">
        <v>141</v>
      </c>
    </row>
    <row r="366" spans="1:25">
      <c r="A366" s="171">
        <v>21</v>
      </c>
      <c r="B366" s="174">
        <v>45047</v>
      </c>
      <c r="C366" s="174">
        <v>45062</v>
      </c>
      <c r="D366" s="174">
        <v>45061</v>
      </c>
      <c r="E366" s="171">
        <v>2023</v>
      </c>
      <c r="F366" s="171">
        <v>5</v>
      </c>
      <c r="G366" s="171">
        <v>15</v>
      </c>
      <c r="H366" s="131"/>
      <c r="I366" s="176"/>
      <c r="J366" s="176"/>
      <c r="K366" s="171"/>
      <c r="L366" s="171" t="s">
        <v>56</v>
      </c>
      <c r="M366" s="171">
        <v>250</v>
      </c>
      <c r="N366" s="175">
        <v>0</v>
      </c>
      <c r="O366" s="171">
        <v>0</v>
      </c>
      <c r="P366" s="171">
        <v>0</v>
      </c>
      <c r="Q366" s="175">
        <v>0</v>
      </c>
      <c r="R366" s="6"/>
      <c r="S366" s="6"/>
      <c r="T366" s="6"/>
      <c r="U366" s="6"/>
      <c r="V366" s="6"/>
      <c r="W366" s="6"/>
      <c r="X366" s="6" t="s">
        <v>259</v>
      </c>
      <c r="Y366" s="6" t="s">
        <v>141</v>
      </c>
    </row>
    <row r="367" spans="1:25">
      <c r="A367" s="171">
        <v>21</v>
      </c>
      <c r="B367" s="174">
        <v>45047</v>
      </c>
      <c r="C367" s="174">
        <v>45064</v>
      </c>
      <c r="D367" s="174">
        <v>45063</v>
      </c>
      <c r="E367" s="171">
        <v>2023</v>
      </c>
      <c r="F367" s="171">
        <v>5</v>
      </c>
      <c r="G367" s="171">
        <v>17</v>
      </c>
      <c r="H367" s="131"/>
      <c r="I367" s="176"/>
      <c r="J367" s="176"/>
      <c r="K367" s="171"/>
      <c r="L367" s="171" t="s">
        <v>56</v>
      </c>
      <c r="M367" s="171">
        <v>280</v>
      </c>
      <c r="N367" s="175">
        <v>0</v>
      </c>
      <c r="O367" s="171">
        <v>0</v>
      </c>
      <c r="P367" s="171">
        <v>0</v>
      </c>
      <c r="Q367" s="175">
        <v>0</v>
      </c>
      <c r="R367" s="6"/>
      <c r="S367" s="6"/>
      <c r="T367" s="6"/>
      <c r="U367" s="6"/>
      <c r="V367" s="6"/>
      <c r="W367" s="6"/>
      <c r="X367" s="6" t="s">
        <v>259</v>
      </c>
      <c r="Y367" s="6" t="s">
        <v>141</v>
      </c>
    </row>
    <row r="368" spans="1:25">
      <c r="A368" s="171">
        <v>21</v>
      </c>
      <c r="B368" s="174">
        <v>45047</v>
      </c>
      <c r="C368" s="174">
        <v>45063</v>
      </c>
      <c r="D368" s="174">
        <v>45062</v>
      </c>
      <c r="E368" s="171">
        <v>2023</v>
      </c>
      <c r="F368" s="171">
        <v>5</v>
      </c>
      <c r="G368" s="171">
        <v>16</v>
      </c>
      <c r="H368" s="131"/>
      <c r="I368" s="176"/>
      <c r="J368" s="176"/>
      <c r="K368" s="171"/>
      <c r="L368" s="171" t="s">
        <v>56</v>
      </c>
      <c r="M368" s="171">
        <v>410</v>
      </c>
      <c r="N368" s="175">
        <v>0</v>
      </c>
      <c r="O368" s="171">
        <v>0</v>
      </c>
      <c r="P368" s="171">
        <v>0</v>
      </c>
      <c r="Q368" s="175">
        <v>0</v>
      </c>
      <c r="R368" s="6"/>
      <c r="S368" s="6"/>
      <c r="T368" s="6"/>
      <c r="U368" s="6"/>
      <c r="V368" s="6"/>
      <c r="W368" s="6"/>
      <c r="X368" s="6" t="s">
        <v>259</v>
      </c>
      <c r="Y368" s="6" t="s">
        <v>141</v>
      </c>
    </row>
    <row r="369" spans="1:25">
      <c r="A369" s="171">
        <v>21</v>
      </c>
      <c r="B369" s="174">
        <v>45047</v>
      </c>
      <c r="C369" s="174">
        <v>45062</v>
      </c>
      <c r="D369" s="174">
        <v>45061</v>
      </c>
      <c r="E369" s="171">
        <v>2023</v>
      </c>
      <c r="F369" s="171">
        <v>5</v>
      </c>
      <c r="G369" s="171">
        <v>15</v>
      </c>
      <c r="H369" s="131"/>
      <c r="I369" s="176"/>
      <c r="J369" s="176"/>
      <c r="K369" s="171"/>
      <c r="L369" s="171" t="s">
        <v>56</v>
      </c>
      <c r="M369" s="171"/>
      <c r="N369" s="175">
        <v>0</v>
      </c>
      <c r="O369" s="171">
        <v>1</v>
      </c>
      <c r="P369" s="171">
        <v>0</v>
      </c>
      <c r="Q369" s="175">
        <v>0</v>
      </c>
      <c r="R369" s="6" t="s">
        <v>160</v>
      </c>
      <c r="S369" s="6" t="s">
        <v>205</v>
      </c>
      <c r="T369" s="6" t="s">
        <v>314</v>
      </c>
      <c r="U369" s="6" t="s">
        <v>322</v>
      </c>
      <c r="V369" s="6" t="s">
        <v>274</v>
      </c>
      <c r="W369" s="6"/>
      <c r="X369" s="6" t="s">
        <v>259</v>
      </c>
      <c r="Y369" s="6" t="s">
        <v>141</v>
      </c>
    </row>
    <row r="370" spans="1:25">
      <c r="A370" s="171">
        <v>21</v>
      </c>
      <c r="B370" s="174">
        <v>45047</v>
      </c>
      <c r="C370" s="174">
        <v>45068</v>
      </c>
      <c r="D370" s="174">
        <v>45066</v>
      </c>
      <c r="E370" s="171">
        <v>2023</v>
      </c>
      <c r="F370" s="171">
        <v>5</v>
      </c>
      <c r="G370" s="171">
        <v>20</v>
      </c>
      <c r="H370" s="131"/>
      <c r="I370" s="176"/>
      <c r="J370" s="176"/>
      <c r="K370" s="171"/>
      <c r="L370" s="171" t="s">
        <v>56</v>
      </c>
      <c r="M370" s="171">
        <v>1800</v>
      </c>
      <c r="N370" s="175">
        <v>0</v>
      </c>
      <c r="O370" s="171">
        <v>0</v>
      </c>
      <c r="P370" s="171">
        <v>0</v>
      </c>
      <c r="Q370" s="175">
        <v>0</v>
      </c>
      <c r="R370" s="6"/>
      <c r="S370" s="6"/>
      <c r="T370" s="6"/>
      <c r="U370" s="6"/>
      <c r="V370" s="6"/>
      <c r="W370" s="6"/>
      <c r="X370" s="6" t="s">
        <v>259</v>
      </c>
      <c r="Y370" s="6" t="s">
        <v>141</v>
      </c>
    </row>
    <row r="371" spans="1:25">
      <c r="A371" s="171">
        <v>21</v>
      </c>
      <c r="B371" s="174">
        <v>45047</v>
      </c>
      <c r="C371" s="174">
        <v>45065</v>
      </c>
      <c r="D371" s="174">
        <v>45064</v>
      </c>
      <c r="E371" s="171">
        <v>2023</v>
      </c>
      <c r="F371" s="171">
        <v>5</v>
      </c>
      <c r="G371" s="171">
        <v>18</v>
      </c>
      <c r="H371" s="131"/>
      <c r="I371" s="176"/>
      <c r="J371" s="176"/>
      <c r="K371" s="171"/>
      <c r="L371" s="171" t="s">
        <v>56</v>
      </c>
      <c r="M371" s="171">
        <v>805</v>
      </c>
      <c r="N371" s="175">
        <v>12</v>
      </c>
      <c r="O371" s="171">
        <v>1</v>
      </c>
      <c r="P371" s="171">
        <v>0</v>
      </c>
      <c r="Q371" s="175">
        <v>12</v>
      </c>
      <c r="R371" s="6" t="s">
        <v>160</v>
      </c>
      <c r="S371" s="6" t="s">
        <v>161</v>
      </c>
      <c r="T371" s="6" t="s">
        <v>336</v>
      </c>
      <c r="U371" s="6" t="s">
        <v>232</v>
      </c>
      <c r="V371" s="6" t="s">
        <v>337</v>
      </c>
      <c r="W371" s="6"/>
      <c r="X371" s="6" t="s">
        <v>259</v>
      </c>
      <c r="Y371" s="6" t="s">
        <v>141</v>
      </c>
    </row>
    <row r="372" spans="1:25">
      <c r="A372" s="171">
        <v>21</v>
      </c>
      <c r="B372" s="174">
        <v>45047</v>
      </c>
      <c r="C372" s="174">
        <v>45064</v>
      </c>
      <c r="D372" s="174">
        <v>45063</v>
      </c>
      <c r="E372" s="171">
        <v>2023</v>
      </c>
      <c r="F372" s="171">
        <v>5</v>
      </c>
      <c r="G372" s="171">
        <v>17</v>
      </c>
      <c r="H372" s="131"/>
      <c r="I372" s="176"/>
      <c r="J372" s="176"/>
      <c r="K372" s="171"/>
      <c r="L372" s="171" t="s">
        <v>56</v>
      </c>
      <c r="M372" s="171">
        <v>200</v>
      </c>
      <c r="N372" s="175">
        <v>0</v>
      </c>
      <c r="O372" s="171">
        <v>0</v>
      </c>
      <c r="P372" s="171">
        <v>0</v>
      </c>
      <c r="Q372" s="175">
        <v>0</v>
      </c>
      <c r="R372" s="6"/>
      <c r="S372" s="6"/>
      <c r="T372" s="6"/>
      <c r="U372" s="6"/>
      <c r="V372" s="6"/>
      <c r="W372" s="6"/>
      <c r="X372" s="6" t="s">
        <v>259</v>
      </c>
      <c r="Y372" s="6" t="s">
        <v>141</v>
      </c>
    </row>
    <row r="373" spans="1:25">
      <c r="A373" s="171">
        <v>21</v>
      </c>
      <c r="B373" s="174">
        <v>45047</v>
      </c>
      <c r="C373" s="174">
        <v>45062</v>
      </c>
      <c r="D373" s="174">
        <v>45061</v>
      </c>
      <c r="E373" s="171">
        <v>2023</v>
      </c>
      <c r="F373" s="171">
        <v>5</v>
      </c>
      <c r="G373" s="171">
        <v>15</v>
      </c>
      <c r="H373" s="131"/>
      <c r="I373" s="176"/>
      <c r="J373" s="176"/>
      <c r="K373" s="171"/>
      <c r="L373" s="171" t="s">
        <v>56</v>
      </c>
      <c r="M373" s="171">
        <v>1000</v>
      </c>
      <c r="N373" s="175">
        <v>0</v>
      </c>
      <c r="O373" s="171">
        <v>0</v>
      </c>
      <c r="P373" s="171">
        <v>0</v>
      </c>
      <c r="Q373" s="175">
        <v>0</v>
      </c>
      <c r="R373" s="6"/>
      <c r="S373" s="6"/>
      <c r="T373" s="6"/>
      <c r="U373" s="6"/>
      <c r="V373" s="6"/>
      <c r="W373" s="6"/>
      <c r="X373" s="6" t="s">
        <v>259</v>
      </c>
      <c r="Y373" s="6" t="s">
        <v>141</v>
      </c>
    </row>
    <row r="374" spans="1:25">
      <c r="A374" s="171">
        <v>21</v>
      </c>
      <c r="B374" s="174">
        <v>45047</v>
      </c>
      <c r="C374" s="174">
        <v>45068</v>
      </c>
      <c r="D374" s="174">
        <v>45066</v>
      </c>
      <c r="E374" s="171">
        <v>2023</v>
      </c>
      <c r="F374" s="171">
        <v>5</v>
      </c>
      <c r="G374" s="171">
        <v>20</v>
      </c>
      <c r="H374" s="131"/>
      <c r="I374" s="176"/>
      <c r="J374" s="176"/>
      <c r="K374" s="171"/>
      <c r="L374" s="171" t="s">
        <v>56</v>
      </c>
      <c r="M374" s="171">
        <v>1450</v>
      </c>
      <c r="N374" s="175">
        <v>0</v>
      </c>
      <c r="O374" s="171">
        <v>0</v>
      </c>
      <c r="P374" s="171">
        <v>0</v>
      </c>
      <c r="Q374" s="175">
        <v>0</v>
      </c>
      <c r="R374" s="6"/>
      <c r="S374" s="6"/>
      <c r="T374" s="6"/>
      <c r="U374" s="6"/>
      <c r="V374" s="6"/>
      <c r="W374" s="6"/>
      <c r="X374" s="6" t="s">
        <v>259</v>
      </c>
      <c r="Y374" s="6" t="s">
        <v>141</v>
      </c>
    </row>
    <row r="375" spans="1:25">
      <c r="A375" s="171">
        <v>21</v>
      </c>
      <c r="B375" s="174">
        <v>45047</v>
      </c>
      <c r="C375" s="174">
        <v>45068</v>
      </c>
      <c r="D375" s="174">
        <v>45066</v>
      </c>
      <c r="E375" s="171">
        <v>2023</v>
      </c>
      <c r="F375" s="171">
        <v>5</v>
      </c>
      <c r="G375" s="171">
        <v>20</v>
      </c>
      <c r="H375" s="131"/>
      <c r="I375" s="176"/>
      <c r="J375" s="176"/>
      <c r="K375" s="171"/>
      <c r="L375" s="171" t="s">
        <v>56</v>
      </c>
      <c r="M375" s="171">
        <v>301</v>
      </c>
      <c r="N375" s="175">
        <v>1</v>
      </c>
      <c r="O375" s="171">
        <v>1</v>
      </c>
      <c r="P375" s="171">
        <v>0</v>
      </c>
      <c r="Q375" s="175">
        <v>1</v>
      </c>
      <c r="R375" s="6" t="s">
        <v>160</v>
      </c>
      <c r="S375" s="6" t="s">
        <v>205</v>
      </c>
      <c r="T375" s="6"/>
      <c r="U375" s="6" t="s">
        <v>322</v>
      </c>
      <c r="V375" s="6"/>
      <c r="W375" s="6"/>
      <c r="X375" s="6" t="s">
        <v>259</v>
      </c>
      <c r="Y375" s="6" t="s">
        <v>141</v>
      </c>
    </row>
    <row r="376" spans="1:25">
      <c r="A376" s="171">
        <v>21</v>
      </c>
      <c r="B376" s="174">
        <v>45047</v>
      </c>
      <c r="C376" s="174">
        <v>45065</v>
      </c>
      <c r="D376" s="174">
        <v>45064</v>
      </c>
      <c r="E376" s="171">
        <v>2023</v>
      </c>
      <c r="F376" s="171">
        <v>5</v>
      </c>
      <c r="G376" s="171">
        <v>18</v>
      </c>
      <c r="H376" s="131"/>
      <c r="I376" s="176"/>
      <c r="J376" s="176"/>
      <c r="K376" s="171"/>
      <c r="L376" s="171" t="s">
        <v>56</v>
      </c>
      <c r="M376" s="171"/>
      <c r="N376" s="175">
        <v>0</v>
      </c>
      <c r="O376" s="171">
        <v>11</v>
      </c>
      <c r="P376" s="171">
        <v>0</v>
      </c>
      <c r="Q376" s="175">
        <v>0</v>
      </c>
      <c r="R376" s="6" t="s">
        <v>160</v>
      </c>
      <c r="S376" s="6" t="s">
        <v>161</v>
      </c>
      <c r="T376" s="6" t="s">
        <v>253</v>
      </c>
      <c r="U376" s="6" t="s">
        <v>233</v>
      </c>
      <c r="V376" s="6" t="s">
        <v>335</v>
      </c>
      <c r="W376" s="6"/>
      <c r="X376" s="6" t="s">
        <v>259</v>
      </c>
      <c r="Y376" s="6" t="s">
        <v>141</v>
      </c>
    </row>
    <row r="377" spans="1:25">
      <c r="A377" s="171">
        <v>21</v>
      </c>
      <c r="B377" s="174">
        <v>45047</v>
      </c>
      <c r="C377" s="174">
        <v>45062</v>
      </c>
      <c r="D377" s="174">
        <v>45061</v>
      </c>
      <c r="E377" s="171">
        <v>2023</v>
      </c>
      <c r="F377" s="171">
        <v>5</v>
      </c>
      <c r="G377" s="171">
        <v>15</v>
      </c>
      <c r="H377" s="131"/>
      <c r="I377" s="176"/>
      <c r="J377" s="176"/>
      <c r="K377" s="171"/>
      <c r="L377" s="171" t="s">
        <v>56</v>
      </c>
      <c r="M377" s="171">
        <v>685</v>
      </c>
      <c r="N377" s="175">
        <v>5</v>
      </c>
      <c r="O377" s="171">
        <v>3</v>
      </c>
      <c r="P377" s="171">
        <v>3</v>
      </c>
      <c r="Q377" s="175">
        <v>2</v>
      </c>
      <c r="R377" s="6" t="s">
        <v>157</v>
      </c>
      <c r="S377" s="6" t="s">
        <v>158</v>
      </c>
      <c r="T377" s="6" t="s">
        <v>166</v>
      </c>
      <c r="U377" s="6" t="s">
        <v>239</v>
      </c>
      <c r="V377" s="6" t="s">
        <v>278</v>
      </c>
      <c r="W377" s="6"/>
      <c r="X377" s="6" t="s">
        <v>259</v>
      </c>
      <c r="Y377" s="6" t="s">
        <v>141</v>
      </c>
    </row>
    <row r="378" spans="1:25">
      <c r="A378" s="171">
        <v>21</v>
      </c>
      <c r="B378" s="174">
        <v>45047</v>
      </c>
      <c r="C378" s="174">
        <v>45062</v>
      </c>
      <c r="D378" s="174">
        <v>45061</v>
      </c>
      <c r="E378" s="171">
        <v>2023</v>
      </c>
      <c r="F378" s="171">
        <v>5</v>
      </c>
      <c r="G378" s="171">
        <v>15</v>
      </c>
      <c r="H378" s="131"/>
      <c r="I378" s="176"/>
      <c r="J378" s="176"/>
      <c r="K378" s="171"/>
      <c r="L378" s="171" t="s">
        <v>56</v>
      </c>
      <c r="M378" s="171">
        <v>700</v>
      </c>
      <c r="N378" s="175">
        <v>0</v>
      </c>
      <c r="O378" s="171">
        <v>0</v>
      </c>
      <c r="P378" s="171">
        <v>0</v>
      </c>
      <c r="Q378" s="175">
        <v>0</v>
      </c>
      <c r="R378" s="6"/>
      <c r="S378" s="6"/>
      <c r="T378" s="6"/>
      <c r="U378" s="6"/>
      <c r="V378" s="6"/>
      <c r="W378" s="6"/>
      <c r="X378" s="6" t="s">
        <v>259</v>
      </c>
      <c r="Y378" s="6" t="s">
        <v>141</v>
      </c>
    </row>
    <row r="379" spans="1:25">
      <c r="A379" s="171">
        <v>21</v>
      </c>
      <c r="B379" s="174">
        <v>45047</v>
      </c>
      <c r="C379" s="174">
        <v>45062</v>
      </c>
      <c r="D379" s="174">
        <v>45061</v>
      </c>
      <c r="E379" s="171">
        <v>2023</v>
      </c>
      <c r="F379" s="171">
        <v>5</v>
      </c>
      <c r="G379" s="171">
        <v>15</v>
      </c>
      <c r="H379" s="131"/>
      <c r="I379" s="176"/>
      <c r="J379" s="176"/>
      <c r="K379" s="171"/>
      <c r="L379" s="171" t="s">
        <v>56</v>
      </c>
      <c r="M379" s="171">
        <v>20</v>
      </c>
      <c r="N379" s="175">
        <v>0</v>
      </c>
      <c r="O379" s="171">
        <v>0</v>
      </c>
      <c r="P379" s="171">
        <v>0</v>
      </c>
      <c r="Q379" s="175">
        <v>0</v>
      </c>
      <c r="R379" s="6"/>
      <c r="S379" s="6"/>
      <c r="T379" s="6"/>
      <c r="U379" s="6"/>
      <c r="V379" s="6"/>
      <c r="W379" s="6"/>
      <c r="X379" s="6" t="s">
        <v>259</v>
      </c>
      <c r="Y379" s="6" t="s">
        <v>141</v>
      </c>
    </row>
    <row r="380" spans="1:25">
      <c r="A380" s="171">
        <v>21</v>
      </c>
      <c r="B380" s="174">
        <v>45047</v>
      </c>
      <c r="C380" s="174">
        <v>45065</v>
      </c>
      <c r="D380" s="174">
        <v>45064</v>
      </c>
      <c r="E380" s="171">
        <v>2023</v>
      </c>
      <c r="F380" s="171">
        <v>5</v>
      </c>
      <c r="G380" s="171">
        <v>18</v>
      </c>
      <c r="H380" s="131"/>
      <c r="I380" s="176"/>
      <c r="J380" s="176"/>
      <c r="K380" s="171"/>
      <c r="L380" s="171" t="s">
        <v>56</v>
      </c>
      <c r="M380" s="171">
        <v>800</v>
      </c>
      <c r="N380" s="175">
        <v>0</v>
      </c>
      <c r="O380" s="171">
        <v>0</v>
      </c>
      <c r="P380" s="171">
        <v>0</v>
      </c>
      <c r="Q380" s="175">
        <v>0</v>
      </c>
      <c r="R380" s="6"/>
      <c r="S380" s="6"/>
      <c r="T380" s="6"/>
      <c r="U380" s="6"/>
      <c r="V380" s="6"/>
      <c r="W380" s="6"/>
      <c r="X380" s="6" t="s">
        <v>259</v>
      </c>
      <c r="Y380" s="6" t="s">
        <v>141</v>
      </c>
    </row>
    <row r="381" spans="1:25">
      <c r="A381" s="171">
        <v>21</v>
      </c>
      <c r="B381" s="174">
        <v>45047</v>
      </c>
      <c r="C381" s="174">
        <v>45062</v>
      </c>
      <c r="D381" s="174">
        <v>45061</v>
      </c>
      <c r="E381" s="171">
        <v>2023</v>
      </c>
      <c r="F381" s="171">
        <v>5</v>
      </c>
      <c r="G381" s="171">
        <v>15</v>
      </c>
      <c r="H381" s="131"/>
      <c r="I381" s="176"/>
      <c r="J381" s="176"/>
      <c r="K381" s="171"/>
      <c r="L381" s="171" t="s">
        <v>56</v>
      </c>
      <c r="M381" s="171"/>
      <c r="N381" s="175">
        <v>0</v>
      </c>
      <c r="O381" s="171">
        <v>1</v>
      </c>
      <c r="P381" s="171">
        <v>0</v>
      </c>
      <c r="Q381" s="175">
        <v>0</v>
      </c>
      <c r="R381" s="6" t="s">
        <v>160</v>
      </c>
      <c r="S381" s="6" t="s">
        <v>162</v>
      </c>
      <c r="T381" s="6"/>
      <c r="U381" s="6" t="s">
        <v>162</v>
      </c>
      <c r="V381" s="6" t="s">
        <v>280</v>
      </c>
      <c r="W381" s="6"/>
      <c r="X381" s="6" t="s">
        <v>259</v>
      </c>
      <c r="Y381" s="6" t="s">
        <v>141</v>
      </c>
    </row>
    <row r="382" spans="1:25">
      <c r="A382" s="171">
        <v>21</v>
      </c>
      <c r="B382" s="174">
        <v>45047</v>
      </c>
      <c r="C382" s="174">
        <v>45062</v>
      </c>
      <c r="D382" s="174">
        <v>45061</v>
      </c>
      <c r="E382" s="171">
        <v>2023</v>
      </c>
      <c r="F382" s="171">
        <v>5</v>
      </c>
      <c r="G382" s="171">
        <v>15</v>
      </c>
      <c r="H382" s="131"/>
      <c r="I382" s="176"/>
      <c r="J382" s="176"/>
      <c r="K382" s="171"/>
      <c r="L382" s="171" t="s">
        <v>56</v>
      </c>
      <c r="M382" s="171"/>
      <c r="N382" s="175">
        <v>0</v>
      </c>
      <c r="O382" s="171">
        <v>1</v>
      </c>
      <c r="P382" s="171">
        <v>0</v>
      </c>
      <c r="Q382" s="175">
        <v>0</v>
      </c>
      <c r="R382" s="6" t="s">
        <v>160</v>
      </c>
      <c r="S382" s="6" t="s">
        <v>161</v>
      </c>
      <c r="T382" s="6" t="s">
        <v>253</v>
      </c>
      <c r="U382" s="6" t="s">
        <v>233</v>
      </c>
      <c r="V382" s="6" t="s">
        <v>279</v>
      </c>
      <c r="W382" s="6"/>
      <c r="X382" s="6" t="s">
        <v>259</v>
      </c>
      <c r="Y382" s="6" t="s">
        <v>141</v>
      </c>
    </row>
    <row r="383" spans="1:25">
      <c r="A383" s="171">
        <v>21</v>
      </c>
      <c r="B383" s="174">
        <v>45047</v>
      </c>
      <c r="C383" s="174">
        <v>45065</v>
      </c>
      <c r="D383" s="174">
        <v>45064</v>
      </c>
      <c r="E383" s="171">
        <v>2023</v>
      </c>
      <c r="F383" s="171">
        <v>5</v>
      </c>
      <c r="G383" s="171">
        <v>18</v>
      </c>
      <c r="H383" s="131"/>
      <c r="I383" s="176"/>
      <c r="J383" s="176"/>
      <c r="K383" s="171"/>
      <c r="L383" s="171" t="s">
        <v>56</v>
      </c>
      <c r="M383" s="171">
        <v>1100</v>
      </c>
      <c r="N383" s="175">
        <v>0</v>
      </c>
      <c r="O383" s="171">
        <v>0</v>
      </c>
      <c r="P383" s="171">
        <v>0</v>
      </c>
      <c r="Q383" s="175">
        <v>0</v>
      </c>
      <c r="R383" s="6"/>
      <c r="S383" s="6"/>
      <c r="T383" s="6"/>
      <c r="U383" s="6"/>
      <c r="V383" s="6"/>
      <c r="W383" s="6"/>
      <c r="X383" s="6" t="s">
        <v>259</v>
      </c>
      <c r="Y383" s="6" t="s">
        <v>141</v>
      </c>
    </row>
    <row r="384" spans="1:25">
      <c r="A384" s="171">
        <v>21</v>
      </c>
      <c r="B384" s="174">
        <v>45047</v>
      </c>
      <c r="C384" s="174">
        <v>45066</v>
      </c>
      <c r="D384" s="174">
        <v>45065</v>
      </c>
      <c r="E384" s="171">
        <v>2023</v>
      </c>
      <c r="F384" s="171">
        <v>5</v>
      </c>
      <c r="G384" s="171">
        <v>19</v>
      </c>
      <c r="H384" s="131"/>
      <c r="I384" s="176"/>
      <c r="J384" s="176"/>
      <c r="K384" s="171"/>
      <c r="L384" s="171" t="s">
        <v>56</v>
      </c>
      <c r="M384" s="171"/>
      <c r="N384" s="175">
        <v>0</v>
      </c>
      <c r="O384" s="171">
        <v>1</v>
      </c>
      <c r="P384" s="171">
        <v>0</v>
      </c>
      <c r="Q384" s="175">
        <v>0</v>
      </c>
      <c r="R384" s="6" t="s">
        <v>160</v>
      </c>
      <c r="S384" s="6" t="s">
        <v>158</v>
      </c>
      <c r="T384" s="6" t="s">
        <v>314</v>
      </c>
      <c r="U384" s="6" t="s">
        <v>190</v>
      </c>
      <c r="V384" s="6"/>
      <c r="W384" s="6"/>
      <c r="X384" s="6" t="s">
        <v>259</v>
      </c>
      <c r="Y384" s="6" t="s">
        <v>141</v>
      </c>
    </row>
    <row r="385" spans="1:25">
      <c r="A385" s="171">
        <v>21</v>
      </c>
      <c r="B385" s="174">
        <v>45047</v>
      </c>
      <c r="C385" s="174">
        <v>45066</v>
      </c>
      <c r="D385" s="174">
        <v>45065</v>
      </c>
      <c r="E385" s="171">
        <v>2023</v>
      </c>
      <c r="F385" s="171">
        <v>5</v>
      </c>
      <c r="G385" s="171">
        <v>19</v>
      </c>
      <c r="H385" s="131"/>
      <c r="I385" s="176"/>
      <c r="J385" s="176"/>
      <c r="K385" s="171"/>
      <c r="L385" s="171" t="s">
        <v>56</v>
      </c>
      <c r="M385" s="171">
        <v>413</v>
      </c>
      <c r="N385" s="175">
        <v>3</v>
      </c>
      <c r="O385" s="171">
        <v>2</v>
      </c>
      <c r="P385" s="171">
        <v>0</v>
      </c>
      <c r="Q385" s="175">
        <v>3</v>
      </c>
      <c r="R385" s="6" t="s">
        <v>160</v>
      </c>
      <c r="S385" s="6" t="s">
        <v>205</v>
      </c>
      <c r="T385" s="6" t="s">
        <v>314</v>
      </c>
      <c r="U385" s="6" t="s">
        <v>184</v>
      </c>
      <c r="V385" s="6"/>
      <c r="W385" s="6"/>
      <c r="X385" s="6" t="s">
        <v>259</v>
      </c>
      <c r="Y385" s="6" t="s">
        <v>141</v>
      </c>
    </row>
    <row r="386" spans="1:25">
      <c r="A386" s="171">
        <v>21</v>
      </c>
      <c r="B386" s="174">
        <v>45047</v>
      </c>
      <c r="C386" s="174">
        <v>45065</v>
      </c>
      <c r="D386" s="174">
        <v>45064</v>
      </c>
      <c r="E386" s="171">
        <v>2023</v>
      </c>
      <c r="F386" s="171">
        <v>5</v>
      </c>
      <c r="G386" s="171">
        <v>18</v>
      </c>
      <c r="H386" s="131"/>
      <c r="I386" s="176"/>
      <c r="J386" s="176"/>
      <c r="K386" s="171"/>
      <c r="L386" s="171" t="s">
        <v>56</v>
      </c>
      <c r="M386" s="171">
        <v>240</v>
      </c>
      <c r="N386" s="175">
        <v>0</v>
      </c>
      <c r="O386" s="171">
        <v>0</v>
      </c>
      <c r="P386" s="171">
        <v>0</v>
      </c>
      <c r="Q386" s="175">
        <v>0</v>
      </c>
      <c r="R386" s="6"/>
      <c r="S386" s="6"/>
      <c r="T386" s="6"/>
      <c r="U386" s="6"/>
      <c r="V386" s="6"/>
      <c r="W386" s="6"/>
      <c r="X386" s="6" t="s">
        <v>259</v>
      </c>
      <c r="Y386" s="6" t="s">
        <v>141</v>
      </c>
    </row>
    <row r="387" spans="1:25">
      <c r="A387" s="171">
        <v>21</v>
      </c>
      <c r="B387" s="174">
        <v>45047</v>
      </c>
      <c r="C387" s="174">
        <v>45066</v>
      </c>
      <c r="D387" s="174">
        <v>45065</v>
      </c>
      <c r="E387" s="171">
        <v>2023</v>
      </c>
      <c r="F387" s="171">
        <v>5</v>
      </c>
      <c r="G387" s="171">
        <v>19</v>
      </c>
      <c r="H387" s="131"/>
      <c r="I387" s="176"/>
      <c r="J387" s="176"/>
      <c r="K387" s="171"/>
      <c r="L387" s="171" t="s">
        <v>56</v>
      </c>
      <c r="M387" s="171">
        <v>1100</v>
      </c>
      <c r="N387" s="175">
        <v>0</v>
      </c>
      <c r="O387" s="171">
        <v>0</v>
      </c>
      <c r="P387" s="171">
        <v>0</v>
      </c>
      <c r="Q387" s="175">
        <v>0</v>
      </c>
      <c r="R387" s="6"/>
      <c r="S387" s="6"/>
      <c r="T387" s="6"/>
      <c r="U387" s="6"/>
      <c r="V387" s="6"/>
      <c r="W387" s="6"/>
      <c r="X387" s="6" t="s">
        <v>259</v>
      </c>
      <c r="Y387" s="6" t="s">
        <v>141</v>
      </c>
    </row>
    <row r="388" spans="1:25">
      <c r="A388" s="171">
        <v>21</v>
      </c>
      <c r="B388" s="174">
        <v>45047</v>
      </c>
      <c r="C388" s="174">
        <v>45068</v>
      </c>
      <c r="D388" s="174">
        <v>45066</v>
      </c>
      <c r="E388" s="171">
        <v>2023</v>
      </c>
      <c r="F388" s="171">
        <v>5</v>
      </c>
      <c r="G388" s="171">
        <v>20</v>
      </c>
      <c r="H388" s="131"/>
      <c r="I388" s="176"/>
      <c r="J388" s="176"/>
      <c r="K388" s="171"/>
      <c r="L388" s="171" t="s">
        <v>56</v>
      </c>
      <c r="M388" s="171">
        <v>1101</v>
      </c>
      <c r="N388" s="175">
        <v>1</v>
      </c>
      <c r="O388" s="171">
        <v>1</v>
      </c>
      <c r="P388" s="171">
        <v>0</v>
      </c>
      <c r="Q388" s="175">
        <v>1</v>
      </c>
      <c r="R388" s="6" t="s">
        <v>160</v>
      </c>
      <c r="S388" s="6" t="s">
        <v>161</v>
      </c>
      <c r="T388" s="6" t="s">
        <v>318</v>
      </c>
      <c r="U388" s="6" t="s">
        <v>175</v>
      </c>
      <c r="V388" s="6"/>
      <c r="W388" s="6"/>
      <c r="X388" s="6" t="s">
        <v>259</v>
      </c>
      <c r="Y388" s="6" t="s">
        <v>141</v>
      </c>
    </row>
    <row r="389" spans="1:25">
      <c r="A389" s="171">
        <v>21</v>
      </c>
      <c r="B389" s="174">
        <v>45047</v>
      </c>
      <c r="C389" s="174">
        <v>45068</v>
      </c>
      <c r="D389" s="174">
        <v>45066</v>
      </c>
      <c r="E389" s="171">
        <v>2023</v>
      </c>
      <c r="F389" s="171">
        <v>5</v>
      </c>
      <c r="G389" s="171">
        <v>20</v>
      </c>
      <c r="H389" s="131"/>
      <c r="I389" s="176"/>
      <c r="J389" s="176"/>
      <c r="K389" s="171"/>
      <c r="L389" s="171" t="s">
        <v>56</v>
      </c>
      <c r="M389" s="171">
        <v>351</v>
      </c>
      <c r="N389" s="175">
        <v>1</v>
      </c>
      <c r="O389" s="171">
        <v>1</v>
      </c>
      <c r="P389" s="171">
        <v>0</v>
      </c>
      <c r="Q389" s="175">
        <v>1</v>
      </c>
      <c r="R389" s="6" t="s">
        <v>160</v>
      </c>
      <c r="S389" s="6" t="s">
        <v>205</v>
      </c>
      <c r="T389" s="6" t="s">
        <v>314</v>
      </c>
      <c r="U389" s="6" t="s">
        <v>184</v>
      </c>
      <c r="V389" s="6"/>
      <c r="W389" s="6"/>
      <c r="X389" s="6" t="s">
        <v>259</v>
      </c>
      <c r="Y389" s="6" t="s">
        <v>141</v>
      </c>
    </row>
    <row r="390" spans="1:25">
      <c r="A390" s="171">
        <v>21</v>
      </c>
      <c r="B390" s="174">
        <v>45047</v>
      </c>
      <c r="C390" s="174">
        <v>45064</v>
      </c>
      <c r="D390" s="174">
        <v>45063</v>
      </c>
      <c r="E390" s="171">
        <v>2023</v>
      </c>
      <c r="F390" s="171">
        <v>5</v>
      </c>
      <c r="G390" s="171">
        <v>17</v>
      </c>
      <c r="H390" s="131"/>
      <c r="I390" s="176"/>
      <c r="J390" s="176"/>
      <c r="K390" s="171"/>
      <c r="L390" s="171" t="s">
        <v>52</v>
      </c>
      <c r="M390" s="171">
        <v>5000</v>
      </c>
      <c r="N390" s="175">
        <v>0</v>
      </c>
      <c r="O390" s="171">
        <v>0</v>
      </c>
      <c r="P390" s="171">
        <v>0</v>
      </c>
      <c r="Q390" s="175">
        <v>0</v>
      </c>
      <c r="R390" s="6"/>
      <c r="S390" s="6"/>
      <c r="T390" s="6"/>
      <c r="U390" s="6"/>
      <c r="V390" s="6"/>
      <c r="W390" s="6"/>
      <c r="X390" s="6" t="s">
        <v>291</v>
      </c>
      <c r="Y390" s="6" t="s">
        <v>143</v>
      </c>
    </row>
    <row r="391" spans="1:25">
      <c r="A391" s="171">
        <v>21</v>
      </c>
      <c r="B391" s="174">
        <v>45047</v>
      </c>
      <c r="C391" s="174">
        <v>45066</v>
      </c>
      <c r="D391" s="174">
        <v>45062</v>
      </c>
      <c r="E391" s="171">
        <v>2023</v>
      </c>
      <c r="F391" s="171">
        <v>5</v>
      </c>
      <c r="G391" s="171">
        <v>16</v>
      </c>
      <c r="H391" s="131"/>
      <c r="I391" s="176"/>
      <c r="J391" s="176"/>
      <c r="K391" s="171"/>
      <c r="L391" s="171" t="s">
        <v>52</v>
      </c>
      <c r="M391" s="171">
        <v>6513</v>
      </c>
      <c r="N391" s="175">
        <v>13</v>
      </c>
      <c r="O391" s="171">
        <v>8</v>
      </c>
      <c r="P391" s="171">
        <v>11</v>
      </c>
      <c r="Q391" s="175">
        <v>2</v>
      </c>
      <c r="R391" s="6" t="s">
        <v>157</v>
      </c>
      <c r="S391" s="6" t="s">
        <v>158</v>
      </c>
      <c r="T391" s="6" t="s">
        <v>166</v>
      </c>
      <c r="U391" s="6" t="s">
        <v>167</v>
      </c>
      <c r="V391" s="6"/>
      <c r="W391" s="6"/>
      <c r="X391" s="6" t="s">
        <v>291</v>
      </c>
      <c r="Y391" s="6" t="s">
        <v>143</v>
      </c>
    </row>
    <row r="392" spans="1:25">
      <c r="A392" s="171">
        <v>21</v>
      </c>
      <c r="B392" s="174">
        <v>45047</v>
      </c>
      <c r="C392" s="174">
        <v>45066</v>
      </c>
      <c r="D392" s="174">
        <v>45062</v>
      </c>
      <c r="E392" s="171">
        <v>2023</v>
      </c>
      <c r="F392" s="171">
        <v>5</v>
      </c>
      <c r="G392" s="171">
        <v>16</v>
      </c>
      <c r="H392" s="131"/>
      <c r="I392" s="176"/>
      <c r="J392" s="176"/>
      <c r="K392" s="171"/>
      <c r="L392" s="171" t="s">
        <v>52</v>
      </c>
      <c r="M392" s="171"/>
      <c r="N392" s="175">
        <v>0</v>
      </c>
      <c r="O392" s="171">
        <v>3</v>
      </c>
      <c r="P392" s="171">
        <v>0</v>
      </c>
      <c r="Q392" s="175">
        <v>0</v>
      </c>
      <c r="R392" s="6" t="s">
        <v>157</v>
      </c>
      <c r="S392" s="6" t="s">
        <v>205</v>
      </c>
      <c r="T392" s="6" t="s">
        <v>166</v>
      </c>
      <c r="U392" s="6" t="s">
        <v>169</v>
      </c>
      <c r="V392" s="6"/>
      <c r="W392" s="6"/>
      <c r="X392" s="6" t="s">
        <v>291</v>
      </c>
      <c r="Y392" s="6" t="s">
        <v>143</v>
      </c>
    </row>
    <row r="393" spans="1:25">
      <c r="A393" s="171">
        <v>21</v>
      </c>
      <c r="B393" s="174">
        <v>45047</v>
      </c>
      <c r="C393" s="174">
        <v>45063</v>
      </c>
      <c r="D393" s="174">
        <v>45062</v>
      </c>
      <c r="E393" s="171">
        <v>2023</v>
      </c>
      <c r="F393" s="171">
        <v>5</v>
      </c>
      <c r="G393" s="171">
        <v>16</v>
      </c>
      <c r="H393" s="131"/>
      <c r="I393" s="176"/>
      <c r="J393" s="176"/>
      <c r="K393" s="171"/>
      <c r="L393" s="171" t="s">
        <v>52</v>
      </c>
      <c r="M393" s="171">
        <v>6100</v>
      </c>
      <c r="N393" s="175">
        <v>0</v>
      </c>
      <c r="O393" s="171">
        <v>0</v>
      </c>
      <c r="P393" s="171">
        <v>0</v>
      </c>
      <c r="Q393" s="175">
        <v>0</v>
      </c>
      <c r="R393" s="6"/>
      <c r="S393" s="6"/>
      <c r="T393" s="6"/>
      <c r="U393" s="6"/>
      <c r="V393" s="6"/>
      <c r="W393" s="6"/>
      <c r="X393" s="6" t="s">
        <v>291</v>
      </c>
      <c r="Y393" s="6" t="s">
        <v>143</v>
      </c>
    </row>
    <row r="394" spans="1:25">
      <c r="A394" s="171">
        <v>21</v>
      </c>
      <c r="B394" s="174">
        <v>45047</v>
      </c>
      <c r="C394" s="174">
        <v>45063</v>
      </c>
      <c r="D394" s="174">
        <v>45062</v>
      </c>
      <c r="E394" s="171">
        <v>2023</v>
      </c>
      <c r="F394" s="171">
        <v>5</v>
      </c>
      <c r="G394" s="171">
        <v>16</v>
      </c>
      <c r="H394" s="131"/>
      <c r="I394" s="176"/>
      <c r="J394" s="176"/>
      <c r="K394" s="171"/>
      <c r="L394" s="171" t="s">
        <v>52</v>
      </c>
      <c r="M394" s="171">
        <v>6593</v>
      </c>
      <c r="N394" s="175">
        <v>93</v>
      </c>
      <c r="O394" s="171">
        <v>88</v>
      </c>
      <c r="P394" s="171">
        <v>91</v>
      </c>
      <c r="Q394" s="175">
        <v>2</v>
      </c>
      <c r="R394" s="6" t="s">
        <v>157</v>
      </c>
      <c r="S394" s="6" t="s">
        <v>158</v>
      </c>
      <c r="T394" s="6" t="s">
        <v>166</v>
      </c>
      <c r="U394" s="6" t="s">
        <v>167</v>
      </c>
      <c r="V394" s="6"/>
      <c r="W394" s="6"/>
      <c r="X394" s="6" t="s">
        <v>291</v>
      </c>
      <c r="Y394" s="6" t="s">
        <v>143</v>
      </c>
    </row>
    <row r="395" spans="1:25">
      <c r="A395" s="171">
        <v>21</v>
      </c>
      <c r="B395" s="174">
        <v>45047</v>
      </c>
      <c r="C395" s="174">
        <v>45063</v>
      </c>
      <c r="D395" s="174">
        <v>45062</v>
      </c>
      <c r="E395" s="171">
        <v>2023</v>
      </c>
      <c r="F395" s="171">
        <v>5</v>
      </c>
      <c r="G395" s="171">
        <v>16</v>
      </c>
      <c r="H395" s="131"/>
      <c r="I395" s="176"/>
      <c r="J395" s="176"/>
      <c r="K395" s="171"/>
      <c r="L395" s="171" t="s">
        <v>52</v>
      </c>
      <c r="M395" s="171"/>
      <c r="N395" s="175">
        <v>0</v>
      </c>
      <c r="O395" s="171">
        <v>3</v>
      </c>
      <c r="P395" s="171">
        <v>0</v>
      </c>
      <c r="Q395" s="175">
        <v>0</v>
      </c>
      <c r="R395" s="6" t="s">
        <v>157</v>
      </c>
      <c r="S395" s="6" t="s">
        <v>205</v>
      </c>
      <c r="T395" s="6" t="s">
        <v>166</v>
      </c>
      <c r="U395" s="6" t="s">
        <v>169</v>
      </c>
      <c r="V395" s="6"/>
      <c r="W395" s="6"/>
      <c r="X395" s="6" t="s">
        <v>291</v>
      </c>
      <c r="Y395" s="6" t="s">
        <v>143</v>
      </c>
    </row>
    <row r="396" spans="1:25">
      <c r="A396" s="171">
        <v>21</v>
      </c>
      <c r="B396" s="174">
        <v>45047</v>
      </c>
      <c r="C396" s="174">
        <v>45063</v>
      </c>
      <c r="D396" s="174">
        <v>45062</v>
      </c>
      <c r="E396" s="171">
        <v>2023</v>
      </c>
      <c r="F396" s="171">
        <v>5</v>
      </c>
      <c r="G396" s="171">
        <v>16</v>
      </c>
      <c r="H396" s="131"/>
      <c r="I396" s="176"/>
      <c r="J396" s="176"/>
      <c r="K396" s="171"/>
      <c r="L396" s="171" t="s">
        <v>52</v>
      </c>
      <c r="M396" s="171"/>
      <c r="N396" s="175">
        <v>0</v>
      </c>
      <c r="O396" s="171">
        <v>2</v>
      </c>
      <c r="P396" s="171">
        <v>0</v>
      </c>
      <c r="Q396" s="175">
        <v>0</v>
      </c>
      <c r="R396" s="6" t="s">
        <v>160</v>
      </c>
      <c r="S396" s="6" t="s">
        <v>161</v>
      </c>
      <c r="T396" s="6" t="s">
        <v>314</v>
      </c>
      <c r="U396" s="6" t="s">
        <v>168</v>
      </c>
      <c r="V396" s="6"/>
      <c r="W396" s="6"/>
      <c r="X396" s="6" t="s">
        <v>291</v>
      </c>
      <c r="Y396" s="6" t="s">
        <v>143</v>
      </c>
    </row>
    <row r="397" spans="1:25">
      <c r="A397" s="171">
        <v>21</v>
      </c>
      <c r="B397" s="174">
        <v>45047</v>
      </c>
      <c r="C397" s="174">
        <v>45066</v>
      </c>
      <c r="D397" s="174">
        <v>45062</v>
      </c>
      <c r="E397" s="171">
        <v>2023</v>
      </c>
      <c r="F397" s="171">
        <v>5</v>
      </c>
      <c r="G397" s="171">
        <v>16</v>
      </c>
      <c r="H397" s="131"/>
      <c r="I397" s="176"/>
      <c r="J397" s="176"/>
      <c r="K397" s="171"/>
      <c r="L397" s="171" t="s">
        <v>52</v>
      </c>
      <c r="M397" s="171"/>
      <c r="N397" s="175">
        <v>0</v>
      </c>
      <c r="O397" s="171">
        <v>2</v>
      </c>
      <c r="P397" s="171">
        <v>0</v>
      </c>
      <c r="Q397" s="175">
        <v>0</v>
      </c>
      <c r="R397" s="6" t="s">
        <v>160</v>
      </c>
      <c r="S397" s="6" t="s">
        <v>161</v>
      </c>
      <c r="T397" s="6" t="s">
        <v>314</v>
      </c>
      <c r="U397" s="6" t="s">
        <v>168</v>
      </c>
      <c r="V397" s="6"/>
      <c r="W397" s="6"/>
      <c r="X397" s="6" t="s">
        <v>291</v>
      </c>
      <c r="Y397" s="6" t="s">
        <v>143</v>
      </c>
    </row>
    <row r="398" spans="1:25">
      <c r="A398" s="171">
        <v>21</v>
      </c>
      <c r="B398" s="174">
        <v>45047</v>
      </c>
      <c r="C398" s="174">
        <v>45062</v>
      </c>
      <c r="D398" s="174">
        <v>45061</v>
      </c>
      <c r="E398" s="171">
        <v>2023</v>
      </c>
      <c r="F398" s="171">
        <v>5</v>
      </c>
      <c r="G398" s="171">
        <v>15</v>
      </c>
      <c r="H398" s="131"/>
      <c r="I398" s="176"/>
      <c r="J398" s="176"/>
      <c r="K398" s="171"/>
      <c r="L398" s="171" t="s">
        <v>56</v>
      </c>
      <c r="M398" s="171">
        <v>500</v>
      </c>
      <c r="N398" s="175">
        <v>0</v>
      </c>
      <c r="O398" s="171">
        <v>0</v>
      </c>
      <c r="P398" s="171">
        <v>0</v>
      </c>
      <c r="Q398" s="175">
        <v>0</v>
      </c>
      <c r="R398" s="6"/>
      <c r="S398" s="6"/>
      <c r="T398" s="6"/>
      <c r="U398" s="6"/>
      <c r="V398" s="6"/>
      <c r="W398" s="6"/>
      <c r="X398" s="6" t="s">
        <v>259</v>
      </c>
      <c r="Y398" s="6" t="s">
        <v>141</v>
      </c>
    </row>
    <row r="399" spans="1:25">
      <c r="A399" s="171">
        <v>21</v>
      </c>
      <c r="B399" s="174">
        <v>45047</v>
      </c>
      <c r="C399" s="174">
        <v>45062</v>
      </c>
      <c r="D399" s="174">
        <v>45061</v>
      </c>
      <c r="E399" s="171">
        <v>2023</v>
      </c>
      <c r="F399" s="171">
        <v>5</v>
      </c>
      <c r="G399" s="171">
        <v>15</v>
      </c>
      <c r="H399" s="131"/>
      <c r="I399" s="176"/>
      <c r="J399" s="176"/>
      <c r="K399" s="171"/>
      <c r="L399" s="171" t="s">
        <v>56</v>
      </c>
      <c r="M399" s="171">
        <v>800</v>
      </c>
      <c r="N399" s="175">
        <v>0</v>
      </c>
      <c r="O399" s="171">
        <v>0</v>
      </c>
      <c r="P399" s="171">
        <v>0</v>
      </c>
      <c r="Q399" s="175">
        <v>0</v>
      </c>
      <c r="R399" s="6"/>
      <c r="S399" s="6"/>
      <c r="T399" s="6"/>
      <c r="U399" s="6"/>
      <c r="V399" s="6"/>
      <c r="W399" s="6"/>
      <c r="X399" s="6" t="s">
        <v>259</v>
      </c>
      <c r="Y399" s="6" t="s">
        <v>141</v>
      </c>
    </row>
    <row r="400" spans="1:25">
      <c r="A400" s="171">
        <v>21</v>
      </c>
      <c r="B400" s="174">
        <v>45047</v>
      </c>
      <c r="C400" s="174">
        <v>45062</v>
      </c>
      <c r="D400" s="174">
        <v>45061</v>
      </c>
      <c r="E400" s="171">
        <v>2023</v>
      </c>
      <c r="F400" s="171">
        <v>5</v>
      </c>
      <c r="G400" s="171">
        <v>15</v>
      </c>
      <c r="H400" s="131"/>
      <c r="I400" s="176"/>
      <c r="J400" s="176"/>
      <c r="K400" s="171"/>
      <c r="L400" s="171" t="s">
        <v>56</v>
      </c>
      <c r="M400" s="171">
        <v>1800</v>
      </c>
      <c r="N400" s="175">
        <v>0</v>
      </c>
      <c r="O400" s="171">
        <v>0</v>
      </c>
      <c r="P400" s="171">
        <v>0</v>
      </c>
      <c r="Q400" s="175">
        <v>0</v>
      </c>
      <c r="R400" s="6"/>
      <c r="S400" s="6"/>
      <c r="T400" s="6"/>
      <c r="U400" s="6"/>
      <c r="V400" s="6"/>
      <c r="W400" s="6"/>
      <c r="X400" s="6" t="s">
        <v>259</v>
      </c>
      <c r="Y400" s="6" t="s">
        <v>141</v>
      </c>
    </row>
    <row r="401" spans="1:25">
      <c r="A401" s="171">
        <v>21</v>
      </c>
      <c r="B401" s="174">
        <v>45047</v>
      </c>
      <c r="C401" s="174">
        <v>45062</v>
      </c>
      <c r="D401" s="174">
        <v>45061</v>
      </c>
      <c r="E401" s="171">
        <v>2023</v>
      </c>
      <c r="F401" s="171">
        <v>5</v>
      </c>
      <c r="G401" s="171">
        <v>15</v>
      </c>
      <c r="H401" s="131"/>
      <c r="I401" s="176"/>
      <c r="J401" s="176"/>
      <c r="K401" s="171"/>
      <c r="L401" s="171" t="s">
        <v>56</v>
      </c>
      <c r="M401" s="171">
        <v>1100</v>
      </c>
      <c r="N401" s="175">
        <v>0</v>
      </c>
      <c r="O401" s="171">
        <v>0</v>
      </c>
      <c r="P401" s="171">
        <v>0</v>
      </c>
      <c r="Q401" s="175">
        <v>0</v>
      </c>
      <c r="R401" s="6"/>
      <c r="S401" s="6"/>
      <c r="T401" s="6"/>
      <c r="U401" s="6"/>
      <c r="V401" s="6"/>
      <c r="W401" s="6"/>
      <c r="X401" s="6" t="s">
        <v>259</v>
      </c>
      <c r="Y401" s="6" t="s">
        <v>141</v>
      </c>
    </row>
    <row r="402" spans="1:25">
      <c r="A402" s="171">
        <v>21</v>
      </c>
      <c r="B402" s="174">
        <v>45047</v>
      </c>
      <c r="C402" s="174">
        <v>45062</v>
      </c>
      <c r="D402" s="174">
        <v>45061</v>
      </c>
      <c r="E402" s="171">
        <v>2023</v>
      </c>
      <c r="F402" s="171">
        <v>5</v>
      </c>
      <c r="G402" s="171">
        <v>15</v>
      </c>
      <c r="H402" s="131"/>
      <c r="I402" s="176"/>
      <c r="J402" s="176"/>
      <c r="K402" s="171"/>
      <c r="L402" s="171" t="s">
        <v>56</v>
      </c>
      <c r="M402" s="171">
        <v>4000</v>
      </c>
      <c r="N402" s="175">
        <v>0</v>
      </c>
      <c r="O402" s="171">
        <v>0</v>
      </c>
      <c r="P402" s="171">
        <v>0</v>
      </c>
      <c r="Q402" s="175">
        <v>0</v>
      </c>
      <c r="R402" s="6"/>
      <c r="S402" s="6"/>
      <c r="T402" s="6"/>
      <c r="U402" s="6"/>
      <c r="V402" s="6"/>
      <c r="W402" s="6"/>
      <c r="X402" s="6" t="s">
        <v>259</v>
      </c>
      <c r="Y402" s="6" t="s">
        <v>141</v>
      </c>
    </row>
    <row r="403" spans="1:25">
      <c r="A403" s="171">
        <v>21</v>
      </c>
      <c r="B403" s="174">
        <v>45047</v>
      </c>
      <c r="C403" s="174">
        <v>45066</v>
      </c>
      <c r="D403" s="174">
        <v>45065</v>
      </c>
      <c r="E403" s="171">
        <v>2023</v>
      </c>
      <c r="F403" s="171">
        <v>5</v>
      </c>
      <c r="G403" s="171">
        <v>19</v>
      </c>
      <c r="H403" s="131"/>
      <c r="I403" s="176"/>
      <c r="J403" s="176"/>
      <c r="K403" s="171"/>
      <c r="L403" s="171" t="s">
        <v>56</v>
      </c>
      <c r="M403" s="171">
        <v>1500</v>
      </c>
      <c r="N403" s="175">
        <v>0</v>
      </c>
      <c r="O403" s="171">
        <v>0</v>
      </c>
      <c r="P403" s="171">
        <v>0</v>
      </c>
      <c r="Q403" s="175">
        <v>0</v>
      </c>
      <c r="R403" s="6"/>
      <c r="S403" s="6"/>
      <c r="T403" s="6"/>
      <c r="U403" s="6"/>
      <c r="V403" s="6"/>
      <c r="W403" s="6"/>
      <c r="X403" s="6" t="s">
        <v>259</v>
      </c>
      <c r="Y403" s="6" t="s">
        <v>141</v>
      </c>
    </row>
    <row r="404" spans="1:25">
      <c r="A404" s="171">
        <v>21</v>
      </c>
      <c r="B404" s="174">
        <v>45047</v>
      </c>
      <c r="C404" s="174">
        <v>45068</v>
      </c>
      <c r="D404" s="174">
        <v>45066</v>
      </c>
      <c r="E404" s="171">
        <v>2023</v>
      </c>
      <c r="F404" s="171">
        <v>5</v>
      </c>
      <c r="G404" s="171">
        <v>20</v>
      </c>
      <c r="H404" s="131"/>
      <c r="I404" s="176"/>
      <c r="J404" s="176"/>
      <c r="K404" s="171"/>
      <c r="L404" s="171" t="s">
        <v>56</v>
      </c>
      <c r="M404" s="171">
        <v>1700</v>
      </c>
      <c r="N404" s="175">
        <v>0</v>
      </c>
      <c r="O404" s="171">
        <v>0</v>
      </c>
      <c r="P404" s="171">
        <v>0</v>
      </c>
      <c r="Q404" s="175">
        <v>0</v>
      </c>
      <c r="R404" s="6"/>
      <c r="S404" s="6"/>
      <c r="T404" s="6"/>
      <c r="U404" s="6"/>
      <c r="V404" s="6"/>
      <c r="W404" s="6"/>
      <c r="X404" s="6" t="s">
        <v>259</v>
      </c>
      <c r="Y404" s="6" t="s">
        <v>141</v>
      </c>
    </row>
    <row r="405" spans="1:25">
      <c r="A405" s="171">
        <v>21</v>
      </c>
      <c r="B405" s="174">
        <v>45047</v>
      </c>
      <c r="C405" s="174">
        <v>45068</v>
      </c>
      <c r="D405" s="174">
        <v>45066</v>
      </c>
      <c r="E405" s="171">
        <v>2023</v>
      </c>
      <c r="F405" s="171">
        <v>5</v>
      </c>
      <c r="G405" s="171">
        <v>20</v>
      </c>
      <c r="H405" s="131"/>
      <c r="I405" s="176"/>
      <c r="J405" s="176"/>
      <c r="K405" s="171"/>
      <c r="L405" s="171" t="s">
        <v>52</v>
      </c>
      <c r="M405" s="171">
        <v>30010</v>
      </c>
      <c r="N405" s="175">
        <v>10</v>
      </c>
      <c r="O405" s="171">
        <v>1</v>
      </c>
      <c r="P405" s="171">
        <v>1</v>
      </c>
      <c r="Q405" s="175">
        <v>9</v>
      </c>
      <c r="R405" s="6" t="s">
        <v>157</v>
      </c>
      <c r="S405" s="6" t="s">
        <v>205</v>
      </c>
      <c r="T405" s="6" t="s">
        <v>166</v>
      </c>
      <c r="U405" s="6" t="s">
        <v>169</v>
      </c>
      <c r="V405" s="6"/>
      <c r="W405" s="6"/>
      <c r="X405" s="6" t="s">
        <v>291</v>
      </c>
      <c r="Y405" s="6" t="s">
        <v>143</v>
      </c>
    </row>
    <row r="406" spans="1:25">
      <c r="A406" s="171">
        <v>21</v>
      </c>
      <c r="B406" s="174">
        <v>45047</v>
      </c>
      <c r="C406" s="174">
        <v>45066</v>
      </c>
      <c r="D406" s="174">
        <v>45065</v>
      </c>
      <c r="E406" s="171">
        <v>2023</v>
      </c>
      <c r="F406" s="171">
        <v>5</v>
      </c>
      <c r="G406" s="171">
        <v>19</v>
      </c>
      <c r="H406" s="131"/>
      <c r="I406" s="176"/>
      <c r="J406" s="176"/>
      <c r="K406" s="171"/>
      <c r="L406" s="171" t="s">
        <v>52</v>
      </c>
      <c r="M406" s="171">
        <v>10000</v>
      </c>
      <c r="N406" s="175">
        <v>0</v>
      </c>
      <c r="O406" s="171">
        <v>0</v>
      </c>
      <c r="P406" s="171">
        <v>0</v>
      </c>
      <c r="Q406" s="175">
        <v>0</v>
      </c>
      <c r="R406" s="6"/>
      <c r="S406" s="6"/>
      <c r="T406" s="6"/>
      <c r="U406" s="6"/>
      <c r="V406" s="6"/>
      <c r="W406" s="6"/>
      <c r="X406" s="6" t="s">
        <v>291</v>
      </c>
      <c r="Y406" s="6" t="s">
        <v>143</v>
      </c>
    </row>
    <row r="407" spans="1:25">
      <c r="A407" s="171">
        <v>21</v>
      </c>
      <c r="B407" s="174">
        <v>45047</v>
      </c>
      <c r="C407" s="174">
        <v>45066</v>
      </c>
      <c r="D407" s="174">
        <v>45065</v>
      </c>
      <c r="E407" s="171">
        <v>2023</v>
      </c>
      <c r="F407" s="171">
        <v>5</v>
      </c>
      <c r="G407" s="171">
        <v>19</v>
      </c>
      <c r="H407" s="131"/>
      <c r="I407" s="176"/>
      <c r="J407" s="176"/>
      <c r="K407" s="171"/>
      <c r="L407" s="171" t="s">
        <v>52</v>
      </c>
      <c r="M407" s="171">
        <v>2500</v>
      </c>
      <c r="N407" s="175">
        <v>0</v>
      </c>
      <c r="O407" s="171">
        <v>0</v>
      </c>
      <c r="P407" s="171">
        <v>0</v>
      </c>
      <c r="Q407" s="175">
        <v>0</v>
      </c>
      <c r="R407" s="6"/>
      <c r="S407" s="6"/>
      <c r="T407" s="6"/>
      <c r="U407" s="6"/>
      <c r="V407" s="6"/>
      <c r="W407" s="6"/>
      <c r="X407" s="6" t="s">
        <v>291</v>
      </c>
      <c r="Y407" s="6" t="s">
        <v>143</v>
      </c>
    </row>
    <row r="408" spans="1:25">
      <c r="A408" s="171">
        <v>21</v>
      </c>
      <c r="B408" s="174">
        <v>45047</v>
      </c>
      <c r="C408" s="174">
        <v>45068</v>
      </c>
      <c r="D408" s="174">
        <v>45066</v>
      </c>
      <c r="E408" s="171">
        <v>2023</v>
      </c>
      <c r="F408" s="171">
        <v>5</v>
      </c>
      <c r="G408" s="171">
        <v>20</v>
      </c>
      <c r="H408" s="131"/>
      <c r="I408" s="176"/>
      <c r="J408" s="176"/>
      <c r="K408" s="171"/>
      <c r="L408" s="171" t="s">
        <v>52</v>
      </c>
      <c r="M408" s="171"/>
      <c r="N408" s="175">
        <v>0</v>
      </c>
      <c r="O408" s="171">
        <v>9</v>
      </c>
      <c r="P408" s="171">
        <v>0</v>
      </c>
      <c r="Q408" s="175">
        <v>0</v>
      </c>
      <c r="R408" s="6" t="s">
        <v>160</v>
      </c>
      <c r="S408" s="6" t="s">
        <v>161</v>
      </c>
      <c r="T408" s="6" t="s">
        <v>314</v>
      </c>
      <c r="U408" s="6" t="s">
        <v>168</v>
      </c>
      <c r="V408" s="6"/>
      <c r="W408" s="6"/>
      <c r="X408" s="6" t="s">
        <v>291</v>
      </c>
      <c r="Y408" s="6" t="s">
        <v>143</v>
      </c>
    </row>
    <row r="409" spans="1:25">
      <c r="A409" s="171">
        <v>21</v>
      </c>
      <c r="B409" s="174">
        <v>45047</v>
      </c>
      <c r="C409" s="174">
        <v>45064</v>
      </c>
      <c r="D409" s="174">
        <v>45063</v>
      </c>
      <c r="E409" s="171">
        <v>2023</v>
      </c>
      <c r="F409" s="171">
        <v>5</v>
      </c>
      <c r="G409" s="171">
        <v>17</v>
      </c>
      <c r="H409" s="131"/>
      <c r="I409" s="176"/>
      <c r="J409" s="176"/>
      <c r="K409" s="171"/>
      <c r="L409" s="171" t="s">
        <v>56</v>
      </c>
      <c r="M409" s="171">
        <v>3000</v>
      </c>
      <c r="N409" s="175">
        <v>0</v>
      </c>
      <c r="O409" s="171">
        <v>0</v>
      </c>
      <c r="P409" s="171">
        <v>0</v>
      </c>
      <c r="Q409" s="175">
        <v>0</v>
      </c>
      <c r="R409" s="6"/>
      <c r="S409" s="6"/>
      <c r="T409" s="6"/>
      <c r="U409" s="6"/>
      <c r="V409" s="6"/>
      <c r="W409" s="6"/>
      <c r="X409" s="6" t="s">
        <v>259</v>
      </c>
      <c r="Y409" s="6" t="s">
        <v>141</v>
      </c>
    </row>
    <row r="410" spans="1:25">
      <c r="A410" s="171">
        <v>21</v>
      </c>
      <c r="B410" s="174">
        <v>45047</v>
      </c>
      <c r="C410" s="174">
        <v>45068</v>
      </c>
      <c r="D410" s="174">
        <v>45066</v>
      </c>
      <c r="E410" s="171">
        <v>2023</v>
      </c>
      <c r="F410" s="171">
        <v>5</v>
      </c>
      <c r="G410" s="171">
        <v>20</v>
      </c>
      <c r="H410" s="131"/>
      <c r="I410" s="176"/>
      <c r="J410" s="176"/>
      <c r="K410" s="171"/>
      <c r="L410" s="171" t="s">
        <v>52</v>
      </c>
      <c r="M410" s="171">
        <v>8000</v>
      </c>
      <c r="N410" s="175">
        <v>0</v>
      </c>
      <c r="O410" s="171">
        <v>0</v>
      </c>
      <c r="P410" s="171">
        <v>0</v>
      </c>
      <c r="Q410" s="175">
        <v>0</v>
      </c>
      <c r="R410" s="6"/>
      <c r="S410" s="6"/>
      <c r="T410" s="6"/>
      <c r="U410" s="6"/>
      <c r="V410" s="6"/>
      <c r="W410" s="6"/>
      <c r="X410" s="6" t="s">
        <v>291</v>
      </c>
      <c r="Y410" s="6" t="s">
        <v>143</v>
      </c>
    </row>
    <row r="411" spans="1:25">
      <c r="A411" s="171">
        <v>21</v>
      </c>
      <c r="B411" s="174">
        <v>45047</v>
      </c>
      <c r="C411" s="174">
        <v>45068</v>
      </c>
      <c r="D411" s="174">
        <v>45066</v>
      </c>
      <c r="E411" s="171">
        <v>2023</v>
      </c>
      <c r="F411" s="171">
        <v>5</v>
      </c>
      <c r="G411" s="171">
        <v>20</v>
      </c>
      <c r="H411" s="131"/>
      <c r="I411" s="176"/>
      <c r="J411" s="176"/>
      <c r="K411" s="171"/>
      <c r="L411" s="171" t="s">
        <v>52</v>
      </c>
      <c r="M411" s="171">
        <v>7003</v>
      </c>
      <c r="N411" s="175">
        <v>3</v>
      </c>
      <c r="O411" s="171">
        <v>3</v>
      </c>
      <c r="P411" s="171">
        <v>0</v>
      </c>
      <c r="Q411" s="175">
        <v>3</v>
      </c>
      <c r="R411" s="6" t="s">
        <v>160</v>
      </c>
      <c r="S411" s="6" t="s">
        <v>161</v>
      </c>
      <c r="T411" s="6" t="s">
        <v>314</v>
      </c>
      <c r="U411" s="6" t="s">
        <v>168</v>
      </c>
      <c r="V411" s="6"/>
      <c r="W411" s="6"/>
      <c r="X411" s="6" t="s">
        <v>291</v>
      </c>
      <c r="Y411" s="6" t="s">
        <v>143</v>
      </c>
    </row>
    <row r="412" spans="1:25">
      <c r="A412" s="171">
        <v>21</v>
      </c>
      <c r="B412" s="174">
        <v>45047</v>
      </c>
      <c r="C412" s="174">
        <v>45066</v>
      </c>
      <c r="D412" s="174">
        <v>45065</v>
      </c>
      <c r="E412" s="171">
        <v>2023</v>
      </c>
      <c r="F412" s="171">
        <v>5</v>
      </c>
      <c r="G412" s="171">
        <v>19</v>
      </c>
      <c r="H412" s="131"/>
      <c r="I412" s="176"/>
      <c r="J412" s="176"/>
      <c r="K412" s="171"/>
      <c r="L412" s="171" t="s">
        <v>52</v>
      </c>
      <c r="M412" s="171">
        <v>30000</v>
      </c>
      <c r="N412" s="175">
        <v>0</v>
      </c>
      <c r="O412" s="171">
        <v>0</v>
      </c>
      <c r="P412" s="171">
        <v>0</v>
      </c>
      <c r="Q412" s="175">
        <v>0</v>
      </c>
      <c r="R412" s="6"/>
      <c r="S412" s="6"/>
      <c r="T412" s="6"/>
      <c r="U412" s="6"/>
      <c r="V412" s="6"/>
      <c r="W412" s="6"/>
      <c r="X412" s="6" t="s">
        <v>291</v>
      </c>
      <c r="Y412" s="6" t="s">
        <v>143</v>
      </c>
    </row>
    <row r="413" spans="1:25">
      <c r="A413" s="171">
        <v>21</v>
      </c>
      <c r="B413" s="174">
        <v>45047</v>
      </c>
      <c r="C413" s="174">
        <v>45063</v>
      </c>
      <c r="D413" s="174">
        <v>45062</v>
      </c>
      <c r="E413" s="171">
        <v>2023</v>
      </c>
      <c r="F413" s="171">
        <v>5</v>
      </c>
      <c r="G413" s="171">
        <v>16</v>
      </c>
      <c r="H413" s="131"/>
      <c r="I413" s="176"/>
      <c r="J413" s="176"/>
      <c r="K413" s="171"/>
      <c r="L413" s="171" t="s">
        <v>52</v>
      </c>
      <c r="M413" s="171">
        <v>40000</v>
      </c>
      <c r="N413" s="175">
        <v>0</v>
      </c>
      <c r="O413" s="171">
        <v>0</v>
      </c>
      <c r="P413" s="171">
        <v>0</v>
      </c>
      <c r="Q413" s="175">
        <v>0</v>
      </c>
      <c r="R413" s="6"/>
      <c r="S413" s="6"/>
      <c r="T413" s="6"/>
      <c r="U413" s="6"/>
      <c r="V413" s="6"/>
      <c r="W413" s="6"/>
      <c r="X413" s="6" t="s">
        <v>291</v>
      </c>
      <c r="Y413" s="6" t="s">
        <v>143</v>
      </c>
    </row>
    <row r="414" spans="1:25">
      <c r="A414" s="171">
        <v>21</v>
      </c>
      <c r="B414" s="174">
        <v>45047</v>
      </c>
      <c r="C414" s="174">
        <v>45062</v>
      </c>
      <c r="D414" s="174">
        <v>45061</v>
      </c>
      <c r="E414" s="171">
        <v>2023</v>
      </c>
      <c r="F414" s="171">
        <v>5</v>
      </c>
      <c r="G414" s="171">
        <v>15</v>
      </c>
      <c r="H414" s="131"/>
      <c r="I414" s="176"/>
      <c r="J414" s="176"/>
      <c r="K414" s="171"/>
      <c r="L414" s="171" t="s">
        <v>52</v>
      </c>
      <c r="M414" s="171">
        <v>35000</v>
      </c>
      <c r="N414" s="175">
        <v>0</v>
      </c>
      <c r="O414" s="171">
        <v>0</v>
      </c>
      <c r="P414" s="171">
        <v>0</v>
      </c>
      <c r="Q414" s="175">
        <v>0</v>
      </c>
      <c r="R414" s="6"/>
      <c r="S414" s="6"/>
      <c r="T414" s="6"/>
      <c r="U414" s="6"/>
      <c r="V414" s="6"/>
      <c r="W414" s="6"/>
      <c r="X414" s="6" t="s">
        <v>291</v>
      </c>
      <c r="Y414" s="6" t="s">
        <v>143</v>
      </c>
    </row>
    <row r="415" spans="1:25">
      <c r="A415" s="171">
        <v>21</v>
      </c>
      <c r="B415" s="174">
        <v>45047</v>
      </c>
      <c r="C415" s="174">
        <v>45062</v>
      </c>
      <c r="D415" s="174">
        <v>45061</v>
      </c>
      <c r="E415" s="171">
        <v>2023</v>
      </c>
      <c r="F415" s="171">
        <v>5</v>
      </c>
      <c r="G415" s="171">
        <v>15</v>
      </c>
      <c r="H415" s="131"/>
      <c r="I415" s="176"/>
      <c r="J415" s="176"/>
      <c r="K415" s="171"/>
      <c r="L415" s="171" t="s">
        <v>52</v>
      </c>
      <c r="M415" s="171">
        <v>8000</v>
      </c>
      <c r="N415" s="175">
        <v>0</v>
      </c>
      <c r="O415" s="171">
        <v>0</v>
      </c>
      <c r="P415" s="171">
        <v>0</v>
      </c>
      <c r="Q415" s="175">
        <v>0</v>
      </c>
      <c r="R415" s="6"/>
      <c r="S415" s="6"/>
      <c r="T415" s="6"/>
      <c r="U415" s="6"/>
      <c r="V415" s="6"/>
      <c r="W415" s="6"/>
      <c r="X415" s="6" t="s">
        <v>291</v>
      </c>
      <c r="Y415" s="6" t="s">
        <v>143</v>
      </c>
    </row>
    <row r="416" spans="1:25">
      <c r="A416" s="171">
        <v>21</v>
      </c>
      <c r="B416" s="174">
        <v>45047</v>
      </c>
      <c r="C416" s="174">
        <v>45064</v>
      </c>
      <c r="D416" s="174">
        <v>45063</v>
      </c>
      <c r="E416" s="171">
        <v>2023</v>
      </c>
      <c r="F416" s="171">
        <v>5</v>
      </c>
      <c r="G416" s="171">
        <v>17</v>
      </c>
      <c r="H416" s="131"/>
      <c r="I416" s="176"/>
      <c r="J416" s="176"/>
      <c r="K416" s="171"/>
      <c r="L416" s="171" t="s">
        <v>52</v>
      </c>
      <c r="M416" s="171">
        <v>20007</v>
      </c>
      <c r="N416" s="175">
        <v>7</v>
      </c>
      <c r="O416" s="171">
        <v>7</v>
      </c>
      <c r="P416" s="171">
        <v>7</v>
      </c>
      <c r="Q416" s="175">
        <v>0</v>
      </c>
      <c r="R416" s="6" t="s">
        <v>157</v>
      </c>
      <c r="S416" s="6" t="s">
        <v>158</v>
      </c>
      <c r="T416" s="6" t="s">
        <v>166</v>
      </c>
      <c r="U416" s="6" t="s">
        <v>167</v>
      </c>
      <c r="V416" s="6"/>
      <c r="W416" s="6"/>
      <c r="X416" s="6" t="s">
        <v>291</v>
      </c>
      <c r="Y416" s="6" t="s">
        <v>143</v>
      </c>
    </row>
    <row r="417" spans="1:25">
      <c r="A417" s="171">
        <v>21</v>
      </c>
      <c r="B417" s="174">
        <v>45047</v>
      </c>
      <c r="C417" s="174">
        <v>45065</v>
      </c>
      <c r="D417" s="174">
        <v>45064</v>
      </c>
      <c r="E417" s="171">
        <v>2023</v>
      </c>
      <c r="F417" s="171">
        <v>5</v>
      </c>
      <c r="G417" s="171">
        <v>18</v>
      </c>
      <c r="H417" s="131"/>
      <c r="I417" s="176"/>
      <c r="J417" s="176"/>
      <c r="K417" s="171"/>
      <c r="L417" s="171" t="s">
        <v>52</v>
      </c>
      <c r="M417" s="171">
        <v>20000</v>
      </c>
      <c r="N417" s="175">
        <v>0</v>
      </c>
      <c r="O417" s="171">
        <v>0</v>
      </c>
      <c r="P417" s="171">
        <v>0</v>
      </c>
      <c r="Q417" s="175">
        <v>0</v>
      </c>
      <c r="R417" s="6"/>
      <c r="S417" s="6"/>
      <c r="T417" s="6"/>
      <c r="U417" s="6"/>
      <c r="V417" s="6"/>
      <c r="W417" s="6"/>
      <c r="X417" s="6" t="s">
        <v>291</v>
      </c>
      <c r="Y417" s="6" t="s">
        <v>143</v>
      </c>
    </row>
    <row r="418" spans="1:25">
      <c r="A418" s="171">
        <v>21</v>
      </c>
      <c r="B418" s="174">
        <v>45047</v>
      </c>
      <c r="C418" s="174">
        <v>45065</v>
      </c>
      <c r="D418" s="174">
        <v>45064</v>
      </c>
      <c r="E418" s="171">
        <v>2023</v>
      </c>
      <c r="F418" s="171">
        <v>5</v>
      </c>
      <c r="G418" s="171">
        <v>18</v>
      </c>
      <c r="H418" s="131"/>
      <c r="I418" s="176"/>
      <c r="J418" s="176"/>
      <c r="K418" s="171"/>
      <c r="L418" s="171" t="s">
        <v>52</v>
      </c>
      <c r="M418" s="171">
        <v>10000</v>
      </c>
      <c r="N418" s="175">
        <v>0</v>
      </c>
      <c r="O418" s="171">
        <v>0</v>
      </c>
      <c r="P418" s="171">
        <v>0</v>
      </c>
      <c r="Q418" s="175">
        <v>0</v>
      </c>
      <c r="R418" s="6"/>
      <c r="S418" s="6"/>
      <c r="T418" s="6"/>
      <c r="U418" s="6"/>
      <c r="V418" s="6"/>
      <c r="W418" s="6"/>
      <c r="X418" s="6" t="s">
        <v>291</v>
      </c>
      <c r="Y418" s="6" t="s">
        <v>143</v>
      </c>
    </row>
    <row r="419" spans="1:25">
      <c r="A419" s="171">
        <v>21</v>
      </c>
      <c r="B419" s="174">
        <v>45047</v>
      </c>
      <c r="C419" s="174">
        <v>45064</v>
      </c>
      <c r="D419" s="174">
        <v>45063</v>
      </c>
      <c r="E419" s="171">
        <v>2023</v>
      </c>
      <c r="F419" s="171">
        <v>5</v>
      </c>
      <c r="G419" s="171">
        <v>17</v>
      </c>
      <c r="H419" s="131"/>
      <c r="I419" s="176"/>
      <c r="J419" s="176"/>
      <c r="K419" s="171"/>
      <c r="L419" s="171" t="s">
        <v>52</v>
      </c>
      <c r="M419" s="171">
        <v>10000</v>
      </c>
      <c r="N419" s="175">
        <v>0</v>
      </c>
      <c r="O419" s="171">
        <v>0</v>
      </c>
      <c r="P419" s="171">
        <v>0</v>
      </c>
      <c r="Q419" s="175">
        <v>0</v>
      </c>
      <c r="R419" s="6"/>
      <c r="S419" s="6"/>
      <c r="T419" s="6"/>
      <c r="U419" s="6"/>
      <c r="V419" s="6"/>
      <c r="W419" s="6"/>
      <c r="X419" s="6" t="s">
        <v>291</v>
      </c>
      <c r="Y419" s="6" t="s">
        <v>143</v>
      </c>
    </row>
    <row r="420" spans="1:25">
      <c r="A420" s="171">
        <v>21</v>
      </c>
      <c r="B420" s="174">
        <v>45047</v>
      </c>
      <c r="C420" s="174">
        <v>45068</v>
      </c>
      <c r="D420" s="174">
        <v>45066</v>
      </c>
      <c r="E420" s="171">
        <v>2023</v>
      </c>
      <c r="F420" s="171">
        <v>5</v>
      </c>
      <c r="G420" s="171">
        <v>20</v>
      </c>
      <c r="H420" s="131"/>
      <c r="I420" s="176"/>
      <c r="J420" s="176"/>
      <c r="K420" s="171"/>
      <c r="L420" s="171" t="s">
        <v>52</v>
      </c>
      <c r="M420" s="171">
        <v>8400</v>
      </c>
      <c r="N420" s="175">
        <v>0</v>
      </c>
      <c r="O420" s="171">
        <v>0</v>
      </c>
      <c r="P420" s="171">
        <v>0</v>
      </c>
      <c r="Q420" s="175">
        <v>0</v>
      </c>
      <c r="R420" s="6"/>
      <c r="S420" s="6"/>
      <c r="T420" s="6"/>
      <c r="U420" s="6"/>
      <c r="V420" s="6"/>
      <c r="W420" s="6"/>
      <c r="X420" s="6" t="s">
        <v>291</v>
      </c>
      <c r="Y420" s="6" t="s">
        <v>143</v>
      </c>
    </row>
    <row r="421" spans="1:25">
      <c r="A421" s="171">
        <v>21</v>
      </c>
      <c r="B421" s="174">
        <v>45047</v>
      </c>
      <c r="C421" s="174">
        <v>45066</v>
      </c>
      <c r="D421" s="174">
        <v>45065</v>
      </c>
      <c r="E421" s="171">
        <v>2023</v>
      </c>
      <c r="F421" s="171">
        <v>5</v>
      </c>
      <c r="G421" s="171">
        <v>19</v>
      </c>
      <c r="H421" s="131"/>
      <c r="I421" s="176"/>
      <c r="J421" s="176"/>
      <c r="K421" s="171"/>
      <c r="L421" s="171" t="s">
        <v>52</v>
      </c>
      <c r="M421" s="171"/>
      <c r="N421" s="175">
        <v>0</v>
      </c>
      <c r="O421" s="171">
        <v>3</v>
      </c>
      <c r="P421" s="171">
        <v>0</v>
      </c>
      <c r="Q421" s="175">
        <v>0</v>
      </c>
      <c r="R421" s="6" t="s">
        <v>160</v>
      </c>
      <c r="S421" s="6" t="s">
        <v>161</v>
      </c>
      <c r="T421" s="6" t="s">
        <v>253</v>
      </c>
      <c r="U421" s="6" t="s">
        <v>233</v>
      </c>
      <c r="V421" s="6" t="s">
        <v>358</v>
      </c>
      <c r="W421" s="6"/>
      <c r="X421" s="6" t="s">
        <v>291</v>
      </c>
      <c r="Y421" s="6" t="s">
        <v>143</v>
      </c>
    </row>
    <row r="422" spans="1:25">
      <c r="A422" s="171">
        <v>21</v>
      </c>
      <c r="B422" s="174">
        <v>45047</v>
      </c>
      <c r="C422" s="174">
        <v>45066</v>
      </c>
      <c r="D422" s="174">
        <v>45065</v>
      </c>
      <c r="E422" s="171">
        <v>2023</v>
      </c>
      <c r="F422" s="171">
        <v>5</v>
      </c>
      <c r="G422" s="171">
        <v>19</v>
      </c>
      <c r="H422" s="131"/>
      <c r="I422" s="176"/>
      <c r="J422" s="176"/>
      <c r="K422" s="171"/>
      <c r="L422" s="171" t="s">
        <v>52</v>
      </c>
      <c r="M422" s="171">
        <v>9903</v>
      </c>
      <c r="N422" s="175">
        <v>4</v>
      </c>
      <c r="O422" s="171">
        <v>1</v>
      </c>
      <c r="P422" s="171">
        <v>1</v>
      </c>
      <c r="Q422" s="175">
        <v>3</v>
      </c>
      <c r="R422" s="6" t="s">
        <v>157</v>
      </c>
      <c r="S422" s="6" t="s">
        <v>161</v>
      </c>
      <c r="T422" s="6" t="s">
        <v>166</v>
      </c>
      <c r="U422" s="6" t="s">
        <v>170</v>
      </c>
      <c r="V422" s="6" t="s">
        <v>323</v>
      </c>
      <c r="W422" s="6"/>
      <c r="X422" s="6" t="s">
        <v>291</v>
      </c>
      <c r="Y422" s="6" t="s">
        <v>143</v>
      </c>
    </row>
    <row r="423" spans="1:25">
      <c r="A423" s="171">
        <v>21</v>
      </c>
      <c r="B423" s="174">
        <v>45047</v>
      </c>
      <c r="C423" s="174">
        <v>45066</v>
      </c>
      <c r="D423" s="174">
        <v>45065</v>
      </c>
      <c r="E423" s="171">
        <v>2023</v>
      </c>
      <c r="F423" s="171">
        <v>5</v>
      </c>
      <c r="G423" s="171">
        <v>19</v>
      </c>
      <c r="H423" s="131"/>
      <c r="I423" s="176"/>
      <c r="J423" s="176"/>
      <c r="K423" s="171"/>
      <c r="L423" s="171" t="s">
        <v>56</v>
      </c>
      <c r="M423" s="171">
        <v>3400</v>
      </c>
      <c r="N423" s="175">
        <v>0</v>
      </c>
      <c r="O423" s="171">
        <v>0</v>
      </c>
      <c r="P423" s="171">
        <v>0</v>
      </c>
      <c r="Q423" s="175">
        <v>0</v>
      </c>
      <c r="R423" s="6"/>
      <c r="S423" s="6"/>
      <c r="T423" s="6"/>
      <c r="U423" s="6"/>
      <c r="V423" s="6"/>
      <c r="W423" s="6"/>
      <c r="X423" s="6" t="s">
        <v>259</v>
      </c>
      <c r="Y423" s="6" t="s">
        <v>141</v>
      </c>
    </row>
    <row r="424" spans="1:25">
      <c r="A424" s="171">
        <v>21</v>
      </c>
      <c r="B424" s="174">
        <v>45047</v>
      </c>
      <c r="C424" s="174">
        <v>45066</v>
      </c>
      <c r="D424" s="174">
        <v>45065</v>
      </c>
      <c r="E424" s="171">
        <v>2023</v>
      </c>
      <c r="F424" s="171">
        <v>5</v>
      </c>
      <c r="G424" s="171">
        <v>19</v>
      </c>
      <c r="H424" s="131"/>
      <c r="I424" s="176"/>
      <c r="J424" s="176"/>
      <c r="K424" s="171"/>
      <c r="L424" s="171" t="s">
        <v>56</v>
      </c>
      <c r="M424" s="171">
        <v>675</v>
      </c>
      <c r="N424" s="175">
        <v>0</v>
      </c>
      <c r="O424" s="171">
        <v>0</v>
      </c>
      <c r="P424" s="171">
        <v>0</v>
      </c>
      <c r="Q424" s="175">
        <v>0</v>
      </c>
      <c r="R424" s="6"/>
      <c r="S424" s="6"/>
      <c r="T424" s="6"/>
      <c r="U424" s="6"/>
      <c r="V424" s="6"/>
      <c r="W424" s="6"/>
      <c r="X424" s="6" t="s">
        <v>259</v>
      </c>
      <c r="Y424" s="6" t="s">
        <v>141</v>
      </c>
    </row>
    <row r="425" spans="1:25">
      <c r="A425" s="171">
        <v>21</v>
      </c>
      <c r="B425" s="174">
        <v>45047</v>
      </c>
      <c r="C425" s="174">
        <v>45066</v>
      </c>
      <c r="D425" s="174">
        <v>45065</v>
      </c>
      <c r="E425" s="171">
        <v>2023</v>
      </c>
      <c r="F425" s="171">
        <v>5</v>
      </c>
      <c r="G425" s="171">
        <v>19</v>
      </c>
      <c r="H425" s="131"/>
      <c r="I425" s="176"/>
      <c r="J425" s="176"/>
      <c r="K425" s="171"/>
      <c r="L425" s="171" t="s">
        <v>56</v>
      </c>
      <c r="M425" s="171">
        <v>840</v>
      </c>
      <c r="N425" s="175">
        <v>0</v>
      </c>
      <c r="O425" s="171">
        <v>0</v>
      </c>
      <c r="P425" s="171">
        <v>0</v>
      </c>
      <c r="Q425" s="175">
        <v>0</v>
      </c>
      <c r="R425" s="6"/>
      <c r="S425" s="6"/>
      <c r="T425" s="6"/>
      <c r="U425" s="6"/>
      <c r="V425" s="6"/>
      <c r="W425" s="6"/>
      <c r="X425" s="6" t="s">
        <v>259</v>
      </c>
      <c r="Y425" s="6" t="s">
        <v>141</v>
      </c>
    </row>
    <row r="426" spans="1:25">
      <c r="A426" s="171">
        <v>21</v>
      </c>
      <c r="B426" s="174">
        <v>45047</v>
      </c>
      <c r="C426" s="174">
        <v>45066</v>
      </c>
      <c r="D426" s="174">
        <v>45065</v>
      </c>
      <c r="E426" s="171">
        <v>2023</v>
      </c>
      <c r="F426" s="171">
        <v>5</v>
      </c>
      <c r="G426" s="171">
        <v>19</v>
      </c>
      <c r="H426" s="131"/>
      <c r="I426" s="176"/>
      <c r="J426" s="176"/>
      <c r="K426" s="171"/>
      <c r="L426" s="171" t="s">
        <v>56</v>
      </c>
      <c r="M426" s="171">
        <v>800</v>
      </c>
      <c r="N426" s="175">
        <v>0</v>
      </c>
      <c r="O426" s="171">
        <v>0</v>
      </c>
      <c r="P426" s="171">
        <v>0</v>
      </c>
      <c r="Q426" s="175">
        <v>0</v>
      </c>
      <c r="R426" s="6"/>
      <c r="S426" s="6"/>
      <c r="T426" s="6"/>
      <c r="U426" s="6"/>
      <c r="V426" s="6"/>
      <c r="W426" s="6"/>
      <c r="X426" s="6" t="s">
        <v>259</v>
      </c>
      <c r="Y426" s="6" t="s">
        <v>141</v>
      </c>
    </row>
    <row r="427" spans="1:25">
      <c r="A427" s="171">
        <v>21</v>
      </c>
      <c r="B427" s="174">
        <v>45047</v>
      </c>
      <c r="C427" s="174">
        <v>45065</v>
      </c>
      <c r="D427" s="174">
        <v>45064</v>
      </c>
      <c r="E427" s="171">
        <v>2023</v>
      </c>
      <c r="F427" s="171">
        <v>5</v>
      </c>
      <c r="G427" s="171">
        <v>18</v>
      </c>
      <c r="H427" s="131"/>
      <c r="I427" s="176"/>
      <c r="J427" s="176"/>
      <c r="K427" s="171"/>
      <c r="L427" s="171" t="s">
        <v>52</v>
      </c>
      <c r="M427" s="171">
        <v>500</v>
      </c>
      <c r="N427" s="175">
        <v>0</v>
      </c>
      <c r="O427" s="171">
        <v>0</v>
      </c>
      <c r="P427" s="171">
        <v>0</v>
      </c>
      <c r="Q427" s="175">
        <v>0</v>
      </c>
      <c r="R427" s="6"/>
      <c r="S427" s="6"/>
      <c r="T427" s="6"/>
      <c r="U427" s="6"/>
      <c r="V427" s="6"/>
      <c r="W427" s="6"/>
      <c r="X427" s="6" t="s">
        <v>291</v>
      </c>
      <c r="Y427" s="6" t="s">
        <v>143</v>
      </c>
    </row>
    <row r="428" spans="1:25">
      <c r="A428" s="171">
        <v>21</v>
      </c>
      <c r="B428" s="174">
        <v>45047</v>
      </c>
      <c r="C428" s="174">
        <v>45064</v>
      </c>
      <c r="D428" s="174">
        <v>45063</v>
      </c>
      <c r="E428" s="171">
        <v>2023</v>
      </c>
      <c r="F428" s="171">
        <v>5</v>
      </c>
      <c r="G428" s="171">
        <v>17</v>
      </c>
      <c r="H428" s="131"/>
      <c r="I428" s="176"/>
      <c r="J428" s="176"/>
      <c r="K428" s="171"/>
      <c r="L428" s="171" t="s">
        <v>52</v>
      </c>
      <c r="M428" s="171">
        <v>7402</v>
      </c>
      <c r="N428" s="175">
        <v>2</v>
      </c>
      <c r="O428" s="171">
        <v>2</v>
      </c>
      <c r="P428" s="171">
        <v>0</v>
      </c>
      <c r="Q428" s="175">
        <v>2</v>
      </c>
      <c r="R428" s="6" t="s">
        <v>160</v>
      </c>
      <c r="S428" s="6" t="s">
        <v>161</v>
      </c>
      <c r="T428" s="6" t="s">
        <v>253</v>
      </c>
      <c r="U428" s="6" t="s">
        <v>233</v>
      </c>
      <c r="V428" s="6" t="s">
        <v>320</v>
      </c>
      <c r="W428" s="6"/>
      <c r="X428" s="6" t="s">
        <v>291</v>
      </c>
      <c r="Y428" s="6" t="s">
        <v>143</v>
      </c>
    </row>
    <row r="429" spans="1:25">
      <c r="A429" s="171">
        <v>21</v>
      </c>
      <c r="B429" s="174">
        <v>45047</v>
      </c>
      <c r="C429" s="174">
        <v>45063</v>
      </c>
      <c r="D429" s="174">
        <v>45062</v>
      </c>
      <c r="E429" s="171">
        <v>2023</v>
      </c>
      <c r="F429" s="171">
        <v>5</v>
      </c>
      <c r="G429" s="171">
        <v>16</v>
      </c>
      <c r="H429" s="131"/>
      <c r="I429" s="176"/>
      <c r="J429" s="176"/>
      <c r="K429" s="171"/>
      <c r="L429" s="171" t="s">
        <v>52</v>
      </c>
      <c r="M429" s="171">
        <v>8000</v>
      </c>
      <c r="N429" s="175">
        <v>0</v>
      </c>
      <c r="O429" s="171">
        <v>0</v>
      </c>
      <c r="P429" s="171">
        <v>0</v>
      </c>
      <c r="Q429" s="175">
        <v>0</v>
      </c>
      <c r="R429" s="6"/>
      <c r="S429" s="6"/>
      <c r="T429" s="6"/>
      <c r="U429" s="6"/>
      <c r="V429" s="6"/>
      <c r="W429" s="6"/>
      <c r="X429" s="6" t="s">
        <v>291</v>
      </c>
      <c r="Y429" s="6" t="s">
        <v>143</v>
      </c>
    </row>
    <row r="430" spans="1:25">
      <c r="A430" s="171">
        <v>21</v>
      </c>
      <c r="B430" s="174">
        <v>45047</v>
      </c>
      <c r="C430" s="174">
        <v>45063</v>
      </c>
      <c r="D430" s="174">
        <v>45062</v>
      </c>
      <c r="E430" s="171">
        <v>2023</v>
      </c>
      <c r="F430" s="171">
        <v>5</v>
      </c>
      <c r="G430" s="171">
        <v>16</v>
      </c>
      <c r="H430" s="131"/>
      <c r="I430" s="176"/>
      <c r="J430" s="176"/>
      <c r="K430" s="171"/>
      <c r="L430" s="171" t="s">
        <v>52</v>
      </c>
      <c r="M430" s="171">
        <v>1400</v>
      </c>
      <c r="N430" s="175">
        <v>0</v>
      </c>
      <c r="O430" s="171">
        <v>0</v>
      </c>
      <c r="P430" s="171">
        <v>0</v>
      </c>
      <c r="Q430" s="175">
        <v>0</v>
      </c>
      <c r="R430" s="6"/>
      <c r="S430" s="6"/>
      <c r="T430" s="6"/>
      <c r="U430" s="6"/>
      <c r="V430" s="6"/>
      <c r="W430" s="6"/>
      <c r="X430" s="6" t="s">
        <v>291</v>
      </c>
      <c r="Y430" s="6" t="s">
        <v>143</v>
      </c>
    </row>
    <row r="431" spans="1:25">
      <c r="A431" s="171">
        <v>21</v>
      </c>
      <c r="B431" s="174">
        <v>45047</v>
      </c>
      <c r="C431" s="174">
        <v>45064</v>
      </c>
      <c r="D431" s="174">
        <v>45063</v>
      </c>
      <c r="E431" s="171">
        <v>2023</v>
      </c>
      <c r="F431" s="171">
        <v>5</v>
      </c>
      <c r="G431" s="171">
        <v>17</v>
      </c>
      <c r="H431" s="131"/>
      <c r="I431" s="176"/>
      <c r="J431" s="176"/>
      <c r="K431" s="171"/>
      <c r="L431" s="171" t="s">
        <v>52</v>
      </c>
      <c r="M431" s="171">
        <v>2098</v>
      </c>
      <c r="N431" s="175">
        <v>2</v>
      </c>
      <c r="O431" s="171">
        <v>2</v>
      </c>
      <c r="P431" s="171">
        <v>0</v>
      </c>
      <c r="Q431" s="175">
        <v>2</v>
      </c>
      <c r="R431" s="6" t="s">
        <v>160</v>
      </c>
      <c r="S431" s="6" t="s">
        <v>161</v>
      </c>
      <c r="T431" s="6" t="s">
        <v>314</v>
      </c>
      <c r="U431" s="6" t="s">
        <v>236</v>
      </c>
      <c r="V431" s="6" t="s">
        <v>321</v>
      </c>
      <c r="W431" s="6"/>
      <c r="X431" s="6" t="s">
        <v>291</v>
      </c>
      <c r="Y431" s="6" t="s">
        <v>143</v>
      </c>
    </row>
    <row r="432" spans="1:25">
      <c r="A432" s="171">
        <v>21</v>
      </c>
      <c r="B432" s="174">
        <v>45047</v>
      </c>
      <c r="C432" s="174">
        <v>45065</v>
      </c>
      <c r="D432" s="174">
        <v>45064</v>
      </c>
      <c r="E432" s="171">
        <v>2023</v>
      </c>
      <c r="F432" s="171">
        <v>5</v>
      </c>
      <c r="G432" s="171">
        <v>18</v>
      </c>
      <c r="H432" s="131"/>
      <c r="I432" s="176"/>
      <c r="J432" s="176"/>
      <c r="K432" s="171"/>
      <c r="L432" s="171" t="s">
        <v>52</v>
      </c>
      <c r="M432" s="171">
        <v>30</v>
      </c>
      <c r="N432" s="175">
        <v>0</v>
      </c>
      <c r="O432" s="171">
        <v>0</v>
      </c>
      <c r="P432" s="171">
        <v>0</v>
      </c>
      <c r="Q432" s="175">
        <v>0</v>
      </c>
      <c r="R432" s="6"/>
      <c r="S432" s="6"/>
      <c r="T432" s="6"/>
      <c r="U432" s="6"/>
      <c r="V432" s="6"/>
      <c r="W432" s="6"/>
      <c r="X432" s="6" t="s">
        <v>291</v>
      </c>
      <c r="Y432" s="6" t="s">
        <v>143</v>
      </c>
    </row>
    <row r="433" spans="1:25">
      <c r="A433" s="171">
        <v>21</v>
      </c>
      <c r="B433" s="174">
        <v>45047</v>
      </c>
      <c r="C433" s="174">
        <v>45065</v>
      </c>
      <c r="D433" s="174">
        <v>45064</v>
      </c>
      <c r="E433" s="171">
        <v>2023</v>
      </c>
      <c r="F433" s="171">
        <v>5</v>
      </c>
      <c r="G433" s="171">
        <v>18</v>
      </c>
      <c r="H433" s="131"/>
      <c r="I433" s="176"/>
      <c r="J433" s="176"/>
      <c r="K433" s="171"/>
      <c r="L433" s="171" t="s">
        <v>52</v>
      </c>
      <c r="M433" s="171"/>
      <c r="N433" s="175">
        <v>0</v>
      </c>
      <c r="O433" s="171">
        <v>1</v>
      </c>
      <c r="P433" s="171">
        <v>0</v>
      </c>
      <c r="Q433" s="175">
        <v>0</v>
      </c>
      <c r="R433" s="6" t="s">
        <v>160</v>
      </c>
      <c r="S433" s="6" t="s">
        <v>161</v>
      </c>
      <c r="T433" s="6" t="s">
        <v>253</v>
      </c>
      <c r="U433" s="6" t="s">
        <v>233</v>
      </c>
      <c r="V433" s="6" t="s">
        <v>325</v>
      </c>
      <c r="W433" s="6"/>
      <c r="X433" s="6" t="s">
        <v>291</v>
      </c>
      <c r="Y433" s="6" t="s">
        <v>143</v>
      </c>
    </row>
    <row r="434" spans="1:25">
      <c r="A434" s="171">
        <v>21</v>
      </c>
      <c r="B434" s="174">
        <v>45047</v>
      </c>
      <c r="C434" s="174">
        <v>45065</v>
      </c>
      <c r="D434" s="174">
        <v>45064</v>
      </c>
      <c r="E434" s="171">
        <v>2023</v>
      </c>
      <c r="F434" s="171">
        <v>5</v>
      </c>
      <c r="G434" s="171">
        <v>18</v>
      </c>
      <c r="H434" s="131"/>
      <c r="I434" s="176"/>
      <c r="J434" s="176"/>
      <c r="K434" s="171"/>
      <c r="L434" s="171" t="s">
        <v>52</v>
      </c>
      <c r="M434" s="171">
        <v>9272</v>
      </c>
      <c r="N434" s="175">
        <v>2</v>
      </c>
      <c r="O434" s="171">
        <v>1</v>
      </c>
      <c r="P434" s="171">
        <v>1</v>
      </c>
      <c r="Q434" s="175">
        <v>1</v>
      </c>
      <c r="R434" s="6" t="s">
        <v>157</v>
      </c>
      <c r="S434" s="6" t="s">
        <v>162</v>
      </c>
      <c r="T434" s="6" t="s">
        <v>166</v>
      </c>
      <c r="U434" s="6" t="s">
        <v>162</v>
      </c>
      <c r="V434" s="6" t="s">
        <v>324</v>
      </c>
      <c r="W434" s="6"/>
      <c r="X434" s="6" t="s">
        <v>291</v>
      </c>
      <c r="Y434" s="6" t="s">
        <v>143</v>
      </c>
    </row>
    <row r="435" spans="1:25">
      <c r="A435" s="171">
        <v>21</v>
      </c>
      <c r="B435" s="174">
        <v>45047</v>
      </c>
      <c r="C435" s="174">
        <v>45063</v>
      </c>
      <c r="D435" s="174">
        <v>45062</v>
      </c>
      <c r="E435" s="171">
        <v>2023</v>
      </c>
      <c r="F435" s="171">
        <v>5</v>
      </c>
      <c r="G435" s="171">
        <v>16</v>
      </c>
      <c r="H435" s="131"/>
      <c r="I435" s="176"/>
      <c r="J435" s="176"/>
      <c r="K435" s="171"/>
      <c r="L435" s="171" t="s">
        <v>56</v>
      </c>
      <c r="M435" s="171">
        <v>1689</v>
      </c>
      <c r="N435" s="175">
        <v>1</v>
      </c>
      <c r="O435" s="171">
        <v>1</v>
      </c>
      <c r="P435" s="171">
        <v>0</v>
      </c>
      <c r="Q435" s="175">
        <v>1</v>
      </c>
      <c r="R435" s="6" t="s">
        <v>160</v>
      </c>
      <c r="S435" s="6" t="s">
        <v>162</v>
      </c>
      <c r="T435" s="6"/>
      <c r="U435" s="6" t="s">
        <v>162</v>
      </c>
      <c r="V435" s="6" t="s">
        <v>312</v>
      </c>
      <c r="W435" s="6"/>
      <c r="X435" s="6" t="s">
        <v>259</v>
      </c>
      <c r="Y435" s="6" t="s">
        <v>141</v>
      </c>
    </row>
    <row r="436" spans="1:25">
      <c r="A436" s="171">
        <v>21</v>
      </c>
      <c r="B436" s="174">
        <v>45047</v>
      </c>
      <c r="C436" s="174">
        <v>45064</v>
      </c>
      <c r="D436" s="174">
        <v>45063</v>
      </c>
      <c r="E436" s="171">
        <v>2023</v>
      </c>
      <c r="F436" s="171">
        <v>5</v>
      </c>
      <c r="G436" s="171">
        <v>17</v>
      </c>
      <c r="H436" s="131"/>
      <c r="I436" s="176"/>
      <c r="J436" s="176"/>
      <c r="K436" s="171"/>
      <c r="L436" s="171" t="s">
        <v>56</v>
      </c>
      <c r="M436" s="171">
        <v>740</v>
      </c>
      <c r="N436" s="175">
        <v>0</v>
      </c>
      <c r="O436" s="171">
        <v>0</v>
      </c>
      <c r="P436" s="171">
        <v>0</v>
      </c>
      <c r="Q436" s="175">
        <v>0</v>
      </c>
      <c r="R436" s="6"/>
      <c r="S436" s="6"/>
      <c r="T436" s="6"/>
      <c r="U436" s="6"/>
      <c r="V436" s="6"/>
      <c r="W436" s="6"/>
      <c r="X436" s="6" t="s">
        <v>259</v>
      </c>
      <c r="Y436" s="6" t="s">
        <v>141</v>
      </c>
    </row>
    <row r="437" spans="1:25">
      <c r="A437" s="171">
        <v>21</v>
      </c>
      <c r="B437" s="174">
        <v>45047</v>
      </c>
      <c r="C437" s="174">
        <v>45064</v>
      </c>
      <c r="D437" s="174">
        <v>45061</v>
      </c>
      <c r="E437" s="171">
        <v>2023</v>
      </c>
      <c r="F437" s="171">
        <v>5</v>
      </c>
      <c r="G437" s="171">
        <v>15</v>
      </c>
      <c r="H437" s="131"/>
      <c r="I437" s="176"/>
      <c r="J437" s="176"/>
      <c r="K437" s="171"/>
      <c r="L437" s="171" t="s">
        <v>56</v>
      </c>
      <c r="M437" s="171">
        <v>1491</v>
      </c>
      <c r="N437" s="175">
        <v>0</v>
      </c>
      <c r="O437" s="171">
        <v>0</v>
      </c>
      <c r="P437" s="171">
        <v>0</v>
      </c>
      <c r="Q437" s="175">
        <v>0</v>
      </c>
      <c r="R437" s="6"/>
      <c r="S437" s="6"/>
      <c r="T437" s="6"/>
      <c r="U437" s="6"/>
      <c r="V437" s="6"/>
      <c r="W437" s="6"/>
      <c r="X437" s="6" t="s">
        <v>259</v>
      </c>
      <c r="Y437" s="6" t="s">
        <v>141</v>
      </c>
    </row>
    <row r="438" spans="1:25">
      <c r="A438" s="171">
        <v>21</v>
      </c>
      <c r="B438" s="174">
        <v>45047</v>
      </c>
      <c r="C438" s="174">
        <v>45063</v>
      </c>
      <c r="D438" s="174">
        <v>45062</v>
      </c>
      <c r="E438" s="171">
        <v>2023</v>
      </c>
      <c r="F438" s="171">
        <v>5</v>
      </c>
      <c r="G438" s="171">
        <v>16</v>
      </c>
      <c r="H438" s="131"/>
      <c r="I438" s="176"/>
      <c r="J438" s="176"/>
      <c r="K438" s="171"/>
      <c r="L438" s="171" t="s">
        <v>56</v>
      </c>
      <c r="M438" s="171">
        <v>300</v>
      </c>
      <c r="N438" s="175">
        <v>0</v>
      </c>
      <c r="O438" s="171">
        <v>0</v>
      </c>
      <c r="P438" s="171">
        <v>0</v>
      </c>
      <c r="Q438" s="175">
        <v>0</v>
      </c>
      <c r="R438" s="6"/>
      <c r="S438" s="6"/>
      <c r="T438" s="6"/>
      <c r="U438" s="6"/>
      <c r="V438" s="6"/>
      <c r="W438" s="6"/>
      <c r="X438" s="6" t="s">
        <v>259</v>
      </c>
      <c r="Y438" s="6" t="s">
        <v>141</v>
      </c>
    </row>
    <row r="439" spans="1:25">
      <c r="A439" s="171">
        <v>21</v>
      </c>
      <c r="B439" s="174">
        <v>45047</v>
      </c>
      <c r="C439" s="174">
        <v>45063</v>
      </c>
      <c r="D439" s="174">
        <v>45061</v>
      </c>
      <c r="E439" s="171">
        <v>2023</v>
      </c>
      <c r="F439" s="171">
        <v>5</v>
      </c>
      <c r="G439" s="171">
        <v>15</v>
      </c>
      <c r="H439" s="131"/>
      <c r="I439" s="176"/>
      <c r="J439" s="176"/>
      <c r="K439" s="171"/>
      <c r="L439" s="171" t="s">
        <v>56</v>
      </c>
      <c r="M439" s="171">
        <v>1400</v>
      </c>
      <c r="N439" s="175">
        <v>0</v>
      </c>
      <c r="O439" s="171">
        <v>0</v>
      </c>
      <c r="P439" s="171">
        <v>0</v>
      </c>
      <c r="Q439" s="175">
        <v>0</v>
      </c>
      <c r="R439" s="6"/>
      <c r="S439" s="6"/>
      <c r="T439" s="6"/>
      <c r="U439" s="6"/>
      <c r="V439" s="6"/>
      <c r="W439" s="6"/>
      <c r="X439" s="6" t="s">
        <v>259</v>
      </c>
      <c r="Y439" s="6" t="s">
        <v>141</v>
      </c>
    </row>
    <row r="440" spans="1:25">
      <c r="A440" s="171">
        <v>21</v>
      </c>
      <c r="B440" s="174">
        <v>45047</v>
      </c>
      <c r="C440" s="174">
        <v>45063</v>
      </c>
      <c r="D440" s="174">
        <v>45061</v>
      </c>
      <c r="E440" s="171">
        <v>2023</v>
      </c>
      <c r="F440" s="171">
        <v>5</v>
      </c>
      <c r="G440" s="171">
        <v>15</v>
      </c>
      <c r="H440" s="131"/>
      <c r="I440" s="176"/>
      <c r="J440" s="176"/>
      <c r="K440" s="171"/>
      <c r="L440" s="171" t="s">
        <v>56</v>
      </c>
      <c r="M440" s="171">
        <v>700</v>
      </c>
      <c r="N440" s="175">
        <v>0</v>
      </c>
      <c r="O440" s="171">
        <v>0</v>
      </c>
      <c r="P440" s="171">
        <v>0</v>
      </c>
      <c r="Q440" s="175">
        <v>0</v>
      </c>
      <c r="R440" s="6"/>
      <c r="S440" s="6"/>
      <c r="T440" s="6"/>
      <c r="U440" s="6"/>
      <c r="V440" s="6"/>
      <c r="W440" s="6"/>
      <c r="X440" s="6" t="s">
        <v>259</v>
      </c>
      <c r="Y440" s="6" t="s">
        <v>141</v>
      </c>
    </row>
    <row r="441" spans="1:25">
      <c r="A441" s="171">
        <v>21</v>
      </c>
      <c r="B441" s="174">
        <v>45047</v>
      </c>
      <c r="C441" s="174">
        <v>45063</v>
      </c>
      <c r="D441" s="174">
        <v>45062</v>
      </c>
      <c r="E441" s="171">
        <v>2023</v>
      </c>
      <c r="F441" s="171">
        <v>5</v>
      </c>
      <c r="G441" s="171">
        <v>16</v>
      </c>
      <c r="H441" s="131"/>
      <c r="I441" s="176"/>
      <c r="J441" s="176"/>
      <c r="K441" s="171"/>
      <c r="L441" s="171" t="s">
        <v>56</v>
      </c>
      <c r="M441" s="171">
        <v>4617</v>
      </c>
      <c r="N441" s="175">
        <v>17</v>
      </c>
      <c r="O441" s="171">
        <v>17</v>
      </c>
      <c r="P441" s="171">
        <v>17</v>
      </c>
      <c r="Q441" s="175">
        <v>0</v>
      </c>
      <c r="R441" s="6" t="s">
        <v>157</v>
      </c>
      <c r="S441" s="6" t="s">
        <v>205</v>
      </c>
      <c r="T441" s="6" t="s">
        <v>166</v>
      </c>
      <c r="U441" s="6" t="s">
        <v>169</v>
      </c>
      <c r="V441" s="6"/>
      <c r="W441" s="6"/>
      <c r="X441" s="6" t="s">
        <v>259</v>
      </c>
      <c r="Y441" s="6" t="s">
        <v>141</v>
      </c>
    </row>
    <row r="442" spans="1:25">
      <c r="A442" s="171">
        <v>21</v>
      </c>
      <c r="B442" s="174">
        <v>45047</v>
      </c>
      <c r="C442" s="174">
        <v>45064</v>
      </c>
      <c r="D442" s="174">
        <v>45063</v>
      </c>
      <c r="E442" s="171">
        <v>2023</v>
      </c>
      <c r="F442" s="171">
        <v>5</v>
      </c>
      <c r="G442" s="171">
        <v>17</v>
      </c>
      <c r="H442" s="131"/>
      <c r="I442" s="176"/>
      <c r="J442" s="176"/>
      <c r="K442" s="171"/>
      <c r="L442" s="171" t="s">
        <v>56</v>
      </c>
      <c r="M442" s="171">
        <v>1750</v>
      </c>
      <c r="N442" s="175">
        <v>0</v>
      </c>
      <c r="O442" s="171">
        <v>0</v>
      </c>
      <c r="P442" s="171">
        <v>0</v>
      </c>
      <c r="Q442" s="175">
        <v>0</v>
      </c>
      <c r="R442" s="6"/>
      <c r="S442" s="6"/>
      <c r="T442" s="6"/>
      <c r="U442" s="6"/>
      <c r="V442" s="6"/>
      <c r="W442" s="6"/>
      <c r="X442" s="6" t="s">
        <v>259</v>
      </c>
      <c r="Y442" s="6" t="s">
        <v>141</v>
      </c>
    </row>
    <row r="443" spans="1:25">
      <c r="A443" s="171">
        <v>21</v>
      </c>
      <c r="B443" s="174">
        <v>45047</v>
      </c>
      <c r="C443" s="174">
        <v>45065</v>
      </c>
      <c r="D443" s="174">
        <v>45064</v>
      </c>
      <c r="E443" s="171">
        <v>2023</v>
      </c>
      <c r="F443" s="171">
        <v>5</v>
      </c>
      <c r="G443" s="171">
        <v>18</v>
      </c>
      <c r="H443" s="131"/>
      <c r="I443" s="176"/>
      <c r="J443" s="176"/>
      <c r="K443" s="171"/>
      <c r="L443" s="171" t="s">
        <v>56</v>
      </c>
      <c r="M443" s="171">
        <v>300</v>
      </c>
      <c r="N443" s="175">
        <v>0</v>
      </c>
      <c r="O443" s="171">
        <v>0</v>
      </c>
      <c r="P443" s="171">
        <v>0</v>
      </c>
      <c r="Q443" s="175">
        <v>0</v>
      </c>
      <c r="R443" s="6"/>
      <c r="S443" s="6"/>
      <c r="T443" s="6"/>
      <c r="U443" s="6"/>
      <c r="V443" s="6"/>
      <c r="W443" s="6"/>
      <c r="X443" s="6" t="s">
        <v>259</v>
      </c>
      <c r="Y443" s="6" t="s">
        <v>141</v>
      </c>
    </row>
    <row r="444" spans="1:25">
      <c r="A444" s="171">
        <v>21</v>
      </c>
      <c r="B444" s="174">
        <v>45047</v>
      </c>
      <c r="C444" s="174">
        <v>45065</v>
      </c>
      <c r="D444" s="174">
        <v>45064</v>
      </c>
      <c r="E444" s="171">
        <v>2023</v>
      </c>
      <c r="F444" s="171">
        <v>5</v>
      </c>
      <c r="G444" s="171">
        <v>18</v>
      </c>
      <c r="H444" s="131"/>
      <c r="I444" s="176"/>
      <c r="J444" s="176"/>
      <c r="K444" s="171"/>
      <c r="L444" s="171" t="s">
        <v>56</v>
      </c>
      <c r="M444" s="171">
        <v>360</v>
      </c>
      <c r="N444" s="175">
        <v>0</v>
      </c>
      <c r="O444" s="171">
        <v>0</v>
      </c>
      <c r="P444" s="171">
        <v>0</v>
      </c>
      <c r="Q444" s="175">
        <v>0</v>
      </c>
      <c r="R444" s="6"/>
      <c r="S444" s="6"/>
      <c r="T444" s="6"/>
      <c r="U444" s="6"/>
      <c r="V444" s="6"/>
      <c r="W444" s="6"/>
      <c r="X444" s="6" t="s">
        <v>259</v>
      </c>
      <c r="Y444" s="6" t="s">
        <v>141</v>
      </c>
    </row>
    <row r="445" spans="1:25">
      <c r="A445" s="171">
        <v>21</v>
      </c>
      <c r="B445" s="174">
        <v>45047</v>
      </c>
      <c r="C445" s="174">
        <v>45066</v>
      </c>
      <c r="D445" s="174">
        <v>45065</v>
      </c>
      <c r="E445" s="171">
        <v>2023</v>
      </c>
      <c r="F445" s="171">
        <v>5</v>
      </c>
      <c r="G445" s="171">
        <v>19</v>
      </c>
      <c r="H445" s="131"/>
      <c r="I445" s="176"/>
      <c r="J445" s="176"/>
      <c r="K445" s="171"/>
      <c r="L445" s="171" t="s">
        <v>56</v>
      </c>
      <c r="M445" s="171">
        <v>1360</v>
      </c>
      <c r="N445" s="175">
        <v>0</v>
      </c>
      <c r="O445" s="171">
        <v>0</v>
      </c>
      <c r="P445" s="171">
        <v>0</v>
      </c>
      <c r="Q445" s="175">
        <v>0</v>
      </c>
      <c r="R445" s="6"/>
      <c r="S445" s="6"/>
      <c r="T445" s="6"/>
      <c r="U445" s="6"/>
      <c r="V445" s="6"/>
      <c r="W445" s="6"/>
      <c r="X445" s="6" t="s">
        <v>259</v>
      </c>
      <c r="Y445" s="6" t="s">
        <v>141</v>
      </c>
    </row>
    <row r="446" spans="1:25">
      <c r="A446" s="171">
        <v>21</v>
      </c>
      <c r="B446" s="174">
        <v>45047</v>
      </c>
      <c r="C446" s="174">
        <v>45065</v>
      </c>
      <c r="D446" s="174">
        <v>45064</v>
      </c>
      <c r="E446" s="171">
        <v>2023</v>
      </c>
      <c r="F446" s="171">
        <v>5</v>
      </c>
      <c r="G446" s="171">
        <v>18</v>
      </c>
      <c r="H446" s="131"/>
      <c r="I446" s="176"/>
      <c r="J446" s="176"/>
      <c r="K446" s="171"/>
      <c r="L446" s="171" t="s">
        <v>56</v>
      </c>
      <c r="M446" s="171">
        <v>3300</v>
      </c>
      <c r="N446" s="175">
        <v>0</v>
      </c>
      <c r="O446" s="171">
        <v>0</v>
      </c>
      <c r="P446" s="171">
        <v>0</v>
      </c>
      <c r="Q446" s="175">
        <v>0</v>
      </c>
      <c r="R446" s="6"/>
      <c r="S446" s="6"/>
      <c r="T446" s="6"/>
      <c r="U446" s="6"/>
      <c r="V446" s="6"/>
      <c r="W446" s="6"/>
      <c r="X446" s="6" t="s">
        <v>259</v>
      </c>
      <c r="Y446" s="6" t="s">
        <v>141</v>
      </c>
    </row>
    <row r="447" spans="1:25">
      <c r="A447" s="171">
        <v>21</v>
      </c>
      <c r="B447" s="174">
        <v>45047</v>
      </c>
      <c r="C447" s="174">
        <v>45064</v>
      </c>
      <c r="D447" s="174">
        <v>45063</v>
      </c>
      <c r="E447" s="171">
        <v>2023</v>
      </c>
      <c r="F447" s="171">
        <v>5</v>
      </c>
      <c r="G447" s="171">
        <v>17</v>
      </c>
      <c r="H447" s="131"/>
      <c r="I447" s="176"/>
      <c r="J447" s="176"/>
      <c r="K447" s="171"/>
      <c r="L447" s="171" t="s">
        <v>56</v>
      </c>
      <c r="M447" s="171">
        <v>450</v>
      </c>
      <c r="N447" s="175">
        <v>0</v>
      </c>
      <c r="O447" s="171">
        <v>0</v>
      </c>
      <c r="P447" s="171">
        <v>0</v>
      </c>
      <c r="Q447" s="175">
        <v>0</v>
      </c>
      <c r="R447" s="6"/>
      <c r="S447" s="6"/>
      <c r="T447" s="6"/>
      <c r="U447" s="6"/>
      <c r="V447" s="6"/>
      <c r="W447" s="6"/>
      <c r="X447" s="6" t="s">
        <v>259</v>
      </c>
      <c r="Y447" s="6" t="s">
        <v>141</v>
      </c>
    </row>
    <row r="448" spans="1:25">
      <c r="A448" s="171">
        <v>21</v>
      </c>
      <c r="B448" s="174">
        <v>45047</v>
      </c>
      <c r="C448" s="174">
        <v>45065</v>
      </c>
      <c r="D448" s="174">
        <v>45064</v>
      </c>
      <c r="E448" s="171">
        <v>2023</v>
      </c>
      <c r="F448" s="171">
        <v>5</v>
      </c>
      <c r="G448" s="171">
        <v>18</v>
      </c>
      <c r="H448" s="131"/>
      <c r="I448" s="176"/>
      <c r="J448" s="176"/>
      <c r="K448" s="171"/>
      <c r="L448" s="171" t="s">
        <v>56</v>
      </c>
      <c r="M448" s="171">
        <v>547</v>
      </c>
      <c r="N448" s="175">
        <v>0</v>
      </c>
      <c r="O448" s="171">
        <v>0</v>
      </c>
      <c r="P448" s="171">
        <v>0</v>
      </c>
      <c r="Q448" s="175">
        <v>0</v>
      </c>
      <c r="R448" s="6"/>
      <c r="S448" s="6"/>
      <c r="T448" s="6"/>
      <c r="U448" s="6"/>
      <c r="V448" s="6"/>
      <c r="W448" s="6"/>
      <c r="X448" s="6" t="s">
        <v>259</v>
      </c>
      <c r="Y448" s="6" t="s">
        <v>141</v>
      </c>
    </row>
    <row r="449" spans="1:25">
      <c r="A449" s="171">
        <v>21</v>
      </c>
      <c r="B449" s="174">
        <v>45047</v>
      </c>
      <c r="C449" s="174">
        <v>45065</v>
      </c>
      <c r="D449" s="174">
        <v>45064</v>
      </c>
      <c r="E449" s="171">
        <v>2023</v>
      </c>
      <c r="F449" s="171">
        <v>5</v>
      </c>
      <c r="G449" s="171">
        <v>18</v>
      </c>
      <c r="H449" s="131"/>
      <c r="I449" s="176"/>
      <c r="J449" s="176"/>
      <c r="K449" s="171"/>
      <c r="L449" s="171" t="s">
        <v>56</v>
      </c>
      <c r="M449" s="171">
        <v>1251</v>
      </c>
      <c r="N449" s="175">
        <v>1</v>
      </c>
      <c r="O449" s="171">
        <v>1</v>
      </c>
      <c r="P449" s="171">
        <v>1</v>
      </c>
      <c r="Q449" s="175">
        <v>0</v>
      </c>
      <c r="R449" s="6" t="s">
        <v>157</v>
      </c>
      <c r="S449" s="6" t="s">
        <v>338</v>
      </c>
      <c r="T449" s="6" t="s">
        <v>166</v>
      </c>
      <c r="U449" s="6" t="s">
        <v>339</v>
      </c>
      <c r="V449" s="6" t="s">
        <v>340</v>
      </c>
      <c r="W449" s="6"/>
      <c r="X449" s="6" t="s">
        <v>259</v>
      </c>
      <c r="Y449" s="6" t="s">
        <v>141</v>
      </c>
    </row>
    <row r="450" spans="1:25">
      <c r="A450" s="171">
        <v>21</v>
      </c>
      <c r="B450" s="174">
        <v>45047</v>
      </c>
      <c r="C450" s="174">
        <v>45066</v>
      </c>
      <c r="D450" s="174">
        <v>45065</v>
      </c>
      <c r="E450" s="171">
        <v>2023</v>
      </c>
      <c r="F450" s="171">
        <v>5</v>
      </c>
      <c r="G450" s="171">
        <v>19</v>
      </c>
      <c r="H450" s="131"/>
      <c r="I450" s="176"/>
      <c r="J450" s="176"/>
      <c r="K450" s="171"/>
      <c r="L450" s="171" t="s">
        <v>56</v>
      </c>
      <c r="M450" s="171">
        <v>4300</v>
      </c>
      <c r="N450" s="175">
        <v>0</v>
      </c>
      <c r="O450" s="171">
        <v>0</v>
      </c>
      <c r="P450" s="171">
        <v>0</v>
      </c>
      <c r="Q450" s="175">
        <v>0</v>
      </c>
      <c r="R450" s="6"/>
      <c r="S450" s="6"/>
      <c r="T450" s="6"/>
      <c r="U450" s="6"/>
      <c r="V450" s="6"/>
      <c r="W450" s="6"/>
      <c r="X450" s="6" t="s">
        <v>259</v>
      </c>
      <c r="Y450" s="6" t="s">
        <v>141</v>
      </c>
    </row>
    <row r="451" spans="1:25">
      <c r="A451" s="171">
        <v>21</v>
      </c>
      <c r="B451" s="174">
        <v>45047</v>
      </c>
      <c r="C451" s="174">
        <v>45065</v>
      </c>
      <c r="D451" s="174">
        <v>45064</v>
      </c>
      <c r="E451" s="171">
        <v>2023</v>
      </c>
      <c r="F451" s="171">
        <v>5</v>
      </c>
      <c r="G451" s="171">
        <v>18</v>
      </c>
      <c r="H451" s="131"/>
      <c r="I451" s="176"/>
      <c r="J451" s="176"/>
      <c r="K451" s="171"/>
      <c r="L451" s="171" t="s">
        <v>56</v>
      </c>
      <c r="M451" s="171">
        <v>700</v>
      </c>
      <c r="N451" s="175">
        <v>0</v>
      </c>
      <c r="O451" s="171">
        <v>0</v>
      </c>
      <c r="P451" s="171">
        <v>0</v>
      </c>
      <c r="Q451" s="175">
        <v>0</v>
      </c>
      <c r="R451" s="6"/>
      <c r="S451" s="6"/>
      <c r="T451" s="6"/>
      <c r="U451" s="6"/>
      <c r="V451" s="6"/>
      <c r="W451" s="6"/>
      <c r="X451" s="6" t="s">
        <v>259</v>
      </c>
      <c r="Y451" s="6" t="s">
        <v>141</v>
      </c>
    </row>
    <row r="452" spans="1:25">
      <c r="A452" s="171">
        <v>21</v>
      </c>
      <c r="B452" s="174">
        <v>45047</v>
      </c>
      <c r="C452" s="174">
        <v>45065</v>
      </c>
      <c r="D452" s="174">
        <v>45064</v>
      </c>
      <c r="E452" s="171">
        <v>2023</v>
      </c>
      <c r="F452" s="171">
        <v>5</v>
      </c>
      <c r="G452" s="171">
        <v>18</v>
      </c>
      <c r="H452" s="131"/>
      <c r="I452" s="176"/>
      <c r="J452" s="176"/>
      <c r="K452" s="171"/>
      <c r="L452" s="171" t="s">
        <v>56</v>
      </c>
      <c r="M452" s="171">
        <v>6000</v>
      </c>
      <c r="N452" s="175">
        <v>0</v>
      </c>
      <c r="O452" s="171">
        <v>0</v>
      </c>
      <c r="P452" s="171">
        <v>0</v>
      </c>
      <c r="Q452" s="175">
        <v>0</v>
      </c>
      <c r="R452" s="6"/>
      <c r="S452" s="6"/>
      <c r="T452" s="6"/>
      <c r="U452" s="6"/>
      <c r="V452" s="6"/>
      <c r="W452" s="6"/>
      <c r="X452" s="6" t="s">
        <v>259</v>
      </c>
      <c r="Y452" s="6" t="s">
        <v>141</v>
      </c>
    </row>
    <row r="453" spans="1:25">
      <c r="A453" s="171">
        <v>21</v>
      </c>
      <c r="B453" s="174">
        <v>45047</v>
      </c>
      <c r="C453" s="174">
        <v>45068</v>
      </c>
      <c r="D453" s="174">
        <v>45066</v>
      </c>
      <c r="E453" s="171">
        <v>2023</v>
      </c>
      <c r="F453" s="171">
        <v>5</v>
      </c>
      <c r="G453" s="171">
        <v>20</v>
      </c>
      <c r="H453" s="131"/>
      <c r="I453" s="176"/>
      <c r="J453" s="176"/>
      <c r="K453" s="171"/>
      <c r="L453" s="171" t="s">
        <v>56</v>
      </c>
      <c r="M453" s="171">
        <v>700</v>
      </c>
      <c r="N453" s="175">
        <v>0</v>
      </c>
      <c r="O453" s="171">
        <v>0</v>
      </c>
      <c r="P453" s="171">
        <v>0</v>
      </c>
      <c r="Q453" s="175">
        <v>0</v>
      </c>
      <c r="R453" s="6"/>
      <c r="S453" s="6"/>
      <c r="T453" s="6"/>
      <c r="U453" s="6"/>
      <c r="V453" s="6"/>
      <c r="W453" s="6"/>
      <c r="X453" s="6" t="s">
        <v>259</v>
      </c>
      <c r="Y453" s="6" t="s">
        <v>141</v>
      </c>
    </row>
    <row r="454" spans="1:25">
      <c r="A454" s="171">
        <v>21</v>
      </c>
      <c r="B454" s="174">
        <v>45047</v>
      </c>
      <c r="C454" s="174">
        <v>45066</v>
      </c>
      <c r="D454" s="174">
        <v>45065</v>
      </c>
      <c r="E454" s="171">
        <v>2023</v>
      </c>
      <c r="F454" s="171">
        <v>5</v>
      </c>
      <c r="G454" s="171">
        <v>19</v>
      </c>
      <c r="H454" s="131"/>
      <c r="I454" s="176"/>
      <c r="J454" s="176"/>
      <c r="K454" s="171"/>
      <c r="L454" s="171" t="s">
        <v>56</v>
      </c>
      <c r="M454" s="171">
        <v>3000</v>
      </c>
      <c r="N454" s="175">
        <v>0</v>
      </c>
      <c r="O454" s="171">
        <v>0</v>
      </c>
      <c r="P454" s="171">
        <v>0</v>
      </c>
      <c r="Q454" s="175">
        <v>0</v>
      </c>
      <c r="R454" s="6"/>
      <c r="S454" s="6"/>
      <c r="T454" s="6"/>
      <c r="U454" s="6"/>
      <c r="V454" s="6"/>
      <c r="W454" s="6"/>
      <c r="X454" s="6" t="s">
        <v>259</v>
      </c>
      <c r="Y454" s="6" t="s">
        <v>141</v>
      </c>
    </row>
    <row r="455" spans="1:25">
      <c r="A455" s="171">
        <v>21</v>
      </c>
      <c r="B455" s="174">
        <v>45047</v>
      </c>
      <c r="C455" s="174">
        <v>45066</v>
      </c>
      <c r="D455" s="174">
        <v>45065</v>
      </c>
      <c r="E455" s="171">
        <v>2023</v>
      </c>
      <c r="F455" s="171">
        <v>5</v>
      </c>
      <c r="G455" s="171">
        <v>19</v>
      </c>
      <c r="H455" s="131"/>
      <c r="I455" s="176"/>
      <c r="J455" s="176"/>
      <c r="K455" s="171"/>
      <c r="L455" s="171" t="s">
        <v>56</v>
      </c>
      <c r="M455" s="171">
        <v>600</v>
      </c>
      <c r="N455" s="175">
        <v>0</v>
      </c>
      <c r="O455" s="171">
        <v>0</v>
      </c>
      <c r="P455" s="171">
        <v>0</v>
      </c>
      <c r="Q455" s="175">
        <v>0</v>
      </c>
      <c r="R455" s="6"/>
      <c r="S455" s="6"/>
      <c r="T455" s="6"/>
      <c r="U455" s="6"/>
      <c r="V455" s="6"/>
      <c r="W455" s="6"/>
      <c r="X455" s="6" t="s">
        <v>259</v>
      </c>
      <c r="Y455" s="6" t="s">
        <v>141</v>
      </c>
    </row>
    <row r="456" spans="1:25">
      <c r="A456" s="171">
        <v>21</v>
      </c>
      <c r="B456" s="174">
        <v>45047</v>
      </c>
      <c r="C456" s="174">
        <v>45065</v>
      </c>
      <c r="D456" s="174">
        <v>45064</v>
      </c>
      <c r="E456" s="171">
        <v>2023</v>
      </c>
      <c r="F456" s="171">
        <v>5</v>
      </c>
      <c r="G456" s="171">
        <v>18</v>
      </c>
      <c r="H456" s="131"/>
      <c r="I456" s="176"/>
      <c r="J456" s="176"/>
      <c r="K456" s="171" t="s">
        <v>199</v>
      </c>
      <c r="L456" s="171" t="s">
        <v>56</v>
      </c>
      <c r="M456" s="171">
        <v>615</v>
      </c>
      <c r="N456" s="175">
        <v>0</v>
      </c>
      <c r="O456" s="171">
        <v>0</v>
      </c>
      <c r="P456" s="171">
        <v>0</v>
      </c>
      <c r="Q456" s="175">
        <v>0</v>
      </c>
      <c r="R456" s="6" t="s">
        <v>160</v>
      </c>
      <c r="S456" s="6" t="s">
        <v>256</v>
      </c>
      <c r="T456" s="6" t="s">
        <v>314</v>
      </c>
      <c r="U456" s="6" t="s">
        <v>240</v>
      </c>
      <c r="V456" s="6"/>
      <c r="W456" s="6" t="s">
        <v>268</v>
      </c>
      <c r="X456" s="6" t="s">
        <v>259</v>
      </c>
      <c r="Y456" s="6" t="s">
        <v>141</v>
      </c>
    </row>
    <row r="457" spans="1:25">
      <c r="A457" s="171">
        <v>21</v>
      </c>
      <c r="B457" s="174">
        <v>45047</v>
      </c>
      <c r="C457" s="174">
        <v>45065</v>
      </c>
      <c r="D457" s="174">
        <v>45064</v>
      </c>
      <c r="E457" s="171">
        <v>2023</v>
      </c>
      <c r="F457" s="171">
        <v>5</v>
      </c>
      <c r="G457" s="171">
        <v>18</v>
      </c>
      <c r="H457" s="131"/>
      <c r="I457" s="176"/>
      <c r="J457" s="176"/>
      <c r="K457" s="171" t="s">
        <v>199</v>
      </c>
      <c r="L457" s="171" t="s">
        <v>56</v>
      </c>
      <c r="M457" s="171">
        <v>610</v>
      </c>
      <c r="N457" s="175">
        <v>0</v>
      </c>
      <c r="O457" s="171">
        <v>0</v>
      </c>
      <c r="P457" s="171">
        <v>0</v>
      </c>
      <c r="Q457" s="175">
        <v>0</v>
      </c>
      <c r="R457" s="6" t="s">
        <v>160</v>
      </c>
      <c r="S457" s="6" t="s">
        <v>256</v>
      </c>
      <c r="T457" s="6" t="s">
        <v>314</v>
      </c>
      <c r="U457" s="6" t="s">
        <v>240</v>
      </c>
      <c r="V457" s="6"/>
      <c r="W457" s="6" t="s">
        <v>327</v>
      </c>
      <c r="X457" s="6" t="s">
        <v>259</v>
      </c>
      <c r="Y457" s="6" t="s">
        <v>141</v>
      </c>
    </row>
    <row r="458" spans="1:25">
      <c r="A458" s="171">
        <v>21</v>
      </c>
      <c r="B458" s="174">
        <v>45047</v>
      </c>
      <c r="C458" s="174">
        <v>45065</v>
      </c>
      <c r="D458" s="174">
        <v>45064</v>
      </c>
      <c r="E458" s="171">
        <v>2023</v>
      </c>
      <c r="F458" s="171">
        <v>5</v>
      </c>
      <c r="G458" s="171">
        <v>18</v>
      </c>
      <c r="H458" s="131"/>
      <c r="I458" s="176"/>
      <c r="J458" s="176"/>
      <c r="K458" s="171" t="s">
        <v>199</v>
      </c>
      <c r="L458" s="171" t="s">
        <v>56</v>
      </c>
      <c r="M458" s="171"/>
      <c r="N458" s="175">
        <v>0</v>
      </c>
      <c r="O458" s="171">
        <v>0</v>
      </c>
      <c r="P458" s="171">
        <v>0</v>
      </c>
      <c r="Q458" s="175">
        <v>0</v>
      </c>
      <c r="R458" s="6" t="s">
        <v>160</v>
      </c>
      <c r="S458" s="6" t="s">
        <v>256</v>
      </c>
      <c r="T458" s="6" t="s">
        <v>314</v>
      </c>
      <c r="U458" s="6" t="s">
        <v>240</v>
      </c>
      <c r="V458" s="6"/>
      <c r="W458" s="6" t="s">
        <v>326</v>
      </c>
      <c r="X458" s="6" t="s">
        <v>259</v>
      </c>
      <c r="Y458" s="6" t="s">
        <v>141</v>
      </c>
    </row>
    <row r="459" spans="1:25">
      <c r="A459" s="171">
        <v>21</v>
      </c>
      <c r="B459" s="174">
        <v>45047</v>
      </c>
      <c r="C459" s="174">
        <v>45064</v>
      </c>
      <c r="D459" s="174">
        <v>45063</v>
      </c>
      <c r="E459" s="171">
        <v>2023</v>
      </c>
      <c r="F459" s="171">
        <v>5</v>
      </c>
      <c r="G459" s="171">
        <v>17</v>
      </c>
      <c r="H459" s="131"/>
      <c r="I459" s="176"/>
      <c r="J459" s="176"/>
      <c r="K459" s="171"/>
      <c r="L459" s="171" t="s">
        <v>56</v>
      </c>
      <c r="M459" s="171">
        <v>200</v>
      </c>
      <c r="N459" s="175">
        <v>0</v>
      </c>
      <c r="O459" s="171">
        <v>0</v>
      </c>
      <c r="P459" s="171">
        <v>0</v>
      </c>
      <c r="Q459" s="175">
        <v>0</v>
      </c>
      <c r="R459" s="6"/>
      <c r="S459" s="6"/>
      <c r="T459" s="6"/>
      <c r="U459" s="6"/>
      <c r="V459" s="6"/>
      <c r="W459" s="6"/>
      <c r="X459" s="6" t="s">
        <v>259</v>
      </c>
      <c r="Y459" s="6" t="s">
        <v>141</v>
      </c>
    </row>
    <row r="460" spans="1:25">
      <c r="A460" s="171">
        <v>21</v>
      </c>
      <c r="B460" s="174">
        <v>45047</v>
      </c>
      <c r="C460" s="174">
        <v>45064</v>
      </c>
      <c r="D460" s="174">
        <v>45063</v>
      </c>
      <c r="E460" s="171">
        <v>2023</v>
      </c>
      <c r="F460" s="171">
        <v>5</v>
      </c>
      <c r="G460" s="171">
        <v>17</v>
      </c>
      <c r="H460" s="131"/>
      <c r="I460" s="176"/>
      <c r="J460" s="176"/>
      <c r="K460" s="171"/>
      <c r="L460" s="171" t="s">
        <v>56</v>
      </c>
      <c r="M460" s="171">
        <v>1500</v>
      </c>
      <c r="N460" s="175">
        <v>0</v>
      </c>
      <c r="O460" s="171">
        <v>0</v>
      </c>
      <c r="P460" s="171">
        <v>0</v>
      </c>
      <c r="Q460" s="175">
        <v>0</v>
      </c>
      <c r="R460" s="6"/>
      <c r="S460" s="6"/>
      <c r="T460" s="6"/>
      <c r="U460" s="6"/>
      <c r="V460" s="6"/>
      <c r="W460" s="6"/>
      <c r="X460" s="6" t="s">
        <v>259</v>
      </c>
      <c r="Y460" s="6" t="s">
        <v>141</v>
      </c>
    </row>
    <row r="461" spans="1:25">
      <c r="A461" s="171">
        <v>21</v>
      </c>
      <c r="B461" s="174">
        <v>45047</v>
      </c>
      <c r="C461" s="174">
        <v>45063</v>
      </c>
      <c r="D461" s="174">
        <v>45062</v>
      </c>
      <c r="E461" s="171">
        <v>2023</v>
      </c>
      <c r="F461" s="171">
        <v>5</v>
      </c>
      <c r="G461" s="171">
        <v>16</v>
      </c>
      <c r="H461" s="131"/>
      <c r="I461" s="176"/>
      <c r="J461" s="176"/>
      <c r="K461" s="171"/>
      <c r="L461" s="171" t="s">
        <v>56</v>
      </c>
      <c r="M461" s="171">
        <v>5000</v>
      </c>
      <c r="N461" s="175">
        <v>0</v>
      </c>
      <c r="O461" s="171">
        <v>0</v>
      </c>
      <c r="P461" s="171">
        <v>0</v>
      </c>
      <c r="Q461" s="175">
        <v>0</v>
      </c>
      <c r="R461" s="6"/>
      <c r="S461" s="6"/>
      <c r="T461" s="6"/>
      <c r="U461" s="6"/>
      <c r="V461" s="6"/>
      <c r="W461" s="6"/>
      <c r="X461" s="6" t="s">
        <v>259</v>
      </c>
      <c r="Y461" s="6" t="s">
        <v>141</v>
      </c>
    </row>
    <row r="462" spans="1:25">
      <c r="A462" s="171">
        <v>21</v>
      </c>
      <c r="B462" s="174">
        <v>45047</v>
      </c>
      <c r="C462" s="174">
        <v>45066</v>
      </c>
      <c r="D462" s="174">
        <v>45065</v>
      </c>
      <c r="E462" s="171">
        <v>2023</v>
      </c>
      <c r="F462" s="171">
        <v>5</v>
      </c>
      <c r="G462" s="171">
        <v>19</v>
      </c>
      <c r="H462" s="131"/>
      <c r="I462" s="176"/>
      <c r="J462" s="176"/>
      <c r="K462" s="171" t="s">
        <v>199</v>
      </c>
      <c r="L462" s="171" t="s">
        <v>56</v>
      </c>
      <c r="M462" s="171">
        <v>694</v>
      </c>
      <c r="N462" s="175">
        <v>0</v>
      </c>
      <c r="O462" s="171">
        <v>0</v>
      </c>
      <c r="P462" s="171">
        <v>0</v>
      </c>
      <c r="Q462" s="175">
        <v>0</v>
      </c>
      <c r="R462" s="6" t="s">
        <v>160</v>
      </c>
      <c r="S462" s="6" t="s">
        <v>256</v>
      </c>
      <c r="T462" s="6" t="s">
        <v>314</v>
      </c>
      <c r="U462" s="6" t="s">
        <v>240</v>
      </c>
      <c r="V462" s="6"/>
      <c r="W462" s="6" t="s">
        <v>327</v>
      </c>
      <c r="X462" s="6" t="s">
        <v>259</v>
      </c>
      <c r="Y462" s="6" t="s">
        <v>141</v>
      </c>
    </row>
    <row r="463" spans="1:25">
      <c r="A463" s="171">
        <v>21</v>
      </c>
      <c r="B463" s="174">
        <v>45047</v>
      </c>
      <c r="C463" s="174">
        <v>45066</v>
      </c>
      <c r="D463" s="174">
        <v>45065</v>
      </c>
      <c r="E463" s="171">
        <v>2023</v>
      </c>
      <c r="F463" s="171">
        <v>5</v>
      </c>
      <c r="G463" s="171">
        <v>19</v>
      </c>
      <c r="H463" s="131"/>
      <c r="I463" s="176"/>
      <c r="J463" s="176"/>
      <c r="K463" s="171" t="s">
        <v>199</v>
      </c>
      <c r="L463" s="171" t="s">
        <v>56</v>
      </c>
      <c r="M463" s="171">
        <v>389</v>
      </c>
      <c r="N463" s="175">
        <v>0</v>
      </c>
      <c r="O463" s="171">
        <v>0</v>
      </c>
      <c r="P463" s="171">
        <v>0</v>
      </c>
      <c r="Q463" s="175">
        <v>0</v>
      </c>
      <c r="R463" s="6" t="s">
        <v>160</v>
      </c>
      <c r="S463" s="6" t="s">
        <v>256</v>
      </c>
      <c r="T463" s="6" t="s">
        <v>314</v>
      </c>
      <c r="U463" s="6" t="s">
        <v>240</v>
      </c>
      <c r="V463" s="6"/>
      <c r="W463" s="6" t="s">
        <v>329</v>
      </c>
      <c r="X463" s="6" t="s">
        <v>259</v>
      </c>
      <c r="Y463" s="6" t="s">
        <v>141</v>
      </c>
    </row>
    <row r="464" spans="1:25">
      <c r="A464" s="171">
        <v>21</v>
      </c>
      <c r="B464" s="174">
        <v>45047</v>
      </c>
      <c r="C464" s="174">
        <v>45066</v>
      </c>
      <c r="D464" s="174">
        <v>45065</v>
      </c>
      <c r="E464" s="171">
        <v>2023</v>
      </c>
      <c r="F464" s="171">
        <v>5</v>
      </c>
      <c r="G464" s="171">
        <v>19</v>
      </c>
      <c r="H464" s="131"/>
      <c r="I464" s="176"/>
      <c r="J464" s="176"/>
      <c r="K464" s="171" t="s">
        <v>199</v>
      </c>
      <c r="L464" s="171" t="s">
        <v>56</v>
      </c>
      <c r="M464" s="171"/>
      <c r="N464" s="175">
        <v>0</v>
      </c>
      <c r="O464" s="171">
        <v>1</v>
      </c>
      <c r="P464" s="171">
        <v>0</v>
      </c>
      <c r="Q464" s="175">
        <v>0</v>
      </c>
      <c r="R464" s="6" t="s">
        <v>157</v>
      </c>
      <c r="S464" s="6" t="s">
        <v>158</v>
      </c>
      <c r="T464" s="6" t="s">
        <v>166</v>
      </c>
      <c r="U464" s="6" t="s">
        <v>167</v>
      </c>
      <c r="V464" s="6" t="s">
        <v>331</v>
      </c>
      <c r="W464" s="6" t="s">
        <v>307</v>
      </c>
      <c r="X464" s="6" t="s">
        <v>259</v>
      </c>
      <c r="Y464" s="6" t="s">
        <v>141</v>
      </c>
    </row>
    <row r="465" spans="1:25">
      <c r="A465" s="171">
        <v>21</v>
      </c>
      <c r="B465" s="174">
        <v>45047</v>
      </c>
      <c r="C465" s="174">
        <v>45068</v>
      </c>
      <c r="D465" s="174">
        <v>45066</v>
      </c>
      <c r="E465" s="171">
        <v>2023</v>
      </c>
      <c r="F465" s="171">
        <v>5</v>
      </c>
      <c r="G465" s="171">
        <v>20</v>
      </c>
      <c r="H465" s="131"/>
      <c r="I465" s="176"/>
      <c r="J465" s="176"/>
      <c r="K465" s="171" t="s">
        <v>199</v>
      </c>
      <c r="L465" s="171" t="s">
        <v>56</v>
      </c>
      <c r="M465" s="171"/>
      <c r="N465" s="175">
        <v>0</v>
      </c>
      <c r="O465" s="171">
        <v>3</v>
      </c>
      <c r="P465" s="171">
        <v>0</v>
      </c>
      <c r="Q465" s="175">
        <v>0</v>
      </c>
      <c r="R465" s="6" t="s">
        <v>160</v>
      </c>
      <c r="S465" s="6" t="s">
        <v>161</v>
      </c>
      <c r="T465" s="6" t="s">
        <v>198</v>
      </c>
      <c r="U465" s="6" t="s">
        <v>172</v>
      </c>
      <c r="V465" s="6"/>
      <c r="W465" s="6"/>
      <c r="X465" s="6" t="s">
        <v>259</v>
      </c>
      <c r="Y465" s="6" t="s">
        <v>141</v>
      </c>
    </row>
    <row r="466" spans="1:25">
      <c r="A466" s="171">
        <v>21</v>
      </c>
      <c r="B466" s="174">
        <v>45047</v>
      </c>
      <c r="C466" s="174">
        <v>45068</v>
      </c>
      <c r="D466" s="174">
        <v>45066</v>
      </c>
      <c r="E466" s="171">
        <v>2023</v>
      </c>
      <c r="F466" s="171">
        <v>5</v>
      </c>
      <c r="G466" s="171">
        <v>20</v>
      </c>
      <c r="H466" s="131"/>
      <c r="I466" s="176"/>
      <c r="J466" s="176"/>
      <c r="K466" s="171" t="s">
        <v>199</v>
      </c>
      <c r="L466" s="171" t="s">
        <v>56</v>
      </c>
      <c r="M466" s="171">
        <v>330</v>
      </c>
      <c r="N466" s="175">
        <v>5</v>
      </c>
      <c r="O466" s="171">
        <v>0</v>
      </c>
      <c r="P466" s="171">
        <v>0</v>
      </c>
      <c r="Q466" s="175">
        <v>5</v>
      </c>
      <c r="R466" s="6" t="s">
        <v>160</v>
      </c>
      <c r="S466" s="6" t="s">
        <v>256</v>
      </c>
      <c r="T466" s="6" t="s">
        <v>314</v>
      </c>
      <c r="U466" s="6" t="s">
        <v>240</v>
      </c>
      <c r="V466" s="6"/>
      <c r="W466" s="6" t="s">
        <v>342</v>
      </c>
      <c r="X466" s="6" t="s">
        <v>259</v>
      </c>
      <c r="Y466" s="6" t="s">
        <v>141</v>
      </c>
    </row>
    <row r="467" spans="1:25">
      <c r="A467" s="171">
        <v>21</v>
      </c>
      <c r="B467" s="174">
        <v>45047</v>
      </c>
      <c r="C467" s="174">
        <v>45066</v>
      </c>
      <c r="D467" s="174">
        <v>45065</v>
      </c>
      <c r="E467" s="171">
        <v>2023</v>
      </c>
      <c r="F467" s="171">
        <v>5</v>
      </c>
      <c r="G467" s="171">
        <v>19</v>
      </c>
      <c r="H467" s="131"/>
      <c r="I467" s="176"/>
      <c r="J467" s="176"/>
      <c r="K467" s="171" t="s">
        <v>199</v>
      </c>
      <c r="L467" s="171" t="s">
        <v>56</v>
      </c>
      <c r="M467" s="171">
        <v>490</v>
      </c>
      <c r="N467" s="175">
        <v>0</v>
      </c>
      <c r="O467" s="171">
        <v>0</v>
      </c>
      <c r="P467" s="171">
        <v>0</v>
      </c>
      <c r="Q467" s="175">
        <v>0</v>
      </c>
      <c r="R467" s="6" t="s">
        <v>160</v>
      </c>
      <c r="S467" s="6" t="s">
        <v>256</v>
      </c>
      <c r="T467" s="6" t="s">
        <v>314</v>
      </c>
      <c r="U467" s="6" t="s">
        <v>240</v>
      </c>
      <c r="V467" s="6"/>
      <c r="W467" s="6" t="s">
        <v>328</v>
      </c>
      <c r="X467" s="6" t="s">
        <v>259</v>
      </c>
      <c r="Y467" s="6" t="s">
        <v>141</v>
      </c>
    </row>
    <row r="468" spans="1:25">
      <c r="A468" s="171">
        <v>21</v>
      </c>
      <c r="B468" s="174">
        <v>45047</v>
      </c>
      <c r="C468" s="174">
        <v>45068</v>
      </c>
      <c r="D468" s="174">
        <v>45066</v>
      </c>
      <c r="E468" s="171">
        <v>2023</v>
      </c>
      <c r="F468" s="171">
        <v>5</v>
      </c>
      <c r="G468" s="171">
        <v>20</v>
      </c>
      <c r="H468" s="131"/>
      <c r="I468" s="176"/>
      <c r="J468" s="176"/>
      <c r="K468" s="171"/>
      <c r="L468" s="171" t="s">
        <v>56</v>
      </c>
      <c r="M468" s="171">
        <v>100</v>
      </c>
      <c r="N468" s="175">
        <v>0</v>
      </c>
      <c r="O468" s="171">
        <v>0</v>
      </c>
      <c r="P468" s="171">
        <v>0</v>
      </c>
      <c r="Q468" s="175">
        <v>0</v>
      </c>
      <c r="R468" s="6"/>
      <c r="S468" s="6"/>
      <c r="T468" s="6"/>
      <c r="U468" s="6"/>
      <c r="V468" s="6"/>
      <c r="W468" s="6"/>
      <c r="X468" s="6" t="s">
        <v>259</v>
      </c>
      <c r="Y468" s="6" t="s">
        <v>141</v>
      </c>
    </row>
    <row r="469" spans="1:25">
      <c r="A469" s="171">
        <v>21</v>
      </c>
      <c r="B469" s="174">
        <v>45047</v>
      </c>
      <c r="C469" s="174">
        <v>45068</v>
      </c>
      <c r="D469" s="174">
        <v>45066</v>
      </c>
      <c r="E469" s="171">
        <v>2023</v>
      </c>
      <c r="F469" s="171">
        <v>5</v>
      </c>
      <c r="G469" s="171">
        <v>20</v>
      </c>
      <c r="H469" s="131"/>
      <c r="I469" s="176"/>
      <c r="J469" s="176"/>
      <c r="K469" s="171"/>
      <c r="L469" s="171" t="s">
        <v>56</v>
      </c>
      <c r="M469" s="171">
        <v>1100</v>
      </c>
      <c r="N469" s="175">
        <v>0</v>
      </c>
      <c r="O469" s="171">
        <v>0</v>
      </c>
      <c r="P469" s="171">
        <v>0</v>
      </c>
      <c r="Q469" s="175">
        <v>0</v>
      </c>
      <c r="R469" s="6"/>
      <c r="S469" s="6"/>
      <c r="T469" s="6"/>
      <c r="U469" s="6"/>
      <c r="V469" s="6"/>
      <c r="W469" s="6"/>
      <c r="X469" s="6" t="s">
        <v>259</v>
      </c>
      <c r="Y469" s="6" t="s">
        <v>141</v>
      </c>
    </row>
    <row r="470" spans="1:25">
      <c r="A470" s="171">
        <v>21</v>
      </c>
      <c r="B470" s="174">
        <v>45047</v>
      </c>
      <c r="C470" s="174">
        <v>45066</v>
      </c>
      <c r="D470" s="174">
        <v>45065</v>
      </c>
      <c r="E470" s="171">
        <v>2023</v>
      </c>
      <c r="F470" s="171">
        <v>5</v>
      </c>
      <c r="G470" s="171">
        <v>19</v>
      </c>
      <c r="H470" s="131"/>
      <c r="I470" s="176"/>
      <c r="J470" s="176"/>
      <c r="K470" s="171" t="s">
        <v>199</v>
      </c>
      <c r="L470" s="171" t="s">
        <v>56</v>
      </c>
      <c r="M470" s="171">
        <v>433</v>
      </c>
      <c r="N470" s="175">
        <v>3</v>
      </c>
      <c r="O470" s="171">
        <v>0</v>
      </c>
      <c r="P470" s="171">
        <v>1</v>
      </c>
      <c r="Q470" s="175">
        <v>2</v>
      </c>
      <c r="R470" s="6" t="s">
        <v>160</v>
      </c>
      <c r="S470" s="6" t="s">
        <v>256</v>
      </c>
      <c r="T470" s="6" t="s">
        <v>314</v>
      </c>
      <c r="U470" s="6" t="s">
        <v>240</v>
      </c>
      <c r="V470" s="6"/>
      <c r="W470" s="6" t="s">
        <v>306</v>
      </c>
      <c r="X470" s="6" t="s">
        <v>259</v>
      </c>
      <c r="Y470" s="6" t="s">
        <v>141</v>
      </c>
    </row>
    <row r="471" spans="1:25">
      <c r="A471" s="171">
        <v>21</v>
      </c>
      <c r="B471" s="174">
        <v>45047</v>
      </c>
      <c r="C471" s="174">
        <v>45066</v>
      </c>
      <c r="D471" s="174">
        <v>45065</v>
      </c>
      <c r="E471" s="171">
        <v>2023</v>
      </c>
      <c r="F471" s="171">
        <v>5</v>
      </c>
      <c r="G471" s="171">
        <v>19</v>
      </c>
      <c r="H471" s="131"/>
      <c r="I471" s="176"/>
      <c r="J471" s="176"/>
      <c r="K471" s="171" t="s">
        <v>199</v>
      </c>
      <c r="L471" s="171" t="s">
        <v>56</v>
      </c>
      <c r="M471" s="171"/>
      <c r="N471" s="175">
        <v>0</v>
      </c>
      <c r="O471" s="171">
        <v>2</v>
      </c>
      <c r="P471" s="171">
        <v>0</v>
      </c>
      <c r="Q471" s="175">
        <v>0</v>
      </c>
      <c r="R471" s="6" t="s">
        <v>160</v>
      </c>
      <c r="S471" s="6" t="s">
        <v>162</v>
      </c>
      <c r="T471" s="6"/>
      <c r="U471" s="6" t="s">
        <v>162</v>
      </c>
      <c r="V471" s="6" t="s">
        <v>330</v>
      </c>
      <c r="W471" s="6" t="s">
        <v>315</v>
      </c>
      <c r="X471" s="6" t="s">
        <v>259</v>
      </c>
      <c r="Y471" s="6" t="s">
        <v>141</v>
      </c>
    </row>
    <row r="472" spans="1:25">
      <c r="A472" s="171">
        <v>21</v>
      </c>
      <c r="B472" s="174">
        <v>45047</v>
      </c>
      <c r="C472" s="174">
        <v>45066</v>
      </c>
      <c r="D472" s="174">
        <v>45065</v>
      </c>
      <c r="E472" s="171">
        <v>2023</v>
      </c>
      <c r="F472" s="171">
        <v>5</v>
      </c>
      <c r="G472" s="171">
        <v>19</v>
      </c>
      <c r="H472" s="131"/>
      <c r="I472" s="176"/>
      <c r="J472" s="176"/>
      <c r="K472" s="171"/>
      <c r="L472" s="171" t="s">
        <v>56</v>
      </c>
      <c r="M472" s="171">
        <v>1350</v>
      </c>
      <c r="N472" s="175">
        <v>0</v>
      </c>
      <c r="O472" s="171">
        <v>0</v>
      </c>
      <c r="P472" s="171">
        <v>0</v>
      </c>
      <c r="Q472" s="175">
        <v>0</v>
      </c>
      <c r="R472" s="6"/>
      <c r="S472" s="6"/>
      <c r="T472" s="6"/>
      <c r="U472" s="6"/>
      <c r="V472" s="6"/>
      <c r="W472" s="6"/>
      <c r="X472" s="6" t="s">
        <v>259</v>
      </c>
      <c r="Y472" s="6" t="s">
        <v>141</v>
      </c>
    </row>
    <row r="473" spans="1:25">
      <c r="A473" s="171">
        <v>21</v>
      </c>
      <c r="B473" s="174">
        <v>45047</v>
      </c>
      <c r="C473" s="174">
        <v>45066</v>
      </c>
      <c r="D473" s="174">
        <v>45065</v>
      </c>
      <c r="E473" s="171">
        <v>2023</v>
      </c>
      <c r="F473" s="171">
        <v>5</v>
      </c>
      <c r="G473" s="171">
        <v>19</v>
      </c>
      <c r="H473" s="131"/>
      <c r="I473" s="176"/>
      <c r="J473" s="176"/>
      <c r="K473" s="171"/>
      <c r="L473" s="171" t="s">
        <v>56</v>
      </c>
      <c r="M473" s="171">
        <v>450</v>
      </c>
      <c r="N473" s="175">
        <v>0</v>
      </c>
      <c r="O473" s="171">
        <v>0</v>
      </c>
      <c r="P473" s="171">
        <v>0</v>
      </c>
      <c r="Q473" s="175">
        <v>0</v>
      </c>
      <c r="R473" s="6"/>
      <c r="S473" s="6"/>
      <c r="T473" s="6"/>
      <c r="U473" s="6"/>
      <c r="V473" s="6"/>
      <c r="W473" s="6"/>
      <c r="X473" s="6" t="s">
        <v>259</v>
      </c>
      <c r="Y473" s="6" t="s">
        <v>141</v>
      </c>
    </row>
    <row r="474" spans="1:25">
      <c r="A474" s="171">
        <v>21</v>
      </c>
      <c r="B474" s="174">
        <v>45047</v>
      </c>
      <c r="C474" s="174">
        <v>45063</v>
      </c>
      <c r="D474" s="174">
        <v>45062</v>
      </c>
      <c r="E474" s="171">
        <v>2023</v>
      </c>
      <c r="F474" s="171">
        <v>5</v>
      </c>
      <c r="G474" s="171">
        <v>16</v>
      </c>
      <c r="H474" s="131"/>
      <c r="I474" s="176"/>
      <c r="J474" s="176"/>
      <c r="K474" s="171" t="s">
        <v>199</v>
      </c>
      <c r="L474" s="171" t="s">
        <v>56</v>
      </c>
      <c r="M474" s="171"/>
      <c r="N474" s="175">
        <v>0</v>
      </c>
      <c r="O474" s="171">
        <v>1</v>
      </c>
      <c r="P474" s="171">
        <v>0</v>
      </c>
      <c r="Q474" s="175">
        <v>0</v>
      </c>
      <c r="R474" s="6" t="s">
        <v>160</v>
      </c>
      <c r="S474" s="6" t="s">
        <v>161</v>
      </c>
      <c r="T474" s="6" t="s">
        <v>253</v>
      </c>
      <c r="U474" s="6" t="s">
        <v>233</v>
      </c>
      <c r="V474" s="6"/>
      <c r="W474" s="6" t="s">
        <v>307</v>
      </c>
      <c r="X474" s="6" t="s">
        <v>259</v>
      </c>
      <c r="Y474" s="6" t="s">
        <v>141</v>
      </c>
    </row>
    <row r="475" spans="1:25">
      <c r="A475" s="171">
        <v>21</v>
      </c>
      <c r="B475" s="174">
        <v>45047</v>
      </c>
      <c r="C475" s="174">
        <v>45063</v>
      </c>
      <c r="D475" s="174">
        <v>45062</v>
      </c>
      <c r="E475" s="171">
        <v>2023</v>
      </c>
      <c r="F475" s="171">
        <v>5</v>
      </c>
      <c r="G475" s="171">
        <v>16</v>
      </c>
      <c r="H475" s="131"/>
      <c r="I475" s="176"/>
      <c r="J475" s="176"/>
      <c r="K475" s="171" t="s">
        <v>199</v>
      </c>
      <c r="L475" s="171" t="s">
        <v>56</v>
      </c>
      <c r="M475" s="171"/>
      <c r="N475" s="175">
        <v>0</v>
      </c>
      <c r="O475" s="171">
        <v>1</v>
      </c>
      <c r="P475" s="171">
        <v>0</v>
      </c>
      <c r="Q475" s="175">
        <v>0</v>
      </c>
      <c r="R475" s="6" t="s">
        <v>160</v>
      </c>
      <c r="S475" s="6" t="s">
        <v>162</v>
      </c>
      <c r="T475" s="6"/>
      <c r="U475" s="6" t="s">
        <v>162</v>
      </c>
      <c r="V475" s="6" t="s">
        <v>313</v>
      </c>
      <c r="W475" s="6" t="s">
        <v>307</v>
      </c>
      <c r="X475" s="6" t="s">
        <v>259</v>
      </c>
      <c r="Y475" s="6" t="s">
        <v>141</v>
      </c>
    </row>
    <row r="476" spans="1:25">
      <c r="A476" s="171">
        <v>21</v>
      </c>
      <c r="B476" s="174">
        <v>45047</v>
      </c>
      <c r="C476" s="174">
        <v>45064</v>
      </c>
      <c r="D476" s="174">
        <v>45063</v>
      </c>
      <c r="E476" s="171">
        <v>2023</v>
      </c>
      <c r="F476" s="171">
        <v>5</v>
      </c>
      <c r="G476" s="171">
        <v>17</v>
      </c>
      <c r="H476" s="131"/>
      <c r="I476" s="176"/>
      <c r="J476" s="176"/>
      <c r="K476" s="171" t="s">
        <v>199</v>
      </c>
      <c r="L476" s="171" t="s">
        <v>56</v>
      </c>
      <c r="M476" s="171">
        <v>620</v>
      </c>
      <c r="N476" s="175">
        <v>0</v>
      </c>
      <c r="O476" s="171">
        <v>0</v>
      </c>
      <c r="P476" s="171">
        <v>0</v>
      </c>
      <c r="Q476" s="175">
        <v>0</v>
      </c>
      <c r="R476" s="6" t="s">
        <v>160</v>
      </c>
      <c r="S476" s="6" t="s">
        <v>256</v>
      </c>
      <c r="T476" s="6" t="s">
        <v>314</v>
      </c>
      <c r="U476" s="6" t="s">
        <v>240</v>
      </c>
      <c r="V476" s="6"/>
      <c r="W476" s="6" t="s">
        <v>309</v>
      </c>
      <c r="X476" s="6" t="s">
        <v>259</v>
      </c>
      <c r="Y476" s="6" t="s">
        <v>141</v>
      </c>
    </row>
    <row r="477" spans="1:25">
      <c r="A477" s="171">
        <v>21</v>
      </c>
      <c r="B477" s="174">
        <v>45047</v>
      </c>
      <c r="C477" s="174">
        <v>45063</v>
      </c>
      <c r="D477" s="174">
        <v>45062</v>
      </c>
      <c r="E477" s="171">
        <v>2023</v>
      </c>
      <c r="F477" s="171">
        <v>5</v>
      </c>
      <c r="G477" s="171">
        <v>16</v>
      </c>
      <c r="H477" s="131"/>
      <c r="I477" s="176"/>
      <c r="J477" s="176"/>
      <c r="K477" s="171" t="s">
        <v>199</v>
      </c>
      <c r="L477" s="171" t="s">
        <v>56</v>
      </c>
      <c r="M477" s="171"/>
      <c r="N477" s="175">
        <v>0</v>
      </c>
      <c r="O477" s="171">
        <v>2</v>
      </c>
      <c r="P477" s="171">
        <v>0</v>
      </c>
      <c r="Q477" s="175">
        <v>0</v>
      </c>
      <c r="R477" s="6" t="s">
        <v>160</v>
      </c>
      <c r="S477" s="6" t="s">
        <v>162</v>
      </c>
      <c r="T477" s="6"/>
      <c r="U477" s="6" t="s">
        <v>162</v>
      </c>
      <c r="V477" s="6" t="s">
        <v>311</v>
      </c>
      <c r="W477" s="6" t="s">
        <v>315</v>
      </c>
      <c r="X477" s="6" t="s">
        <v>259</v>
      </c>
      <c r="Y477" s="6" t="s">
        <v>141</v>
      </c>
    </row>
    <row r="478" spans="1:25">
      <c r="A478" s="171">
        <v>21</v>
      </c>
      <c r="B478" s="174">
        <v>45047</v>
      </c>
      <c r="C478" s="174">
        <v>45063</v>
      </c>
      <c r="D478" s="174">
        <v>45062</v>
      </c>
      <c r="E478" s="171">
        <v>2023</v>
      </c>
      <c r="F478" s="171">
        <v>5</v>
      </c>
      <c r="G478" s="171">
        <v>16</v>
      </c>
      <c r="H478" s="131"/>
      <c r="I478" s="176"/>
      <c r="J478" s="176"/>
      <c r="K478" s="171" t="s">
        <v>199</v>
      </c>
      <c r="L478" s="171" t="s">
        <v>56</v>
      </c>
      <c r="M478" s="171">
        <v>346</v>
      </c>
      <c r="N478" s="175">
        <v>6</v>
      </c>
      <c r="O478" s="171">
        <v>0</v>
      </c>
      <c r="P478" s="171">
        <v>0</v>
      </c>
      <c r="Q478" s="175">
        <v>6</v>
      </c>
      <c r="R478" s="6" t="s">
        <v>160</v>
      </c>
      <c r="S478" s="6" t="s">
        <v>256</v>
      </c>
      <c r="T478" s="6" t="s">
        <v>314</v>
      </c>
      <c r="U478" s="6" t="s">
        <v>240</v>
      </c>
      <c r="V478" s="6"/>
      <c r="W478" s="6" t="s">
        <v>309</v>
      </c>
      <c r="X478" s="6" t="s">
        <v>259</v>
      </c>
      <c r="Y478" s="6" t="s">
        <v>141</v>
      </c>
    </row>
    <row r="479" spans="1:25">
      <c r="A479" s="171">
        <v>21</v>
      </c>
      <c r="B479" s="174">
        <v>45047</v>
      </c>
      <c r="C479" s="174">
        <v>45063</v>
      </c>
      <c r="D479" s="174">
        <v>45062</v>
      </c>
      <c r="E479" s="171">
        <v>2023</v>
      </c>
      <c r="F479" s="171">
        <v>5</v>
      </c>
      <c r="G479" s="171">
        <v>16</v>
      </c>
      <c r="H479" s="131"/>
      <c r="I479" s="176"/>
      <c r="J479" s="176"/>
      <c r="K479" s="171" t="s">
        <v>199</v>
      </c>
      <c r="L479" s="171" t="s">
        <v>56</v>
      </c>
      <c r="M479" s="171"/>
      <c r="N479" s="175">
        <v>0</v>
      </c>
      <c r="O479" s="171">
        <v>4</v>
      </c>
      <c r="P479" s="171">
        <v>0</v>
      </c>
      <c r="Q479" s="175">
        <v>0</v>
      </c>
      <c r="R479" s="6" t="s">
        <v>160</v>
      </c>
      <c r="S479" s="6" t="s">
        <v>161</v>
      </c>
      <c r="T479" s="6" t="s">
        <v>198</v>
      </c>
      <c r="U479" s="6" t="s">
        <v>172</v>
      </c>
      <c r="V479" s="6"/>
      <c r="W479" s="6" t="s">
        <v>317</v>
      </c>
      <c r="X479" s="6" t="s">
        <v>259</v>
      </c>
      <c r="Y479" s="6" t="s">
        <v>141</v>
      </c>
    </row>
    <row r="480" spans="1:25">
      <c r="A480" s="171">
        <v>21</v>
      </c>
      <c r="B480" s="174">
        <v>45047</v>
      </c>
      <c r="C480" s="174">
        <v>45064</v>
      </c>
      <c r="D480" s="174">
        <v>45063</v>
      </c>
      <c r="E480" s="171">
        <v>2023</v>
      </c>
      <c r="F480" s="171">
        <v>5</v>
      </c>
      <c r="G480" s="171">
        <v>17</v>
      </c>
      <c r="H480" s="131"/>
      <c r="I480" s="176"/>
      <c r="J480" s="176"/>
      <c r="K480" s="171" t="s">
        <v>199</v>
      </c>
      <c r="L480" s="171" t="s">
        <v>56</v>
      </c>
      <c r="M480" s="171">
        <v>444</v>
      </c>
      <c r="N480" s="175">
        <v>4</v>
      </c>
      <c r="O480" s="171">
        <v>4</v>
      </c>
      <c r="P480" s="171">
        <v>0</v>
      </c>
      <c r="Q480" s="175">
        <v>4</v>
      </c>
      <c r="R480" s="6" t="s">
        <v>160</v>
      </c>
      <c r="S480" s="6" t="s">
        <v>161</v>
      </c>
      <c r="T480" s="6" t="s">
        <v>198</v>
      </c>
      <c r="U480" s="6" t="s">
        <v>172</v>
      </c>
      <c r="V480" s="6"/>
      <c r="W480" s="6" t="s">
        <v>317</v>
      </c>
      <c r="X480" s="6" t="s">
        <v>259</v>
      </c>
      <c r="Y480" s="6" t="s">
        <v>141</v>
      </c>
    </row>
    <row r="481" spans="1:25">
      <c r="A481" s="171">
        <v>21</v>
      </c>
      <c r="B481" s="174">
        <v>45047</v>
      </c>
      <c r="C481" s="174">
        <v>45064</v>
      </c>
      <c r="D481" s="174">
        <v>45063</v>
      </c>
      <c r="E481" s="171">
        <v>2023</v>
      </c>
      <c r="F481" s="171">
        <v>5</v>
      </c>
      <c r="G481" s="171">
        <v>17</v>
      </c>
      <c r="H481" s="131"/>
      <c r="I481" s="176"/>
      <c r="J481" s="176"/>
      <c r="K481" s="171" t="s">
        <v>199</v>
      </c>
      <c r="L481" s="171" t="s">
        <v>56</v>
      </c>
      <c r="M481" s="171"/>
      <c r="N481" s="175">
        <v>0</v>
      </c>
      <c r="O481" s="171">
        <v>0</v>
      </c>
      <c r="P481" s="171">
        <v>0</v>
      </c>
      <c r="Q481" s="175">
        <v>0</v>
      </c>
      <c r="R481" s="6" t="s">
        <v>160</v>
      </c>
      <c r="S481" s="6" t="s">
        <v>256</v>
      </c>
      <c r="T481" s="6" t="s">
        <v>314</v>
      </c>
      <c r="U481" s="6" t="s">
        <v>240</v>
      </c>
      <c r="V481" s="6"/>
      <c r="W481" s="6" t="s">
        <v>309</v>
      </c>
      <c r="X481" s="6" t="s">
        <v>259</v>
      </c>
      <c r="Y481" s="6" t="s">
        <v>141</v>
      </c>
    </row>
    <row r="482" spans="1:25">
      <c r="A482" s="171">
        <v>21</v>
      </c>
      <c r="B482" s="174">
        <v>45047</v>
      </c>
      <c r="C482" s="174">
        <v>45065</v>
      </c>
      <c r="D482" s="174">
        <v>45064</v>
      </c>
      <c r="E482" s="171">
        <v>2023</v>
      </c>
      <c r="F482" s="171">
        <v>5</v>
      </c>
      <c r="G482" s="171">
        <v>18</v>
      </c>
      <c r="H482" s="131"/>
      <c r="I482" s="176"/>
      <c r="J482" s="176"/>
      <c r="K482" s="171" t="s">
        <v>199</v>
      </c>
      <c r="L482" s="171" t="s">
        <v>56</v>
      </c>
      <c r="M482" s="171">
        <v>388</v>
      </c>
      <c r="N482" s="175">
        <v>2</v>
      </c>
      <c r="O482" s="171">
        <v>2</v>
      </c>
      <c r="P482" s="171">
        <v>0</v>
      </c>
      <c r="Q482" s="175">
        <v>2</v>
      </c>
      <c r="R482" s="6" t="s">
        <v>160</v>
      </c>
      <c r="S482" s="6" t="s">
        <v>161</v>
      </c>
      <c r="T482" s="6" t="s">
        <v>198</v>
      </c>
      <c r="U482" s="6" t="s">
        <v>172</v>
      </c>
      <c r="V482" s="6"/>
      <c r="W482" s="6" t="s">
        <v>315</v>
      </c>
      <c r="X482" s="6" t="s">
        <v>259</v>
      </c>
      <c r="Y482" s="6" t="s">
        <v>141</v>
      </c>
    </row>
    <row r="483" spans="1:25">
      <c r="A483" s="171">
        <v>21</v>
      </c>
      <c r="B483" s="174">
        <v>45047</v>
      </c>
      <c r="C483" s="174">
        <v>45064</v>
      </c>
      <c r="D483" s="174">
        <v>45063</v>
      </c>
      <c r="E483" s="171">
        <v>2023</v>
      </c>
      <c r="F483" s="171">
        <v>5</v>
      </c>
      <c r="G483" s="171">
        <v>17</v>
      </c>
      <c r="H483" s="131"/>
      <c r="I483" s="176"/>
      <c r="J483" s="176"/>
      <c r="K483" s="171" t="s">
        <v>199</v>
      </c>
      <c r="L483" s="171" t="s">
        <v>56</v>
      </c>
      <c r="M483" s="171">
        <v>620</v>
      </c>
      <c r="N483" s="175">
        <v>0</v>
      </c>
      <c r="O483" s="171">
        <v>0</v>
      </c>
      <c r="P483" s="171">
        <v>0</v>
      </c>
      <c r="Q483" s="175">
        <v>0</v>
      </c>
      <c r="R483" s="6" t="s">
        <v>160</v>
      </c>
      <c r="S483" s="6" t="s">
        <v>256</v>
      </c>
      <c r="T483" s="6" t="s">
        <v>314</v>
      </c>
      <c r="U483" s="6" t="s">
        <v>240</v>
      </c>
      <c r="V483" s="6"/>
      <c r="W483" s="6" t="s">
        <v>309</v>
      </c>
      <c r="X483" s="6" t="s">
        <v>259</v>
      </c>
      <c r="Y483" s="6" t="s">
        <v>141</v>
      </c>
    </row>
    <row r="484" spans="1:25">
      <c r="A484" s="171">
        <v>21</v>
      </c>
      <c r="B484" s="174">
        <v>45047</v>
      </c>
      <c r="C484" s="174">
        <v>45064</v>
      </c>
      <c r="D484" s="174">
        <v>45063</v>
      </c>
      <c r="E484" s="171">
        <v>2023</v>
      </c>
      <c r="F484" s="171">
        <v>5</v>
      </c>
      <c r="G484" s="171">
        <v>17</v>
      </c>
      <c r="H484" s="131"/>
      <c r="I484" s="176"/>
      <c r="J484" s="176"/>
      <c r="K484" s="171" t="s">
        <v>199</v>
      </c>
      <c r="L484" s="171" t="s">
        <v>56</v>
      </c>
      <c r="M484" s="171">
        <v>438</v>
      </c>
      <c r="N484" s="175">
        <v>8</v>
      </c>
      <c r="O484" s="171">
        <v>0</v>
      </c>
      <c r="P484" s="171">
        <v>0</v>
      </c>
      <c r="Q484" s="175">
        <v>8</v>
      </c>
      <c r="R484" s="6" t="s">
        <v>160</v>
      </c>
      <c r="S484" s="6" t="s">
        <v>256</v>
      </c>
      <c r="T484" s="6" t="s">
        <v>314</v>
      </c>
      <c r="U484" s="6" t="s">
        <v>240</v>
      </c>
      <c r="V484" s="6"/>
      <c r="W484" s="6" t="s">
        <v>306</v>
      </c>
      <c r="X484" s="6" t="s">
        <v>259</v>
      </c>
      <c r="Y484" s="6" t="s">
        <v>141</v>
      </c>
    </row>
    <row r="485" spans="1:25">
      <c r="A485" s="171">
        <v>21</v>
      </c>
      <c r="B485" s="174">
        <v>45047</v>
      </c>
      <c r="C485" s="174">
        <v>45064</v>
      </c>
      <c r="D485" s="174">
        <v>45063</v>
      </c>
      <c r="E485" s="171">
        <v>2023</v>
      </c>
      <c r="F485" s="171">
        <v>5</v>
      </c>
      <c r="G485" s="171">
        <v>17</v>
      </c>
      <c r="H485" s="131"/>
      <c r="I485" s="176"/>
      <c r="J485" s="176"/>
      <c r="K485" s="171" t="s">
        <v>199</v>
      </c>
      <c r="L485" s="171" t="s">
        <v>56</v>
      </c>
      <c r="M485" s="171"/>
      <c r="N485" s="175">
        <v>0</v>
      </c>
      <c r="O485" s="171">
        <v>8</v>
      </c>
      <c r="P485" s="171">
        <v>0</v>
      </c>
      <c r="Q485" s="175">
        <v>0</v>
      </c>
      <c r="R485" s="6" t="s">
        <v>160</v>
      </c>
      <c r="S485" s="6" t="s">
        <v>161</v>
      </c>
      <c r="T485" s="6" t="s">
        <v>198</v>
      </c>
      <c r="U485" s="6" t="s">
        <v>172</v>
      </c>
      <c r="V485" s="6"/>
      <c r="W485" s="6" t="s">
        <v>332</v>
      </c>
      <c r="X485" s="6" t="s">
        <v>259</v>
      </c>
      <c r="Y485" s="6" t="s">
        <v>141</v>
      </c>
    </row>
    <row r="486" spans="1:25">
      <c r="A486" s="171">
        <v>21</v>
      </c>
      <c r="B486" s="174">
        <v>45047</v>
      </c>
      <c r="C486" s="174">
        <v>45065</v>
      </c>
      <c r="D486" s="174">
        <v>45064</v>
      </c>
      <c r="E486" s="171">
        <v>2023</v>
      </c>
      <c r="F486" s="171">
        <v>5</v>
      </c>
      <c r="G486" s="171">
        <v>18</v>
      </c>
      <c r="H486" s="131"/>
      <c r="I486" s="176"/>
      <c r="J486" s="176"/>
      <c r="K486" s="171" t="s">
        <v>199</v>
      </c>
      <c r="L486" s="171" t="s">
        <v>56</v>
      </c>
      <c r="M486" s="171"/>
      <c r="N486" s="175">
        <v>0</v>
      </c>
      <c r="O486" s="171">
        <v>1</v>
      </c>
      <c r="P486" s="171">
        <v>0</v>
      </c>
      <c r="Q486" s="175">
        <v>0</v>
      </c>
      <c r="R486" s="6" t="s">
        <v>160</v>
      </c>
      <c r="S486" s="6" t="s">
        <v>161</v>
      </c>
      <c r="T486" s="6" t="s">
        <v>314</v>
      </c>
      <c r="U486" s="6" t="s">
        <v>236</v>
      </c>
      <c r="V486" s="6"/>
      <c r="W486" s="6" t="s">
        <v>307</v>
      </c>
      <c r="X486" s="6" t="s">
        <v>259</v>
      </c>
      <c r="Y486" s="6" t="s">
        <v>141</v>
      </c>
    </row>
    <row r="487" spans="1:25">
      <c r="A487" s="171">
        <v>21</v>
      </c>
      <c r="B487" s="174">
        <v>45047</v>
      </c>
      <c r="C487" s="174">
        <v>45065</v>
      </c>
      <c r="D487" s="174">
        <v>45064</v>
      </c>
      <c r="E487" s="171">
        <v>2023</v>
      </c>
      <c r="F487" s="171">
        <v>5</v>
      </c>
      <c r="G487" s="171">
        <v>18</v>
      </c>
      <c r="H487" s="131"/>
      <c r="I487" s="176"/>
      <c r="J487" s="176"/>
      <c r="K487" s="171" t="s">
        <v>199</v>
      </c>
      <c r="L487" s="171" t="s">
        <v>56</v>
      </c>
      <c r="M487" s="171">
        <v>421</v>
      </c>
      <c r="N487" s="175">
        <v>7</v>
      </c>
      <c r="O487" s="171">
        <v>6</v>
      </c>
      <c r="P487" s="171">
        <v>0</v>
      </c>
      <c r="Q487" s="175">
        <v>7</v>
      </c>
      <c r="R487" s="6" t="s">
        <v>160</v>
      </c>
      <c r="S487" s="6" t="s">
        <v>161</v>
      </c>
      <c r="T487" s="6" t="s">
        <v>198</v>
      </c>
      <c r="U487" s="6" t="s">
        <v>172</v>
      </c>
      <c r="V487" s="6"/>
      <c r="W487" s="6" t="s">
        <v>333</v>
      </c>
      <c r="X487" s="6" t="s">
        <v>259</v>
      </c>
      <c r="Y487" s="6" t="s">
        <v>141</v>
      </c>
    </row>
    <row r="488" spans="1:25">
      <c r="A488" s="171">
        <v>21</v>
      </c>
      <c r="B488" s="174">
        <v>45047</v>
      </c>
      <c r="C488" s="174">
        <v>45065</v>
      </c>
      <c r="D488" s="174">
        <v>45064</v>
      </c>
      <c r="E488" s="171">
        <v>2023</v>
      </c>
      <c r="F488" s="171">
        <v>5</v>
      </c>
      <c r="G488" s="171">
        <v>18</v>
      </c>
      <c r="H488" s="131"/>
      <c r="I488" s="176"/>
      <c r="J488" s="176"/>
      <c r="K488" s="171" t="s">
        <v>199</v>
      </c>
      <c r="L488" s="171" t="s">
        <v>56</v>
      </c>
      <c r="M488" s="171"/>
      <c r="N488" s="175">
        <v>0</v>
      </c>
      <c r="O488" s="171">
        <v>0</v>
      </c>
      <c r="P488" s="171">
        <v>0</v>
      </c>
      <c r="Q488" s="175">
        <v>0</v>
      </c>
      <c r="R488" s="6" t="s">
        <v>160</v>
      </c>
      <c r="S488" s="6" t="s">
        <v>256</v>
      </c>
      <c r="T488" s="6" t="s">
        <v>314</v>
      </c>
      <c r="U488" s="6" t="s">
        <v>240</v>
      </c>
      <c r="V488" s="6"/>
      <c r="W488" s="6" t="s">
        <v>334</v>
      </c>
      <c r="X488" s="6" t="s">
        <v>259</v>
      </c>
      <c r="Y488" s="6" t="s">
        <v>141</v>
      </c>
    </row>
    <row r="489" spans="1:25">
      <c r="A489" s="171">
        <v>21</v>
      </c>
      <c r="B489" s="174">
        <v>45047</v>
      </c>
      <c r="C489" s="174">
        <v>45062</v>
      </c>
      <c r="D489" s="174">
        <v>45061</v>
      </c>
      <c r="E489" s="171">
        <v>2023</v>
      </c>
      <c r="F489" s="171">
        <v>5</v>
      </c>
      <c r="G489" s="171">
        <v>15</v>
      </c>
      <c r="H489" s="131"/>
      <c r="I489" s="176"/>
      <c r="J489" s="176"/>
      <c r="K489" s="171"/>
      <c r="L489" s="171" t="s">
        <v>56</v>
      </c>
      <c r="M489" s="171">
        <v>5001</v>
      </c>
      <c r="N489" s="175">
        <v>1</v>
      </c>
      <c r="O489" s="171">
        <v>1</v>
      </c>
      <c r="P489" s="171">
        <v>0</v>
      </c>
      <c r="Q489" s="175">
        <v>1</v>
      </c>
      <c r="R489" s="6" t="s">
        <v>160</v>
      </c>
      <c r="S489" s="6" t="s">
        <v>161</v>
      </c>
      <c r="T489" s="6" t="s">
        <v>253</v>
      </c>
      <c r="U489" s="6" t="s">
        <v>233</v>
      </c>
      <c r="V489" s="6"/>
      <c r="W489" s="6"/>
      <c r="X489" s="6" t="s">
        <v>259</v>
      </c>
      <c r="Y489" s="6" t="s">
        <v>141</v>
      </c>
    </row>
    <row r="490" spans="1:25">
      <c r="A490" s="171">
        <v>21</v>
      </c>
      <c r="B490" s="174">
        <v>45047</v>
      </c>
      <c r="C490" s="174">
        <v>45062</v>
      </c>
      <c r="D490" s="174">
        <v>45061</v>
      </c>
      <c r="E490" s="171">
        <v>2023</v>
      </c>
      <c r="F490" s="171">
        <v>5</v>
      </c>
      <c r="G490" s="171">
        <v>15</v>
      </c>
      <c r="H490" s="131"/>
      <c r="I490" s="176"/>
      <c r="J490" s="176"/>
      <c r="K490" s="171" t="s">
        <v>199</v>
      </c>
      <c r="L490" s="171" t="s">
        <v>56</v>
      </c>
      <c r="M490" s="171">
        <v>355</v>
      </c>
      <c r="N490" s="175">
        <v>0</v>
      </c>
      <c r="O490" s="171">
        <v>0</v>
      </c>
      <c r="P490" s="171">
        <v>0</v>
      </c>
      <c r="Q490" s="175">
        <v>0</v>
      </c>
      <c r="R490" s="6" t="s">
        <v>160</v>
      </c>
      <c r="S490" s="6" t="s">
        <v>256</v>
      </c>
      <c r="T490" s="6" t="s">
        <v>314</v>
      </c>
      <c r="U490" s="6" t="s">
        <v>240</v>
      </c>
      <c r="V490" s="6" t="s">
        <v>268</v>
      </c>
      <c r="W490" s="6"/>
      <c r="X490" s="6" t="s">
        <v>259</v>
      </c>
      <c r="Y490" s="6" t="s">
        <v>141</v>
      </c>
    </row>
    <row r="491" spans="1:25">
      <c r="A491" s="171">
        <v>21</v>
      </c>
      <c r="B491" s="174">
        <v>45047</v>
      </c>
      <c r="C491" s="174">
        <v>45062</v>
      </c>
      <c r="D491" s="174">
        <v>45061</v>
      </c>
      <c r="E491" s="171">
        <v>2023</v>
      </c>
      <c r="F491" s="171">
        <v>5</v>
      </c>
      <c r="G491" s="171">
        <v>15</v>
      </c>
      <c r="H491" s="131"/>
      <c r="I491" s="176"/>
      <c r="J491" s="176"/>
      <c r="K491" s="171" t="s">
        <v>199</v>
      </c>
      <c r="L491" s="171" t="s">
        <v>56</v>
      </c>
      <c r="M491" s="171">
        <v>225</v>
      </c>
      <c r="N491" s="175">
        <v>0</v>
      </c>
      <c r="O491" s="171">
        <v>0</v>
      </c>
      <c r="P491" s="171">
        <v>0</v>
      </c>
      <c r="Q491" s="175">
        <v>0</v>
      </c>
      <c r="R491" s="6" t="s">
        <v>160</v>
      </c>
      <c r="S491" s="6" t="s">
        <v>256</v>
      </c>
      <c r="T491" s="6" t="s">
        <v>314</v>
      </c>
      <c r="U491" s="6" t="s">
        <v>240</v>
      </c>
      <c r="V491" s="6" t="s">
        <v>268</v>
      </c>
      <c r="W491" s="6"/>
      <c r="X491" s="6" t="s">
        <v>259</v>
      </c>
      <c r="Y491" s="6" t="s">
        <v>141</v>
      </c>
    </row>
    <row r="492" spans="1:25">
      <c r="A492" s="171">
        <v>21</v>
      </c>
      <c r="B492" s="174">
        <v>45047</v>
      </c>
      <c r="C492" s="174">
        <v>45063</v>
      </c>
      <c r="D492" s="174">
        <v>45062</v>
      </c>
      <c r="E492" s="171">
        <v>2023</v>
      </c>
      <c r="F492" s="171">
        <v>5</v>
      </c>
      <c r="G492" s="171">
        <v>16</v>
      </c>
      <c r="H492" s="131"/>
      <c r="I492" s="176"/>
      <c r="J492" s="176"/>
      <c r="K492" s="171" t="s">
        <v>199</v>
      </c>
      <c r="L492" s="171" t="s">
        <v>56</v>
      </c>
      <c r="M492" s="171">
        <v>620</v>
      </c>
      <c r="N492" s="175">
        <v>0</v>
      </c>
      <c r="O492" s="171">
        <v>0</v>
      </c>
      <c r="P492" s="171">
        <v>0</v>
      </c>
      <c r="Q492" s="175">
        <v>0</v>
      </c>
      <c r="R492" s="6" t="s">
        <v>160</v>
      </c>
      <c r="S492" s="6" t="s">
        <v>256</v>
      </c>
      <c r="T492" s="6" t="s">
        <v>314</v>
      </c>
      <c r="U492" s="6" t="s">
        <v>240</v>
      </c>
      <c r="V492" s="6"/>
      <c r="W492" s="6" t="s">
        <v>309</v>
      </c>
      <c r="X492" s="6" t="s">
        <v>259</v>
      </c>
      <c r="Y492" s="6" t="s">
        <v>141</v>
      </c>
    </row>
    <row r="493" spans="1:25">
      <c r="A493" s="171">
        <v>21</v>
      </c>
      <c r="B493" s="174">
        <v>45047</v>
      </c>
      <c r="C493" s="174">
        <v>45063</v>
      </c>
      <c r="D493" s="174">
        <v>45062</v>
      </c>
      <c r="E493" s="171">
        <v>2023</v>
      </c>
      <c r="F493" s="171">
        <v>5</v>
      </c>
      <c r="G493" s="171">
        <v>16</v>
      </c>
      <c r="H493" s="131"/>
      <c r="I493" s="176"/>
      <c r="J493" s="176"/>
      <c r="K493" s="171" t="s">
        <v>199</v>
      </c>
      <c r="L493" s="171" t="s">
        <v>56</v>
      </c>
      <c r="M493" s="171">
        <v>322</v>
      </c>
      <c r="N493" s="175">
        <v>7</v>
      </c>
      <c r="O493" s="171">
        <v>0</v>
      </c>
      <c r="P493" s="171">
        <v>0</v>
      </c>
      <c r="Q493" s="175">
        <v>7</v>
      </c>
      <c r="R493" s="6" t="s">
        <v>160</v>
      </c>
      <c r="S493" s="6" t="s">
        <v>256</v>
      </c>
      <c r="T493" s="6" t="s">
        <v>314</v>
      </c>
      <c r="U493" s="6" t="s">
        <v>240</v>
      </c>
      <c r="V493" s="6"/>
      <c r="W493" s="6" t="s">
        <v>268</v>
      </c>
      <c r="X493" s="6" t="s">
        <v>259</v>
      </c>
      <c r="Y493" s="6" t="s">
        <v>141</v>
      </c>
    </row>
    <row r="494" spans="1:25">
      <c r="A494" s="171">
        <v>21</v>
      </c>
      <c r="B494" s="174">
        <v>45047</v>
      </c>
      <c r="C494" s="174">
        <v>45063</v>
      </c>
      <c r="D494" s="174">
        <v>45062</v>
      </c>
      <c r="E494" s="171">
        <v>2023</v>
      </c>
      <c r="F494" s="171">
        <v>5</v>
      </c>
      <c r="G494" s="171">
        <v>16</v>
      </c>
      <c r="H494" s="131"/>
      <c r="I494" s="176"/>
      <c r="J494" s="176"/>
      <c r="K494" s="171" t="s">
        <v>199</v>
      </c>
      <c r="L494" s="171" t="s">
        <v>56</v>
      </c>
      <c r="M494" s="171"/>
      <c r="N494" s="175">
        <v>0</v>
      </c>
      <c r="O494" s="171">
        <v>5</v>
      </c>
      <c r="P494" s="171">
        <v>0</v>
      </c>
      <c r="Q494" s="175">
        <v>0</v>
      </c>
      <c r="R494" s="6" t="s">
        <v>160</v>
      </c>
      <c r="S494" s="6" t="s">
        <v>161</v>
      </c>
      <c r="T494" s="6" t="s">
        <v>198</v>
      </c>
      <c r="U494" s="6" t="s">
        <v>172</v>
      </c>
      <c r="V494" s="6"/>
      <c r="W494" s="6" t="s">
        <v>316</v>
      </c>
      <c r="X494" s="6" t="s">
        <v>259</v>
      </c>
      <c r="Y494" s="6" t="s">
        <v>141</v>
      </c>
    </row>
    <row r="495" spans="1:25">
      <c r="A495" s="171">
        <v>21</v>
      </c>
      <c r="B495" s="174">
        <v>45047</v>
      </c>
      <c r="C495" s="174">
        <v>45062</v>
      </c>
      <c r="D495" s="174">
        <v>45061</v>
      </c>
      <c r="E495" s="171">
        <v>2023</v>
      </c>
      <c r="F495" s="171">
        <v>5</v>
      </c>
      <c r="G495" s="171">
        <v>15</v>
      </c>
      <c r="H495" s="131"/>
      <c r="I495" s="176"/>
      <c r="J495" s="176"/>
      <c r="K495" s="171" t="s">
        <v>199</v>
      </c>
      <c r="L495" s="171" t="s">
        <v>56</v>
      </c>
      <c r="M495" s="171">
        <v>540</v>
      </c>
      <c r="N495" s="175">
        <v>0</v>
      </c>
      <c r="O495" s="171">
        <v>0</v>
      </c>
      <c r="P495" s="171">
        <v>0</v>
      </c>
      <c r="Q495" s="175">
        <v>0</v>
      </c>
      <c r="R495" s="6" t="s">
        <v>160</v>
      </c>
      <c r="S495" s="6" t="s">
        <v>256</v>
      </c>
      <c r="T495" s="6" t="s">
        <v>314</v>
      </c>
      <c r="U495" s="6" t="s">
        <v>240</v>
      </c>
      <c r="V495" s="6" t="s">
        <v>269</v>
      </c>
      <c r="W495" s="6"/>
      <c r="X495" s="6" t="s">
        <v>259</v>
      </c>
      <c r="Y495" s="6" t="s">
        <v>141</v>
      </c>
    </row>
    <row r="496" spans="1:25">
      <c r="A496" s="171">
        <v>21</v>
      </c>
      <c r="B496" s="174">
        <v>45047</v>
      </c>
      <c r="C496" s="174">
        <v>45062</v>
      </c>
      <c r="D496" s="174">
        <v>45061</v>
      </c>
      <c r="E496" s="171">
        <v>2023</v>
      </c>
      <c r="F496" s="171">
        <v>5</v>
      </c>
      <c r="G496" s="171">
        <v>15</v>
      </c>
      <c r="H496" s="131"/>
      <c r="I496" s="176"/>
      <c r="J496" s="176"/>
      <c r="K496" s="171" t="s">
        <v>199</v>
      </c>
      <c r="L496" s="171" t="s">
        <v>56</v>
      </c>
      <c r="M496" s="171">
        <v>540</v>
      </c>
      <c r="N496" s="175">
        <v>0</v>
      </c>
      <c r="O496" s="171">
        <v>0</v>
      </c>
      <c r="P496" s="171">
        <v>0</v>
      </c>
      <c r="Q496" s="175">
        <v>0</v>
      </c>
      <c r="R496" s="6" t="s">
        <v>160</v>
      </c>
      <c r="S496" s="6" t="s">
        <v>256</v>
      </c>
      <c r="T496" s="6" t="s">
        <v>314</v>
      </c>
      <c r="U496" s="6" t="s">
        <v>240</v>
      </c>
      <c r="V496" s="6" t="s">
        <v>269</v>
      </c>
      <c r="W496" s="6"/>
      <c r="X496" s="6" t="s">
        <v>259</v>
      </c>
      <c r="Y496" s="6" t="s">
        <v>141</v>
      </c>
    </row>
    <row r="497" spans="1:25">
      <c r="A497" s="171">
        <v>21</v>
      </c>
      <c r="B497" s="174">
        <v>45047</v>
      </c>
      <c r="C497" s="174">
        <v>45063</v>
      </c>
      <c r="D497" s="174">
        <v>45062</v>
      </c>
      <c r="E497" s="171">
        <v>2023</v>
      </c>
      <c r="F497" s="171">
        <v>5</v>
      </c>
      <c r="G497" s="171">
        <v>16</v>
      </c>
      <c r="H497" s="131"/>
      <c r="I497" s="176"/>
      <c r="J497" s="176"/>
      <c r="K497" s="171" t="s">
        <v>199</v>
      </c>
      <c r="L497" s="171" t="s">
        <v>56</v>
      </c>
      <c r="M497" s="171">
        <v>620</v>
      </c>
      <c r="N497" s="175">
        <v>0</v>
      </c>
      <c r="O497" s="171">
        <v>0</v>
      </c>
      <c r="P497" s="171">
        <v>0</v>
      </c>
      <c r="Q497" s="175">
        <v>0</v>
      </c>
      <c r="R497" s="6" t="s">
        <v>160</v>
      </c>
      <c r="S497" s="6" t="s">
        <v>256</v>
      </c>
      <c r="T497" s="6" t="s">
        <v>314</v>
      </c>
      <c r="U497" s="6" t="s">
        <v>240</v>
      </c>
      <c r="V497" s="6"/>
      <c r="W497" s="6" t="s">
        <v>309</v>
      </c>
      <c r="X497" s="6" t="s">
        <v>259</v>
      </c>
      <c r="Y497" s="6" t="s">
        <v>141</v>
      </c>
    </row>
    <row r="498" spans="1:25">
      <c r="A498" s="171">
        <v>21</v>
      </c>
      <c r="B498" s="174">
        <v>45047</v>
      </c>
      <c r="C498" s="174">
        <v>45063</v>
      </c>
      <c r="D498" s="174">
        <v>45062</v>
      </c>
      <c r="E498" s="171">
        <v>2023</v>
      </c>
      <c r="F498" s="171">
        <v>5</v>
      </c>
      <c r="G498" s="171">
        <v>16</v>
      </c>
      <c r="H498" s="131"/>
      <c r="I498" s="176"/>
      <c r="J498" s="176"/>
      <c r="K498" s="171"/>
      <c r="L498" s="171" t="s">
        <v>56</v>
      </c>
      <c r="M498" s="171">
        <v>2850</v>
      </c>
      <c r="N498" s="175">
        <v>0</v>
      </c>
      <c r="O498" s="171">
        <v>0</v>
      </c>
      <c r="P498" s="171">
        <v>0</v>
      </c>
      <c r="Q498" s="175">
        <v>0</v>
      </c>
      <c r="R498" s="6"/>
      <c r="S498" s="6"/>
      <c r="T498" s="6"/>
      <c r="U498" s="6"/>
      <c r="V498" s="6"/>
      <c r="W498" s="6"/>
      <c r="X498" s="6" t="s">
        <v>259</v>
      </c>
      <c r="Y498" s="6" t="s">
        <v>141</v>
      </c>
    </row>
    <row r="499" spans="1:25">
      <c r="A499" s="171">
        <v>21</v>
      </c>
      <c r="B499" s="174">
        <v>45047</v>
      </c>
      <c r="C499" s="174">
        <v>45063</v>
      </c>
      <c r="D499" s="174">
        <v>45062</v>
      </c>
      <c r="E499" s="171">
        <v>2023</v>
      </c>
      <c r="F499" s="171">
        <v>5</v>
      </c>
      <c r="G499" s="171">
        <v>16</v>
      </c>
      <c r="H499" s="131"/>
      <c r="I499" s="176"/>
      <c r="J499" s="176"/>
      <c r="K499" s="171"/>
      <c r="L499" s="171" t="s">
        <v>56</v>
      </c>
      <c r="M499" s="171">
        <v>1500</v>
      </c>
      <c r="N499" s="175">
        <v>0</v>
      </c>
      <c r="O499" s="171">
        <v>0</v>
      </c>
      <c r="P499" s="171">
        <v>0</v>
      </c>
      <c r="Q499" s="175">
        <v>0</v>
      </c>
      <c r="R499" s="6"/>
      <c r="S499" s="6"/>
      <c r="T499" s="6"/>
      <c r="U499" s="6"/>
      <c r="V499" s="6"/>
      <c r="W499" s="6"/>
      <c r="X499" s="6" t="s">
        <v>259</v>
      </c>
      <c r="Y499" s="6" t="s">
        <v>141</v>
      </c>
    </row>
    <row r="500" spans="1:25">
      <c r="A500" s="171">
        <v>21</v>
      </c>
      <c r="B500" s="174">
        <v>45047</v>
      </c>
      <c r="C500" s="174">
        <v>45063</v>
      </c>
      <c r="D500" s="174">
        <v>45062</v>
      </c>
      <c r="E500" s="171">
        <v>2023</v>
      </c>
      <c r="F500" s="171">
        <v>5</v>
      </c>
      <c r="G500" s="171">
        <v>16</v>
      </c>
      <c r="H500" s="131"/>
      <c r="I500" s="176"/>
      <c r="J500" s="176"/>
      <c r="K500" s="171"/>
      <c r="L500" s="171" t="s">
        <v>56</v>
      </c>
      <c r="M500" s="171">
        <v>4100</v>
      </c>
      <c r="N500" s="175">
        <v>0</v>
      </c>
      <c r="O500" s="171">
        <v>0</v>
      </c>
      <c r="P500" s="171">
        <v>0</v>
      </c>
      <c r="Q500" s="175">
        <v>0</v>
      </c>
      <c r="R500" s="6"/>
      <c r="S500" s="6"/>
      <c r="T500" s="6"/>
      <c r="U500" s="6"/>
      <c r="V500" s="6"/>
      <c r="W500" s="6"/>
      <c r="X500" s="6" t="s">
        <v>259</v>
      </c>
      <c r="Y500" s="6" t="s">
        <v>141</v>
      </c>
    </row>
    <row r="501" spans="1:25">
      <c r="A501" s="171">
        <v>21</v>
      </c>
      <c r="B501" s="174">
        <v>45047</v>
      </c>
      <c r="C501" s="174">
        <v>45063</v>
      </c>
      <c r="D501" s="174">
        <v>45062</v>
      </c>
      <c r="E501" s="171">
        <v>2023</v>
      </c>
      <c r="F501" s="171">
        <v>5</v>
      </c>
      <c r="G501" s="171">
        <v>16</v>
      </c>
      <c r="H501" s="131"/>
      <c r="I501" s="176"/>
      <c r="J501" s="176"/>
      <c r="K501" s="171"/>
      <c r="L501" s="171" t="s">
        <v>56</v>
      </c>
      <c r="M501" s="171"/>
      <c r="N501" s="175">
        <v>0</v>
      </c>
      <c r="O501" s="171">
        <v>2</v>
      </c>
      <c r="P501" s="171">
        <v>0</v>
      </c>
      <c r="Q501" s="175">
        <v>0</v>
      </c>
      <c r="R501" s="6" t="s">
        <v>160</v>
      </c>
      <c r="S501" s="6" t="s">
        <v>205</v>
      </c>
      <c r="T501" s="6" t="s">
        <v>314</v>
      </c>
      <c r="U501" s="6" t="s">
        <v>322</v>
      </c>
      <c r="V501" s="6"/>
      <c r="W501" s="6"/>
      <c r="X501" s="6" t="s">
        <v>259</v>
      </c>
      <c r="Y501" s="6" t="s">
        <v>141</v>
      </c>
    </row>
    <row r="502" spans="1:25">
      <c r="A502" s="171">
        <v>21</v>
      </c>
      <c r="B502" s="174">
        <v>45047</v>
      </c>
      <c r="C502" s="174">
        <v>45063</v>
      </c>
      <c r="D502" s="174">
        <v>45062</v>
      </c>
      <c r="E502" s="171">
        <v>2023</v>
      </c>
      <c r="F502" s="171">
        <v>5</v>
      </c>
      <c r="G502" s="171">
        <v>16</v>
      </c>
      <c r="H502" s="131"/>
      <c r="I502" s="176"/>
      <c r="J502" s="176"/>
      <c r="K502" s="171"/>
      <c r="L502" s="171" t="s">
        <v>56</v>
      </c>
      <c r="M502" s="171">
        <v>1003</v>
      </c>
      <c r="N502" s="175">
        <v>3</v>
      </c>
      <c r="O502" s="171">
        <v>1</v>
      </c>
      <c r="P502" s="171">
        <v>0</v>
      </c>
      <c r="Q502" s="175">
        <v>3</v>
      </c>
      <c r="R502" s="6" t="s">
        <v>160</v>
      </c>
      <c r="S502" s="6" t="s">
        <v>161</v>
      </c>
      <c r="T502" s="6" t="s">
        <v>198</v>
      </c>
      <c r="U502" s="6" t="s">
        <v>172</v>
      </c>
      <c r="V502" s="6"/>
      <c r="W502" s="6"/>
      <c r="X502" s="6" t="s">
        <v>259</v>
      </c>
      <c r="Y502" s="6" t="s">
        <v>141</v>
      </c>
    </row>
    <row r="503" spans="1:25">
      <c r="A503" s="171">
        <v>21</v>
      </c>
      <c r="B503" s="174">
        <v>45047</v>
      </c>
      <c r="C503" s="174">
        <v>45062</v>
      </c>
      <c r="D503" s="174">
        <v>45061</v>
      </c>
      <c r="E503" s="171">
        <v>2023</v>
      </c>
      <c r="F503" s="171">
        <v>5</v>
      </c>
      <c r="G503" s="171">
        <v>15</v>
      </c>
      <c r="H503" s="131"/>
      <c r="I503" s="176"/>
      <c r="J503" s="176"/>
      <c r="K503" s="171"/>
      <c r="L503" s="171" t="s">
        <v>56</v>
      </c>
      <c r="M503" s="171">
        <v>2000</v>
      </c>
      <c r="N503" s="175">
        <v>0</v>
      </c>
      <c r="O503" s="171">
        <v>0</v>
      </c>
      <c r="P503" s="171">
        <v>0</v>
      </c>
      <c r="Q503" s="175">
        <v>0</v>
      </c>
      <c r="R503" s="6"/>
      <c r="S503" s="6"/>
      <c r="T503" s="6"/>
      <c r="U503" s="6"/>
      <c r="V503" s="6"/>
      <c r="W503" s="6"/>
      <c r="X503" s="6" t="s">
        <v>259</v>
      </c>
      <c r="Y503" s="6" t="s">
        <v>141</v>
      </c>
    </row>
    <row r="504" spans="1:25">
      <c r="A504" s="171">
        <v>21</v>
      </c>
      <c r="B504" s="174">
        <v>45047</v>
      </c>
      <c r="C504" s="174">
        <v>45062</v>
      </c>
      <c r="D504" s="174">
        <v>45061</v>
      </c>
      <c r="E504" s="171">
        <v>2023</v>
      </c>
      <c r="F504" s="171">
        <v>5</v>
      </c>
      <c r="G504" s="171">
        <v>15</v>
      </c>
      <c r="H504" s="131"/>
      <c r="I504" s="176"/>
      <c r="J504" s="176"/>
      <c r="K504" s="171"/>
      <c r="L504" s="171" t="s">
        <v>56</v>
      </c>
      <c r="M504" s="171">
        <v>200</v>
      </c>
      <c r="N504" s="175">
        <v>0</v>
      </c>
      <c r="O504" s="171">
        <v>0</v>
      </c>
      <c r="P504" s="171">
        <v>0</v>
      </c>
      <c r="Q504" s="175">
        <v>0</v>
      </c>
      <c r="R504" s="6"/>
      <c r="S504" s="6"/>
      <c r="T504" s="6"/>
      <c r="U504" s="6"/>
      <c r="V504" s="6"/>
      <c r="W504" s="6"/>
      <c r="X504" s="6" t="s">
        <v>259</v>
      </c>
      <c r="Y504" s="6" t="s">
        <v>141</v>
      </c>
    </row>
    <row r="505" spans="1:25">
      <c r="A505" s="171">
        <v>21</v>
      </c>
      <c r="B505" s="174">
        <v>45047</v>
      </c>
      <c r="C505" s="174">
        <v>45062</v>
      </c>
      <c r="D505" s="174">
        <v>45061</v>
      </c>
      <c r="E505" s="171">
        <v>2023</v>
      </c>
      <c r="F505" s="171">
        <v>5</v>
      </c>
      <c r="G505" s="171">
        <v>15</v>
      </c>
      <c r="H505" s="131"/>
      <c r="I505" s="176"/>
      <c r="J505" s="176"/>
      <c r="K505" s="171"/>
      <c r="L505" s="171" t="s">
        <v>56</v>
      </c>
      <c r="M505" s="171">
        <v>920</v>
      </c>
      <c r="N505" s="175">
        <v>0</v>
      </c>
      <c r="O505" s="171">
        <v>0</v>
      </c>
      <c r="P505" s="171">
        <v>0</v>
      </c>
      <c r="Q505" s="175">
        <v>0</v>
      </c>
      <c r="R505" s="6"/>
      <c r="S505" s="6"/>
      <c r="T505" s="6"/>
      <c r="U505" s="6"/>
      <c r="V505" s="6"/>
      <c r="W505" s="6"/>
      <c r="X505" s="6" t="s">
        <v>259</v>
      </c>
      <c r="Y505" s="6" t="s">
        <v>141</v>
      </c>
    </row>
    <row r="506" spans="1:25">
      <c r="A506" s="171">
        <v>21</v>
      </c>
      <c r="B506" s="174">
        <v>45047</v>
      </c>
      <c r="C506" s="174">
        <v>45062</v>
      </c>
      <c r="D506" s="174">
        <v>45061</v>
      </c>
      <c r="E506" s="171">
        <v>2023</v>
      </c>
      <c r="F506" s="171">
        <v>5</v>
      </c>
      <c r="G506" s="171">
        <v>15</v>
      </c>
      <c r="H506" s="131"/>
      <c r="I506" s="176"/>
      <c r="J506" s="176"/>
      <c r="K506" s="171"/>
      <c r="L506" s="171" t="s">
        <v>56</v>
      </c>
      <c r="M506" s="171">
        <v>300</v>
      </c>
      <c r="N506" s="175">
        <v>0</v>
      </c>
      <c r="O506" s="171">
        <v>0</v>
      </c>
      <c r="P506" s="171">
        <v>0</v>
      </c>
      <c r="Q506" s="175">
        <v>0</v>
      </c>
      <c r="R506" s="6"/>
      <c r="S506" s="6"/>
      <c r="T506" s="6"/>
      <c r="U506" s="6"/>
      <c r="V506" s="6"/>
      <c r="W506" s="6"/>
      <c r="X506" s="6" t="s">
        <v>259</v>
      </c>
      <c r="Y506" s="6" t="s">
        <v>141</v>
      </c>
    </row>
    <row r="507" spans="1:25">
      <c r="A507" s="171">
        <v>21</v>
      </c>
      <c r="B507" s="174">
        <v>45047</v>
      </c>
      <c r="C507" s="174">
        <v>45062</v>
      </c>
      <c r="D507" s="174">
        <v>45061</v>
      </c>
      <c r="E507" s="171">
        <v>2023</v>
      </c>
      <c r="F507" s="171">
        <v>5</v>
      </c>
      <c r="G507" s="171">
        <v>15</v>
      </c>
      <c r="H507" s="131"/>
      <c r="I507" s="176"/>
      <c r="J507" s="176"/>
      <c r="K507" s="171"/>
      <c r="L507" s="171" t="s">
        <v>56</v>
      </c>
      <c r="M507" s="171">
        <v>300</v>
      </c>
      <c r="N507" s="175">
        <v>0</v>
      </c>
      <c r="O507" s="171">
        <v>0</v>
      </c>
      <c r="P507" s="171">
        <v>0</v>
      </c>
      <c r="Q507" s="175">
        <v>0</v>
      </c>
      <c r="R507" s="6"/>
      <c r="S507" s="6"/>
      <c r="T507" s="6"/>
      <c r="U507" s="6"/>
      <c r="V507" s="6"/>
      <c r="W507" s="6"/>
      <c r="X507" s="6" t="s">
        <v>259</v>
      </c>
      <c r="Y507" s="6" t="s">
        <v>141</v>
      </c>
    </row>
    <row r="508" spans="1:25">
      <c r="A508" s="171">
        <v>21</v>
      </c>
      <c r="B508" s="174">
        <v>45047</v>
      </c>
      <c r="C508" s="174">
        <v>45062</v>
      </c>
      <c r="D508" s="174">
        <v>45061</v>
      </c>
      <c r="E508" s="171">
        <v>2023</v>
      </c>
      <c r="F508" s="171">
        <v>5</v>
      </c>
      <c r="G508" s="171">
        <v>15</v>
      </c>
      <c r="H508" s="131"/>
      <c r="I508" s="176"/>
      <c r="J508" s="176"/>
      <c r="K508" s="171"/>
      <c r="L508" s="171" t="s">
        <v>56</v>
      </c>
      <c r="M508" s="171">
        <v>1800</v>
      </c>
      <c r="N508" s="175">
        <v>0</v>
      </c>
      <c r="O508" s="171">
        <v>0</v>
      </c>
      <c r="P508" s="171">
        <v>0</v>
      </c>
      <c r="Q508" s="175">
        <v>0</v>
      </c>
      <c r="R508" s="6"/>
      <c r="S508" s="6"/>
      <c r="T508" s="6"/>
      <c r="U508" s="6"/>
      <c r="V508" s="6"/>
      <c r="W508" s="6"/>
      <c r="X508" s="6" t="s">
        <v>259</v>
      </c>
      <c r="Y508" s="6" t="s">
        <v>141</v>
      </c>
    </row>
    <row r="509" spans="1:25">
      <c r="A509" s="171">
        <v>21</v>
      </c>
      <c r="B509" s="174">
        <v>45047</v>
      </c>
      <c r="C509" s="174">
        <v>45063</v>
      </c>
      <c r="D509" s="174">
        <v>45062</v>
      </c>
      <c r="E509" s="171">
        <v>2023</v>
      </c>
      <c r="F509" s="171">
        <v>5</v>
      </c>
      <c r="G509" s="171">
        <v>16</v>
      </c>
      <c r="H509" s="131"/>
      <c r="I509" s="176"/>
      <c r="J509" s="176"/>
      <c r="K509" s="171"/>
      <c r="L509" s="171" t="s">
        <v>56</v>
      </c>
      <c r="M509" s="171">
        <v>1400</v>
      </c>
      <c r="N509" s="175">
        <v>0</v>
      </c>
      <c r="O509" s="171">
        <v>0</v>
      </c>
      <c r="P509" s="171">
        <v>0</v>
      </c>
      <c r="Q509" s="175">
        <v>0</v>
      </c>
      <c r="R509" s="6"/>
      <c r="S509" s="6"/>
      <c r="T509" s="6"/>
      <c r="U509" s="6"/>
      <c r="V509" s="6"/>
      <c r="W509" s="6"/>
      <c r="X509" s="6" t="s">
        <v>259</v>
      </c>
      <c r="Y509" s="6" t="s">
        <v>141</v>
      </c>
    </row>
    <row r="510" spans="1:25">
      <c r="A510" s="171">
        <v>21</v>
      </c>
      <c r="B510" s="174">
        <v>45047</v>
      </c>
      <c r="C510" s="174">
        <v>45064</v>
      </c>
      <c r="D510" s="174">
        <v>45063</v>
      </c>
      <c r="E510" s="171">
        <v>2023</v>
      </c>
      <c r="F510" s="171">
        <v>5</v>
      </c>
      <c r="G510" s="171">
        <v>17</v>
      </c>
      <c r="H510" s="131"/>
      <c r="I510" s="176"/>
      <c r="J510" s="176"/>
      <c r="K510" s="171"/>
      <c r="L510" s="171" t="s">
        <v>56</v>
      </c>
      <c r="M510" s="171">
        <v>1100</v>
      </c>
      <c r="N510" s="175">
        <v>0</v>
      </c>
      <c r="O510" s="171">
        <v>0</v>
      </c>
      <c r="P510" s="171">
        <v>0</v>
      </c>
      <c r="Q510" s="175">
        <v>0</v>
      </c>
      <c r="R510" s="6"/>
      <c r="S510" s="6"/>
      <c r="T510" s="6"/>
      <c r="U510" s="6"/>
      <c r="V510" s="6"/>
      <c r="W510" s="6"/>
      <c r="X510" s="6" t="s">
        <v>259</v>
      </c>
      <c r="Y510" s="6" t="s">
        <v>141</v>
      </c>
    </row>
    <row r="511" spans="1:25">
      <c r="A511" s="171">
        <v>21</v>
      </c>
      <c r="B511" s="174">
        <v>45047</v>
      </c>
      <c r="C511" s="174">
        <v>45064</v>
      </c>
      <c r="D511" s="174">
        <v>45063</v>
      </c>
      <c r="E511" s="171">
        <v>2023</v>
      </c>
      <c r="F511" s="171">
        <v>5</v>
      </c>
      <c r="G511" s="171">
        <v>17</v>
      </c>
      <c r="H511" s="131"/>
      <c r="I511" s="176"/>
      <c r="J511" s="176"/>
      <c r="K511" s="171"/>
      <c r="L511" s="171" t="s">
        <v>56</v>
      </c>
      <c r="M511" s="171">
        <v>2600</v>
      </c>
      <c r="N511" s="175">
        <v>0</v>
      </c>
      <c r="O511" s="171">
        <v>0</v>
      </c>
      <c r="P511" s="171">
        <v>0</v>
      </c>
      <c r="Q511" s="175">
        <v>0</v>
      </c>
      <c r="R511" s="6"/>
      <c r="S511" s="6"/>
      <c r="T511" s="6"/>
      <c r="U511" s="6"/>
      <c r="V511" s="6"/>
      <c r="W511" s="6"/>
      <c r="X511" s="6" t="s">
        <v>259</v>
      </c>
      <c r="Y511" s="6" t="s">
        <v>141</v>
      </c>
    </row>
    <row r="512" spans="1:25">
      <c r="A512" s="171">
        <v>21</v>
      </c>
      <c r="B512" s="174">
        <v>45047</v>
      </c>
      <c r="C512" s="174">
        <v>45064</v>
      </c>
      <c r="D512" s="174">
        <v>45063</v>
      </c>
      <c r="E512" s="171">
        <v>2023</v>
      </c>
      <c r="F512" s="171">
        <v>5</v>
      </c>
      <c r="G512" s="171">
        <v>17</v>
      </c>
      <c r="H512" s="131"/>
      <c r="I512" s="176"/>
      <c r="J512" s="176"/>
      <c r="K512" s="171"/>
      <c r="L512" s="171" t="s">
        <v>56</v>
      </c>
      <c r="M512" s="171">
        <v>4550</v>
      </c>
      <c r="N512" s="175">
        <v>0</v>
      </c>
      <c r="O512" s="171">
        <v>0</v>
      </c>
      <c r="P512" s="171">
        <v>0</v>
      </c>
      <c r="Q512" s="175">
        <v>0</v>
      </c>
      <c r="R512" s="6"/>
      <c r="S512" s="6"/>
      <c r="T512" s="6"/>
      <c r="U512" s="6"/>
      <c r="V512" s="6"/>
      <c r="W512" s="6"/>
      <c r="X512" s="6" t="s">
        <v>259</v>
      </c>
      <c r="Y512" s="6" t="s">
        <v>141</v>
      </c>
    </row>
    <row r="513" spans="1:25">
      <c r="A513" s="171">
        <v>21</v>
      </c>
      <c r="B513" s="174">
        <v>45047</v>
      </c>
      <c r="C513" s="174">
        <v>45064</v>
      </c>
      <c r="D513" s="174">
        <v>45063</v>
      </c>
      <c r="E513" s="171">
        <v>2023</v>
      </c>
      <c r="F513" s="171">
        <v>5</v>
      </c>
      <c r="G513" s="171">
        <v>17</v>
      </c>
      <c r="H513" s="131"/>
      <c r="I513" s="176"/>
      <c r="J513" s="176"/>
      <c r="K513" s="171"/>
      <c r="L513" s="171" t="s">
        <v>56</v>
      </c>
      <c r="M513" s="171">
        <v>1350</v>
      </c>
      <c r="N513" s="175">
        <v>0</v>
      </c>
      <c r="O513" s="171">
        <v>0</v>
      </c>
      <c r="P513" s="171">
        <v>0</v>
      </c>
      <c r="Q513" s="175">
        <v>0</v>
      </c>
      <c r="R513" s="6"/>
      <c r="S513" s="6"/>
      <c r="T513" s="6"/>
      <c r="U513" s="6"/>
      <c r="V513" s="6"/>
      <c r="W513" s="6"/>
      <c r="X513" s="6" t="s">
        <v>259</v>
      </c>
      <c r="Y513" s="6" t="s">
        <v>141</v>
      </c>
    </row>
    <row r="514" spans="1:25">
      <c r="A514" s="171">
        <v>21</v>
      </c>
      <c r="B514" s="174">
        <v>45047</v>
      </c>
      <c r="C514" s="174">
        <v>45064</v>
      </c>
      <c r="D514" s="174">
        <v>45063</v>
      </c>
      <c r="E514" s="171">
        <v>2023</v>
      </c>
      <c r="F514" s="171">
        <v>5</v>
      </c>
      <c r="G514" s="171">
        <v>17</v>
      </c>
      <c r="H514" s="131"/>
      <c r="I514" s="176"/>
      <c r="J514" s="176"/>
      <c r="K514" s="171"/>
      <c r="L514" s="171" t="s">
        <v>56</v>
      </c>
      <c r="M514" s="171">
        <v>3250</v>
      </c>
      <c r="N514" s="175">
        <v>0</v>
      </c>
      <c r="O514" s="171">
        <v>0</v>
      </c>
      <c r="P514" s="171">
        <v>0</v>
      </c>
      <c r="Q514" s="175">
        <v>0</v>
      </c>
      <c r="R514" s="6"/>
      <c r="S514" s="6"/>
      <c r="T514" s="6"/>
      <c r="U514" s="6"/>
      <c r="V514" s="6"/>
      <c r="W514" s="6"/>
      <c r="X514" s="6" t="s">
        <v>259</v>
      </c>
      <c r="Y514" s="6" t="s">
        <v>141</v>
      </c>
    </row>
    <row r="515" spans="1:25">
      <c r="A515" s="171">
        <v>21</v>
      </c>
      <c r="B515" s="174">
        <v>45047</v>
      </c>
      <c r="C515" s="174">
        <v>45064</v>
      </c>
      <c r="D515" s="174">
        <v>45063</v>
      </c>
      <c r="E515" s="171">
        <v>2023</v>
      </c>
      <c r="F515" s="171">
        <v>5</v>
      </c>
      <c r="G515" s="171">
        <v>17</v>
      </c>
      <c r="H515" s="131"/>
      <c r="I515" s="176"/>
      <c r="J515" s="176"/>
      <c r="K515" s="171"/>
      <c r="L515" s="171" t="s">
        <v>56</v>
      </c>
      <c r="M515" s="171">
        <v>1000</v>
      </c>
      <c r="N515" s="175">
        <v>0</v>
      </c>
      <c r="O515" s="171">
        <v>0</v>
      </c>
      <c r="P515" s="171">
        <v>0</v>
      </c>
      <c r="Q515" s="175">
        <v>0</v>
      </c>
      <c r="R515" s="6"/>
      <c r="S515" s="6"/>
      <c r="T515" s="6"/>
      <c r="U515" s="6"/>
      <c r="V515" s="6"/>
      <c r="W515" s="6"/>
      <c r="X515" s="6" t="s">
        <v>259</v>
      </c>
      <c r="Y515" s="6" t="s">
        <v>141</v>
      </c>
    </row>
    <row r="516" spans="1:25">
      <c r="A516" s="171">
        <v>21</v>
      </c>
      <c r="B516" s="174">
        <v>45047</v>
      </c>
      <c r="C516" s="174">
        <v>45063</v>
      </c>
      <c r="D516" s="174">
        <v>45062</v>
      </c>
      <c r="E516" s="171">
        <v>2023</v>
      </c>
      <c r="F516" s="171">
        <v>5</v>
      </c>
      <c r="G516" s="171">
        <v>16</v>
      </c>
      <c r="H516" s="131"/>
      <c r="I516" s="176"/>
      <c r="J516" s="176"/>
      <c r="K516" s="171"/>
      <c r="L516" s="171" t="s">
        <v>56</v>
      </c>
      <c r="M516" s="171">
        <v>450</v>
      </c>
      <c r="N516" s="175">
        <v>0</v>
      </c>
      <c r="O516" s="171">
        <v>0</v>
      </c>
      <c r="P516" s="171">
        <v>0</v>
      </c>
      <c r="Q516" s="175">
        <v>0</v>
      </c>
      <c r="R516" s="6"/>
      <c r="S516" s="6"/>
      <c r="T516" s="6"/>
      <c r="U516" s="6"/>
      <c r="V516" s="6"/>
      <c r="W516" s="6"/>
      <c r="X516" s="6" t="s">
        <v>259</v>
      </c>
      <c r="Y516" s="6" t="s">
        <v>141</v>
      </c>
    </row>
    <row r="517" spans="1:25">
      <c r="A517" s="171">
        <v>21</v>
      </c>
      <c r="B517" s="174">
        <v>45047</v>
      </c>
      <c r="C517" s="174">
        <v>45063</v>
      </c>
      <c r="D517" s="174">
        <v>45062</v>
      </c>
      <c r="E517" s="171">
        <v>2023</v>
      </c>
      <c r="F517" s="171">
        <v>5</v>
      </c>
      <c r="G517" s="171">
        <v>16</v>
      </c>
      <c r="H517" s="131"/>
      <c r="I517" s="176"/>
      <c r="J517" s="176"/>
      <c r="K517" s="171"/>
      <c r="L517" s="171" t="s">
        <v>56</v>
      </c>
      <c r="M517" s="171">
        <v>3900</v>
      </c>
      <c r="N517" s="175">
        <v>0</v>
      </c>
      <c r="O517" s="171">
        <v>0</v>
      </c>
      <c r="P517" s="171">
        <v>0</v>
      </c>
      <c r="Q517" s="175">
        <v>0</v>
      </c>
      <c r="R517" s="6"/>
      <c r="S517" s="6"/>
      <c r="T517" s="6"/>
      <c r="U517" s="6"/>
      <c r="V517" s="6"/>
      <c r="W517" s="6"/>
      <c r="X517" s="6" t="s">
        <v>259</v>
      </c>
      <c r="Y517" s="6" t="s">
        <v>141</v>
      </c>
    </row>
    <row r="518" spans="1:25">
      <c r="A518" s="171">
        <v>21</v>
      </c>
      <c r="B518" s="174">
        <v>45047</v>
      </c>
      <c r="C518" s="174">
        <v>45063</v>
      </c>
      <c r="D518" s="174">
        <v>45062</v>
      </c>
      <c r="E518" s="171">
        <v>2023</v>
      </c>
      <c r="F518" s="171">
        <v>5</v>
      </c>
      <c r="G518" s="171">
        <v>16</v>
      </c>
      <c r="H518" s="131"/>
      <c r="I518" s="176"/>
      <c r="J518" s="176"/>
      <c r="K518" s="171"/>
      <c r="L518" s="171" t="s">
        <v>56</v>
      </c>
      <c r="M518" s="171">
        <v>1750</v>
      </c>
      <c r="N518" s="175">
        <v>0</v>
      </c>
      <c r="O518" s="171">
        <v>0</v>
      </c>
      <c r="P518" s="171">
        <v>0</v>
      </c>
      <c r="Q518" s="175">
        <v>0</v>
      </c>
      <c r="R518" s="6"/>
      <c r="S518" s="6"/>
      <c r="T518" s="6"/>
      <c r="U518" s="6"/>
      <c r="V518" s="6"/>
      <c r="W518" s="6"/>
      <c r="X518" s="6" t="s">
        <v>259</v>
      </c>
      <c r="Y518" s="6" t="s">
        <v>141</v>
      </c>
    </row>
    <row r="519" spans="1:25">
      <c r="A519" s="171">
        <v>21</v>
      </c>
      <c r="B519" s="174">
        <v>45047</v>
      </c>
      <c r="C519" s="174">
        <v>45064</v>
      </c>
      <c r="D519" s="174">
        <v>45063</v>
      </c>
      <c r="E519" s="171">
        <v>2023</v>
      </c>
      <c r="F519" s="171">
        <v>5</v>
      </c>
      <c r="G519" s="171">
        <v>17</v>
      </c>
      <c r="H519" s="131"/>
      <c r="I519" s="176"/>
      <c r="J519" s="176"/>
      <c r="K519" s="171"/>
      <c r="L519" s="171" t="s">
        <v>56</v>
      </c>
      <c r="M519" s="171">
        <v>2350</v>
      </c>
      <c r="N519" s="175">
        <v>0</v>
      </c>
      <c r="O519" s="171">
        <v>0</v>
      </c>
      <c r="P519" s="171">
        <v>0</v>
      </c>
      <c r="Q519" s="175">
        <v>0</v>
      </c>
      <c r="R519" s="6"/>
      <c r="S519" s="6"/>
      <c r="T519" s="6"/>
      <c r="U519" s="6"/>
      <c r="V519" s="6"/>
      <c r="W519" s="6"/>
      <c r="X519" s="6" t="s">
        <v>259</v>
      </c>
      <c r="Y519" s="6" t="s">
        <v>141</v>
      </c>
    </row>
    <row r="520" spans="1:25">
      <c r="A520" s="171">
        <v>21</v>
      </c>
      <c r="B520" s="174">
        <v>45047</v>
      </c>
      <c r="C520" s="174">
        <v>45063</v>
      </c>
      <c r="D520" s="174">
        <v>45062</v>
      </c>
      <c r="E520" s="171">
        <v>2023</v>
      </c>
      <c r="F520" s="171">
        <v>5</v>
      </c>
      <c r="G520" s="171">
        <v>16</v>
      </c>
      <c r="H520" s="131"/>
      <c r="I520" s="176"/>
      <c r="J520" s="176"/>
      <c r="K520" s="171"/>
      <c r="L520" s="171" t="s">
        <v>56</v>
      </c>
      <c r="M520" s="171">
        <v>1650</v>
      </c>
      <c r="N520" s="175">
        <v>0</v>
      </c>
      <c r="O520" s="171">
        <v>0</v>
      </c>
      <c r="P520" s="171">
        <v>0</v>
      </c>
      <c r="Q520" s="175">
        <v>0</v>
      </c>
      <c r="R520" s="6"/>
      <c r="S520" s="6"/>
      <c r="T520" s="6"/>
      <c r="U520" s="6"/>
      <c r="V520" s="6"/>
      <c r="W520" s="6"/>
      <c r="X520" s="6" t="s">
        <v>259</v>
      </c>
      <c r="Y520" s="6" t="s">
        <v>141</v>
      </c>
    </row>
    <row r="521" spans="1:25">
      <c r="A521" s="171">
        <v>21</v>
      </c>
      <c r="B521" s="174">
        <v>45047</v>
      </c>
      <c r="C521" s="174">
        <v>45062</v>
      </c>
      <c r="D521" s="174">
        <v>45061</v>
      </c>
      <c r="E521" s="171">
        <v>2023</v>
      </c>
      <c r="F521" s="171">
        <v>5</v>
      </c>
      <c r="G521" s="171">
        <v>15</v>
      </c>
      <c r="H521" s="131"/>
      <c r="I521" s="176"/>
      <c r="J521" s="176"/>
      <c r="K521" s="171"/>
      <c r="L521" s="171" t="s">
        <v>56</v>
      </c>
      <c r="M521" s="171">
        <v>800</v>
      </c>
      <c r="N521" s="175">
        <v>0</v>
      </c>
      <c r="O521" s="171">
        <v>0</v>
      </c>
      <c r="P521" s="171">
        <v>0</v>
      </c>
      <c r="Q521" s="175">
        <v>0</v>
      </c>
      <c r="R521" s="6"/>
      <c r="S521" s="6"/>
      <c r="T521" s="6"/>
      <c r="U521" s="6"/>
      <c r="V521" s="6"/>
      <c r="W521" s="6"/>
      <c r="X521" s="6" t="s">
        <v>259</v>
      </c>
      <c r="Y521" s="6" t="s">
        <v>141</v>
      </c>
    </row>
    <row r="522" spans="1:25">
      <c r="A522" s="171">
        <v>21</v>
      </c>
      <c r="B522" s="174">
        <v>45047</v>
      </c>
      <c r="C522" s="174">
        <v>45062</v>
      </c>
      <c r="D522" s="174">
        <v>45061</v>
      </c>
      <c r="E522" s="171">
        <v>2023</v>
      </c>
      <c r="F522" s="171">
        <v>5</v>
      </c>
      <c r="G522" s="171">
        <v>15</v>
      </c>
      <c r="H522" s="131"/>
      <c r="I522" s="176"/>
      <c r="J522" s="176"/>
      <c r="K522" s="171"/>
      <c r="L522" s="171" t="s">
        <v>56</v>
      </c>
      <c r="M522" s="171">
        <v>450</v>
      </c>
      <c r="N522" s="175">
        <v>0</v>
      </c>
      <c r="O522" s="171">
        <v>0</v>
      </c>
      <c r="P522" s="171">
        <v>0</v>
      </c>
      <c r="Q522" s="175">
        <v>0</v>
      </c>
      <c r="R522" s="6"/>
      <c r="S522" s="6"/>
      <c r="T522" s="6"/>
      <c r="U522" s="6"/>
      <c r="V522" s="6"/>
      <c r="W522" s="6"/>
      <c r="X522" s="6" t="s">
        <v>259</v>
      </c>
      <c r="Y522" s="6" t="s">
        <v>141</v>
      </c>
    </row>
    <row r="523" spans="1:25">
      <c r="A523" s="171">
        <v>21</v>
      </c>
      <c r="B523" s="174">
        <v>45047</v>
      </c>
      <c r="C523" s="174">
        <v>45062</v>
      </c>
      <c r="D523" s="174">
        <v>45061</v>
      </c>
      <c r="E523" s="171">
        <v>2023</v>
      </c>
      <c r="F523" s="171">
        <v>5</v>
      </c>
      <c r="G523" s="171">
        <v>15</v>
      </c>
      <c r="H523" s="131"/>
      <c r="I523" s="176"/>
      <c r="J523" s="176"/>
      <c r="K523" s="171"/>
      <c r="L523" s="171" t="s">
        <v>56</v>
      </c>
      <c r="M523" s="171">
        <v>980</v>
      </c>
      <c r="N523" s="175">
        <v>0</v>
      </c>
      <c r="O523" s="171">
        <v>0</v>
      </c>
      <c r="P523" s="171">
        <v>0</v>
      </c>
      <c r="Q523" s="175">
        <v>0</v>
      </c>
      <c r="R523" s="6"/>
      <c r="S523" s="6"/>
      <c r="T523" s="6"/>
      <c r="U523" s="6"/>
      <c r="V523" s="6"/>
      <c r="W523" s="6"/>
      <c r="X523" s="6" t="s">
        <v>259</v>
      </c>
      <c r="Y523" s="6" t="s">
        <v>141</v>
      </c>
    </row>
    <row r="524" spans="1:25">
      <c r="A524" s="171">
        <v>21</v>
      </c>
      <c r="B524" s="174">
        <v>45047</v>
      </c>
      <c r="C524" s="174">
        <v>45068</v>
      </c>
      <c r="D524" s="174">
        <v>45066</v>
      </c>
      <c r="E524" s="171">
        <v>2023</v>
      </c>
      <c r="F524" s="171">
        <v>5</v>
      </c>
      <c r="G524" s="171">
        <v>20</v>
      </c>
      <c r="H524" s="131"/>
      <c r="I524" s="176"/>
      <c r="J524" s="176"/>
      <c r="K524" s="171" t="s">
        <v>199</v>
      </c>
      <c r="L524" s="171" t="s">
        <v>56</v>
      </c>
      <c r="M524" s="171"/>
      <c r="N524" s="175">
        <v>0</v>
      </c>
      <c r="O524" s="171">
        <v>1</v>
      </c>
      <c r="P524" s="171">
        <v>0</v>
      </c>
      <c r="Q524" s="175">
        <v>0</v>
      </c>
      <c r="R524" s="6" t="s">
        <v>160</v>
      </c>
      <c r="S524" s="6" t="s">
        <v>205</v>
      </c>
      <c r="T524" s="6"/>
      <c r="U524" s="6" t="s">
        <v>322</v>
      </c>
      <c r="V524" s="6"/>
      <c r="W524" s="6"/>
      <c r="X524" s="6" t="s">
        <v>259</v>
      </c>
      <c r="Y524" s="6" t="s">
        <v>141</v>
      </c>
    </row>
    <row r="525" spans="1:25">
      <c r="A525" s="171">
        <v>21</v>
      </c>
      <c r="B525" s="174">
        <v>45047</v>
      </c>
      <c r="C525" s="174">
        <v>45066</v>
      </c>
      <c r="D525" s="174">
        <v>45065</v>
      </c>
      <c r="E525" s="171">
        <v>2023</v>
      </c>
      <c r="F525" s="171">
        <v>5</v>
      </c>
      <c r="G525" s="171">
        <v>19</v>
      </c>
      <c r="H525" s="131"/>
      <c r="I525" s="176"/>
      <c r="J525" s="176"/>
      <c r="K525" s="171"/>
      <c r="L525" s="171" t="s">
        <v>56</v>
      </c>
      <c r="M525" s="171">
        <v>100</v>
      </c>
      <c r="N525" s="175">
        <v>0</v>
      </c>
      <c r="O525" s="171">
        <v>0</v>
      </c>
      <c r="P525" s="171">
        <v>0</v>
      </c>
      <c r="Q525" s="175">
        <v>0</v>
      </c>
      <c r="R525" s="6"/>
      <c r="S525" s="6"/>
      <c r="T525" s="6"/>
      <c r="U525" s="6"/>
      <c r="V525" s="6"/>
      <c r="W525" s="6"/>
      <c r="X525" s="6" t="s">
        <v>259</v>
      </c>
      <c r="Y525" s="6" t="s">
        <v>141</v>
      </c>
    </row>
    <row r="526" spans="1:25">
      <c r="A526" s="171">
        <v>21</v>
      </c>
      <c r="B526" s="174">
        <v>45047</v>
      </c>
      <c r="C526" s="174">
        <v>45062</v>
      </c>
      <c r="D526" s="174">
        <v>45061</v>
      </c>
      <c r="E526" s="171">
        <v>2023</v>
      </c>
      <c r="F526" s="171">
        <v>5</v>
      </c>
      <c r="G526" s="171">
        <v>15</v>
      </c>
      <c r="H526" s="131"/>
      <c r="I526" s="176"/>
      <c r="J526" s="176"/>
      <c r="K526" s="171"/>
      <c r="L526" s="171" t="s">
        <v>56</v>
      </c>
      <c r="M526" s="171">
        <v>400</v>
      </c>
      <c r="N526" s="175">
        <v>0</v>
      </c>
      <c r="O526" s="171">
        <v>0</v>
      </c>
      <c r="P526" s="171">
        <v>0</v>
      </c>
      <c r="Q526" s="175">
        <v>0</v>
      </c>
      <c r="R526" s="6"/>
      <c r="S526" s="6"/>
      <c r="T526" s="6"/>
      <c r="U526" s="6"/>
      <c r="V526" s="6"/>
      <c r="W526" s="6"/>
      <c r="X526" s="6" t="s">
        <v>259</v>
      </c>
      <c r="Y526" s="6" t="s">
        <v>141</v>
      </c>
    </row>
    <row r="527" spans="1:25">
      <c r="A527" s="171">
        <v>21</v>
      </c>
      <c r="B527" s="174">
        <v>45047</v>
      </c>
      <c r="C527" s="174">
        <v>45062</v>
      </c>
      <c r="D527" s="174">
        <v>45061</v>
      </c>
      <c r="E527" s="171">
        <v>2023</v>
      </c>
      <c r="F527" s="171">
        <v>5</v>
      </c>
      <c r="G527" s="171">
        <v>15</v>
      </c>
      <c r="H527" s="131"/>
      <c r="I527" s="176"/>
      <c r="J527" s="176"/>
      <c r="K527" s="171"/>
      <c r="L527" s="171" t="s">
        <v>56</v>
      </c>
      <c r="M527" s="171">
        <v>4000</v>
      </c>
      <c r="N527" s="175">
        <v>0</v>
      </c>
      <c r="O527" s="171">
        <v>0</v>
      </c>
      <c r="P527" s="171">
        <v>0</v>
      </c>
      <c r="Q527" s="175">
        <v>0</v>
      </c>
      <c r="R527" s="6"/>
      <c r="S527" s="6"/>
      <c r="T527" s="6"/>
      <c r="U527" s="6"/>
      <c r="V527" s="6"/>
      <c r="W527" s="6"/>
      <c r="X527" s="6" t="s">
        <v>259</v>
      </c>
      <c r="Y527" s="6" t="s">
        <v>141</v>
      </c>
    </row>
    <row r="528" spans="1:25">
      <c r="A528" s="171">
        <v>21</v>
      </c>
      <c r="B528" s="174">
        <v>45047</v>
      </c>
      <c r="C528" s="174">
        <v>45068</v>
      </c>
      <c r="D528" s="174">
        <v>45066</v>
      </c>
      <c r="E528" s="171">
        <v>2023</v>
      </c>
      <c r="F528" s="171">
        <v>5</v>
      </c>
      <c r="G528" s="171">
        <v>20</v>
      </c>
      <c r="H528" s="131"/>
      <c r="I528" s="176"/>
      <c r="J528" s="176"/>
      <c r="K528" s="171"/>
      <c r="L528" s="171" t="s">
        <v>56</v>
      </c>
      <c r="M528" s="171">
        <v>8500</v>
      </c>
      <c r="N528" s="175">
        <v>0</v>
      </c>
      <c r="O528" s="171">
        <v>0</v>
      </c>
      <c r="P528" s="171">
        <v>0</v>
      </c>
      <c r="Q528" s="175">
        <v>0</v>
      </c>
      <c r="R528" s="6"/>
      <c r="S528" s="6"/>
      <c r="T528" s="6"/>
      <c r="U528" s="6"/>
      <c r="V528" s="6"/>
      <c r="W528" s="6"/>
      <c r="X528" s="6" t="s">
        <v>259</v>
      </c>
      <c r="Y528" s="6" t="s">
        <v>141</v>
      </c>
    </row>
    <row r="529" spans="1:25">
      <c r="A529" s="171">
        <v>21</v>
      </c>
      <c r="B529" s="174">
        <v>45047</v>
      </c>
      <c r="C529" s="174">
        <v>45068</v>
      </c>
      <c r="D529" s="174">
        <v>45066</v>
      </c>
      <c r="E529" s="171">
        <v>2023</v>
      </c>
      <c r="F529" s="171">
        <v>5</v>
      </c>
      <c r="G529" s="171">
        <v>20</v>
      </c>
      <c r="H529" s="131"/>
      <c r="I529" s="176"/>
      <c r="J529" s="176"/>
      <c r="K529" s="171"/>
      <c r="L529" s="171" t="s">
        <v>56</v>
      </c>
      <c r="M529" s="171">
        <v>1504</v>
      </c>
      <c r="N529" s="175">
        <v>4</v>
      </c>
      <c r="O529" s="171">
        <v>4</v>
      </c>
      <c r="P529" s="171">
        <v>0</v>
      </c>
      <c r="Q529" s="175">
        <v>4</v>
      </c>
      <c r="R529" s="6" t="s">
        <v>160</v>
      </c>
      <c r="S529" s="6" t="s">
        <v>295</v>
      </c>
      <c r="T529" s="6" t="s">
        <v>253</v>
      </c>
      <c r="U529" s="6" t="s">
        <v>178</v>
      </c>
      <c r="V529" s="6" t="s">
        <v>341</v>
      </c>
      <c r="W529" s="6"/>
      <c r="X529" s="6" t="s">
        <v>259</v>
      </c>
      <c r="Y529" s="6" t="s">
        <v>141</v>
      </c>
    </row>
    <row r="530" spans="1:25">
      <c r="A530" s="171">
        <v>21</v>
      </c>
      <c r="B530" s="174">
        <v>45047</v>
      </c>
      <c r="C530" s="174">
        <v>45068</v>
      </c>
      <c r="D530" s="174">
        <v>45066</v>
      </c>
      <c r="E530" s="171">
        <v>2023</v>
      </c>
      <c r="F530" s="171">
        <v>5</v>
      </c>
      <c r="G530" s="171">
        <v>20</v>
      </c>
      <c r="H530" s="131"/>
      <c r="I530" s="176"/>
      <c r="J530" s="176"/>
      <c r="K530" s="171" t="s">
        <v>199</v>
      </c>
      <c r="L530" s="171" t="s">
        <v>56</v>
      </c>
      <c r="M530" s="171"/>
      <c r="N530" s="175">
        <v>0</v>
      </c>
      <c r="O530" s="171">
        <v>1</v>
      </c>
      <c r="P530" s="171">
        <v>0</v>
      </c>
      <c r="Q530" s="175">
        <v>0</v>
      </c>
      <c r="R530" s="6" t="s">
        <v>160</v>
      </c>
      <c r="S530" s="6" t="s">
        <v>161</v>
      </c>
      <c r="T530" s="6" t="s">
        <v>314</v>
      </c>
      <c r="U530" s="6" t="s">
        <v>236</v>
      </c>
      <c r="V530" s="6"/>
      <c r="W530" s="6"/>
      <c r="X530" s="6" t="s">
        <v>259</v>
      </c>
      <c r="Y530" s="6" t="s">
        <v>141</v>
      </c>
    </row>
    <row r="531" spans="1:25">
      <c r="A531" s="171">
        <v>21</v>
      </c>
      <c r="B531" s="174">
        <v>45047</v>
      </c>
      <c r="C531" s="174">
        <v>45064</v>
      </c>
      <c r="D531" s="174">
        <v>45063</v>
      </c>
      <c r="E531" s="171">
        <v>2023</v>
      </c>
      <c r="F531" s="171">
        <v>5</v>
      </c>
      <c r="G531" s="171">
        <v>17</v>
      </c>
      <c r="H531" s="131"/>
      <c r="I531" s="176"/>
      <c r="J531" s="176"/>
      <c r="K531" s="171"/>
      <c r="L531" s="171" t="s">
        <v>56</v>
      </c>
      <c r="M531" s="171">
        <v>1000</v>
      </c>
      <c r="N531" s="175">
        <v>0</v>
      </c>
      <c r="O531" s="171">
        <v>0</v>
      </c>
      <c r="P531" s="171">
        <v>0</v>
      </c>
      <c r="Q531" s="175">
        <v>0</v>
      </c>
      <c r="R531" s="6"/>
      <c r="S531" s="6"/>
      <c r="T531" s="6"/>
      <c r="U531" s="6"/>
      <c r="V531" s="6"/>
      <c r="W531" s="6"/>
      <c r="X531" s="6" t="s">
        <v>259</v>
      </c>
      <c r="Y531" s="6" t="s">
        <v>141</v>
      </c>
    </row>
    <row r="532" spans="1:25">
      <c r="A532" s="171">
        <v>21</v>
      </c>
      <c r="B532" s="174">
        <v>45047</v>
      </c>
      <c r="C532" s="174">
        <v>45063</v>
      </c>
      <c r="D532" s="174">
        <v>45062</v>
      </c>
      <c r="E532" s="171">
        <v>2023</v>
      </c>
      <c r="F532" s="171">
        <v>5</v>
      </c>
      <c r="G532" s="171">
        <v>16</v>
      </c>
      <c r="H532" s="131"/>
      <c r="I532" s="176"/>
      <c r="J532" s="176"/>
      <c r="K532" s="171"/>
      <c r="L532" s="171" t="s">
        <v>56</v>
      </c>
      <c r="M532" s="171">
        <v>2200</v>
      </c>
      <c r="N532" s="175">
        <v>0</v>
      </c>
      <c r="O532" s="171">
        <v>0</v>
      </c>
      <c r="P532" s="171">
        <v>0</v>
      </c>
      <c r="Q532" s="175">
        <v>0</v>
      </c>
      <c r="R532" s="6"/>
      <c r="S532" s="6"/>
      <c r="T532" s="6"/>
      <c r="U532" s="6"/>
      <c r="V532" s="6"/>
      <c r="W532" s="6"/>
      <c r="X532" s="6" t="s">
        <v>259</v>
      </c>
      <c r="Y532" s="6" t="s">
        <v>141</v>
      </c>
    </row>
    <row r="533" spans="1:25">
      <c r="A533" s="171">
        <v>21</v>
      </c>
      <c r="B533" s="174">
        <v>45047</v>
      </c>
      <c r="C533" s="174">
        <v>45064</v>
      </c>
      <c r="D533" s="174">
        <v>45063</v>
      </c>
      <c r="E533" s="171">
        <v>2023</v>
      </c>
      <c r="F533" s="171">
        <v>5</v>
      </c>
      <c r="G533" s="171">
        <v>17</v>
      </c>
      <c r="H533" s="131"/>
      <c r="I533" s="176"/>
      <c r="J533" s="176"/>
      <c r="K533" s="171"/>
      <c r="L533" s="171" t="s">
        <v>56</v>
      </c>
      <c r="M533" s="171">
        <v>1402</v>
      </c>
      <c r="N533" s="175">
        <v>2</v>
      </c>
      <c r="O533" s="171">
        <v>1</v>
      </c>
      <c r="P533" s="171">
        <v>1</v>
      </c>
      <c r="Q533" s="175">
        <v>1</v>
      </c>
      <c r="R533" s="6" t="s">
        <v>157</v>
      </c>
      <c r="S533" s="6" t="s">
        <v>205</v>
      </c>
      <c r="T533" s="6" t="s">
        <v>166</v>
      </c>
      <c r="U533" s="6" t="s">
        <v>169</v>
      </c>
      <c r="V533" s="6"/>
      <c r="W533" s="6"/>
      <c r="X533" s="6" t="s">
        <v>259</v>
      </c>
      <c r="Y533" s="6" t="s">
        <v>141</v>
      </c>
    </row>
    <row r="534" spans="1:25">
      <c r="A534" s="171">
        <v>21</v>
      </c>
      <c r="B534" s="174">
        <v>45047</v>
      </c>
      <c r="C534" s="174">
        <v>45065</v>
      </c>
      <c r="D534" s="174">
        <v>45064</v>
      </c>
      <c r="E534" s="171">
        <v>2023</v>
      </c>
      <c r="F534" s="171">
        <v>5</v>
      </c>
      <c r="G534" s="171">
        <v>18</v>
      </c>
      <c r="H534" s="131"/>
      <c r="I534" s="176"/>
      <c r="J534" s="176"/>
      <c r="K534" s="171"/>
      <c r="L534" s="171" t="s">
        <v>56</v>
      </c>
      <c r="M534" s="171">
        <v>500</v>
      </c>
      <c r="N534" s="175">
        <v>0</v>
      </c>
      <c r="O534" s="171">
        <v>0</v>
      </c>
      <c r="P534" s="171">
        <v>0</v>
      </c>
      <c r="Q534" s="175">
        <v>0</v>
      </c>
      <c r="R534" s="6"/>
      <c r="S534" s="6"/>
      <c r="T534" s="6"/>
      <c r="U534" s="6"/>
      <c r="V534" s="6"/>
      <c r="W534" s="6"/>
      <c r="X534" s="6" t="s">
        <v>259</v>
      </c>
      <c r="Y534" s="6" t="s">
        <v>141</v>
      </c>
    </row>
    <row r="535" spans="1:25">
      <c r="A535" s="171">
        <v>21</v>
      </c>
      <c r="B535" s="174">
        <v>45047</v>
      </c>
      <c r="C535" s="174">
        <v>45063</v>
      </c>
      <c r="D535" s="174">
        <v>45062</v>
      </c>
      <c r="E535" s="171">
        <v>2023</v>
      </c>
      <c r="F535" s="171">
        <v>5</v>
      </c>
      <c r="G535" s="171">
        <v>16</v>
      </c>
      <c r="H535" s="131"/>
      <c r="I535" s="176"/>
      <c r="J535" s="176"/>
      <c r="K535" s="171"/>
      <c r="L535" s="171" t="s">
        <v>56</v>
      </c>
      <c r="M535" s="171">
        <v>1000</v>
      </c>
      <c r="N535" s="175">
        <v>0</v>
      </c>
      <c r="O535" s="171">
        <v>0</v>
      </c>
      <c r="P535" s="171">
        <v>0</v>
      </c>
      <c r="Q535" s="175">
        <v>0</v>
      </c>
      <c r="R535" s="6"/>
      <c r="S535" s="6"/>
      <c r="T535" s="6"/>
      <c r="U535" s="6"/>
      <c r="V535" s="6"/>
      <c r="W535" s="6"/>
      <c r="X535" s="6" t="s">
        <v>259</v>
      </c>
      <c r="Y535" s="6" t="s">
        <v>141</v>
      </c>
    </row>
    <row r="536" spans="1:25">
      <c r="A536" s="171">
        <v>21</v>
      </c>
      <c r="B536" s="174">
        <v>45047</v>
      </c>
      <c r="C536" s="174">
        <v>45063</v>
      </c>
      <c r="D536" s="174">
        <v>45061</v>
      </c>
      <c r="E536" s="171">
        <v>2023</v>
      </c>
      <c r="F536" s="171">
        <v>5</v>
      </c>
      <c r="G536" s="171">
        <v>15</v>
      </c>
      <c r="H536" s="131"/>
      <c r="I536" s="176"/>
      <c r="J536" s="176"/>
      <c r="K536" s="171"/>
      <c r="L536" s="171" t="s">
        <v>56</v>
      </c>
      <c r="M536" s="171">
        <v>3</v>
      </c>
      <c r="N536" s="175">
        <v>0</v>
      </c>
      <c r="O536" s="171">
        <v>0</v>
      </c>
      <c r="P536" s="171">
        <v>0</v>
      </c>
      <c r="Q536" s="175">
        <v>0</v>
      </c>
      <c r="R536" s="6"/>
      <c r="S536" s="6"/>
      <c r="T536" s="6"/>
      <c r="U536" s="6"/>
      <c r="V536" s="6"/>
      <c r="W536" s="6"/>
      <c r="X536" s="6" t="s">
        <v>259</v>
      </c>
      <c r="Y536" s="6" t="s">
        <v>141</v>
      </c>
    </row>
    <row r="537" spans="1:25">
      <c r="A537" s="171">
        <v>21</v>
      </c>
      <c r="B537" s="174">
        <v>45047</v>
      </c>
      <c r="C537" s="174">
        <v>45064</v>
      </c>
      <c r="D537" s="174">
        <v>45063</v>
      </c>
      <c r="E537" s="171">
        <v>2023</v>
      </c>
      <c r="F537" s="171">
        <v>5</v>
      </c>
      <c r="G537" s="171">
        <v>17</v>
      </c>
      <c r="H537" s="131"/>
      <c r="I537" s="176"/>
      <c r="J537" s="176"/>
      <c r="K537" s="171"/>
      <c r="L537" s="171" t="s">
        <v>56</v>
      </c>
      <c r="M537" s="171"/>
      <c r="N537" s="175">
        <v>0</v>
      </c>
      <c r="O537" s="171">
        <v>1</v>
      </c>
      <c r="P537" s="171">
        <v>0</v>
      </c>
      <c r="Q537" s="175">
        <v>0</v>
      </c>
      <c r="R537" s="6" t="s">
        <v>160</v>
      </c>
      <c r="S537" s="6" t="s">
        <v>161</v>
      </c>
      <c r="T537" s="6" t="s">
        <v>253</v>
      </c>
      <c r="U537" s="6" t="s">
        <v>233</v>
      </c>
      <c r="V537" s="6"/>
      <c r="W537" s="6"/>
      <c r="X537" s="6" t="s">
        <v>259</v>
      </c>
      <c r="Y537" s="6" t="s">
        <v>141</v>
      </c>
    </row>
    <row r="538" spans="1:25">
      <c r="A538" s="171">
        <v>21</v>
      </c>
      <c r="B538" s="174">
        <v>45047</v>
      </c>
      <c r="C538" s="174">
        <v>45065</v>
      </c>
      <c r="D538" s="174">
        <v>45064</v>
      </c>
      <c r="E538" s="171">
        <v>2023</v>
      </c>
      <c r="F538" s="171">
        <v>5</v>
      </c>
      <c r="G538" s="171">
        <v>18</v>
      </c>
      <c r="H538" s="131"/>
      <c r="I538" s="176"/>
      <c r="J538" s="176"/>
      <c r="K538" s="171"/>
      <c r="L538" s="171" t="s">
        <v>56</v>
      </c>
      <c r="M538" s="171">
        <v>1150</v>
      </c>
      <c r="N538" s="175">
        <v>0</v>
      </c>
      <c r="O538" s="171">
        <v>0</v>
      </c>
      <c r="P538" s="171">
        <v>0</v>
      </c>
      <c r="Q538" s="175">
        <v>0</v>
      </c>
      <c r="R538" s="6"/>
      <c r="S538" s="6"/>
      <c r="T538" s="6"/>
      <c r="U538" s="6"/>
      <c r="V538" s="6"/>
      <c r="W538" s="6"/>
      <c r="X538" s="6" t="s">
        <v>259</v>
      </c>
      <c r="Y538" s="6" t="s">
        <v>141</v>
      </c>
    </row>
    <row r="539" spans="1:25">
      <c r="A539" s="171">
        <v>21</v>
      </c>
      <c r="B539" s="174">
        <v>45047</v>
      </c>
      <c r="C539" s="174">
        <v>45065</v>
      </c>
      <c r="D539" s="174">
        <v>45064</v>
      </c>
      <c r="E539" s="171">
        <v>2023</v>
      </c>
      <c r="F539" s="171">
        <v>5</v>
      </c>
      <c r="G539" s="171">
        <v>18</v>
      </c>
      <c r="H539" s="131"/>
      <c r="I539" s="176"/>
      <c r="J539" s="176"/>
      <c r="K539" s="171"/>
      <c r="L539" s="171" t="s">
        <v>56</v>
      </c>
      <c r="M539" s="171">
        <v>550</v>
      </c>
      <c r="N539" s="175">
        <v>0</v>
      </c>
      <c r="O539" s="171">
        <v>0</v>
      </c>
      <c r="P539" s="171">
        <v>0</v>
      </c>
      <c r="Q539" s="175">
        <v>0</v>
      </c>
      <c r="R539" s="6"/>
      <c r="S539" s="6"/>
      <c r="T539" s="6"/>
      <c r="U539" s="6"/>
      <c r="V539" s="6"/>
      <c r="W539" s="6"/>
      <c r="X539" s="6" t="s">
        <v>259</v>
      </c>
      <c r="Y539" s="6" t="s">
        <v>141</v>
      </c>
    </row>
    <row r="540" spans="1:25">
      <c r="A540" s="171">
        <v>21</v>
      </c>
      <c r="B540" s="174">
        <v>45047</v>
      </c>
      <c r="C540" s="174">
        <v>45065</v>
      </c>
      <c r="D540" s="174">
        <v>45064</v>
      </c>
      <c r="E540" s="171">
        <v>2023</v>
      </c>
      <c r="F540" s="171">
        <v>5</v>
      </c>
      <c r="G540" s="171">
        <v>18</v>
      </c>
      <c r="H540" s="131"/>
      <c r="I540" s="176"/>
      <c r="J540" s="176"/>
      <c r="K540" s="171"/>
      <c r="L540" s="171" t="s">
        <v>56</v>
      </c>
      <c r="M540" s="171">
        <v>1200</v>
      </c>
      <c r="N540" s="175">
        <v>0</v>
      </c>
      <c r="O540" s="171">
        <v>0</v>
      </c>
      <c r="P540" s="171">
        <v>0</v>
      </c>
      <c r="Q540" s="175">
        <v>0</v>
      </c>
      <c r="R540" s="6"/>
      <c r="S540" s="6"/>
      <c r="T540" s="6"/>
      <c r="U540" s="6"/>
      <c r="V540" s="6"/>
      <c r="W540" s="6"/>
      <c r="X540" s="6" t="s">
        <v>259</v>
      </c>
      <c r="Y540" s="6" t="s">
        <v>141</v>
      </c>
    </row>
    <row r="541" spans="1:25">
      <c r="A541" s="171">
        <v>21</v>
      </c>
      <c r="B541" s="174">
        <v>45047</v>
      </c>
      <c r="C541" s="174">
        <v>45065</v>
      </c>
      <c r="D541" s="174">
        <v>45063</v>
      </c>
      <c r="E541" s="171">
        <v>2023</v>
      </c>
      <c r="F541" s="171">
        <v>5</v>
      </c>
      <c r="G541" s="171">
        <v>17</v>
      </c>
      <c r="H541" s="131"/>
      <c r="I541" s="176"/>
      <c r="J541" s="176"/>
      <c r="K541" s="171"/>
      <c r="L541" s="171" t="s">
        <v>56</v>
      </c>
      <c r="M541" s="171">
        <v>800</v>
      </c>
      <c r="N541" s="175">
        <v>0</v>
      </c>
      <c r="O541" s="171">
        <v>0</v>
      </c>
      <c r="P541" s="171">
        <v>0</v>
      </c>
      <c r="Q541" s="175">
        <v>0</v>
      </c>
      <c r="R541" s="6"/>
      <c r="S541" s="6"/>
      <c r="T541" s="6"/>
      <c r="U541" s="6"/>
      <c r="V541" s="6"/>
      <c r="W541" s="6"/>
      <c r="X541" s="6" t="s">
        <v>259</v>
      </c>
      <c r="Y541" s="6" t="s">
        <v>141</v>
      </c>
    </row>
    <row r="542" spans="1:25">
      <c r="A542" s="171">
        <v>22</v>
      </c>
      <c r="B542" s="174">
        <v>45047</v>
      </c>
      <c r="C542" s="174">
        <v>45075</v>
      </c>
      <c r="D542" s="174">
        <v>45072</v>
      </c>
      <c r="E542" s="171">
        <v>2023</v>
      </c>
      <c r="F542" s="171">
        <v>5</v>
      </c>
      <c r="G542" s="171">
        <v>26</v>
      </c>
      <c r="H542" s="131"/>
      <c r="I542" s="176"/>
      <c r="J542" s="176"/>
      <c r="K542" s="171"/>
      <c r="L542" s="171" t="s">
        <v>56</v>
      </c>
      <c r="M542" s="171">
        <v>500</v>
      </c>
      <c r="N542" s="175">
        <v>0</v>
      </c>
      <c r="O542" s="171">
        <v>0</v>
      </c>
      <c r="P542" s="171">
        <v>0</v>
      </c>
      <c r="Q542" s="175">
        <v>0</v>
      </c>
      <c r="R542" s="6"/>
      <c r="S542" s="6"/>
      <c r="T542" s="6"/>
      <c r="U542" s="6"/>
      <c r="V542" s="6"/>
      <c r="W542" s="6"/>
      <c r="X542" s="6" t="s">
        <v>345</v>
      </c>
      <c r="Y542" s="6" t="s">
        <v>141</v>
      </c>
    </row>
    <row r="543" spans="1:25">
      <c r="A543" s="171">
        <v>22</v>
      </c>
      <c r="B543" s="174">
        <v>45047</v>
      </c>
      <c r="C543" s="174">
        <v>45075</v>
      </c>
      <c r="D543" s="174">
        <v>45072</v>
      </c>
      <c r="E543" s="171">
        <v>2023</v>
      </c>
      <c r="F543" s="171">
        <v>5</v>
      </c>
      <c r="G543" s="171">
        <v>26</v>
      </c>
      <c r="H543" s="131"/>
      <c r="I543" s="176"/>
      <c r="J543" s="176"/>
      <c r="K543" s="171"/>
      <c r="L543" s="171" t="s">
        <v>56</v>
      </c>
      <c r="M543" s="171">
        <v>1300</v>
      </c>
      <c r="N543" s="175">
        <v>0</v>
      </c>
      <c r="O543" s="171">
        <v>0</v>
      </c>
      <c r="P543" s="171">
        <v>0</v>
      </c>
      <c r="Q543" s="175">
        <v>0</v>
      </c>
      <c r="R543" s="6"/>
      <c r="S543" s="6"/>
      <c r="T543" s="6"/>
      <c r="U543" s="6"/>
      <c r="V543" s="6"/>
      <c r="W543" s="6"/>
      <c r="X543" s="6" t="s">
        <v>345</v>
      </c>
      <c r="Y543" s="6" t="s">
        <v>141</v>
      </c>
    </row>
    <row r="544" spans="1:25">
      <c r="A544" s="171">
        <v>22</v>
      </c>
      <c r="B544" s="174">
        <v>45047</v>
      </c>
      <c r="C544" s="174">
        <v>45072</v>
      </c>
      <c r="D544" s="174">
        <v>45071</v>
      </c>
      <c r="E544" s="171">
        <v>2023</v>
      </c>
      <c r="F544" s="171">
        <v>5</v>
      </c>
      <c r="G544" s="171">
        <v>25</v>
      </c>
      <c r="H544" s="131"/>
      <c r="I544" s="176"/>
      <c r="J544" s="176"/>
      <c r="K544" s="171"/>
      <c r="L544" s="171" t="s">
        <v>56</v>
      </c>
      <c r="M544" s="171">
        <v>10</v>
      </c>
      <c r="N544" s="175">
        <v>0</v>
      </c>
      <c r="O544" s="171">
        <v>0</v>
      </c>
      <c r="P544" s="171">
        <v>0</v>
      </c>
      <c r="Q544" s="175">
        <v>0</v>
      </c>
      <c r="R544" s="6"/>
      <c r="S544" s="6"/>
      <c r="T544" s="6"/>
      <c r="U544" s="6"/>
      <c r="V544" s="6"/>
      <c r="W544" s="6"/>
      <c r="X544" s="6" t="s">
        <v>345</v>
      </c>
      <c r="Y544" s="6" t="s">
        <v>141</v>
      </c>
    </row>
    <row r="545" spans="1:25">
      <c r="A545" s="171">
        <v>22</v>
      </c>
      <c r="B545" s="174">
        <v>45047</v>
      </c>
      <c r="C545" s="174">
        <v>45075</v>
      </c>
      <c r="D545" s="174">
        <v>45072</v>
      </c>
      <c r="E545" s="171">
        <v>2023</v>
      </c>
      <c r="F545" s="171">
        <v>5</v>
      </c>
      <c r="G545" s="171">
        <v>26</v>
      </c>
      <c r="H545" s="131"/>
      <c r="I545" s="176"/>
      <c r="J545" s="176"/>
      <c r="K545" s="171"/>
      <c r="L545" s="171" t="s">
        <v>56</v>
      </c>
      <c r="M545" s="171">
        <v>1495</v>
      </c>
      <c r="N545" s="175">
        <v>0</v>
      </c>
      <c r="O545" s="171">
        <v>0</v>
      </c>
      <c r="P545" s="171">
        <v>0</v>
      </c>
      <c r="Q545" s="175">
        <v>0</v>
      </c>
      <c r="R545" s="6"/>
      <c r="S545" s="6"/>
      <c r="T545" s="6"/>
      <c r="U545" s="6"/>
      <c r="V545" s="6"/>
      <c r="W545" s="6"/>
      <c r="X545" s="6" t="s">
        <v>345</v>
      </c>
      <c r="Y545" s="6" t="s">
        <v>141</v>
      </c>
    </row>
    <row r="546" spans="1:25">
      <c r="A546" s="171">
        <v>22</v>
      </c>
      <c r="B546" s="174">
        <v>45047</v>
      </c>
      <c r="C546" s="174">
        <v>45075</v>
      </c>
      <c r="D546" s="174">
        <v>45072</v>
      </c>
      <c r="E546" s="171">
        <v>2023</v>
      </c>
      <c r="F546" s="171">
        <v>5</v>
      </c>
      <c r="G546" s="171">
        <v>26</v>
      </c>
      <c r="H546" s="131"/>
      <c r="I546" s="176"/>
      <c r="J546" s="176"/>
      <c r="K546" s="171"/>
      <c r="L546" s="171" t="s">
        <v>56</v>
      </c>
      <c r="M546" s="171">
        <v>6000</v>
      </c>
      <c r="N546" s="175">
        <v>0</v>
      </c>
      <c r="O546" s="171">
        <v>0</v>
      </c>
      <c r="P546" s="171">
        <v>0</v>
      </c>
      <c r="Q546" s="175">
        <v>0</v>
      </c>
      <c r="R546" s="6"/>
      <c r="S546" s="6"/>
      <c r="T546" s="6"/>
      <c r="U546" s="6"/>
      <c r="V546" s="6"/>
      <c r="W546" s="6"/>
      <c r="X546" s="6" t="s">
        <v>345</v>
      </c>
      <c r="Y546" s="6" t="s">
        <v>141</v>
      </c>
    </row>
    <row r="547" spans="1:25">
      <c r="A547" s="171">
        <v>22</v>
      </c>
      <c r="B547" s="174">
        <v>45047</v>
      </c>
      <c r="C547" s="174">
        <v>45075</v>
      </c>
      <c r="D547" s="174">
        <v>45071</v>
      </c>
      <c r="E547" s="171">
        <v>2023</v>
      </c>
      <c r="F547" s="171">
        <v>5</v>
      </c>
      <c r="G547" s="171">
        <v>25</v>
      </c>
      <c r="H547" s="131"/>
      <c r="I547" s="176"/>
      <c r="J547" s="176"/>
      <c r="K547" s="171"/>
      <c r="L547" s="171" t="s">
        <v>56</v>
      </c>
      <c r="M547" s="171">
        <v>4000</v>
      </c>
      <c r="N547" s="175">
        <v>0</v>
      </c>
      <c r="O547" s="171">
        <v>0</v>
      </c>
      <c r="P547" s="171">
        <v>0</v>
      </c>
      <c r="Q547" s="175">
        <v>0</v>
      </c>
      <c r="R547" s="6"/>
      <c r="S547" s="6"/>
      <c r="T547" s="6"/>
      <c r="U547" s="6"/>
      <c r="V547" s="6"/>
      <c r="W547" s="6"/>
      <c r="X547" s="6" t="s">
        <v>345</v>
      </c>
      <c r="Y547" s="6" t="s">
        <v>141</v>
      </c>
    </row>
    <row r="548" spans="1:25">
      <c r="A548" s="171">
        <v>22</v>
      </c>
      <c r="B548" s="174">
        <v>45047</v>
      </c>
      <c r="C548" s="174">
        <v>45069</v>
      </c>
      <c r="D548" s="174">
        <v>45068</v>
      </c>
      <c r="E548" s="171">
        <v>2023</v>
      </c>
      <c r="F548" s="171">
        <v>5</v>
      </c>
      <c r="G548" s="171">
        <v>22</v>
      </c>
      <c r="H548" s="131"/>
      <c r="I548" s="176"/>
      <c r="J548" s="176"/>
      <c r="K548" s="171"/>
      <c r="L548" s="171" t="s">
        <v>56</v>
      </c>
      <c r="M548" s="171">
        <v>600</v>
      </c>
      <c r="N548" s="175">
        <v>0</v>
      </c>
      <c r="O548" s="171">
        <v>0</v>
      </c>
      <c r="P548" s="171">
        <v>0</v>
      </c>
      <c r="Q548" s="175">
        <v>0</v>
      </c>
      <c r="R548" s="6"/>
      <c r="S548" s="6"/>
      <c r="T548" s="6"/>
      <c r="U548" s="6"/>
      <c r="V548" s="6"/>
      <c r="W548" s="6"/>
      <c r="X548" s="6" t="s">
        <v>345</v>
      </c>
      <c r="Y548" s="6" t="s">
        <v>141</v>
      </c>
    </row>
    <row r="549" spans="1:25">
      <c r="A549" s="171">
        <v>22</v>
      </c>
      <c r="B549" s="174">
        <v>45047</v>
      </c>
      <c r="C549" s="174">
        <v>45070</v>
      </c>
      <c r="D549" s="174">
        <v>45069</v>
      </c>
      <c r="E549" s="171">
        <v>2023</v>
      </c>
      <c r="F549" s="171">
        <v>5</v>
      </c>
      <c r="G549" s="171">
        <v>23</v>
      </c>
      <c r="H549" s="131"/>
      <c r="I549" s="176"/>
      <c r="J549" s="176"/>
      <c r="K549" s="171"/>
      <c r="L549" s="171" t="s">
        <v>56</v>
      </c>
      <c r="M549" s="171">
        <v>3000</v>
      </c>
      <c r="N549" s="175">
        <v>0</v>
      </c>
      <c r="O549" s="171">
        <v>0</v>
      </c>
      <c r="P549" s="171">
        <v>0</v>
      </c>
      <c r="Q549" s="175">
        <v>0</v>
      </c>
      <c r="R549" s="6"/>
      <c r="S549" s="6"/>
      <c r="T549" s="6"/>
      <c r="U549" s="6"/>
      <c r="V549" s="6"/>
      <c r="W549" s="6"/>
      <c r="X549" s="6" t="s">
        <v>345</v>
      </c>
      <c r="Y549" s="6" t="s">
        <v>141</v>
      </c>
    </row>
    <row r="550" spans="1:25">
      <c r="A550" s="171">
        <v>22</v>
      </c>
      <c r="B550" s="174">
        <v>45047</v>
      </c>
      <c r="C550" s="174">
        <v>45070</v>
      </c>
      <c r="D550" s="174">
        <v>45069</v>
      </c>
      <c r="E550" s="171">
        <v>2023</v>
      </c>
      <c r="F550" s="171">
        <v>5</v>
      </c>
      <c r="G550" s="171">
        <v>23</v>
      </c>
      <c r="H550" s="131"/>
      <c r="I550" s="176"/>
      <c r="J550" s="176"/>
      <c r="K550" s="171"/>
      <c r="L550" s="171" t="s">
        <v>56</v>
      </c>
      <c r="M550" s="171">
        <v>2000</v>
      </c>
      <c r="N550" s="175">
        <v>0</v>
      </c>
      <c r="O550" s="171">
        <v>0</v>
      </c>
      <c r="P550" s="171">
        <v>0</v>
      </c>
      <c r="Q550" s="175">
        <v>0</v>
      </c>
      <c r="R550" s="6"/>
      <c r="S550" s="6"/>
      <c r="T550" s="6"/>
      <c r="U550" s="6"/>
      <c r="V550" s="6"/>
      <c r="W550" s="6"/>
      <c r="X550" s="6" t="s">
        <v>345</v>
      </c>
      <c r="Y550" s="6" t="s">
        <v>141</v>
      </c>
    </row>
    <row r="551" spans="1:25">
      <c r="A551" s="171">
        <v>22</v>
      </c>
      <c r="B551" s="174">
        <v>45047</v>
      </c>
      <c r="C551" s="174">
        <v>45071</v>
      </c>
      <c r="D551" s="174">
        <v>45070</v>
      </c>
      <c r="E551" s="171">
        <v>2023</v>
      </c>
      <c r="F551" s="171">
        <v>5</v>
      </c>
      <c r="G551" s="171">
        <v>24</v>
      </c>
      <c r="H551" s="131"/>
      <c r="I551" s="176"/>
      <c r="J551" s="176"/>
      <c r="K551" s="171"/>
      <c r="L551" s="171" t="s">
        <v>56</v>
      </c>
      <c r="M551" s="171">
        <v>6000</v>
      </c>
      <c r="N551" s="175">
        <v>0</v>
      </c>
      <c r="O551" s="171">
        <v>0</v>
      </c>
      <c r="P551" s="171">
        <v>0</v>
      </c>
      <c r="Q551" s="175">
        <v>0</v>
      </c>
      <c r="R551" s="6"/>
      <c r="S551" s="6"/>
      <c r="T551" s="6"/>
      <c r="U551" s="6"/>
      <c r="V551" s="6"/>
      <c r="W551" s="6"/>
      <c r="X551" s="6" t="s">
        <v>345</v>
      </c>
      <c r="Y551" s="6" t="s">
        <v>141</v>
      </c>
    </row>
    <row r="552" spans="1:25">
      <c r="A552" s="171">
        <v>22</v>
      </c>
      <c r="B552" s="174">
        <v>45047</v>
      </c>
      <c r="C552" s="174">
        <v>45070</v>
      </c>
      <c r="D552" s="174">
        <v>45069</v>
      </c>
      <c r="E552" s="171">
        <v>2023</v>
      </c>
      <c r="F552" s="171">
        <v>5</v>
      </c>
      <c r="G552" s="171">
        <v>23</v>
      </c>
      <c r="H552" s="131"/>
      <c r="I552" s="176"/>
      <c r="J552" s="176"/>
      <c r="K552" s="171"/>
      <c r="L552" s="171" t="s">
        <v>56</v>
      </c>
      <c r="M552" s="171">
        <v>10</v>
      </c>
      <c r="N552" s="175">
        <v>0</v>
      </c>
      <c r="O552" s="171">
        <v>0</v>
      </c>
      <c r="P552" s="171">
        <v>0</v>
      </c>
      <c r="Q552" s="175">
        <v>0</v>
      </c>
      <c r="R552" s="6"/>
      <c r="S552" s="6"/>
      <c r="T552" s="6"/>
      <c r="U552" s="6"/>
      <c r="V552" s="6"/>
      <c r="W552" s="6"/>
      <c r="X552" s="6" t="s">
        <v>345</v>
      </c>
      <c r="Y552" s="6" t="s">
        <v>141</v>
      </c>
    </row>
    <row r="553" spans="1:25">
      <c r="A553" s="171">
        <v>22</v>
      </c>
      <c r="B553" s="174">
        <v>45047</v>
      </c>
      <c r="C553" s="174">
        <v>45070</v>
      </c>
      <c r="D553" s="174">
        <v>45069</v>
      </c>
      <c r="E553" s="171">
        <v>2023</v>
      </c>
      <c r="F553" s="171">
        <v>5</v>
      </c>
      <c r="G553" s="171">
        <v>23</v>
      </c>
      <c r="H553" s="131"/>
      <c r="I553" s="176"/>
      <c r="J553" s="176"/>
      <c r="K553" s="171"/>
      <c r="L553" s="171" t="s">
        <v>56</v>
      </c>
      <c r="M553" s="171">
        <v>700</v>
      </c>
      <c r="N553" s="175">
        <v>0</v>
      </c>
      <c r="O553" s="171">
        <v>0</v>
      </c>
      <c r="P553" s="171">
        <v>0</v>
      </c>
      <c r="Q553" s="175">
        <v>0</v>
      </c>
      <c r="R553" s="6"/>
      <c r="S553" s="6"/>
      <c r="T553" s="6"/>
      <c r="U553" s="6"/>
      <c r="V553" s="6"/>
      <c r="W553" s="6"/>
      <c r="X553" s="6" t="s">
        <v>345</v>
      </c>
      <c r="Y553" s="6" t="s">
        <v>141</v>
      </c>
    </row>
    <row r="554" spans="1:25">
      <c r="A554" s="171">
        <v>22</v>
      </c>
      <c r="B554" s="174">
        <v>45047</v>
      </c>
      <c r="C554" s="174">
        <v>45069</v>
      </c>
      <c r="D554" s="174">
        <v>45068</v>
      </c>
      <c r="E554" s="171">
        <v>2023</v>
      </c>
      <c r="F554" s="171">
        <v>5</v>
      </c>
      <c r="G554" s="171">
        <v>22</v>
      </c>
      <c r="H554" s="131"/>
      <c r="I554" s="176"/>
      <c r="J554" s="176"/>
      <c r="K554" s="171"/>
      <c r="L554" s="171" t="s">
        <v>56</v>
      </c>
      <c r="M554" s="171">
        <v>300</v>
      </c>
      <c r="N554" s="175">
        <v>0</v>
      </c>
      <c r="O554" s="171">
        <v>0</v>
      </c>
      <c r="P554" s="171">
        <v>0</v>
      </c>
      <c r="Q554" s="175">
        <v>0</v>
      </c>
      <c r="R554" s="6"/>
      <c r="S554" s="6"/>
      <c r="T554" s="6"/>
      <c r="U554" s="6"/>
      <c r="V554" s="6"/>
      <c r="W554" s="6"/>
      <c r="X554" s="6" t="s">
        <v>345</v>
      </c>
      <c r="Y554" s="6" t="s">
        <v>141</v>
      </c>
    </row>
    <row r="555" spans="1:25">
      <c r="A555" s="171">
        <v>22</v>
      </c>
      <c r="B555" s="174">
        <v>45047</v>
      </c>
      <c r="C555" s="174">
        <v>45069</v>
      </c>
      <c r="D555" s="174">
        <v>45068</v>
      </c>
      <c r="E555" s="171">
        <v>2023</v>
      </c>
      <c r="F555" s="171">
        <v>5</v>
      </c>
      <c r="G555" s="171">
        <v>22</v>
      </c>
      <c r="H555" s="131"/>
      <c r="I555" s="176"/>
      <c r="J555" s="176"/>
      <c r="K555" s="171"/>
      <c r="L555" s="171" t="s">
        <v>56</v>
      </c>
      <c r="M555" s="171">
        <v>3750</v>
      </c>
      <c r="N555" s="175">
        <v>0</v>
      </c>
      <c r="O555" s="171">
        <v>0</v>
      </c>
      <c r="P555" s="171">
        <v>0</v>
      </c>
      <c r="Q555" s="175">
        <v>0</v>
      </c>
      <c r="R555" s="6"/>
      <c r="S555" s="6"/>
      <c r="T555" s="6"/>
      <c r="U555" s="6"/>
      <c r="V555" s="6"/>
      <c r="W555" s="6"/>
      <c r="X555" s="6" t="s">
        <v>345</v>
      </c>
      <c r="Y555" s="6" t="s">
        <v>141</v>
      </c>
    </row>
    <row r="556" spans="1:25">
      <c r="A556" s="171">
        <v>22</v>
      </c>
      <c r="B556" s="174">
        <v>45047</v>
      </c>
      <c r="C556" s="174">
        <v>45069</v>
      </c>
      <c r="D556" s="174">
        <v>45068</v>
      </c>
      <c r="E556" s="171">
        <v>2023</v>
      </c>
      <c r="F556" s="171">
        <v>5</v>
      </c>
      <c r="G556" s="171">
        <v>22</v>
      </c>
      <c r="H556" s="131"/>
      <c r="I556" s="176"/>
      <c r="J556" s="176"/>
      <c r="K556" s="171"/>
      <c r="L556" s="171" t="s">
        <v>56</v>
      </c>
      <c r="M556" s="171">
        <v>800</v>
      </c>
      <c r="N556" s="175">
        <v>0</v>
      </c>
      <c r="O556" s="171">
        <v>0</v>
      </c>
      <c r="P556" s="171">
        <v>0</v>
      </c>
      <c r="Q556" s="175">
        <v>0</v>
      </c>
      <c r="R556" s="6"/>
      <c r="S556" s="6"/>
      <c r="T556" s="6"/>
      <c r="U556" s="6"/>
      <c r="V556" s="6"/>
      <c r="W556" s="6"/>
      <c r="X556" s="6" t="s">
        <v>345</v>
      </c>
      <c r="Y556" s="6" t="s">
        <v>141</v>
      </c>
    </row>
    <row r="557" spans="1:25">
      <c r="A557" s="171">
        <v>22</v>
      </c>
      <c r="B557" s="174">
        <v>45047</v>
      </c>
      <c r="C557" s="174">
        <v>45071</v>
      </c>
      <c r="D557" s="174">
        <v>45070</v>
      </c>
      <c r="E557" s="171">
        <v>2023</v>
      </c>
      <c r="F557" s="171">
        <v>5</v>
      </c>
      <c r="G557" s="171">
        <v>24</v>
      </c>
      <c r="H557" s="131"/>
      <c r="I557" s="176"/>
      <c r="J557" s="176"/>
      <c r="K557" s="171"/>
      <c r="L557" s="171" t="s">
        <v>56</v>
      </c>
      <c r="M557" s="171">
        <v>1500</v>
      </c>
      <c r="N557" s="175">
        <v>0</v>
      </c>
      <c r="O557" s="171">
        <v>0</v>
      </c>
      <c r="P557" s="171">
        <v>0</v>
      </c>
      <c r="Q557" s="175">
        <v>0</v>
      </c>
      <c r="R557" s="6"/>
      <c r="S557" s="6"/>
      <c r="T557" s="6"/>
      <c r="U557" s="6"/>
      <c r="V557" s="6"/>
      <c r="W557" s="6"/>
      <c r="X557" s="6" t="s">
        <v>345</v>
      </c>
      <c r="Y557" s="6" t="s">
        <v>141</v>
      </c>
    </row>
    <row r="558" spans="1:25">
      <c r="A558" s="171">
        <v>22</v>
      </c>
      <c r="B558" s="174">
        <v>45047</v>
      </c>
      <c r="C558" s="174">
        <v>45070</v>
      </c>
      <c r="D558" s="174">
        <v>45069</v>
      </c>
      <c r="E558" s="171">
        <v>2023</v>
      </c>
      <c r="F558" s="171">
        <v>5</v>
      </c>
      <c r="G558" s="171">
        <v>23</v>
      </c>
      <c r="H558" s="131"/>
      <c r="I558" s="176"/>
      <c r="J558" s="176"/>
      <c r="K558" s="171"/>
      <c r="L558" s="171" t="s">
        <v>56</v>
      </c>
      <c r="M558" s="171">
        <v>5</v>
      </c>
      <c r="N558" s="175">
        <v>0</v>
      </c>
      <c r="O558" s="171">
        <v>0</v>
      </c>
      <c r="P558" s="171">
        <v>0</v>
      </c>
      <c r="Q558" s="175">
        <v>0</v>
      </c>
      <c r="R558" s="6"/>
      <c r="S558" s="6"/>
      <c r="T558" s="6"/>
      <c r="U558" s="6"/>
      <c r="V558" s="6"/>
      <c r="W558" s="6"/>
      <c r="X558" s="6" t="s">
        <v>345</v>
      </c>
      <c r="Y558" s="6" t="s">
        <v>141</v>
      </c>
    </row>
    <row r="559" spans="1:25">
      <c r="A559" s="171">
        <v>22</v>
      </c>
      <c r="B559" s="174">
        <v>45047</v>
      </c>
      <c r="C559" s="174">
        <v>45072</v>
      </c>
      <c r="D559" s="174">
        <v>45071</v>
      </c>
      <c r="E559" s="171">
        <v>2023</v>
      </c>
      <c r="F559" s="171">
        <v>5</v>
      </c>
      <c r="G559" s="171">
        <v>25</v>
      </c>
      <c r="H559" s="131"/>
      <c r="I559" s="176"/>
      <c r="J559" s="176"/>
      <c r="K559" s="171"/>
      <c r="L559" s="171" t="s">
        <v>52</v>
      </c>
      <c r="M559" s="171">
        <v>3100</v>
      </c>
      <c r="N559" s="175">
        <v>0</v>
      </c>
      <c r="O559" s="171">
        <v>0</v>
      </c>
      <c r="P559" s="171">
        <v>0</v>
      </c>
      <c r="Q559" s="175">
        <v>0</v>
      </c>
      <c r="R559" s="6"/>
      <c r="S559" s="6"/>
      <c r="T559" s="6"/>
      <c r="U559" s="6"/>
      <c r="V559" s="6"/>
      <c r="W559" s="6"/>
      <c r="X559" s="6" t="s">
        <v>353</v>
      </c>
      <c r="Y559" s="6" t="s">
        <v>143</v>
      </c>
    </row>
    <row r="560" spans="1:25">
      <c r="A560" s="171">
        <v>22</v>
      </c>
      <c r="B560" s="174">
        <v>45047</v>
      </c>
      <c r="C560" s="174">
        <v>45069</v>
      </c>
      <c r="D560" s="174">
        <v>45068</v>
      </c>
      <c r="E560" s="171">
        <v>2023</v>
      </c>
      <c r="F560" s="171">
        <v>5</v>
      </c>
      <c r="G560" s="171">
        <v>22</v>
      </c>
      <c r="H560" s="131"/>
      <c r="I560" s="176"/>
      <c r="J560" s="176"/>
      <c r="K560" s="171"/>
      <c r="L560" s="171" t="s">
        <v>56</v>
      </c>
      <c r="M560" s="171">
        <v>4800</v>
      </c>
      <c r="N560" s="175">
        <v>0</v>
      </c>
      <c r="O560" s="171">
        <v>0</v>
      </c>
      <c r="P560" s="171">
        <v>0</v>
      </c>
      <c r="Q560" s="175">
        <v>0</v>
      </c>
      <c r="R560" s="6"/>
      <c r="S560" s="6"/>
      <c r="T560" s="6"/>
      <c r="U560" s="6"/>
      <c r="V560" s="6"/>
      <c r="W560" s="6"/>
      <c r="X560" s="6" t="s">
        <v>345</v>
      </c>
      <c r="Y560" s="6" t="s">
        <v>141</v>
      </c>
    </row>
    <row r="561" spans="1:25">
      <c r="A561" s="171">
        <v>22</v>
      </c>
      <c r="B561" s="174">
        <v>45047</v>
      </c>
      <c r="C561" s="174">
        <v>45075</v>
      </c>
      <c r="D561" s="174">
        <v>45072</v>
      </c>
      <c r="E561" s="171">
        <v>2023</v>
      </c>
      <c r="F561" s="171">
        <v>5</v>
      </c>
      <c r="G561" s="171">
        <v>26</v>
      </c>
      <c r="H561" s="131"/>
      <c r="I561" s="176"/>
      <c r="J561" s="176"/>
      <c r="K561" s="171"/>
      <c r="L561" s="171" t="s">
        <v>56</v>
      </c>
      <c r="M561" s="171">
        <v>500</v>
      </c>
      <c r="N561" s="175">
        <v>0</v>
      </c>
      <c r="O561" s="171">
        <v>0</v>
      </c>
      <c r="P561" s="171">
        <v>0</v>
      </c>
      <c r="Q561" s="175">
        <v>0</v>
      </c>
      <c r="R561" s="6"/>
      <c r="S561" s="6"/>
      <c r="T561" s="6"/>
      <c r="U561" s="6"/>
      <c r="V561" s="6"/>
      <c r="W561" s="6"/>
      <c r="X561" s="6" t="s">
        <v>345</v>
      </c>
      <c r="Y561" s="6" t="s">
        <v>141</v>
      </c>
    </row>
    <row r="562" spans="1:25">
      <c r="A562" s="171">
        <v>22</v>
      </c>
      <c r="B562" s="174">
        <v>45047</v>
      </c>
      <c r="C562" s="174">
        <v>45070</v>
      </c>
      <c r="D562" s="174">
        <v>45069</v>
      </c>
      <c r="E562" s="171">
        <v>2023</v>
      </c>
      <c r="F562" s="171">
        <v>5</v>
      </c>
      <c r="G562" s="171">
        <v>23</v>
      </c>
      <c r="H562" s="131"/>
      <c r="I562" s="176"/>
      <c r="J562" s="176"/>
      <c r="K562" s="171"/>
      <c r="L562" s="171" t="s">
        <v>56</v>
      </c>
      <c r="M562" s="171">
        <v>2500</v>
      </c>
      <c r="N562" s="175">
        <v>0</v>
      </c>
      <c r="O562" s="171">
        <v>0</v>
      </c>
      <c r="P562" s="171">
        <v>0</v>
      </c>
      <c r="Q562" s="175">
        <v>0</v>
      </c>
      <c r="R562" s="6"/>
      <c r="S562" s="6"/>
      <c r="T562" s="6"/>
      <c r="U562" s="6"/>
      <c r="V562" s="6"/>
      <c r="W562" s="6"/>
      <c r="X562" s="6" t="s">
        <v>345</v>
      </c>
      <c r="Y562" s="6" t="s">
        <v>141</v>
      </c>
    </row>
    <row r="563" spans="1:25">
      <c r="A563" s="171">
        <v>22</v>
      </c>
      <c r="B563" s="174">
        <v>45047</v>
      </c>
      <c r="C563" s="174">
        <v>45071</v>
      </c>
      <c r="D563" s="174">
        <v>45070</v>
      </c>
      <c r="E563" s="171">
        <v>2023</v>
      </c>
      <c r="F563" s="171">
        <v>5</v>
      </c>
      <c r="G563" s="171">
        <v>24</v>
      </c>
      <c r="H563" s="131"/>
      <c r="I563" s="176"/>
      <c r="J563" s="176"/>
      <c r="K563" s="171"/>
      <c r="L563" s="171" t="s">
        <v>52</v>
      </c>
      <c r="M563" s="171">
        <v>5000</v>
      </c>
      <c r="N563" s="175">
        <v>0</v>
      </c>
      <c r="O563" s="171">
        <v>0</v>
      </c>
      <c r="P563" s="171">
        <v>0</v>
      </c>
      <c r="Q563" s="175">
        <v>0</v>
      </c>
      <c r="R563" s="6"/>
      <c r="S563" s="6"/>
      <c r="T563" s="6"/>
      <c r="U563" s="6"/>
      <c r="V563" s="6"/>
      <c r="W563" s="6"/>
      <c r="X563" s="6" t="s">
        <v>353</v>
      </c>
      <c r="Y563" s="6" t="s">
        <v>143</v>
      </c>
    </row>
    <row r="564" spans="1:25">
      <c r="A564" s="171">
        <v>22</v>
      </c>
      <c r="B564" s="174">
        <v>45047</v>
      </c>
      <c r="C564" s="174">
        <v>45072</v>
      </c>
      <c r="D564" s="174">
        <v>45071</v>
      </c>
      <c r="E564" s="171">
        <v>2023</v>
      </c>
      <c r="F564" s="171">
        <v>5</v>
      </c>
      <c r="G564" s="171">
        <v>25</v>
      </c>
      <c r="H564" s="131"/>
      <c r="I564" s="176"/>
      <c r="J564" s="176"/>
      <c r="K564" s="171"/>
      <c r="L564" s="171" t="s">
        <v>56</v>
      </c>
      <c r="M564" s="171">
        <v>500</v>
      </c>
      <c r="N564" s="175">
        <v>0</v>
      </c>
      <c r="O564" s="171">
        <v>0</v>
      </c>
      <c r="P564" s="171">
        <v>0</v>
      </c>
      <c r="Q564" s="175">
        <v>0</v>
      </c>
      <c r="R564" s="6"/>
      <c r="S564" s="6"/>
      <c r="T564" s="6"/>
      <c r="U564" s="6"/>
      <c r="V564" s="6"/>
      <c r="W564" s="6"/>
      <c r="X564" s="6" t="s">
        <v>345</v>
      </c>
      <c r="Y564" s="6" t="s">
        <v>141</v>
      </c>
    </row>
    <row r="565" spans="1:25">
      <c r="A565" s="171">
        <v>22</v>
      </c>
      <c r="B565" s="174">
        <v>45047</v>
      </c>
      <c r="C565" s="174">
        <v>45071</v>
      </c>
      <c r="D565" s="174">
        <v>45070</v>
      </c>
      <c r="E565" s="171">
        <v>2023</v>
      </c>
      <c r="F565" s="171">
        <v>5</v>
      </c>
      <c r="G565" s="171">
        <v>24</v>
      </c>
      <c r="H565" s="131"/>
      <c r="I565" s="176"/>
      <c r="J565" s="176"/>
      <c r="K565" s="171"/>
      <c r="L565" s="171" t="s">
        <v>56</v>
      </c>
      <c r="M565" s="171">
        <v>1400</v>
      </c>
      <c r="N565" s="175">
        <v>0</v>
      </c>
      <c r="O565" s="171">
        <v>0</v>
      </c>
      <c r="P565" s="171">
        <v>0</v>
      </c>
      <c r="Q565" s="175">
        <v>0</v>
      </c>
      <c r="R565" s="6"/>
      <c r="S565" s="6"/>
      <c r="T565" s="6"/>
      <c r="U565" s="6"/>
      <c r="V565" s="6"/>
      <c r="W565" s="6"/>
      <c r="X565" s="6" t="s">
        <v>345</v>
      </c>
      <c r="Y565" s="6" t="s">
        <v>141</v>
      </c>
    </row>
    <row r="566" spans="1:25">
      <c r="A566" s="171">
        <v>22</v>
      </c>
      <c r="B566" s="174">
        <v>45047</v>
      </c>
      <c r="C566" s="174">
        <v>45072</v>
      </c>
      <c r="D566" s="174">
        <v>45071</v>
      </c>
      <c r="E566" s="171">
        <v>2023</v>
      </c>
      <c r="F566" s="171">
        <v>5</v>
      </c>
      <c r="G566" s="171">
        <v>25</v>
      </c>
      <c r="H566" s="131"/>
      <c r="I566" s="176"/>
      <c r="J566" s="176"/>
      <c r="K566" s="171"/>
      <c r="L566" s="171" t="s">
        <v>56</v>
      </c>
      <c r="M566" s="171">
        <v>2000</v>
      </c>
      <c r="N566" s="175">
        <v>0</v>
      </c>
      <c r="O566" s="171">
        <v>0</v>
      </c>
      <c r="P566" s="171">
        <v>0</v>
      </c>
      <c r="Q566" s="175">
        <v>0</v>
      </c>
      <c r="R566" s="6"/>
      <c r="S566" s="6"/>
      <c r="T566" s="6"/>
      <c r="U566" s="6"/>
      <c r="V566" s="6"/>
      <c r="W566" s="6"/>
      <c r="X566" s="6" t="s">
        <v>345</v>
      </c>
      <c r="Y566" s="6" t="s">
        <v>141</v>
      </c>
    </row>
    <row r="567" spans="1:25">
      <c r="A567" s="171">
        <v>22</v>
      </c>
      <c r="B567" s="174">
        <v>45047</v>
      </c>
      <c r="C567" s="174">
        <v>45075</v>
      </c>
      <c r="D567" s="174">
        <v>45072</v>
      </c>
      <c r="E567" s="171">
        <v>2023</v>
      </c>
      <c r="F567" s="171">
        <v>5</v>
      </c>
      <c r="G567" s="171">
        <v>26</v>
      </c>
      <c r="H567" s="131"/>
      <c r="I567" s="176"/>
      <c r="J567" s="176"/>
      <c r="K567" s="171"/>
      <c r="L567" s="171" t="s">
        <v>56</v>
      </c>
      <c r="M567" s="171">
        <v>2000</v>
      </c>
      <c r="N567" s="175">
        <v>0</v>
      </c>
      <c r="O567" s="171">
        <v>0</v>
      </c>
      <c r="P567" s="171">
        <v>0</v>
      </c>
      <c r="Q567" s="175">
        <v>0</v>
      </c>
      <c r="R567" s="6"/>
      <c r="S567" s="6"/>
      <c r="T567" s="6"/>
      <c r="U567" s="6"/>
      <c r="V567" s="6"/>
      <c r="W567" s="6"/>
      <c r="X567" s="6" t="s">
        <v>345</v>
      </c>
      <c r="Y567" s="6" t="s">
        <v>141</v>
      </c>
    </row>
    <row r="568" spans="1:25">
      <c r="A568" s="171">
        <v>22</v>
      </c>
      <c r="B568" s="174">
        <v>45047</v>
      </c>
      <c r="C568" s="174">
        <v>45075</v>
      </c>
      <c r="D568" s="174">
        <v>45072</v>
      </c>
      <c r="E568" s="171">
        <v>2023</v>
      </c>
      <c r="F568" s="171">
        <v>5</v>
      </c>
      <c r="G568" s="171">
        <v>26</v>
      </c>
      <c r="H568" s="131"/>
      <c r="I568" s="176"/>
      <c r="J568" s="176"/>
      <c r="K568" s="171"/>
      <c r="L568" s="171" t="s">
        <v>56</v>
      </c>
      <c r="M568" s="171">
        <v>2700</v>
      </c>
      <c r="N568" s="175">
        <v>0</v>
      </c>
      <c r="O568" s="171">
        <v>0</v>
      </c>
      <c r="P568" s="171">
        <v>0</v>
      </c>
      <c r="Q568" s="175">
        <v>0</v>
      </c>
      <c r="R568" s="6"/>
      <c r="S568" s="6"/>
      <c r="T568" s="6"/>
      <c r="U568" s="6"/>
      <c r="V568" s="6"/>
      <c r="W568" s="6"/>
      <c r="X568" s="6" t="s">
        <v>345</v>
      </c>
      <c r="Y568" s="6" t="s">
        <v>141</v>
      </c>
    </row>
    <row r="569" spans="1:25">
      <c r="A569" s="171">
        <v>22</v>
      </c>
      <c r="B569" s="174">
        <v>45047</v>
      </c>
      <c r="C569" s="174">
        <v>45069</v>
      </c>
      <c r="D569" s="174">
        <v>45068</v>
      </c>
      <c r="E569" s="171">
        <v>2023</v>
      </c>
      <c r="F569" s="171">
        <v>5</v>
      </c>
      <c r="G569" s="171">
        <v>22</v>
      </c>
      <c r="H569" s="131"/>
      <c r="I569" s="176"/>
      <c r="J569" s="176"/>
      <c r="K569" s="171"/>
      <c r="L569" s="171" t="s">
        <v>56</v>
      </c>
      <c r="M569" s="171">
        <v>100</v>
      </c>
      <c r="N569" s="175">
        <v>0</v>
      </c>
      <c r="O569" s="171">
        <v>0</v>
      </c>
      <c r="P569" s="171">
        <v>0</v>
      </c>
      <c r="Q569" s="175">
        <v>0</v>
      </c>
      <c r="R569" s="6"/>
      <c r="S569" s="6"/>
      <c r="T569" s="6"/>
      <c r="U569" s="6"/>
      <c r="V569" s="6"/>
      <c r="W569" s="6"/>
      <c r="X569" s="6" t="s">
        <v>345</v>
      </c>
      <c r="Y569" s="6" t="s">
        <v>141</v>
      </c>
    </row>
    <row r="570" spans="1:25">
      <c r="A570" s="171">
        <v>22</v>
      </c>
      <c r="B570" s="174">
        <v>45047</v>
      </c>
      <c r="C570" s="174">
        <v>45071</v>
      </c>
      <c r="D570" s="174">
        <v>45070</v>
      </c>
      <c r="E570" s="171">
        <v>2023</v>
      </c>
      <c r="F570" s="171">
        <v>5</v>
      </c>
      <c r="G570" s="171">
        <v>24</v>
      </c>
      <c r="H570" s="131"/>
      <c r="I570" s="176"/>
      <c r="J570" s="176"/>
      <c r="K570" s="171"/>
      <c r="L570" s="171" t="s">
        <v>56</v>
      </c>
      <c r="M570" s="171">
        <v>250</v>
      </c>
      <c r="N570" s="175">
        <v>0</v>
      </c>
      <c r="O570" s="171">
        <v>0</v>
      </c>
      <c r="P570" s="171">
        <v>0</v>
      </c>
      <c r="Q570" s="175">
        <v>0</v>
      </c>
      <c r="R570" s="6"/>
      <c r="S570" s="6"/>
      <c r="T570" s="6"/>
      <c r="U570" s="6"/>
      <c r="V570" s="6"/>
      <c r="W570" s="6"/>
      <c r="X570" s="6" t="s">
        <v>345</v>
      </c>
      <c r="Y570" s="6" t="s">
        <v>141</v>
      </c>
    </row>
    <row r="571" spans="1:25">
      <c r="A571" s="171">
        <v>22</v>
      </c>
      <c r="B571" s="174">
        <v>45047</v>
      </c>
      <c r="C571" s="174">
        <v>45069</v>
      </c>
      <c r="D571" s="174">
        <v>45068</v>
      </c>
      <c r="E571" s="171">
        <v>2023</v>
      </c>
      <c r="F571" s="171">
        <v>5</v>
      </c>
      <c r="G571" s="171">
        <v>22</v>
      </c>
      <c r="H571" s="131"/>
      <c r="I571" s="176"/>
      <c r="J571" s="176"/>
      <c r="K571" s="171"/>
      <c r="L571" s="171" t="s">
        <v>56</v>
      </c>
      <c r="M571" s="171">
        <v>1000</v>
      </c>
      <c r="N571" s="175">
        <v>0</v>
      </c>
      <c r="O571" s="171">
        <v>0</v>
      </c>
      <c r="P571" s="171">
        <v>0</v>
      </c>
      <c r="Q571" s="175">
        <v>0</v>
      </c>
      <c r="R571" s="6"/>
      <c r="S571" s="6"/>
      <c r="T571" s="6"/>
      <c r="U571" s="6"/>
      <c r="V571" s="6"/>
      <c r="W571" s="6"/>
      <c r="X571" s="6" t="s">
        <v>345</v>
      </c>
      <c r="Y571" s="6" t="s">
        <v>141</v>
      </c>
    </row>
    <row r="572" spans="1:25">
      <c r="A572" s="171">
        <v>22</v>
      </c>
      <c r="B572" s="174">
        <v>45047</v>
      </c>
      <c r="C572" s="174">
        <v>45070</v>
      </c>
      <c r="D572" s="174">
        <v>45069</v>
      </c>
      <c r="E572" s="171">
        <v>2023</v>
      </c>
      <c r="F572" s="171">
        <v>5</v>
      </c>
      <c r="G572" s="171">
        <v>23</v>
      </c>
      <c r="H572" s="131"/>
      <c r="I572" s="176"/>
      <c r="J572" s="176"/>
      <c r="K572" s="171"/>
      <c r="L572" s="171" t="s">
        <v>56</v>
      </c>
      <c r="M572" s="171">
        <v>200</v>
      </c>
      <c r="N572" s="175">
        <v>0</v>
      </c>
      <c r="O572" s="171">
        <v>0</v>
      </c>
      <c r="P572" s="171">
        <v>0</v>
      </c>
      <c r="Q572" s="175">
        <v>0</v>
      </c>
      <c r="R572" s="6"/>
      <c r="S572" s="6"/>
      <c r="T572" s="6"/>
      <c r="U572" s="6"/>
      <c r="V572" s="6"/>
      <c r="W572" s="6"/>
      <c r="X572" s="6" t="s">
        <v>345</v>
      </c>
      <c r="Y572" s="6" t="s">
        <v>141</v>
      </c>
    </row>
    <row r="573" spans="1:25">
      <c r="A573" s="171">
        <v>22</v>
      </c>
      <c r="B573" s="174">
        <v>45047</v>
      </c>
      <c r="C573" s="174">
        <v>45069</v>
      </c>
      <c r="D573" s="174">
        <v>45068</v>
      </c>
      <c r="E573" s="171">
        <v>2023</v>
      </c>
      <c r="F573" s="171">
        <v>5</v>
      </c>
      <c r="G573" s="171">
        <v>22</v>
      </c>
      <c r="H573" s="131"/>
      <c r="I573" s="176"/>
      <c r="J573" s="176"/>
      <c r="K573" s="171"/>
      <c r="L573" s="171" t="s">
        <v>56</v>
      </c>
      <c r="M573" s="171">
        <v>300</v>
      </c>
      <c r="N573" s="175">
        <v>0</v>
      </c>
      <c r="O573" s="171">
        <v>0</v>
      </c>
      <c r="P573" s="171">
        <v>0</v>
      </c>
      <c r="Q573" s="175">
        <v>0</v>
      </c>
      <c r="R573" s="6"/>
      <c r="S573" s="6"/>
      <c r="T573" s="6"/>
      <c r="U573" s="6"/>
      <c r="V573" s="6"/>
      <c r="W573" s="6"/>
      <c r="X573" s="6" t="s">
        <v>345</v>
      </c>
      <c r="Y573" s="6" t="s">
        <v>141</v>
      </c>
    </row>
    <row r="574" spans="1:25">
      <c r="A574" s="171">
        <v>22</v>
      </c>
      <c r="B574" s="174">
        <v>45047</v>
      </c>
      <c r="C574" s="174">
        <v>45069</v>
      </c>
      <c r="D574" s="174">
        <v>45068</v>
      </c>
      <c r="E574" s="171">
        <v>2023</v>
      </c>
      <c r="F574" s="171">
        <v>5</v>
      </c>
      <c r="G574" s="171">
        <v>22</v>
      </c>
      <c r="H574" s="131"/>
      <c r="I574" s="176"/>
      <c r="J574" s="176"/>
      <c r="K574" s="171"/>
      <c r="L574" s="171" t="s">
        <v>56</v>
      </c>
      <c r="M574" s="171">
        <v>700</v>
      </c>
      <c r="N574" s="175">
        <v>0</v>
      </c>
      <c r="O574" s="171">
        <v>0</v>
      </c>
      <c r="P574" s="171">
        <v>0</v>
      </c>
      <c r="Q574" s="175">
        <v>0</v>
      </c>
      <c r="R574" s="6"/>
      <c r="S574" s="6"/>
      <c r="T574" s="6"/>
      <c r="U574" s="6"/>
      <c r="V574" s="6"/>
      <c r="W574" s="6"/>
      <c r="X574" s="6" t="s">
        <v>345</v>
      </c>
      <c r="Y574" s="6" t="s">
        <v>141</v>
      </c>
    </row>
    <row r="575" spans="1:25">
      <c r="A575" s="171">
        <v>22</v>
      </c>
      <c r="B575" s="174">
        <v>45047</v>
      </c>
      <c r="C575" s="174">
        <v>45069</v>
      </c>
      <c r="D575" s="174">
        <v>45068</v>
      </c>
      <c r="E575" s="171">
        <v>2023</v>
      </c>
      <c r="F575" s="171">
        <v>5</v>
      </c>
      <c r="G575" s="171">
        <v>22</v>
      </c>
      <c r="H575" s="131"/>
      <c r="I575" s="176"/>
      <c r="J575" s="176"/>
      <c r="K575" s="171"/>
      <c r="L575" s="171" t="s">
        <v>56</v>
      </c>
      <c r="M575" s="171">
        <v>200</v>
      </c>
      <c r="N575" s="175">
        <v>0</v>
      </c>
      <c r="O575" s="171">
        <v>0</v>
      </c>
      <c r="P575" s="171">
        <v>0</v>
      </c>
      <c r="Q575" s="175">
        <v>0</v>
      </c>
      <c r="R575" s="6"/>
      <c r="S575" s="6"/>
      <c r="T575" s="6"/>
      <c r="U575" s="6"/>
      <c r="V575" s="6"/>
      <c r="W575" s="6"/>
      <c r="X575" s="6" t="s">
        <v>345</v>
      </c>
      <c r="Y575" s="6" t="s">
        <v>141</v>
      </c>
    </row>
    <row r="576" spans="1:25">
      <c r="A576" s="171">
        <v>22</v>
      </c>
      <c r="B576" s="174">
        <v>45047</v>
      </c>
      <c r="C576" s="174">
        <v>45069</v>
      </c>
      <c r="D576" s="174">
        <v>45068</v>
      </c>
      <c r="E576" s="171">
        <v>2023</v>
      </c>
      <c r="F576" s="171">
        <v>5</v>
      </c>
      <c r="G576" s="171">
        <v>22</v>
      </c>
      <c r="H576" s="131"/>
      <c r="I576" s="176"/>
      <c r="J576" s="176"/>
      <c r="K576" s="171"/>
      <c r="L576" s="171" t="s">
        <v>56</v>
      </c>
      <c r="M576" s="171">
        <v>1900</v>
      </c>
      <c r="N576" s="175">
        <v>0</v>
      </c>
      <c r="O576" s="171">
        <v>0</v>
      </c>
      <c r="P576" s="171">
        <v>0</v>
      </c>
      <c r="Q576" s="175">
        <v>0</v>
      </c>
      <c r="R576" s="6"/>
      <c r="S576" s="6"/>
      <c r="T576" s="6"/>
      <c r="U576" s="6"/>
      <c r="V576" s="6"/>
      <c r="W576" s="6"/>
      <c r="X576" s="6" t="s">
        <v>345</v>
      </c>
      <c r="Y576" s="6" t="s">
        <v>141</v>
      </c>
    </row>
    <row r="577" spans="1:25">
      <c r="A577" s="171">
        <v>22</v>
      </c>
      <c r="B577" s="174">
        <v>45047</v>
      </c>
      <c r="C577" s="174">
        <v>45071</v>
      </c>
      <c r="D577" s="174">
        <v>45070</v>
      </c>
      <c r="E577" s="171">
        <v>2023</v>
      </c>
      <c r="F577" s="171">
        <v>5</v>
      </c>
      <c r="G577" s="171">
        <v>24</v>
      </c>
      <c r="H577" s="131"/>
      <c r="I577" s="176"/>
      <c r="J577" s="176"/>
      <c r="K577" s="171"/>
      <c r="L577" s="171" t="s">
        <v>56</v>
      </c>
      <c r="M577" s="171">
        <v>400</v>
      </c>
      <c r="N577" s="175">
        <v>0</v>
      </c>
      <c r="O577" s="171">
        <v>0</v>
      </c>
      <c r="P577" s="171">
        <v>0</v>
      </c>
      <c r="Q577" s="175">
        <v>0</v>
      </c>
      <c r="R577" s="6"/>
      <c r="S577" s="6"/>
      <c r="T577" s="6"/>
      <c r="U577" s="6"/>
      <c r="V577" s="6"/>
      <c r="W577" s="6"/>
      <c r="X577" s="6" t="s">
        <v>345</v>
      </c>
      <c r="Y577" s="6" t="s">
        <v>141</v>
      </c>
    </row>
    <row r="578" spans="1:25">
      <c r="A578" s="171">
        <v>22</v>
      </c>
      <c r="B578" s="174">
        <v>45047</v>
      </c>
      <c r="C578" s="174">
        <v>45071</v>
      </c>
      <c r="D578" s="174">
        <v>45070</v>
      </c>
      <c r="E578" s="171">
        <v>2023</v>
      </c>
      <c r="F578" s="171">
        <v>5</v>
      </c>
      <c r="G578" s="171">
        <v>24</v>
      </c>
      <c r="H578" s="131"/>
      <c r="I578" s="176"/>
      <c r="J578" s="176"/>
      <c r="K578" s="171"/>
      <c r="L578" s="171" t="s">
        <v>56</v>
      </c>
      <c r="M578" s="171">
        <v>6000</v>
      </c>
      <c r="N578" s="175">
        <v>0</v>
      </c>
      <c r="O578" s="171">
        <v>0</v>
      </c>
      <c r="P578" s="171">
        <v>0</v>
      </c>
      <c r="Q578" s="175">
        <v>0</v>
      </c>
      <c r="R578" s="6"/>
      <c r="S578" s="6"/>
      <c r="T578" s="6"/>
      <c r="U578" s="6"/>
      <c r="V578" s="6"/>
      <c r="W578" s="6"/>
      <c r="X578" s="6" t="s">
        <v>345</v>
      </c>
      <c r="Y578" s="6" t="s">
        <v>141</v>
      </c>
    </row>
    <row r="579" spans="1:25">
      <c r="A579" s="171">
        <v>22</v>
      </c>
      <c r="B579" s="174">
        <v>45047</v>
      </c>
      <c r="C579" s="174">
        <v>45072</v>
      </c>
      <c r="D579" s="174">
        <v>45071</v>
      </c>
      <c r="E579" s="171">
        <v>2023</v>
      </c>
      <c r="F579" s="171">
        <v>5</v>
      </c>
      <c r="G579" s="171">
        <v>25</v>
      </c>
      <c r="H579" s="131"/>
      <c r="I579" s="176"/>
      <c r="J579" s="176"/>
      <c r="K579" s="171"/>
      <c r="L579" s="171" t="s">
        <v>56</v>
      </c>
      <c r="M579" s="171">
        <v>10</v>
      </c>
      <c r="N579" s="175">
        <v>0</v>
      </c>
      <c r="O579" s="171">
        <v>0</v>
      </c>
      <c r="P579" s="171">
        <v>0</v>
      </c>
      <c r="Q579" s="175">
        <v>0</v>
      </c>
      <c r="R579" s="6"/>
      <c r="S579" s="6"/>
      <c r="T579" s="6"/>
      <c r="U579" s="6"/>
      <c r="V579" s="6"/>
      <c r="W579" s="6"/>
      <c r="X579" s="6" t="s">
        <v>345</v>
      </c>
      <c r="Y579" s="6" t="s">
        <v>141</v>
      </c>
    </row>
    <row r="580" spans="1:25">
      <c r="A580" s="171">
        <v>22</v>
      </c>
      <c r="B580" s="174">
        <v>45047</v>
      </c>
      <c r="C580" s="174">
        <v>45072</v>
      </c>
      <c r="D580" s="174">
        <v>45071</v>
      </c>
      <c r="E580" s="171">
        <v>2023</v>
      </c>
      <c r="F580" s="171">
        <v>5</v>
      </c>
      <c r="G580" s="171">
        <v>25</v>
      </c>
      <c r="H580" s="131"/>
      <c r="I580" s="176"/>
      <c r="J580" s="176"/>
      <c r="K580" s="171"/>
      <c r="L580" s="171" t="s">
        <v>56</v>
      </c>
      <c r="M580" s="171">
        <v>3150</v>
      </c>
      <c r="N580" s="175">
        <v>0</v>
      </c>
      <c r="O580" s="171">
        <v>0</v>
      </c>
      <c r="P580" s="171">
        <v>0</v>
      </c>
      <c r="Q580" s="175">
        <v>0</v>
      </c>
      <c r="R580" s="6"/>
      <c r="S580" s="6"/>
      <c r="T580" s="6"/>
      <c r="U580" s="6"/>
      <c r="V580" s="6"/>
      <c r="W580" s="6"/>
      <c r="X580" s="6" t="s">
        <v>345</v>
      </c>
      <c r="Y580" s="6" t="s">
        <v>141</v>
      </c>
    </row>
    <row r="581" spans="1:25">
      <c r="A581" s="171">
        <v>22</v>
      </c>
      <c r="B581" s="174">
        <v>45047</v>
      </c>
      <c r="C581" s="174">
        <v>45075</v>
      </c>
      <c r="D581" s="174">
        <v>45072</v>
      </c>
      <c r="E581" s="171">
        <v>2023</v>
      </c>
      <c r="F581" s="171">
        <v>5</v>
      </c>
      <c r="G581" s="171">
        <v>26</v>
      </c>
      <c r="H581" s="131"/>
      <c r="I581" s="176"/>
      <c r="J581" s="176"/>
      <c r="K581" s="171"/>
      <c r="L581" s="171" t="s">
        <v>56</v>
      </c>
      <c r="M581" s="171">
        <v>1350</v>
      </c>
      <c r="N581" s="175">
        <v>0</v>
      </c>
      <c r="O581" s="171">
        <v>0</v>
      </c>
      <c r="P581" s="171">
        <v>0</v>
      </c>
      <c r="Q581" s="175">
        <v>0</v>
      </c>
      <c r="R581" s="6"/>
      <c r="S581" s="6"/>
      <c r="T581" s="6"/>
      <c r="U581" s="6"/>
      <c r="V581" s="6"/>
      <c r="W581" s="6"/>
      <c r="X581" s="6" t="s">
        <v>345</v>
      </c>
      <c r="Y581" s="6" t="s">
        <v>141</v>
      </c>
    </row>
    <row r="582" spans="1:25">
      <c r="A582" s="171">
        <v>22</v>
      </c>
      <c r="B582" s="174">
        <v>45047</v>
      </c>
      <c r="C582" s="174">
        <v>45075</v>
      </c>
      <c r="D582" s="174">
        <v>45072</v>
      </c>
      <c r="E582" s="171">
        <v>2023</v>
      </c>
      <c r="F582" s="171">
        <v>5</v>
      </c>
      <c r="G582" s="171">
        <v>26</v>
      </c>
      <c r="H582" s="131"/>
      <c r="I582" s="176"/>
      <c r="J582" s="176"/>
      <c r="K582" s="171"/>
      <c r="L582" s="171" t="s">
        <v>56</v>
      </c>
      <c r="M582" s="171">
        <v>300</v>
      </c>
      <c r="N582" s="175">
        <v>0</v>
      </c>
      <c r="O582" s="171">
        <v>0</v>
      </c>
      <c r="P582" s="171">
        <v>0</v>
      </c>
      <c r="Q582" s="175">
        <v>0</v>
      </c>
      <c r="R582" s="6"/>
      <c r="S582" s="6"/>
      <c r="T582" s="6"/>
      <c r="U582" s="6"/>
      <c r="V582" s="6"/>
      <c r="W582" s="6"/>
      <c r="X582" s="6" t="s">
        <v>345</v>
      </c>
      <c r="Y582" s="6" t="s">
        <v>141</v>
      </c>
    </row>
    <row r="583" spans="1:25">
      <c r="A583" s="171">
        <v>22</v>
      </c>
      <c r="B583" s="174">
        <v>45047</v>
      </c>
      <c r="C583" s="174">
        <v>45075</v>
      </c>
      <c r="D583" s="174">
        <v>45072</v>
      </c>
      <c r="E583" s="171">
        <v>2023</v>
      </c>
      <c r="F583" s="171">
        <v>5</v>
      </c>
      <c r="G583" s="171">
        <v>26</v>
      </c>
      <c r="H583" s="131"/>
      <c r="I583" s="176"/>
      <c r="J583" s="176"/>
      <c r="K583" s="171"/>
      <c r="L583" s="171" t="s">
        <v>56</v>
      </c>
      <c r="M583" s="171">
        <v>1200</v>
      </c>
      <c r="N583" s="175">
        <v>0</v>
      </c>
      <c r="O583" s="171">
        <v>0</v>
      </c>
      <c r="P583" s="171">
        <v>0</v>
      </c>
      <c r="Q583" s="175">
        <v>0</v>
      </c>
      <c r="R583" s="6"/>
      <c r="S583" s="6"/>
      <c r="T583" s="6"/>
      <c r="U583" s="6"/>
      <c r="V583" s="6"/>
      <c r="W583" s="6"/>
      <c r="X583" s="6" t="s">
        <v>345</v>
      </c>
      <c r="Y583" s="6" t="s">
        <v>141</v>
      </c>
    </row>
    <row r="584" spans="1:25">
      <c r="A584" s="171">
        <v>22</v>
      </c>
      <c r="B584" s="174">
        <v>45047</v>
      </c>
      <c r="C584" s="174">
        <v>45070</v>
      </c>
      <c r="D584" s="174">
        <v>45069</v>
      </c>
      <c r="E584" s="171">
        <v>2023</v>
      </c>
      <c r="F584" s="171">
        <v>5</v>
      </c>
      <c r="G584" s="171">
        <v>23</v>
      </c>
      <c r="H584" s="131"/>
      <c r="I584" s="176"/>
      <c r="J584" s="176"/>
      <c r="K584" s="171"/>
      <c r="L584" s="171" t="s">
        <v>56</v>
      </c>
      <c r="M584" s="171">
        <v>1100</v>
      </c>
      <c r="N584" s="175">
        <v>0</v>
      </c>
      <c r="O584" s="171">
        <v>0</v>
      </c>
      <c r="P584" s="171">
        <v>0</v>
      </c>
      <c r="Q584" s="175">
        <v>0</v>
      </c>
      <c r="R584" s="6"/>
      <c r="S584" s="6"/>
      <c r="T584" s="6"/>
      <c r="U584" s="6"/>
      <c r="V584" s="6"/>
      <c r="W584" s="6"/>
      <c r="X584" s="6" t="s">
        <v>345</v>
      </c>
      <c r="Y584" s="6" t="s">
        <v>141</v>
      </c>
    </row>
    <row r="585" spans="1:25">
      <c r="A585" s="171">
        <v>22</v>
      </c>
      <c r="B585" s="174">
        <v>45047</v>
      </c>
      <c r="C585" s="174">
        <v>45070</v>
      </c>
      <c r="D585" s="174">
        <v>45069</v>
      </c>
      <c r="E585" s="171">
        <v>2023</v>
      </c>
      <c r="F585" s="171">
        <v>5</v>
      </c>
      <c r="G585" s="171">
        <v>23</v>
      </c>
      <c r="H585" s="131"/>
      <c r="I585" s="176"/>
      <c r="J585" s="176"/>
      <c r="K585" s="171"/>
      <c r="L585" s="171" t="s">
        <v>56</v>
      </c>
      <c r="M585" s="171">
        <v>200</v>
      </c>
      <c r="N585" s="175">
        <v>0</v>
      </c>
      <c r="O585" s="171">
        <v>0</v>
      </c>
      <c r="P585" s="171">
        <v>0</v>
      </c>
      <c r="Q585" s="175">
        <v>0</v>
      </c>
      <c r="R585" s="6"/>
      <c r="S585" s="6"/>
      <c r="T585" s="6"/>
      <c r="U585" s="6"/>
      <c r="V585" s="6"/>
      <c r="W585" s="6"/>
      <c r="X585" s="6" t="s">
        <v>345</v>
      </c>
      <c r="Y585" s="6" t="s">
        <v>141</v>
      </c>
    </row>
    <row r="586" spans="1:25">
      <c r="A586" s="171">
        <v>22</v>
      </c>
      <c r="B586" s="174">
        <v>45047</v>
      </c>
      <c r="C586" s="174">
        <v>45070</v>
      </c>
      <c r="D586" s="174">
        <v>45069</v>
      </c>
      <c r="E586" s="171">
        <v>2023</v>
      </c>
      <c r="F586" s="171">
        <v>5</v>
      </c>
      <c r="G586" s="171">
        <v>23</v>
      </c>
      <c r="H586" s="131"/>
      <c r="I586" s="176"/>
      <c r="J586" s="176"/>
      <c r="K586" s="171"/>
      <c r="L586" s="171" t="s">
        <v>56</v>
      </c>
      <c r="M586" s="171">
        <v>700</v>
      </c>
      <c r="N586" s="175">
        <v>0</v>
      </c>
      <c r="O586" s="171">
        <v>0</v>
      </c>
      <c r="P586" s="171">
        <v>0</v>
      </c>
      <c r="Q586" s="175">
        <v>0</v>
      </c>
      <c r="R586" s="6"/>
      <c r="S586" s="6"/>
      <c r="T586" s="6"/>
      <c r="U586" s="6"/>
      <c r="V586" s="6"/>
      <c r="W586" s="6"/>
      <c r="X586" s="6" t="s">
        <v>345</v>
      </c>
      <c r="Y586" s="6" t="s">
        <v>141</v>
      </c>
    </row>
    <row r="587" spans="1:25">
      <c r="A587" s="171">
        <v>22</v>
      </c>
      <c r="B587" s="174">
        <v>45047</v>
      </c>
      <c r="C587" s="174">
        <v>45072</v>
      </c>
      <c r="D587" s="174">
        <v>45071</v>
      </c>
      <c r="E587" s="171">
        <v>2023</v>
      </c>
      <c r="F587" s="171">
        <v>5</v>
      </c>
      <c r="G587" s="171">
        <v>25</v>
      </c>
      <c r="H587" s="131"/>
      <c r="I587" s="176"/>
      <c r="J587" s="176"/>
      <c r="K587" s="171"/>
      <c r="L587" s="171" t="s">
        <v>56</v>
      </c>
      <c r="M587" s="171">
        <v>870</v>
      </c>
      <c r="N587" s="175">
        <v>0</v>
      </c>
      <c r="O587" s="171">
        <v>0</v>
      </c>
      <c r="P587" s="171">
        <v>0</v>
      </c>
      <c r="Q587" s="175">
        <v>0</v>
      </c>
      <c r="R587" s="6"/>
      <c r="S587" s="6"/>
      <c r="T587" s="6"/>
      <c r="U587" s="6"/>
      <c r="V587" s="6"/>
      <c r="W587" s="6"/>
      <c r="X587" s="6" t="s">
        <v>345</v>
      </c>
      <c r="Y587" s="6" t="s">
        <v>141</v>
      </c>
    </row>
    <row r="588" spans="1:25">
      <c r="A588" s="171">
        <v>22</v>
      </c>
      <c r="B588" s="174">
        <v>45047</v>
      </c>
      <c r="C588" s="174">
        <v>45070</v>
      </c>
      <c r="D588" s="174">
        <v>45069</v>
      </c>
      <c r="E588" s="171">
        <v>2023</v>
      </c>
      <c r="F588" s="171">
        <v>5</v>
      </c>
      <c r="G588" s="171">
        <v>23</v>
      </c>
      <c r="H588" s="131"/>
      <c r="I588" s="176"/>
      <c r="J588" s="176"/>
      <c r="K588" s="171"/>
      <c r="L588" s="171" t="s">
        <v>56</v>
      </c>
      <c r="M588" s="171">
        <v>1000</v>
      </c>
      <c r="N588" s="175">
        <v>0</v>
      </c>
      <c r="O588" s="171">
        <v>0</v>
      </c>
      <c r="P588" s="171">
        <v>0</v>
      </c>
      <c r="Q588" s="175">
        <v>0</v>
      </c>
      <c r="R588" s="6"/>
      <c r="S588" s="6"/>
      <c r="T588" s="6"/>
      <c r="U588" s="6"/>
      <c r="V588" s="6"/>
      <c r="W588" s="6"/>
      <c r="X588" s="6" t="s">
        <v>345</v>
      </c>
      <c r="Y588" s="6" t="s">
        <v>141</v>
      </c>
    </row>
    <row r="589" spans="1:25">
      <c r="A589" s="171">
        <v>22</v>
      </c>
      <c r="B589" s="174">
        <v>45047</v>
      </c>
      <c r="C589" s="174">
        <v>45069</v>
      </c>
      <c r="D589" s="174">
        <v>45068</v>
      </c>
      <c r="E589" s="171">
        <v>2023</v>
      </c>
      <c r="F589" s="171">
        <v>5</v>
      </c>
      <c r="G589" s="171">
        <v>22</v>
      </c>
      <c r="H589" s="131"/>
      <c r="I589" s="176"/>
      <c r="J589" s="176"/>
      <c r="K589" s="171"/>
      <c r="L589" s="171" t="s">
        <v>56</v>
      </c>
      <c r="M589" s="171">
        <v>200</v>
      </c>
      <c r="N589" s="175">
        <v>0</v>
      </c>
      <c r="O589" s="171">
        <v>0</v>
      </c>
      <c r="P589" s="171">
        <v>0</v>
      </c>
      <c r="Q589" s="175">
        <v>0</v>
      </c>
      <c r="R589" s="6"/>
      <c r="S589" s="6"/>
      <c r="T589" s="6"/>
      <c r="U589" s="6"/>
      <c r="V589" s="6"/>
      <c r="W589" s="6"/>
      <c r="X589" s="6" t="s">
        <v>345</v>
      </c>
      <c r="Y589" s="6" t="s">
        <v>141</v>
      </c>
    </row>
    <row r="590" spans="1:25">
      <c r="A590" s="171">
        <v>22</v>
      </c>
      <c r="B590" s="174">
        <v>45047</v>
      </c>
      <c r="C590" s="174">
        <v>45070</v>
      </c>
      <c r="D590" s="174">
        <v>45069</v>
      </c>
      <c r="E590" s="171">
        <v>2023</v>
      </c>
      <c r="F590" s="171">
        <v>5</v>
      </c>
      <c r="G590" s="171">
        <v>23</v>
      </c>
      <c r="H590" s="131"/>
      <c r="I590" s="176"/>
      <c r="J590" s="176"/>
      <c r="K590" s="171"/>
      <c r="L590" s="171" t="s">
        <v>56</v>
      </c>
      <c r="M590" s="171">
        <v>2500</v>
      </c>
      <c r="N590" s="175">
        <v>0</v>
      </c>
      <c r="O590" s="171">
        <v>0</v>
      </c>
      <c r="P590" s="171">
        <v>0</v>
      </c>
      <c r="Q590" s="175">
        <v>0</v>
      </c>
      <c r="R590" s="6"/>
      <c r="S590" s="6"/>
      <c r="T590" s="6"/>
      <c r="U590" s="6"/>
      <c r="V590" s="6"/>
      <c r="W590" s="6"/>
      <c r="X590" s="6" t="s">
        <v>345</v>
      </c>
      <c r="Y590" s="6" t="s">
        <v>141</v>
      </c>
    </row>
    <row r="591" spans="1:25">
      <c r="A591" s="171">
        <v>22</v>
      </c>
      <c r="B591" s="174">
        <v>45047</v>
      </c>
      <c r="C591" s="174">
        <v>45070</v>
      </c>
      <c r="D591" s="174">
        <v>45069</v>
      </c>
      <c r="E591" s="171">
        <v>2023</v>
      </c>
      <c r="F591" s="171">
        <v>5</v>
      </c>
      <c r="G591" s="171">
        <v>23</v>
      </c>
      <c r="H591" s="131"/>
      <c r="I591" s="176"/>
      <c r="J591" s="176"/>
      <c r="K591" s="171"/>
      <c r="L591" s="171" t="s">
        <v>56</v>
      </c>
      <c r="M591" s="171">
        <v>200</v>
      </c>
      <c r="N591" s="175">
        <v>0</v>
      </c>
      <c r="O591" s="171">
        <v>0</v>
      </c>
      <c r="P591" s="171">
        <v>0</v>
      </c>
      <c r="Q591" s="175">
        <v>0</v>
      </c>
      <c r="R591" s="6"/>
      <c r="S591" s="6"/>
      <c r="T591" s="6"/>
      <c r="U591" s="6"/>
      <c r="V591" s="6"/>
      <c r="W591" s="6"/>
      <c r="X591" s="6" t="s">
        <v>345</v>
      </c>
      <c r="Y591" s="6" t="s">
        <v>141</v>
      </c>
    </row>
    <row r="592" spans="1:25">
      <c r="A592" s="171">
        <v>22</v>
      </c>
      <c r="B592" s="174">
        <v>45047</v>
      </c>
      <c r="C592" s="174">
        <v>45070</v>
      </c>
      <c r="D592" s="174">
        <v>45069</v>
      </c>
      <c r="E592" s="171">
        <v>2023</v>
      </c>
      <c r="F592" s="171">
        <v>5</v>
      </c>
      <c r="G592" s="171">
        <v>23</v>
      </c>
      <c r="H592" s="131"/>
      <c r="I592" s="176"/>
      <c r="J592" s="176"/>
      <c r="K592" s="171"/>
      <c r="L592" s="171" t="s">
        <v>56</v>
      </c>
      <c r="M592" s="171">
        <v>4500</v>
      </c>
      <c r="N592" s="175">
        <v>0</v>
      </c>
      <c r="O592" s="171">
        <v>0</v>
      </c>
      <c r="P592" s="171">
        <v>0</v>
      </c>
      <c r="Q592" s="175">
        <v>0</v>
      </c>
      <c r="R592" s="6"/>
      <c r="S592" s="6"/>
      <c r="T592" s="6"/>
      <c r="U592" s="6"/>
      <c r="V592" s="6"/>
      <c r="W592" s="6"/>
      <c r="X592" s="6" t="s">
        <v>345</v>
      </c>
      <c r="Y592" s="6" t="s">
        <v>141</v>
      </c>
    </row>
    <row r="593" spans="1:25">
      <c r="A593" s="171">
        <v>22</v>
      </c>
      <c r="B593" s="174">
        <v>45047</v>
      </c>
      <c r="C593" s="174">
        <v>45071</v>
      </c>
      <c r="D593" s="174">
        <v>45070</v>
      </c>
      <c r="E593" s="171">
        <v>2023</v>
      </c>
      <c r="F593" s="171">
        <v>5</v>
      </c>
      <c r="G593" s="171">
        <v>24</v>
      </c>
      <c r="H593" s="131"/>
      <c r="I593" s="176"/>
      <c r="J593" s="176"/>
      <c r="K593" s="171"/>
      <c r="L593" s="171" t="s">
        <v>56</v>
      </c>
      <c r="M593" s="171">
        <v>3500</v>
      </c>
      <c r="N593" s="175">
        <v>0</v>
      </c>
      <c r="O593" s="171">
        <v>0</v>
      </c>
      <c r="P593" s="171">
        <v>0</v>
      </c>
      <c r="Q593" s="175">
        <v>0</v>
      </c>
      <c r="R593" s="6"/>
      <c r="S593" s="6"/>
      <c r="T593" s="6"/>
      <c r="U593" s="6"/>
      <c r="V593" s="6"/>
      <c r="W593" s="6"/>
      <c r="X593" s="6" t="s">
        <v>345</v>
      </c>
      <c r="Y593" s="6" t="s">
        <v>141</v>
      </c>
    </row>
    <row r="594" spans="1:25">
      <c r="A594" s="171">
        <v>22</v>
      </c>
      <c r="B594" s="174">
        <v>45047</v>
      </c>
      <c r="C594" s="174">
        <v>45071</v>
      </c>
      <c r="D594" s="174">
        <v>45070</v>
      </c>
      <c r="E594" s="171">
        <v>2023</v>
      </c>
      <c r="F594" s="171">
        <v>5</v>
      </c>
      <c r="G594" s="171">
        <v>24</v>
      </c>
      <c r="H594" s="131"/>
      <c r="I594" s="176"/>
      <c r="J594" s="176"/>
      <c r="K594" s="171"/>
      <c r="L594" s="171" t="s">
        <v>56</v>
      </c>
      <c r="M594" s="171">
        <v>3050</v>
      </c>
      <c r="N594" s="175">
        <v>0</v>
      </c>
      <c r="O594" s="171">
        <v>0</v>
      </c>
      <c r="P594" s="171">
        <v>0</v>
      </c>
      <c r="Q594" s="175">
        <v>0</v>
      </c>
      <c r="R594" s="6"/>
      <c r="S594" s="6"/>
      <c r="T594" s="6"/>
      <c r="U594" s="6"/>
      <c r="V594" s="6"/>
      <c r="W594" s="6"/>
      <c r="X594" s="6" t="s">
        <v>345</v>
      </c>
      <c r="Y594" s="6" t="s">
        <v>141</v>
      </c>
    </row>
    <row r="595" spans="1:25">
      <c r="A595" s="171">
        <v>22</v>
      </c>
      <c r="B595" s="174">
        <v>45047</v>
      </c>
      <c r="C595" s="174">
        <v>45069</v>
      </c>
      <c r="D595" s="174">
        <v>45068</v>
      </c>
      <c r="E595" s="171">
        <v>2023</v>
      </c>
      <c r="F595" s="171">
        <v>5</v>
      </c>
      <c r="G595" s="171">
        <v>22</v>
      </c>
      <c r="H595" s="131"/>
      <c r="I595" s="176"/>
      <c r="J595" s="176"/>
      <c r="K595" s="171"/>
      <c r="L595" s="171" t="s">
        <v>56</v>
      </c>
      <c r="M595" s="171">
        <v>7435</v>
      </c>
      <c r="N595" s="175">
        <v>0</v>
      </c>
      <c r="O595" s="171">
        <v>0</v>
      </c>
      <c r="P595" s="171">
        <v>0</v>
      </c>
      <c r="Q595" s="175">
        <v>0</v>
      </c>
      <c r="R595" s="6"/>
      <c r="S595" s="6"/>
      <c r="T595" s="6"/>
      <c r="U595" s="6"/>
      <c r="V595" s="6"/>
      <c r="W595" s="6"/>
      <c r="X595" s="6" t="s">
        <v>345</v>
      </c>
      <c r="Y595" s="6" t="s">
        <v>141</v>
      </c>
    </row>
    <row r="596" spans="1:25">
      <c r="A596" s="171">
        <v>22</v>
      </c>
      <c r="B596" s="174">
        <v>45047</v>
      </c>
      <c r="C596" s="174">
        <v>45069</v>
      </c>
      <c r="D596" s="174">
        <v>45068</v>
      </c>
      <c r="E596" s="171">
        <v>2023</v>
      </c>
      <c r="F596" s="171">
        <v>5</v>
      </c>
      <c r="G596" s="171">
        <v>22</v>
      </c>
      <c r="H596" s="131"/>
      <c r="I596" s="176"/>
      <c r="J596" s="176"/>
      <c r="K596" s="171"/>
      <c r="L596" s="171" t="s">
        <v>56</v>
      </c>
      <c r="M596" s="171">
        <v>701</v>
      </c>
      <c r="N596" s="175">
        <v>1</v>
      </c>
      <c r="O596" s="171">
        <v>1</v>
      </c>
      <c r="P596" s="171">
        <v>0</v>
      </c>
      <c r="Q596" s="175">
        <v>1</v>
      </c>
      <c r="R596" s="6" t="s">
        <v>160</v>
      </c>
      <c r="S596" s="6" t="s">
        <v>205</v>
      </c>
      <c r="T596" s="6" t="s">
        <v>314</v>
      </c>
      <c r="U596" s="6" t="s">
        <v>322</v>
      </c>
      <c r="V596" s="6"/>
      <c r="W596" s="6"/>
      <c r="X596" s="6" t="s">
        <v>345</v>
      </c>
      <c r="Y596" s="6" t="s">
        <v>141</v>
      </c>
    </row>
    <row r="597" spans="1:25">
      <c r="A597" s="171">
        <v>22</v>
      </c>
      <c r="B597" s="174">
        <v>45047</v>
      </c>
      <c r="C597" s="174">
        <v>45069</v>
      </c>
      <c r="D597" s="174">
        <v>45068</v>
      </c>
      <c r="E597" s="171">
        <v>2023</v>
      </c>
      <c r="F597" s="171">
        <v>5</v>
      </c>
      <c r="G597" s="171">
        <v>22</v>
      </c>
      <c r="H597" s="131"/>
      <c r="I597" s="176"/>
      <c r="J597" s="176"/>
      <c r="K597" s="171"/>
      <c r="L597" s="171" t="s">
        <v>56</v>
      </c>
      <c r="M597" s="171">
        <v>2004</v>
      </c>
      <c r="N597" s="175">
        <v>4</v>
      </c>
      <c r="O597" s="171">
        <v>4</v>
      </c>
      <c r="P597" s="171">
        <v>0</v>
      </c>
      <c r="Q597" s="175">
        <v>4</v>
      </c>
      <c r="R597" s="6" t="s">
        <v>160</v>
      </c>
      <c r="S597" s="6" t="s">
        <v>205</v>
      </c>
      <c r="T597" s="6" t="s">
        <v>314</v>
      </c>
      <c r="U597" s="6" t="s">
        <v>322</v>
      </c>
      <c r="V597" s="6"/>
      <c r="W597" s="6"/>
      <c r="X597" s="6" t="s">
        <v>345</v>
      </c>
      <c r="Y597" s="6" t="s">
        <v>141</v>
      </c>
    </row>
    <row r="598" spans="1:25">
      <c r="A598" s="171">
        <v>22</v>
      </c>
      <c r="B598" s="174">
        <v>45047</v>
      </c>
      <c r="C598" s="174">
        <v>45070</v>
      </c>
      <c r="D598" s="174">
        <v>45069</v>
      </c>
      <c r="E598" s="171">
        <v>2023</v>
      </c>
      <c r="F598" s="171">
        <v>5</v>
      </c>
      <c r="G598" s="171">
        <v>23</v>
      </c>
      <c r="H598" s="131"/>
      <c r="I598" s="176"/>
      <c r="J598" s="176"/>
      <c r="K598" s="171"/>
      <c r="L598" s="171" t="s">
        <v>56</v>
      </c>
      <c r="M598" s="171">
        <v>800</v>
      </c>
      <c r="N598" s="175">
        <v>0</v>
      </c>
      <c r="O598" s="171">
        <v>0</v>
      </c>
      <c r="P598" s="171">
        <v>0</v>
      </c>
      <c r="Q598" s="175">
        <v>0</v>
      </c>
      <c r="R598" s="6"/>
      <c r="S598" s="6"/>
      <c r="T598" s="6"/>
      <c r="U598" s="6"/>
      <c r="V598" s="6"/>
      <c r="W598" s="6"/>
      <c r="X598" s="6" t="s">
        <v>345</v>
      </c>
      <c r="Y598" s="6" t="s">
        <v>141</v>
      </c>
    </row>
    <row r="599" spans="1:25">
      <c r="A599" s="171">
        <v>22</v>
      </c>
      <c r="B599" s="174">
        <v>45047</v>
      </c>
      <c r="C599" s="174">
        <v>45070</v>
      </c>
      <c r="D599" s="174">
        <v>45069</v>
      </c>
      <c r="E599" s="171">
        <v>2023</v>
      </c>
      <c r="F599" s="171">
        <v>5</v>
      </c>
      <c r="G599" s="171">
        <v>23</v>
      </c>
      <c r="H599" s="131"/>
      <c r="I599" s="176"/>
      <c r="J599" s="176"/>
      <c r="K599" s="171"/>
      <c r="L599" s="171" t="s">
        <v>56</v>
      </c>
      <c r="M599" s="171">
        <v>700</v>
      </c>
      <c r="N599" s="175">
        <v>0</v>
      </c>
      <c r="O599" s="171">
        <v>0</v>
      </c>
      <c r="P599" s="171">
        <v>0</v>
      </c>
      <c r="Q599" s="175">
        <v>0</v>
      </c>
      <c r="R599" s="6"/>
      <c r="S599" s="6"/>
      <c r="T599" s="6"/>
      <c r="U599" s="6"/>
      <c r="V599" s="6"/>
      <c r="W599" s="6"/>
      <c r="X599" s="6" t="s">
        <v>345</v>
      </c>
      <c r="Y599" s="6" t="s">
        <v>141</v>
      </c>
    </row>
    <row r="600" spans="1:25">
      <c r="A600" s="171">
        <v>22</v>
      </c>
      <c r="B600" s="174">
        <v>45047</v>
      </c>
      <c r="C600" s="174">
        <v>45072</v>
      </c>
      <c r="D600" s="174">
        <v>45071</v>
      </c>
      <c r="E600" s="171">
        <v>2023</v>
      </c>
      <c r="F600" s="171">
        <v>5</v>
      </c>
      <c r="G600" s="171">
        <v>25</v>
      </c>
      <c r="H600" s="131"/>
      <c r="I600" s="176"/>
      <c r="J600" s="176"/>
      <c r="K600" s="171"/>
      <c r="L600" s="171" t="s">
        <v>56</v>
      </c>
      <c r="M600" s="171">
        <v>900</v>
      </c>
      <c r="N600" s="175">
        <v>0</v>
      </c>
      <c r="O600" s="171">
        <v>0</v>
      </c>
      <c r="P600" s="171">
        <v>0</v>
      </c>
      <c r="Q600" s="175">
        <v>0</v>
      </c>
      <c r="R600" s="6"/>
      <c r="S600" s="6"/>
      <c r="T600" s="6"/>
      <c r="U600" s="6"/>
      <c r="V600" s="6"/>
      <c r="W600" s="6"/>
      <c r="X600" s="6" t="s">
        <v>345</v>
      </c>
      <c r="Y600" s="6" t="s">
        <v>141</v>
      </c>
    </row>
    <row r="601" spans="1:25">
      <c r="A601" s="171">
        <v>22</v>
      </c>
      <c r="B601" s="174">
        <v>45047</v>
      </c>
      <c r="C601" s="174">
        <v>45075</v>
      </c>
      <c r="D601" s="174">
        <v>45072</v>
      </c>
      <c r="E601" s="171">
        <v>2023</v>
      </c>
      <c r="F601" s="171">
        <v>5</v>
      </c>
      <c r="G601" s="171">
        <v>26</v>
      </c>
      <c r="H601" s="131"/>
      <c r="I601" s="176"/>
      <c r="J601" s="176"/>
      <c r="K601" s="171"/>
      <c r="L601" s="171" t="s">
        <v>56</v>
      </c>
      <c r="M601" s="171">
        <v>1102</v>
      </c>
      <c r="N601" s="175">
        <v>2</v>
      </c>
      <c r="O601" s="171">
        <v>2</v>
      </c>
      <c r="P601" s="171">
        <v>0</v>
      </c>
      <c r="Q601" s="175">
        <v>2</v>
      </c>
      <c r="R601" s="6" t="s">
        <v>160</v>
      </c>
      <c r="S601" s="6" t="s">
        <v>161</v>
      </c>
      <c r="T601" s="6" t="s">
        <v>318</v>
      </c>
      <c r="U601" s="6" t="s">
        <v>175</v>
      </c>
      <c r="V601" s="6"/>
      <c r="W601" s="6"/>
      <c r="X601" s="6" t="s">
        <v>345</v>
      </c>
      <c r="Y601" s="6" t="s">
        <v>141</v>
      </c>
    </row>
    <row r="602" spans="1:25">
      <c r="A602" s="171">
        <v>22</v>
      </c>
      <c r="B602" s="174">
        <v>45047</v>
      </c>
      <c r="C602" s="174">
        <v>45072</v>
      </c>
      <c r="D602" s="174">
        <v>45071</v>
      </c>
      <c r="E602" s="171">
        <v>2023</v>
      </c>
      <c r="F602" s="171">
        <v>5</v>
      </c>
      <c r="G602" s="171">
        <v>25</v>
      </c>
      <c r="H602" s="131"/>
      <c r="I602" s="176"/>
      <c r="J602" s="176"/>
      <c r="K602" s="171"/>
      <c r="L602" s="171" t="s">
        <v>56</v>
      </c>
      <c r="M602" s="171">
        <v>1002</v>
      </c>
      <c r="N602" s="175">
        <v>2</v>
      </c>
      <c r="O602" s="171">
        <v>2</v>
      </c>
      <c r="P602" s="171">
        <v>0</v>
      </c>
      <c r="Q602" s="175">
        <v>2</v>
      </c>
      <c r="R602" s="6" t="s">
        <v>160</v>
      </c>
      <c r="S602" s="6" t="s">
        <v>161</v>
      </c>
      <c r="T602" s="6" t="s">
        <v>318</v>
      </c>
      <c r="U602" s="6" t="s">
        <v>175</v>
      </c>
      <c r="V602" s="6"/>
      <c r="W602" s="6"/>
      <c r="X602" s="6" t="s">
        <v>345</v>
      </c>
      <c r="Y602" s="6" t="s">
        <v>141</v>
      </c>
    </row>
    <row r="603" spans="1:25">
      <c r="A603" s="171">
        <v>22</v>
      </c>
      <c r="B603" s="174">
        <v>45047</v>
      </c>
      <c r="C603" s="174">
        <v>45070</v>
      </c>
      <c r="D603" s="174">
        <v>45069</v>
      </c>
      <c r="E603" s="171">
        <v>2023</v>
      </c>
      <c r="F603" s="171">
        <v>5</v>
      </c>
      <c r="G603" s="171">
        <v>23</v>
      </c>
      <c r="H603" s="131"/>
      <c r="I603" s="176"/>
      <c r="J603" s="176"/>
      <c r="K603" s="171"/>
      <c r="L603" s="171" t="s">
        <v>56</v>
      </c>
      <c r="M603" s="171">
        <v>1300</v>
      </c>
      <c r="N603" s="175">
        <v>0</v>
      </c>
      <c r="O603" s="171">
        <v>0</v>
      </c>
      <c r="P603" s="171">
        <v>0</v>
      </c>
      <c r="Q603" s="175">
        <v>0</v>
      </c>
      <c r="R603" s="6"/>
      <c r="S603" s="6"/>
      <c r="T603" s="6"/>
      <c r="U603" s="6"/>
      <c r="V603" s="6"/>
      <c r="W603" s="6"/>
      <c r="X603" s="6" t="s">
        <v>345</v>
      </c>
      <c r="Y603" s="6" t="s">
        <v>141</v>
      </c>
    </row>
    <row r="604" spans="1:25">
      <c r="A604" s="171">
        <v>22</v>
      </c>
      <c r="B604" s="174">
        <v>45047</v>
      </c>
      <c r="C604" s="174">
        <v>45071</v>
      </c>
      <c r="D604" s="174">
        <v>45070</v>
      </c>
      <c r="E604" s="171">
        <v>2023</v>
      </c>
      <c r="F604" s="171">
        <v>5</v>
      </c>
      <c r="G604" s="171">
        <v>24</v>
      </c>
      <c r="H604" s="131"/>
      <c r="I604" s="176"/>
      <c r="J604" s="176"/>
      <c r="K604" s="171"/>
      <c r="L604" s="171" t="s">
        <v>56</v>
      </c>
      <c r="M604" s="171">
        <v>101</v>
      </c>
      <c r="N604" s="175">
        <v>1</v>
      </c>
      <c r="O604" s="171">
        <v>1</v>
      </c>
      <c r="P604" s="171">
        <v>0</v>
      </c>
      <c r="Q604" s="175">
        <v>1</v>
      </c>
      <c r="R604" s="6" t="s">
        <v>160</v>
      </c>
      <c r="S604" s="6" t="s">
        <v>205</v>
      </c>
      <c r="T604" s="6" t="s">
        <v>314</v>
      </c>
      <c r="U604" s="6" t="s">
        <v>322</v>
      </c>
      <c r="V604" s="6"/>
      <c r="W604" s="6"/>
      <c r="X604" s="6" t="s">
        <v>345</v>
      </c>
      <c r="Y604" s="6" t="s">
        <v>141</v>
      </c>
    </row>
    <row r="605" spans="1:25">
      <c r="A605" s="171">
        <v>22</v>
      </c>
      <c r="B605" s="174">
        <v>45047</v>
      </c>
      <c r="C605" s="174">
        <v>45071</v>
      </c>
      <c r="D605" s="174">
        <v>45070</v>
      </c>
      <c r="E605" s="171">
        <v>2023</v>
      </c>
      <c r="F605" s="171">
        <v>5</v>
      </c>
      <c r="G605" s="171">
        <v>24</v>
      </c>
      <c r="H605" s="131"/>
      <c r="I605" s="176"/>
      <c r="J605" s="176"/>
      <c r="K605" s="171"/>
      <c r="L605" s="171" t="s">
        <v>56</v>
      </c>
      <c r="M605" s="171">
        <v>1500</v>
      </c>
      <c r="N605" s="175">
        <v>0</v>
      </c>
      <c r="O605" s="171">
        <v>0</v>
      </c>
      <c r="P605" s="171">
        <v>0</v>
      </c>
      <c r="Q605" s="175">
        <v>0</v>
      </c>
      <c r="R605" s="6"/>
      <c r="S605" s="6"/>
      <c r="T605" s="6"/>
      <c r="U605" s="6"/>
      <c r="V605" s="6"/>
      <c r="W605" s="6"/>
      <c r="X605" s="6" t="s">
        <v>345</v>
      </c>
      <c r="Y605" s="6" t="s">
        <v>141</v>
      </c>
    </row>
    <row r="606" spans="1:25">
      <c r="A606" s="171">
        <v>22</v>
      </c>
      <c r="B606" s="174">
        <v>45047</v>
      </c>
      <c r="C606" s="174">
        <v>45071</v>
      </c>
      <c r="D606" s="174">
        <v>45070</v>
      </c>
      <c r="E606" s="171">
        <v>2023</v>
      </c>
      <c r="F606" s="171">
        <v>5</v>
      </c>
      <c r="G606" s="171">
        <v>24</v>
      </c>
      <c r="H606" s="131"/>
      <c r="I606" s="176"/>
      <c r="J606" s="176"/>
      <c r="K606" s="171"/>
      <c r="L606" s="171" t="s">
        <v>56</v>
      </c>
      <c r="M606" s="171">
        <v>4000</v>
      </c>
      <c r="N606" s="175">
        <v>0</v>
      </c>
      <c r="O606" s="171">
        <v>0</v>
      </c>
      <c r="P606" s="171">
        <v>0</v>
      </c>
      <c r="Q606" s="175">
        <v>0</v>
      </c>
      <c r="R606" s="6"/>
      <c r="S606" s="6"/>
      <c r="T606" s="6"/>
      <c r="U606" s="6"/>
      <c r="V606" s="6"/>
      <c r="W606" s="6"/>
      <c r="X606" s="6" t="s">
        <v>345</v>
      </c>
      <c r="Y606" s="6" t="s">
        <v>141</v>
      </c>
    </row>
    <row r="607" spans="1:25">
      <c r="A607" s="171">
        <v>22</v>
      </c>
      <c r="B607" s="174">
        <v>45047</v>
      </c>
      <c r="C607" s="174">
        <v>45071</v>
      </c>
      <c r="D607" s="174">
        <v>45070</v>
      </c>
      <c r="E607" s="171">
        <v>2023</v>
      </c>
      <c r="F607" s="171">
        <v>5</v>
      </c>
      <c r="G607" s="171">
        <v>24</v>
      </c>
      <c r="H607" s="131"/>
      <c r="I607" s="176"/>
      <c r="J607" s="176"/>
      <c r="K607" s="171"/>
      <c r="L607" s="171" t="s">
        <v>56</v>
      </c>
      <c r="M607" s="171">
        <v>1450</v>
      </c>
      <c r="N607" s="175">
        <v>0</v>
      </c>
      <c r="O607" s="171">
        <v>0</v>
      </c>
      <c r="P607" s="171">
        <v>0</v>
      </c>
      <c r="Q607" s="175">
        <v>0</v>
      </c>
      <c r="R607" s="6"/>
      <c r="S607" s="6"/>
      <c r="T607" s="6"/>
      <c r="U607" s="6"/>
      <c r="V607" s="6"/>
      <c r="W607" s="6"/>
      <c r="X607" s="6" t="s">
        <v>345</v>
      </c>
      <c r="Y607" s="6" t="s">
        <v>141</v>
      </c>
    </row>
    <row r="608" spans="1:25">
      <c r="A608" s="171">
        <v>22</v>
      </c>
      <c r="B608" s="174">
        <v>45047</v>
      </c>
      <c r="C608" s="174">
        <v>45071</v>
      </c>
      <c r="D608" s="174">
        <v>45070</v>
      </c>
      <c r="E608" s="171">
        <v>2023</v>
      </c>
      <c r="F608" s="171">
        <v>5</v>
      </c>
      <c r="G608" s="171">
        <v>24</v>
      </c>
      <c r="H608" s="131"/>
      <c r="I608" s="176"/>
      <c r="J608" s="176"/>
      <c r="K608" s="171"/>
      <c r="L608" s="171" t="s">
        <v>56</v>
      </c>
      <c r="M608" s="171">
        <v>500</v>
      </c>
      <c r="N608" s="175">
        <v>0</v>
      </c>
      <c r="O608" s="171">
        <v>0</v>
      </c>
      <c r="P608" s="171">
        <v>0</v>
      </c>
      <c r="Q608" s="175">
        <v>0</v>
      </c>
      <c r="R608" s="6"/>
      <c r="S608" s="6"/>
      <c r="T608" s="6"/>
      <c r="U608" s="6"/>
      <c r="V608" s="6"/>
      <c r="W608" s="6"/>
      <c r="X608" s="6" t="s">
        <v>345</v>
      </c>
      <c r="Y608" s="6" t="s">
        <v>141</v>
      </c>
    </row>
    <row r="609" spans="1:25">
      <c r="A609" s="171">
        <v>22</v>
      </c>
      <c r="B609" s="174">
        <v>45047</v>
      </c>
      <c r="C609" s="174">
        <v>45071</v>
      </c>
      <c r="D609" s="174">
        <v>45070</v>
      </c>
      <c r="E609" s="171">
        <v>2023</v>
      </c>
      <c r="F609" s="171">
        <v>5</v>
      </c>
      <c r="G609" s="171">
        <v>24</v>
      </c>
      <c r="H609" s="131"/>
      <c r="I609" s="176"/>
      <c r="J609" s="176"/>
      <c r="K609" s="171"/>
      <c r="L609" s="171" t="s">
        <v>56</v>
      </c>
      <c r="M609" s="171">
        <v>2250</v>
      </c>
      <c r="N609" s="175">
        <v>0</v>
      </c>
      <c r="O609" s="171">
        <v>0</v>
      </c>
      <c r="P609" s="171">
        <v>0</v>
      </c>
      <c r="Q609" s="175">
        <v>0</v>
      </c>
      <c r="R609" s="6"/>
      <c r="S609" s="6"/>
      <c r="T609" s="6"/>
      <c r="U609" s="6"/>
      <c r="V609" s="6"/>
      <c r="W609" s="6"/>
      <c r="X609" s="6" t="s">
        <v>345</v>
      </c>
      <c r="Y609" s="6" t="s">
        <v>141</v>
      </c>
    </row>
    <row r="610" spans="1:25">
      <c r="A610" s="171">
        <v>22</v>
      </c>
      <c r="B610" s="174">
        <v>45047</v>
      </c>
      <c r="C610" s="174">
        <v>45075</v>
      </c>
      <c r="D610" s="174">
        <v>45071</v>
      </c>
      <c r="E610" s="171">
        <v>2023</v>
      </c>
      <c r="F610" s="171">
        <v>5</v>
      </c>
      <c r="G610" s="171">
        <v>25</v>
      </c>
      <c r="H610" s="131"/>
      <c r="I610" s="176"/>
      <c r="J610" s="176"/>
      <c r="K610" s="171"/>
      <c r="L610" s="171" t="s">
        <v>56</v>
      </c>
      <c r="M610" s="171">
        <v>3683</v>
      </c>
      <c r="N610" s="175">
        <v>0</v>
      </c>
      <c r="O610" s="171">
        <v>0</v>
      </c>
      <c r="P610" s="171">
        <v>0</v>
      </c>
      <c r="Q610" s="175">
        <v>0</v>
      </c>
      <c r="R610" s="6"/>
      <c r="S610" s="6"/>
      <c r="T610" s="6"/>
      <c r="U610" s="6"/>
      <c r="V610" s="6"/>
      <c r="W610" s="6"/>
      <c r="X610" s="6" t="s">
        <v>345</v>
      </c>
      <c r="Y610" s="6" t="s">
        <v>141</v>
      </c>
    </row>
    <row r="611" spans="1:25">
      <c r="A611" s="171">
        <v>22</v>
      </c>
      <c r="B611" s="174">
        <v>45047</v>
      </c>
      <c r="C611" s="174">
        <v>45070</v>
      </c>
      <c r="D611" s="174">
        <v>45069</v>
      </c>
      <c r="E611" s="171">
        <v>2023</v>
      </c>
      <c r="F611" s="171">
        <v>5</v>
      </c>
      <c r="G611" s="171">
        <v>23</v>
      </c>
      <c r="H611" s="131"/>
      <c r="I611" s="176"/>
      <c r="J611" s="176"/>
      <c r="K611" s="171"/>
      <c r="L611" s="171" t="s">
        <v>56</v>
      </c>
      <c r="M611" s="171">
        <v>220</v>
      </c>
      <c r="N611" s="175">
        <v>0</v>
      </c>
      <c r="O611" s="171">
        <v>0</v>
      </c>
      <c r="P611" s="171">
        <v>0</v>
      </c>
      <c r="Q611" s="175">
        <v>0</v>
      </c>
      <c r="R611" s="6"/>
      <c r="S611" s="6"/>
      <c r="T611" s="6"/>
      <c r="U611" s="6"/>
      <c r="V611" s="6"/>
      <c r="W611" s="6"/>
      <c r="X611" s="6" t="s">
        <v>345</v>
      </c>
      <c r="Y611" s="6" t="s">
        <v>141</v>
      </c>
    </row>
    <row r="612" spans="1:25">
      <c r="A612" s="171">
        <v>22</v>
      </c>
      <c r="B612" s="174">
        <v>45047</v>
      </c>
      <c r="C612" s="174">
        <v>45071</v>
      </c>
      <c r="D612" s="174">
        <v>45070</v>
      </c>
      <c r="E612" s="171">
        <v>2023</v>
      </c>
      <c r="F612" s="171">
        <v>5</v>
      </c>
      <c r="G612" s="171">
        <v>24</v>
      </c>
      <c r="H612" s="131"/>
      <c r="I612" s="176"/>
      <c r="J612" s="176"/>
      <c r="K612" s="171"/>
      <c r="L612" s="171" t="s">
        <v>56</v>
      </c>
      <c r="M612" s="171">
        <v>2</v>
      </c>
      <c r="N612" s="175">
        <v>0</v>
      </c>
      <c r="O612" s="171">
        <v>0</v>
      </c>
      <c r="P612" s="171">
        <v>0</v>
      </c>
      <c r="Q612" s="175">
        <v>0</v>
      </c>
      <c r="R612" s="6"/>
      <c r="S612" s="6"/>
      <c r="T612" s="6"/>
      <c r="U612" s="6"/>
      <c r="V612" s="6"/>
      <c r="W612" s="6"/>
      <c r="X612" s="6" t="s">
        <v>345</v>
      </c>
      <c r="Y612" s="6" t="s">
        <v>141</v>
      </c>
    </row>
    <row r="613" spans="1:25">
      <c r="A613" s="171">
        <v>22</v>
      </c>
      <c r="B613" s="174">
        <v>45047</v>
      </c>
      <c r="C613" s="174">
        <v>45070</v>
      </c>
      <c r="D613" s="174">
        <v>45069</v>
      </c>
      <c r="E613" s="171">
        <v>2023</v>
      </c>
      <c r="F613" s="171">
        <v>5</v>
      </c>
      <c r="G613" s="171">
        <v>23</v>
      </c>
      <c r="H613" s="131"/>
      <c r="I613" s="176"/>
      <c r="J613" s="176"/>
      <c r="K613" s="171"/>
      <c r="L613" s="171" t="s">
        <v>56</v>
      </c>
      <c r="M613" s="171">
        <v>2998</v>
      </c>
      <c r="N613" s="175">
        <v>0</v>
      </c>
      <c r="O613" s="171">
        <v>0</v>
      </c>
      <c r="P613" s="171">
        <v>0</v>
      </c>
      <c r="Q613" s="175">
        <v>0</v>
      </c>
      <c r="R613" s="6"/>
      <c r="S613" s="6"/>
      <c r="T613" s="6"/>
      <c r="U613" s="6"/>
      <c r="V613" s="6"/>
      <c r="W613" s="6"/>
      <c r="X613" s="6" t="s">
        <v>345</v>
      </c>
      <c r="Y613" s="6" t="s">
        <v>141</v>
      </c>
    </row>
    <row r="614" spans="1:25">
      <c r="A614" s="171">
        <v>22</v>
      </c>
      <c r="B614" s="174">
        <v>45047</v>
      </c>
      <c r="C614" s="174">
        <v>45070</v>
      </c>
      <c r="D614" s="174">
        <v>45069</v>
      </c>
      <c r="E614" s="171">
        <v>2023</v>
      </c>
      <c r="F614" s="171">
        <v>5</v>
      </c>
      <c r="G614" s="171">
        <v>23</v>
      </c>
      <c r="H614" s="131"/>
      <c r="I614" s="176"/>
      <c r="J614" s="176"/>
      <c r="K614" s="171"/>
      <c r="L614" s="171" t="s">
        <v>56</v>
      </c>
      <c r="M614" s="171">
        <v>2300</v>
      </c>
      <c r="N614" s="175">
        <v>0</v>
      </c>
      <c r="O614" s="171">
        <v>0</v>
      </c>
      <c r="P614" s="171">
        <v>0</v>
      </c>
      <c r="Q614" s="175">
        <v>0</v>
      </c>
      <c r="R614" s="6"/>
      <c r="S614" s="6"/>
      <c r="T614" s="6"/>
      <c r="U614" s="6"/>
      <c r="V614" s="6"/>
      <c r="W614" s="6"/>
      <c r="X614" s="6" t="s">
        <v>345</v>
      </c>
      <c r="Y614" s="6" t="s">
        <v>141</v>
      </c>
    </row>
    <row r="615" spans="1:25">
      <c r="A615" s="171">
        <v>22</v>
      </c>
      <c r="B615" s="174">
        <v>45047</v>
      </c>
      <c r="C615" s="174">
        <v>45070</v>
      </c>
      <c r="D615" s="174">
        <v>45069</v>
      </c>
      <c r="E615" s="171">
        <v>2023</v>
      </c>
      <c r="F615" s="171">
        <v>5</v>
      </c>
      <c r="G615" s="171">
        <v>23</v>
      </c>
      <c r="H615" s="131"/>
      <c r="I615" s="176"/>
      <c r="J615" s="176"/>
      <c r="K615" s="171"/>
      <c r="L615" s="171" t="s">
        <v>56</v>
      </c>
      <c r="M615" s="171">
        <v>3000</v>
      </c>
      <c r="N615" s="175">
        <v>0</v>
      </c>
      <c r="O615" s="171">
        <v>0</v>
      </c>
      <c r="P615" s="171">
        <v>0</v>
      </c>
      <c r="Q615" s="175">
        <v>0</v>
      </c>
      <c r="R615" s="6"/>
      <c r="S615" s="6"/>
      <c r="T615" s="6"/>
      <c r="U615" s="6"/>
      <c r="V615" s="6"/>
      <c r="W615" s="6"/>
      <c r="X615" s="6" t="s">
        <v>345</v>
      </c>
      <c r="Y615" s="6" t="s">
        <v>141</v>
      </c>
    </row>
    <row r="616" spans="1:25">
      <c r="A616" s="171">
        <v>22</v>
      </c>
      <c r="B616" s="174">
        <v>45047</v>
      </c>
      <c r="C616" s="174">
        <v>45071</v>
      </c>
      <c r="D616" s="174">
        <v>45070</v>
      </c>
      <c r="E616" s="171">
        <v>2023</v>
      </c>
      <c r="F616" s="171">
        <v>5</v>
      </c>
      <c r="G616" s="171">
        <v>24</v>
      </c>
      <c r="H616" s="131"/>
      <c r="I616" s="176"/>
      <c r="J616" s="176"/>
      <c r="K616" s="171"/>
      <c r="L616" s="171" t="s">
        <v>56</v>
      </c>
      <c r="M616" s="171">
        <v>650</v>
      </c>
      <c r="N616" s="175">
        <v>0</v>
      </c>
      <c r="O616" s="171">
        <v>0</v>
      </c>
      <c r="P616" s="171">
        <v>0</v>
      </c>
      <c r="Q616" s="175">
        <v>0</v>
      </c>
      <c r="R616" s="6"/>
      <c r="S616" s="6"/>
      <c r="T616" s="6"/>
      <c r="U616" s="6"/>
      <c r="V616" s="6"/>
      <c r="W616" s="6"/>
      <c r="X616" s="6" t="s">
        <v>345</v>
      </c>
      <c r="Y616" s="6" t="s">
        <v>141</v>
      </c>
    </row>
    <row r="617" spans="1:25">
      <c r="A617" s="171">
        <v>22</v>
      </c>
      <c r="B617" s="174">
        <v>45047</v>
      </c>
      <c r="C617" s="174">
        <v>45071</v>
      </c>
      <c r="D617" s="174">
        <v>45070</v>
      </c>
      <c r="E617" s="171">
        <v>2023</v>
      </c>
      <c r="F617" s="171">
        <v>5</v>
      </c>
      <c r="G617" s="171">
        <v>24</v>
      </c>
      <c r="H617" s="131"/>
      <c r="I617" s="176"/>
      <c r="J617" s="176"/>
      <c r="K617" s="171"/>
      <c r="L617" s="171" t="s">
        <v>56</v>
      </c>
      <c r="M617" s="171">
        <v>400</v>
      </c>
      <c r="N617" s="175">
        <v>0</v>
      </c>
      <c r="O617" s="171">
        <v>0</v>
      </c>
      <c r="P617" s="171">
        <v>0</v>
      </c>
      <c r="Q617" s="175">
        <v>0</v>
      </c>
      <c r="R617" s="6"/>
      <c r="S617" s="6"/>
      <c r="T617" s="6"/>
      <c r="U617" s="6"/>
      <c r="V617" s="6"/>
      <c r="W617" s="6"/>
      <c r="X617" s="6" t="s">
        <v>345</v>
      </c>
      <c r="Y617" s="6" t="s">
        <v>141</v>
      </c>
    </row>
    <row r="618" spans="1:25">
      <c r="A618" s="171">
        <v>22</v>
      </c>
      <c r="B618" s="174">
        <v>45047</v>
      </c>
      <c r="C618" s="174">
        <v>45071</v>
      </c>
      <c r="D618" s="174">
        <v>45070</v>
      </c>
      <c r="E618" s="171">
        <v>2023</v>
      </c>
      <c r="F618" s="171">
        <v>5</v>
      </c>
      <c r="G618" s="171">
        <v>24</v>
      </c>
      <c r="H618" s="131"/>
      <c r="I618" s="176"/>
      <c r="J618" s="176"/>
      <c r="K618" s="171"/>
      <c r="L618" s="171" t="s">
        <v>56</v>
      </c>
      <c r="M618" s="171">
        <v>1120</v>
      </c>
      <c r="N618" s="175">
        <v>0</v>
      </c>
      <c r="O618" s="171">
        <v>0</v>
      </c>
      <c r="P618" s="171">
        <v>0</v>
      </c>
      <c r="Q618" s="175">
        <v>0</v>
      </c>
      <c r="R618" s="6"/>
      <c r="S618" s="6"/>
      <c r="T618" s="6"/>
      <c r="U618" s="6"/>
      <c r="V618" s="6"/>
      <c r="W618" s="6"/>
      <c r="X618" s="6" t="s">
        <v>345</v>
      </c>
      <c r="Y618" s="6" t="s">
        <v>141</v>
      </c>
    </row>
    <row r="619" spans="1:25">
      <c r="A619" s="171">
        <v>22</v>
      </c>
      <c r="B619" s="174">
        <v>45047</v>
      </c>
      <c r="C619" s="174">
        <v>45071</v>
      </c>
      <c r="D619" s="174">
        <v>45070</v>
      </c>
      <c r="E619" s="171">
        <v>2023</v>
      </c>
      <c r="F619" s="171">
        <v>5</v>
      </c>
      <c r="G619" s="171">
        <v>24</v>
      </c>
      <c r="H619" s="131"/>
      <c r="I619" s="176"/>
      <c r="J619" s="176"/>
      <c r="K619" s="171"/>
      <c r="L619" s="171" t="s">
        <v>56</v>
      </c>
      <c r="M619" s="171">
        <v>1063</v>
      </c>
      <c r="N619" s="175">
        <v>0</v>
      </c>
      <c r="O619" s="171">
        <v>0</v>
      </c>
      <c r="P619" s="171">
        <v>0</v>
      </c>
      <c r="Q619" s="175">
        <v>0</v>
      </c>
      <c r="R619" s="6"/>
      <c r="S619" s="6"/>
      <c r="T619" s="6"/>
      <c r="U619" s="6"/>
      <c r="V619" s="6"/>
      <c r="W619" s="6"/>
      <c r="X619" s="6" t="s">
        <v>345</v>
      </c>
      <c r="Y619" s="6" t="s">
        <v>141</v>
      </c>
    </row>
    <row r="620" spans="1:25">
      <c r="A620" s="171">
        <v>22</v>
      </c>
      <c r="B620" s="174">
        <v>45047</v>
      </c>
      <c r="C620" s="174">
        <v>45071</v>
      </c>
      <c r="D620" s="174">
        <v>45070</v>
      </c>
      <c r="E620" s="171">
        <v>2023</v>
      </c>
      <c r="F620" s="171">
        <v>5</v>
      </c>
      <c r="G620" s="171">
        <v>24</v>
      </c>
      <c r="H620" s="131"/>
      <c r="I620" s="176"/>
      <c r="J620" s="176"/>
      <c r="K620" s="171"/>
      <c r="L620" s="171" t="s">
        <v>56</v>
      </c>
      <c r="M620" s="171">
        <v>334</v>
      </c>
      <c r="N620" s="175">
        <v>0</v>
      </c>
      <c r="O620" s="171">
        <v>0</v>
      </c>
      <c r="P620" s="171">
        <v>0</v>
      </c>
      <c r="Q620" s="175">
        <v>0</v>
      </c>
      <c r="R620" s="6"/>
      <c r="S620" s="6"/>
      <c r="T620" s="6"/>
      <c r="U620" s="6"/>
      <c r="V620" s="6"/>
      <c r="W620" s="6"/>
      <c r="X620" s="6" t="s">
        <v>345</v>
      </c>
      <c r="Y620" s="6" t="s">
        <v>141</v>
      </c>
    </row>
    <row r="621" spans="1:25">
      <c r="A621" s="171">
        <v>22</v>
      </c>
      <c r="B621" s="174">
        <v>45047</v>
      </c>
      <c r="C621" s="174">
        <v>45069</v>
      </c>
      <c r="D621" s="174">
        <v>45068</v>
      </c>
      <c r="E621" s="171">
        <v>2023</v>
      </c>
      <c r="F621" s="171">
        <v>5</v>
      </c>
      <c r="G621" s="171">
        <v>22</v>
      </c>
      <c r="H621" s="131"/>
      <c r="I621" s="176"/>
      <c r="J621" s="176"/>
      <c r="K621" s="171"/>
      <c r="L621" s="171" t="s">
        <v>56</v>
      </c>
      <c r="M621" s="171">
        <v>889</v>
      </c>
      <c r="N621" s="175">
        <v>1</v>
      </c>
      <c r="O621" s="171">
        <v>1</v>
      </c>
      <c r="P621" s="171">
        <v>0</v>
      </c>
      <c r="Q621" s="175">
        <v>1</v>
      </c>
      <c r="R621" s="6" t="s">
        <v>160</v>
      </c>
      <c r="S621" s="6" t="s">
        <v>161</v>
      </c>
      <c r="T621" s="6" t="s">
        <v>198</v>
      </c>
      <c r="U621" s="6" t="s">
        <v>172</v>
      </c>
      <c r="V621" s="6"/>
      <c r="W621" s="6"/>
      <c r="X621" s="6" t="s">
        <v>345</v>
      </c>
      <c r="Y621" s="6" t="s">
        <v>141</v>
      </c>
    </row>
    <row r="622" spans="1:25">
      <c r="A622" s="171">
        <v>22</v>
      </c>
      <c r="B622" s="174">
        <v>45047</v>
      </c>
      <c r="C622" s="174">
        <v>45069</v>
      </c>
      <c r="D622" s="174">
        <v>45068</v>
      </c>
      <c r="E622" s="171">
        <v>2023</v>
      </c>
      <c r="F622" s="171">
        <v>5</v>
      </c>
      <c r="G622" s="171">
        <v>22</v>
      </c>
      <c r="H622" s="131"/>
      <c r="I622" s="176"/>
      <c r="J622" s="176"/>
      <c r="K622" s="171"/>
      <c r="L622" s="171" t="s">
        <v>56</v>
      </c>
      <c r="M622" s="171">
        <v>800</v>
      </c>
      <c r="N622" s="175">
        <v>0</v>
      </c>
      <c r="O622" s="171">
        <v>0</v>
      </c>
      <c r="P622" s="171">
        <v>0</v>
      </c>
      <c r="Q622" s="175">
        <v>0</v>
      </c>
      <c r="R622" s="6"/>
      <c r="S622" s="6"/>
      <c r="T622" s="6"/>
      <c r="U622" s="6"/>
      <c r="V622" s="6"/>
      <c r="W622" s="6"/>
      <c r="X622" s="6" t="s">
        <v>345</v>
      </c>
      <c r="Y622" s="6" t="s">
        <v>141</v>
      </c>
    </row>
    <row r="623" spans="1:25">
      <c r="A623" s="171">
        <v>22</v>
      </c>
      <c r="B623" s="174">
        <v>45047</v>
      </c>
      <c r="C623" s="174">
        <v>45072</v>
      </c>
      <c r="D623" s="174">
        <v>45071</v>
      </c>
      <c r="E623" s="171">
        <v>2023</v>
      </c>
      <c r="F623" s="171">
        <v>5</v>
      </c>
      <c r="G623" s="171">
        <v>25</v>
      </c>
      <c r="H623" s="131"/>
      <c r="I623" s="176"/>
      <c r="J623" s="176"/>
      <c r="K623" s="171"/>
      <c r="L623" s="171" t="s">
        <v>56</v>
      </c>
      <c r="M623" s="171">
        <v>1000</v>
      </c>
      <c r="N623" s="175">
        <v>0</v>
      </c>
      <c r="O623" s="171">
        <v>0</v>
      </c>
      <c r="P623" s="171">
        <v>0</v>
      </c>
      <c r="Q623" s="175">
        <v>0</v>
      </c>
      <c r="R623" s="6"/>
      <c r="S623" s="6"/>
      <c r="T623" s="6"/>
      <c r="U623" s="6"/>
      <c r="V623" s="6"/>
      <c r="W623" s="6"/>
      <c r="X623" s="6" t="s">
        <v>345</v>
      </c>
      <c r="Y623" s="6" t="s">
        <v>141</v>
      </c>
    </row>
    <row r="624" spans="1:25">
      <c r="A624" s="171">
        <v>22</v>
      </c>
      <c r="B624" s="174">
        <v>45047</v>
      </c>
      <c r="C624" s="174">
        <v>45072</v>
      </c>
      <c r="D624" s="174">
        <v>45071</v>
      </c>
      <c r="E624" s="171">
        <v>2023</v>
      </c>
      <c r="F624" s="171">
        <v>5</v>
      </c>
      <c r="G624" s="171">
        <v>25</v>
      </c>
      <c r="H624" s="131"/>
      <c r="I624" s="176"/>
      <c r="J624" s="176"/>
      <c r="K624" s="171"/>
      <c r="L624" s="171" t="s">
        <v>56</v>
      </c>
      <c r="M624" s="171">
        <v>10</v>
      </c>
      <c r="N624" s="175">
        <v>0</v>
      </c>
      <c r="O624" s="171">
        <v>0</v>
      </c>
      <c r="P624" s="171">
        <v>0</v>
      </c>
      <c r="Q624" s="175">
        <v>0</v>
      </c>
      <c r="R624" s="6"/>
      <c r="S624" s="6"/>
      <c r="T624" s="6"/>
      <c r="U624" s="6"/>
      <c r="V624" s="6"/>
      <c r="W624" s="6"/>
      <c r="X624" s="6" t="s">
        <v>345</v>
      </c>
      <c r="Y624" s="6" t="s">
        <v>141</v>
      </c>
    </row>
    <row r="625" spans="1:25">
      <c r="A625" s="171">
        <v>22</v>
      </c>
      <c r="B625" s="174">
        <v>45047</v>
      </c>
      <c r="C625" s="174">
        <v>45072</v>
      </c>
      <c r="D625" s="174">
        <v>45071</v>
      </c>
      <c r="E625" s="171">
        <v>2023</v>
      </c>
      <c r="F625" s="171">
        <v>5</v>
      </c>
      <c r="G625" s="171">
        <v>25</v>
      </c>
      <c r="H625" s="131"/>
      <c r="I625" s="176"/>
      <c r="J625" s="176"/>
      <c r="K625" s="171"/>
      <c r="L625" s="171" t="s">
        <v>56</v>
      </c>
      <c r="M625" s="171">
        <v>340</v>
      </c>
      <c r="N625" s="175">
        <v>0</v>
      </c>
      <c r="O625" s="171">
        <v>0</v>
      </c>
      <c r="P625" s="171">
        <v>0</v>
      </c>
      <c r="Q625" s="175">
        <v>0</v>
      </c>
      <c r="R625" s="6"/>
      <c r="S625" s="6"/>
      <c r="T625" s="6"/>
      <c r="U625" s="6"/>
      <c r="V625" s="6"/>
      <c r="W625" s="6"/>
      <c r="X625" s="6" t="s">
        <v>345</v>
      </c>
      <c r="Y625" s="6" t="s">
        <v>141</v>
      </c>
    </row>
    <row r="626" spans="1:25">
      <c r="A626" s="171">
        <v>22</v>
      </c>
      <c r="B626" s="174">
        <v>45047</v>
      </c>
      <c r="C626" s="174">
        <v>45070</v>
      </c>
      <c r="D626" s="174">
        <v>45069</v>
      </c>
      <c r="E626" s="171">
        <v>2023</v>
      </c>
      <c r="F626" s="171">
        <v>5</v>
      </c>
      <c r="G626" s="171">
        <v>23</v>
      </c>
      <c r="H626" s="131"/>
      <c r="I626" s="176"/>
      <c r="J626" s="176"/>
      <c r="K626" s="171"/>
      <c r="L626" s="171" t="s">
        <v>56</v>
      </c>
      <c r="M626" s="171">
        <v>12</v>
      </c>
      <c r="N626" s="175">
        <v>0</v>
      </c>
      <c r="O626" s="171">
        <v>0</v>
      </c>
      <c r="P626" s="171">
        <v>0</v>
      </c>
      <c r="Q626" s="175">
        <v>0</v>
      </c>
      <c r="R626" s="6"/>
      <c r="S626" s="6"/>
      <c r="T626" s="6"/>
      <c r="U626" s="6"/>
      <c r="V626" s="6"/>
      <c r="W626" s="6"/>
      <c r="X626" s="6" t="s">
        <v>345</v>
      </c>
      <c r="Y626" s="6" t="s">
        <v>141</v>
      </c>
    </row>
    <row r="627" spans="1:25">
      <c r="A627" s="171">
        <v>22</v>
      </c>
      <c r="B627" s="174">
        <v>45047</v>
      </c>
      <c r="C627" s="174">
        <v>45070</v>
      </c>
      <c r="D627" s="174">
        <v>45069</v>
      </c>
      <c r="E627" s="171">
        <v>2023</v>
      </c>
      <c r="F627" s="171">
        <v>5</v>
      </c>
      <c r="G627" s="171">
        <v>23</v>
      </c>
      <c r="H627" s="131"/>
      <c r="I627" s="176"/>
      <c r="J627" s="176"/>
      <c r="K627" s="171"/>
      <c r="L627" s="171" t="s">
        <v>56</v>
      </c>
      <c r="M627" s="171">
        <v>1500</v>
      </c>
      <c r="N627" s="175">
        <v>0</v>
      </c>
      <c r="O627" s="171">
        <v>0</v>
      </c>
      <c r="P627" s="171">
        <v>0</v>
      </c>
      <c r="Q627" s="175">
        <v>0</v>
      </c>
      <c r="R627" s="6"/>
      <c r="S627" s="6"/>
      <c r="T627" s="6"/>
      <c r="U627" s="6"/>
      <c r="V627" s="6"/>
      <c r="W627" s="6"/>
      <c r="X627" s="6" t="s">
        <v>345</v>
      </c>
      <c r="Y627" s="6" t="s">
        <v>141</v>
      </c>
    </row>
    <row r="628" spans="1:25">
      <c r="A628" s="171">
        <v>22</v>
      </c>
      <c r="B628" s="174">
        <v>45047</v>
      </c>
      <c r="C628" s="174">
        <v>45070</v>
      </c>
      <c r="D628" s="174">
        <v>45069</v>
      </c>
      <c r="E628" s="171">
        <v>2023</v>
      </c>
      <c r="F628" s="171">
        <v>5</v>
      </c>
      <c r="G628" s="171">
        <v>23</v>
      </c>
      <c r="H628" s="131"/>
      <c r="I628" s="176"/>
      <c r="J628" s="176"/>
      <c r="K628" s="171"/>
      <c r="L628" s="171" t="s">
        <v>56</v>
      </c>
      <c r="M628" s="171">
        <v>100</v>
      </c>
      <c r="N628" s="175">
        <v>0</v>
      </c>
      <c r="O628" s="171">
        <v>0</v>
      </c>
      <c r="P628" s="171">
        <v>0</v>
      </c>
      <c r="Q628" s="175">
        <v>0</v>
      </c>
      <c r="R628" s="6"/>
      <c r="S628" s="6"/>
      <c r="T628" s="6"/>
      <c r="U628" s="6"/>
      <c r="V628" s="6"/>
      <c r="W628" s="6"/>
      <c r="X628" s="6" t="s">
        <v>345</v>
      </c>
      <c r="Y628" s="6" t="s">
        <v>141</v>
      </c>
    </row>
    <row r="629" spans="1:25">
      <c r="A629" s="171">
        <v>22</v>
      </c>
      <c r="B629" s="174">
        <v>45047</v>
      </c>
      <c r="C629" s="174">
        <v>45069</v>
      </c>
      <c r="D629" s="174">
        <v>45068</v>
      </c>
      <c r="E629" s="171">
        <v>2023</v>
      </c>
      <c r="F629" s="171">
        <v>5</v>
      </c>
      <c r="G629" s="171">
        <v>22</v>
      </c>
      <c r="H629" s="131"/>
      <c r="I629" s="176"/>
      <c r="J629" s="176"/>
      <c r="K629" s="171"/>
      <c r="L629" s="171" t="s">
        <v>56</v>
      </c>
      <c r="M629" s="171">
        <v>3500</v>
      </c>
      <c r="N629" s="175">
        <v>0</v>
      </c>
      <c r="O629" s="171">
        <v>0</v>
      </c>
      <c r="P629" s="171">
        <v>0</v>
      </c>
      <c r="Q629" s="175">
        <v>0</v>
      </c>
      <c r="R629" s="6"/>
      <c r="S629" s="6"/>
      <c r="T629" s="6"/>
      <c r="U629" s="6"/>
      <c r="V629" s="6"/>
      <c r="W629" s="6"/>
      <c r="X629" s="6" t="s">
        <v>345</v>
      </c>
      <c r="Y629" s="6" t="s">
        <v>141</v>
      </c>
    </row>
    <row r="630" spans="1:25">
      <c r="A630" s="171">
        <v>22</v>
      </c>
      <c r="B630" s="174">
        <v>45047</v>
      </c>
      <c r="C630" s="174">
        <v>45069</v>
      </c>
      <c r="D630" s="174">
        <v>45068</v>
      </c>
      <c r="E630" s="171">
        <v>2023</v>
      </c>
      <c r="F630" s="171">
        <v>5</v>
      </c>
      <c r="G630" s="171">
        <v>22</v>
      </c>
      <c r="H630" s="131"/>
      <c r="I630" s="176"/>
      <c r="J630" s="176"/>
      <c r="K630" s="171"/>
      <c r="L630" s="171" t="s">
        <v>56</v>
      </c>
      <c r="M630" s="171">
        <v>1100</v>
      </c>
      <c r="N630" s="175">
        <v>0</v>
      </c>
      <c r="O630" s="171">
        <v>0</v>
      </c>
      <c r="P630" s="171">
        <v>0</v>
      </c>
      <c r="Q630" s="175">
        <v>0</v>
      </c>
      <c r="R630" s="6"/>
      <c r="S630" s="6"/>
      <c r="T630" s="6"/>
      <c r="U630" s="6"/>
      <c r="V630" s="6"/>
      <c r="W630" s="6"/>
      <c r="X630" s="6" t="s">
        <v>345</v>
      </c>
      <c r="Y630" s="6" t="s">
        <v>141</v>
      </c>
    </row>
    <row r="631" spans="1:25">
      <c r="A631" s="171">
        <v>22</v>
      </c>
      <c r="B631" s="174">
        <v>45047</v>
      </c>
      <c r="C631" s="174">
        <v>45072</v>
      </c>
      <c r="D631" s="174">
        <v>45071</v>
      </c>
      <c r="E631" s="171">
        <v>2023</v>
      </c>
      <c r="F631" s="171">
        <v>5</v>
      </c>
      <c r="G631" s="171">
        <v>25</v>
      </c>
      <c r="H631" s="131"/>
      <c r="I631" s="176"/>
      <c r="J631" s="176"/>
      <c r="K631" s="171"/>
      <c r="L631" s="171" t="s">
        <v>56</v>
      </c>
      <c r="M631" s="171">
        <v>320</v>
      </c>
      <c r="N631" s="175">
        <v>0</v>
      </c>
      <c r="O631" s="171">
        <v>0</v>
      </c>
      <c r="P631" s="171">
        <v>0</v>
      </c>
      <c r="Q631" s="175">
        <v>0</v>
      </c>
      <c r="R631" s="6"/>
      <c r="S631" s="6"/>
      <c r="T631" s="6"/>
      <c r="U631" s="6"/>
      <c r="V631" s="6"/>
      <c r="W631" s="6"/>
      <c r="X631" s="6" t="s">
        <v>345</v>
      </c>
      <c r="Y631" s="6" t="s">
        <v>141</v>
      </c>
    </row>
    <row r="632" spans="1:25">
      <c r="A632" s="171">
        <v>22</v>
      </c>
      <c r="B632" s="174">
        <v>45047</v>
      </c>
      <c r="C632" s="174">
        <v>45071</v>
      </c>
      <c r="D632" s="174">
        <v>45070</v>
      </c>
      <c r="E632" s="171">
        <v>2023</v>
      </c>
      <c r="F632" s="171">
        <v>5</v>
      </c>
      <c r="G632" s="171">
        <v>24</v>
      </c>
      <c r="H632" s="131"/>
      <c r="I632" s="176"/>
      <c r="J632" s="176"/>
      <c r="K632" s="171"/>
      <c r="L632" s="171" t="s">
        <v>56</v>
      </c>
      <c r="M632" s="171">
        <v>301</v>
      </c>
      <c r="N632" s="175">
        <v>1</v>
      </c>
      <c r="O632" s="171">
        <v>1</v>
      </c>
      <c r="P632" s="171">
        <v>0</v>
      </c>
      <c r="Q632" s="175">
        <v>1</v>
      </c>
      <c r="R632" s="6" t="s">
        <v>160</v>
      </c>
      <c r="S632" s="6" t="s">
        <v>161</v>
      </c>
      <c r="T632" s="6" t="s">
        <v>253</v>
      </c>
      <c r="U632" s="6" t="s">
        <v>233</v>
      </c>
      <c r="V632" s="6"/>
      <c r="W632" s="6"/>
      <c r="X632" s="6" t="s">
        <v>345</v>
      </c>
      <c r="Y632" s="6" t="s">
        <v>141</v>
      </c>
    </row>
    <row r="633" spans="1:25">
      <c r="A633" s="171">
        <v>22</v>
      </c>
      <c r="B633" s="174">
        <v>45047</v>
      </c>
      <c r="C633" s="174">
        <v>45071</v>
      </c>
      <c r="D633" s="174">
        <v>45070</v>
      </c>
      <c r="E633" s="171">
        <v>2023</v>
      </c>
      <c r="F633" s="171">
        <v>5</v>
      </c>
      <c r="G633" s="171">
        <v>24</v>
      </c>
      <c r="H633" s="131"/>
      <c r="I633" s="176"/>
      <c r="J633" s="176"/>
      <c r="K633" s="171"/>
      <c r="L633" s="171" t="s">
        <v>56</v>
      </c>
      <c r="M633" s="171">
        <v>527</v>
      </c>
      <c r="N633" s="175">
        <v>1</v>
      </c>
      <c r="O633" s="171">
        <v>1</v>
      </c>
      <c r="P633" s="171">
        <v>0</v>
      </c>
      <c r="Q633" s="175">
        <v>1</v>
      </c>
      <c r="R633" s="6" t="s">
        <v>160</v>
      </c>
      <c r="S633" s="6" t="s">
        <v>161</v>
      </c>
      <c r="T633" s="6" t="s">
        <v>253</v>
      </c>
      <c r="U633" s="6" t="s">
        <v>233</v>
      </c>
      <c r="V633" s="6"/>
      <c r="W633" s="6"/>
      <c r="X633" s="6" t="s">
        <v>345</v>
      </c>
      <c r="Y633" s="6" t="s">
        <v>141</v>
      </c>
    </row>
    <row r="634" spans="1:25">
      <c r="A634" s="171">
        <v>22</v>
      </c>
      <c r="B634" s="174">
        <v>45047</v>
      </c>
      <c r="C634" s="174">
        <v>45072</v>
      </c>
      <c r="D634" s="174">
        <v>45071</v>
      </c>
      <c r="E634" s="171">
        <v>2023</v>
      </c>
      <c r="F634" s="171">
        <v>5</v>
      </c>
      <c r="G634" s="171">
        <v>25</v>
      </c>
      <c r="H634" s="131"/>
      <c r="I634" s="176"/>
      <c r="J634" s="176"/>
      <c r="K634" s="171"/>
      <c r="L634" s="171" t="s">
        <v>56</v>
      </c>
      <c r="M634" s="171">
        <v>4000</v>
      </c>
      <c r="N634" s="175">
        <v>0</v>
      </c>
      <c r="O634" s="171">
        <v>0</v>
      </c>
      <c r="P634" s="171">
        <v>0</v>
      </c>
      <c r="Q634" s="175">
        <v>0</v>
      </c>
      <c r="R634" s="6"/>
      <c r="S634" s="6"/>
      <c r="T634" s="6"/>
      <c r="U634" s="6"/>
      <c r="V634" s="6"/>
      <c r="W634" s="6"/>
      <c r="X634" s="6" t="s">
        <v>345</v>
      </c>
      <c r="Y634" s="6" t="s">
        <v>141</v>
      </c>
    </row>
    <row r="635" spans="1:25">
      <c r="A635" s="171">
        <v>22</v>
      </c>
      <c r="B635" s="174">
        <v>45047</v>
      </c>
      <c r="C635" s="174">
        <v>45071</v>
      </c>
      <c r="D635" s="174">
        <v>45070</v>
      </c>
      <c r="E635" s="171">
        <v>2023</v>
      </c>
      <c r="F635" s="171">
        <v>5</v>
      </c>
      <c r="G635" s="171">
        <v>24</v>
      </c>
      <c r="H635" s="131"/>
      <c r="I635" s="176"/>
      <c r="J635" s="176"/>
      <c r="K635" s="171"/>
      <c r="L635" s="171" t="s">
        <v>56</v>
      </c>
      <c r="M635" s="171">
        <v>2000</v>
      </c>
      <c r="N635" s="175">
        <v>0</v>
      </c>
      <c r="O635" s="171">
        <v>0</v>
      </c>
      <c r="P635" s="171">
        <v>0</v>
      </c>
      <c r="Q635" s="175">
        <v>0</v>
      </c>
      <c r="R635" s="6"/>
      <c r="S635" s="6"/>
      <c r="T635" s="6"/>
      <c r="U635" s="6"/>
      <c r="V635" s="6"/>
      <c r="W635" s="6"/>
      <c r="X635" s="6" t="s">
        <v>345</v>
      </c>
      <c r="Y635" s="6" t="s">
        <v>141</v>
      </c>
    </row>
    <row r="636" spans="1:25">
      <c r="A636" s="171">
        <v>22</v>
      </c>
      <c r="B636" s="174">
        <v>45047</v>
      </c>
      <c r="C636" s="174">
        <v>45071</v>
      </c>
      <c r="D636" s="174">
        <v>45070</v>
      </c>
      <c r="E636" s="171">
        <v>2023</v>
      </c>
      <c r="F636" s="171">
        <v>5</v>
      </c>
      <c r="G636" s="171">
        <v>24</v>
      </c>
      <c r="H636" s="131"/>
      <c r="I636" s="176"/>
      <c r="J636" s="176"/>
      <c r="K636" s="171"/>
      <c r="L636" s="171" t="s">
        <v>56</v>
      </c>
      <c r="M636" s="171">
        <v>1000</v>
      </c>
      <c r="N636" s="175">
        <v>0</v>
      </c>
      <c r="O636" s="171">
        <v>0</v>
      </c>
      <c r="P636" s="171">
        <v>0</v>
      </c>
      <c r="Q636" s="175">
        <v>0</v>
      </c>
      <c r="R636" s="6"/>
      <c r="S636" s="6"/>
      <c r="T636" s="6"/>
      <c r="U636" s="6"/>
      <c r="V636" s="6"/>
      <c r="W636" s="6"/>
      <c r="X636" s="6" t="s">
        <v>345</v>
      </c>
      <c r="Y636" s="6" t="s">
        <v>141</v>
      </c>
    </row>
    <row r="637" spans="1:25">
      <c r="A637" s="171">
        <v>22</v>
      </c>
      <c r="B637" s="174">
        <v>45047</v>
      </c>
      <c r="C637" s="174">
        <v>45075</v>
      </c>
      <c r="D637" s="174">
        <v>45072</v>
      </c>
      <c r="E637" s="171">
        <v>2023</v>
      </c>
      <c r="F637" s="171">
        <v>5</v>
      </c>
      <c r="G637" s="171">
        <v>26</v>
      </c>
      <c r="H637" s="131"/>
      <c r="I637" s="176"/>
      <c r="J637" s="176"/>
      <c r="K637" s="171"/>
      <c r="L637" s="171" t="s">
        <v>56</v>
      </c>
      <c r="M637" s="171">
        <v>1900</v>
      </c>
      <c r="N637" s="175">
        <v>0</v>
      </c>
      <c r="O637" s="171">
        <v>0</v>
      </c>
      <c r="P637" s="171">
        <v>0</v>
      </c>
      <c r="Q637" s="175">
        <v>0</v>
      </c>
      <c r="R637" s="6"/>
      <c r="S637" s="6"/>
      <c r="T637" s="6"/>
      <c r="U637" s="6"/>
      <c r="V637" s="6"/>
      <c r="W637" s="6"/>
      <c r="X637" s="6" t="s">
        <v>345</v>
      </c>
      <c r="Y637" s="6" t="s">
        <v>141</v>
      </c>
    </row>
    <row r="638" spans="1:25">
      <c r="A638" s="171">
        <v>22</v>
      </c>
      <c r="B638" s="174">
        <v>45047</v>
      </c>
      <c r="C638" s="174">
        <v>45075</v>
      </c>
      <c r="D638" s="174">
        <v>45071</v>
      </c>
      <c r="E638" s="171">
        <v>2023</v>
      </c>
      <c r="F638" s="171">
        <v>5</v>
      </c>
      <c r="G638" s="171">
        <v>25</v>
      </c>
      <c r="H638" s="131"/>
      <c r="I638" s="176"/>
      <c r="J638" s="176"/>
      <c r="K638" s="171"/>
      <c r="L638" s="171" t="s">
        <v>56</v>
      </c>
      <c r="M638" s="171">
        <v>200</v>
      </c>
      <c r="N638" s="175">
        <v>0</v>
      </c>
      <c r="O638" s="171">
        <v>0</v>
      </c>
      <c r="P638" s="171">
        <v>0</v>
      </c>
      <c r="Q638" s="175">
        <v>0</v>
      </c>
      <c r="R638" s="6"/>
      <c r="S638" s="6"/>
      <c r="T638" s="6"/>
      <c r="U638" s="6"/>
      <c r="V638" s="6"/>
      <c r="W638" s="6"/>
      <c r="X638" s="6" t="s">
        <v>345</v>
      </c>
      <c r="Y638" s="6" t="s">
        <v>141</v>
      </c>
    </row>
    <row r="639" spans="1:25">
      <c r="A639" s="171">
        <v>22</v>
      </c>
      <c r="B639" s="174">
        <v>45047</v>
      </c>
      <c r="C639" s="174">
        <v>45075</v>
      </c>
      <c r="D639" s="174">
        <v>45072</v>
      </c>
      <c r="E639" s="171">
        <v>2023</v>
      </c>
      <c r="F639" s="171">
        <v>5</v>
      </c>
      <c r="G639" s="171">
        <v>26</v>
      </c>
      <c r="H639" s="131"/>
      <c r="I639" s="176"/>
      <c r="J639" s="176"/>
      <c r="K639" s="171"/>
      <c r="L639" s="171" t="s">
        <v>56</v>
      </c>
      <c r="M639" s="171">
        <v>4654</v>
      </c>
      <c r="N639" s="175">
        <v>0</v>
      </c>
      <c r="O639" s="171">
        <v>0</v>
      </c>
      <c r="P639" s="171">
        <v>0</v>
      </c>
      <c r="Q639" s="175">
        <v>0</v>
      </c>
      <c r="R639" s="6"/>
      <c r="S639" s="6"/>
      <c r="T639" s="6"/>
      <c r="U639" s="6"/>
      <c r="V639" s="6"/>
      <c r="W639" s="6"/>
      <c r="X639" s="6" t="s">
        <v>345</v>
      </c>
      <c r="Y639" s="6" t="s">
        <v>141</v>
      </c>
    </row>
    <row r="640" spans="1:25">
      <c r="A640" s="171">
        <v>22</v>
      </c>
      <c r="B640" s="174">
        <v>45047</v>
      </c>
      <c r="C640" s="174">
        <v>45071</v>
      </c>
      <c r="D640" s="174">
        <v>45070</v>
      </c>
      <c r="E640" s="171">
        <v>2023</v>
      </c>
      <c r="F640" s="171">
        <v>5</v>
      </c>
      <c r="G640" s="171">
        <v>24</v>
      </c>
      <c r="H640" s="131"/>
      <c r="I640" s="176"/>
      <c r="J640" s="176"/>
      <c r="K640" s="171"/>
      <c r="L640" s="171" t="s">
        <v>56</v>
      </c>
      <c r="M640" s="171">
        <v>200</v>
      </c>
      <c r="N640" s="175">
        <v>0</v>
      </c>
      <c r="O640" s="171">
        <v>0</v>
      </c>
      <c r="P640" s="171">
        <v>0</v>
      </c>
      <c r="Q640" s="175">
        <v>0</v>
      </c>
      <c r="R640" s="6"/>
      <c r="S640" s="6"/>
      <c r="T640" s="6"/>
      <c r="U640" s="6"/>
      <c r="V640" s="6"/>
      <c r="W640" s="6"/>
      <c r="X640" s="6" t="s">
        <v>345</v>
      </c>
      <c r="Y640" s="6" t="s">
        <v>141</v>
      </c>
    </row>
    <row r="641" spans="1:25">
      <c r="A641" s="171">
        <v>22</v>
      </c>
      <c r="B641" s="174">
        <v>45047</v>
      </c>
      <c r="C641" s="174">
        <v>45069</v>
      </c>
      <c r="D641" s="174">
        <v>45068</v>
      </c>
      <c r="E641" s="171">
        <v>2023</v>
      </c>
      <c r="F641" s="171">
        <v>5</v>
      </c>
      <c r="G641" s="171">
        <v>22</v>
      </c>
      <c r="H641" s="131"/>
      <c r="I641" s="176"/>
      <c r="J641" s="176"/>
      <c r="K641" s="171"/>
      <c r="L641" s="171" t="s">
        <v>56</v>
      </c>
      <c r="M641" s="171">
        <v>384</v>
      </c>
      <c r="N641" s="175">
        <v>0</v>
      </c>
      <c r="O641" s="171">
        <v>0</v>
      </c>
      <c r="P641" s="171">
        <v>0</v>
      </c>
      <c r="Q641" s="175">
        <v>0</v>
      </c>
      <c r="R641" s="6"/>
      <c r="S641" s="6"/>
      <c r="T641" s="6"/>
      <c r="U641" s="6"/>
      <c r="V641" s="6"/>
      <c r="W641" s="6"/>
      <c r="X641" s="6" t="s">
        <v>345</v>
      </c>
      <c r="Y641" s="6" t="s">
        <v>141</v>
      </c>
    </row>
    <row r="642" spans="1:25">
      <c r="A642" s="171">
        <v>22</v>
      </c>
      <c r="B642" s="174">
        <v>45047</v>
      </c>
      <c r="C642" s="174">
        <v>45075</v>
      </c>
      <c r="D642" s="174">
        <v>45072</v>
      </c>
      <c r="E642" s="171">
        <v>2023</v>
      </c>
      <c r="F642" s="171">
        <v>5</v>
      </c>
      <c r="G642" s="171">
        <v>26</v>
      </c>
      <c r="H642" s="131"/>
      <c r="I642" s="176"/>
      <c r="J642" s="176"/>
      <c r="K642" s="171"/>
      <c r="L642" s="171" t="s">
        <v>56</v>
      </c>
      <c r="M642" s="171">
        <v>680</v>
      </c>
      <c r="N642" s="175">
        <v>0</v>
      </c>
      <c r="O642" s="171">
        <v>0</v>
      </c>
      <c r="P642" s="171">
        <v>0</v>
      </c>
      <c r="Q642" s="175">
        <v>0</v>
      </c>
      <c r="R642" s="6"/>
      <c r="S642" s="6"/>
      <c r="T642" s="6"/>
      <c r="U642" s="6"/>
      <c r="V642" s="6"/>
      <c r="W642" s="6"/>
      <c r="X642" s="6" t="s">
        <v>345</v>
      </c>
      <c r="Y642" s="6" t="s">
        <v>141</v>
      </c>
    </row>
    <row r="643" spans="1:25">
      <c r="A643" s="171">
        <v>22</v>
      </c>
      <c r="B643" s="174">
        <v>45047</v>
      </c>
      <c r="C643" s="174">
        <v>45075</v>
      </c>
      <c r="D643" s="174">
        <v>45072</v>
      </c>
      <c r="E643" s="171">
        <v>2023</v>
      </c>
      <c r="F643" s="171">
        <v>5</v>
      </c>
      <c r="G643" s="171">
        <v>26</v>
      </c>
      <c r="H643" s="131"/>
      <c r="I643" s="176"/>
      <c r="J643" s="176"/>
      <c r="K643" s="171"/>
      <c r="L643" s="171" t="s">
        <v>56</v>
      </c>
      <c r="M643" s="171">
        <v>960</v>
      </c>
      <c r="N643" s="175">
        <v>0</v>
      </c>
      <c r="O643" s="171">
        <v>0</v>
      </c>
      <c r="P643" s="171">
        <v>0</v>
      </c>
      <c r="Q643" s="175">
        <v>0</v>
      </c>
      <c r="R643" s="6"/>
      <c r="S643" s="6"/>
      <c r="T643" s="6"/>
      <c r="U643" s="6"/>
      <c r="V643" s="6"/>
      <c r="W643" s="6"/>
      <c r="X643" s="6" t="s">
        <v>345</v>
      </c>
      <c r="Y643" s="6" t="s">
        <v>141</v>
      </c>
    </row>
    <row r="644" spans="1:25">
      <c r="A644" s="171">
        <v>22</v>
      </c>
      <c r="B644" s="174">
        <v>45047</v>
      </c>
      <c r="C644" s="174">
        <v>45072</v>
      </c>
      <c r="D644" s="174">
        <v>45071</v>
      </c>
      <c r="E644" s="171">
        <v>2023</v>
      </c>
      <c r="F644" s="171">
        <v>5</v>
      </c>
      <c r="G644" s="171">
        <v>25</v>
      </c>
      <c r="H644" s="131"/>
      <c r="I644" s="176"/>
      <c r="J644" s="176"/>
      <c r="K644" s="171"/>
      <c r="L644" s="171" t="s">
        <v>56</v>
      </c>
      <c r="M644" s="171">
        <v>1540</v>
      </c>
      <c r="N644" s="175">
        <v>0</v>
      </c>
      <c r="O644" s="171">
        <v>0</v>
      </c>
      <c r="P644" s="171">
        <v>0</v>
      </c>
      <c r="Q644" s="175">
        <v>0</v>
      </c>
      <c r="R644" s="6"/>
      <c r="S644" s="6"/>
      <c r="T644" s="6"/>
      <c r="U644" s="6"/>
      <c r="V644" s="6"/>
      <c r="W644" s="6"/>
      <c r="X644" s="6" t="s">
        <v>345</v>
      </c>
      <c r="Y644" s="6" t="s">
        <v>141</v>
      </c>
    </row>
    <row r="645" spans="1:25">
      <c r="A645" s="171">
        <v>22</v>
      </c>
      <c r="B645" s="174">
        <v>45047</v>
      </c>
      <c r="C645" s="174">
        <v>45072</v>
      </c>
      <c r="D645" s="174">
        <v>45071</v>
      </c>
      <c r="E645" s="171">
        <v>2023</v>
      </c>
      <c r="F645" s="171">
        <v>5</v>
      </c>
      <c r="G645" s="171">
        <v>25</v>
      </c>
      <c r="H645" s="131"/>
      <c r="I645" s="176"/>
      <c r="J645" s="176"/>
      <c r="K645" s="171"/>
      <c r="L645" s="171" t="s">
        <v>56</v>
      </c>
      <c r="M645" s="171">
        <v>180</v>
      </c>
      <c r="N645" s="175">
        <v>0</v>
      </c>
      <c r="O645" s="171">
        <v>0</v>
      </c>
      <c r="P645" s="171">
        <v>0</v>
      </c>
      <c r="Q645" s="175">
        <v>0</v>
      </c>
      <c r="R645" s="6"/>
      <c r="S645" s="6"/>
      <c r="T645" s="6"/>
      <c r="U645" s="6"/>
      <c r="V645" s="6"/>
      <c r="W645" s="6"/>
      <c r="X645" s="6" t="s">
        <v>345</v>
      </c>
      <c r="Y645" s="6" t="s">
        <v>141</v>
      </c>
    </row>
    <row r="646" spans="1:25">
      <c r="A646" s="171">
        <v>22</v>
      </c>
      <c r="B646" s="174">
        <v>45047</v>
      </c>
      <c r="C646" s="174">
        <v>45072</v>
      </c>
      <c r="D646" s="174">
        <v>45071</v>
      </c>
      <c r="E646" s="171">
        <v>2023</v>
      </c>
      <c r="F646" s="171">
        <v>5</v>
      </c>
      <c r="G646" s="171">
        <v>25</v>
      </c>
      <c r="H646" s="131"/>
      <c r="I646" s="176"/>
      <c r="J646" s="176"/>
      <c r="K646" s="171"/>
      <c r="L646" s="171" t="s">
        <v>56</v>
      </c>
      <c r="M646" s="171">
        <v>2050</v>
      </c>
      <c r="N646" s="175">
        <v>0</v>
      </c>
      <c r="O646" s="171">
        <v>0</v>
      </c>
      <c r="P646" s="171">
        <v>0</v>
      </c>
      <c r="Q646" s="175">
        <v>0</v>
      </c>
      <c r="R646" s="6"/>
      <c r="S646" s="6"/>
      <c r="T646" s="6"/>
      <c r="U646" s="6"/>
      <c r="V646" s="6"/>
      <c r="W646" s="6"/>
      <c r="X646" s="6" t="s">
        <v>345</v>
      </c>
      <c r="Y646" s="6" t="s">
        <v>141</v>
      </c>
    </row>
    <row r="647" spans="1:25">
      <c r="A647" s="171">
        <v>22</v>
      </c>
      <c r="B647" s="174">
        <v>45047</v>
      </c>
      <c r="C647" s="174">
        <v>45072</v>
      </c>
      <c r="D647" s="174">
        <v>45071</v>
      </c>
      <c r="E647" s="171">
        <v>2023</v>
      </c>
      <c r="F647" s="171">
        <v>5</v>
      </c>
      <c r="G647" s="171">
        <v>25</v>
      </c>
      <c r="H647" s="131"/>
      <c r="I647" s="176"/>
      <c r="J647" s="176"/>
      <c r="K647" s="171"/>
      <c r="L647" s="171" t="s">
        <v>56</v>
      </c>
      <c r="M647" s="171">
        <v>1495</v>
      </c>
      <c r="N647" s="175">
        <v>0</v>
      </c>
      <c r="O647" s="171">
        <v>0</v>
      </c>
      <c r="P647" s="171">
        <v>0</v>
      </c>
      <c r="Q647" s="175">
        <v>0</v>
      </c>
      <c r="R647" s="6"/>
      <c r="S647" s="6"/>
      <c r="T647" s="6"/>
      <c r="U647" s="6"/>
      <c r="V647" s="6"/>
      <c r="W647" s="6"/>
      <c r="X647" s="6" t="s">
        <v>345</v>
      </c>
      <c r="Y647" s="6" t="s">
        <v>141</v>
      </c>
    </row>
    <row r="648" spans="1:25">
      <c r="A648" s="171">
        <v>22</v>
      </c>
      <c r="B648" s="174">
        <v>45047</v>
      </c>
      <c r="C648" s="174">
        <v>45071</v>
      </c>
      <c r="D648" s="174">
        <v>45070</v>
      </c>
      <c r="E648" s="171">
        <v>2023</v>
      </c>
      <c r="F648" s="171">
        <v>5</v>
      </c>
      <c r="G648" s="171">
        <v>24</v>
      </c>
      <c r="H648" s="131"/>
      <c r="I648" s="176"/>
      <c r="J648" s="176"/>
      <c r="K648" s="171"/>
      <c r="L648" s="171" t="s">
        <v>56</v>
      </c>
      <c r="M648" s="171">
        <v>101</v>
      </c>
      <c r="N648" s="175">
        <v>1</v>
      </c>
      <c r="O648" s="171">
        <v>1</v>
      </c>
      <c r="P648" s="171">
        <v>0</v>
      </c>
      <c r="Q648" s="175">
        <v>1</v>
      </c>
      <c r="R648" s="6" t="s">
        <v>160</v>
      </c>
      <c r="S648" s="6" t="s">
        <v>161</v>
      </c>
      <c r="T648" s="6" t="s">
        <v>253</v>
      </c>
      <c r="U648" s="6" t="s">
        <v>233</v>
      </c>
      <c r="V648" s="6"/>
      <c r="W648" s="6"/>
      <c r="X648" s="6" t="s">
        <v>345</v>
      </c>
      <c r="Y648" s="6" t="s">
        <v>141</v>
      </c>
    </row>
    <row r="649" spans="1:25">
      <c r="A649" s="171">
        <v>22</v>
      </c>
      <c r="B649" s="174">
        <v>45047</v>
      </c>
      <c r="C649" s="174">
        <v>45075</v>
      </c>
      <c r="D649" s="174">
        <v>45072</v>
      </c>
      <c r="E649" s="171">
        <v>2023</v>
      </c>
      <c r="F649" s="171">
        <v>5</v>
      </c>
      <c r="G649" s="171">
        <v>26</v>
      </c>
      <c r="H649" s="131"/>
      <c r="I649" s="176"/>
      <c r="J649" s="176"/>
      <c r="K649" s="171"/>
      <c r="L649" s="171" t="s">
        <v>56</v>
      </c>
      <c r="M649" s="171">
        <v>1120</v>
      </c>
      <c r="N649" s="175">
        <v>0</v>
      </c>
      <c r="O649" s="171">
        <v>0</v>
      </c>
      <c r="P649" s="171">
        <v>0</v>
      </c>
      <c r="Q649" s="175">
        <v>0</v>
      </c>
      <c r="R649" s="6"/>
      <c r="S649" s="6"/>
      <c r="T649" s="6"/>
      <c r="U649" s="6"/>
      <c r="V649" s="6"/>
      <c r="W649" s="6"/>
      <c r="X649" s="6" t="s">
        <v>345</v>
      </c>
      <c r="Y649" s="6" t="s">
        <v>141</v>
      </c>
    </row>
    <row r="650" spans="1:25">
      <c r="A650" s="171">
        <v>22</v>
      </c>
      <c r="B650" s="174">
        <v>45047</v>
      </c>
      <c r="C650" s="174">
        <v>45075</v>
      </c>
      <c r="D650" s="174">
        <v>45072</v>
      </c>
      <c r="E650" s="171">
        <v>2023</v>
      </c>
      <c r="F650" s="171">
        <v>5</v>
      </c>
      <c r="G650" s="171">
        <v>26</v>
      </c>
      <c r="H650" s="131"/>
      <c r="I650" s="176"/>
      <c r="J650" s="176"/>
      <c r="K650" s="171"/>
      <c r="L650" s="171" t="s">
        <v>56</v>
      </c>
      <c r="M650" s="171">
        <v>1100</v>
      </c>
      <c r="N650" s="175">
        <v>0</v>
      </c>
      <c r="O650" s="171">
        <v>0</v>
      </c>
      <c r="P650" s="171">
        <v>0</v>
      </c>
      <c r="Q650" s="175">
        <v>0</v>
      </c>
      <c r="R650" s="6"/>
      <c r="S650" s="6"/>
      <c r="T650" s="6"/>
      <c r="U650" s="6"/>
      <c r="V650" s="6"/>
      <c r="W650" s="6"/>
      <c r="X650" s="6" t="s">
        <v>345</v>
      </c>
      <c r="Y650" s="6" t="s">
        <v>141</v>
      </c>
    </row>
    <row r="651" spans="1:25">
      <c r="A651" s="171">
        <v>22</v>
      </c>
      <c r="B651" s="174">
        <v>45047</v>
      </c>
      <c r="C651" s="174">
        <v>45075</v>
      </c>
      <c r="D651" s="174">
        <v>45072</v>
      </c>
      <c r="E651" s="171">
        <v>2023</v>
      </c>
      <c r="F651" s="171">
        <v>5</v>
      </c>
      <c r="G651" s="171">
        <v>26</v>
      </c>
      <c r="H651" s="131"/>
      <c r="I651" s="176"/>
      <c r="J651" s="176"/>
      <c r="K651" s="171"/>
      <c r="L651" s="171" t="s">
        <v>56</v>
      </c>
      <c r="M651" s="171">
        <v>300</v>
      </c>
      <c r="N651" s="175">
        <v>0</v>
      </c>
      <c r="O651" s="171">
        <v>0</v>
      </c>
      <c r="P651" s="171">
        <v>0</v>
      </c>
      <c r="Q651" s="175">
        <v>0</v>
      </c>
      <c r="R651" s="6"/>
      <c r="S651" s="6"/>
      <c r="T651" s="6"/>
      <c r="U651" s="6"/>
      <c r="V651" s="6"/>
      <c r="W651" s="6"/>
      <c r="X651" s="6" t="s">
        <v>345</v>
      </c>
      <c r="Y651" s="6" t="s">
        <v>141</v>
      </c>
    </row>
    <row r="652" spans="1:25">
      <c r="A652" s="171">
        <v>22</v>
      </c>
      <c r="B652" s="174">
        <v>45047</v>
      </c>
      <c r="C652" s="174">
        <v>45071</v>
      </c>
      <c r="D652" s="174">
        <v>45070</v>
      </c>
      <c r="E652" s="171">
        <v>2023</v>
      </c>
      <c r="F652" s="171">
        <v>5</v>
      </c>
      <c r="G652" s="171">
        <v>24</v>
      </c>
      <c r="H652" s="131"/>
      <c r="I652" s="176"/>
      <c r="J652" s="176"/>
      <c r="K652" s="171"/>
      <c r="L652" s="171" t="s">
        <v>52</v>
      </c>
      <c r="M652" s="171">
        <v>5000</v>
      </c>
      <c r="N652" s="175">
        <v>0</v>
      </c>
      <c r="O652" s="171">
        <v>0</v>
      </c>
      <c r="P652" s="171">
        <v>0</v>
      </c>
      <c r="Q652" s="175">
        <v>0</v>
      </c>
      <c r="R652" s="6"/>
      <c r="S652" s="6"/>
      <c r="T652" s="6"/>
      <c r="U652" s="6"/>
      <c r="V652" s="6"/>
      <c r="W652" s="6"/>
      <c r="X652" s="6" t="s">
        <v>353</v>
      </c>
      <c r="Y652" s="6" t="s">
        <v>143</v>
      </c>
    </row>
    <row r="653" spans="1:25">
      <c r="A653" s="171">
        <v>22</v>
      </c>
      <c r="B653" s="174">
        <v>45047</v>
      </c>
      <c r="C653" s="174">
        <v>45071</v>
      </c>
      <c r="D653" s="174">
        <v>45070</v>
      </c>
      <c r="E653" s="171">
        <v>2023</v>
      </c>
      <c r="F653" s="171">
        <v>5</v>
      </c>
      <c r="G653" s="171">
        <v>24</v>
      </c>
      <c r="H653" s="131"/>
      <c r="I653" s="176"/>
      <c r="J653" s="176"/>
      <c r="K653" s="171"/>
      <c r="L653" s="171" t="s">
        <v>56</v>
      </c>
      <c r="M653" s="171"/>
      <c r="N653" s="175">
        <v>0</v>
      </c>
      <c r="O653" s="171">
        <v>1</v>
      </c>
      <c r="P653" s="171">
        <v>0</v>
      </c>
      <c r="Q653" s="175">
        <v>0</v>
      </c>
      <c r="R653" s="6" t="s">
        <v>157</v>
      </c>
      <c r="S653" s="6" t="s">
        <v>158</v>
      </c>
      <c r="T653" s="6" t="s">
        <v>166</v>
      </c>
      <c r="U653" s="6" t="s">
        <v>229</v>
      </c>
      <c r="V653" s="6" t="s">
        <v>352</v>
      </c>
      <c r="W653" s="6"/>
      <c r="X653" s="6" t="s">
        <v>345</v>
      </c>
      <c r="Y653" s="6" t="s">
        <v>141</v>
      </c>
    </row>
    <row r="654" spans="1:25">
      <c r="A654" s="171">
        <v>22</v>
      </c>
      <c r="B654" s="174">
        <v>45047</v>
      </c>
      <c r="C654" s="174">
        <v>45071</v>
      </c>
      <c r="D654" s="174">
        <v>45070</v>
      </c>
      <c r="E654" s="171">
        <v>2023</v>
      </c>
      <c r="F654" s="171">
        <v>5</v>
      </c>
      <c r="G654" s="171">
        <v>24</v>
      </c>
      <c r="H654" s="131"/>
      <c r="I654" s="176"/>
      <c r="J654" s="176"/>
      <c r="K654" s="171"/>
      <c r="L654" s="171" t="s">
        <v>56</v>
      </c>
      <c r="M654" s="171">
        <v>383</v>
      </c>
      <c r="N654" s="175">
        <v>3</v>
      </c>
      <c r="O654" s="171">
        <v>2</v>
      </c>
      <c r="P654" s="171">
        <v>1</v>
      </c>
      <c r="Q654" s="175">
        <v>2</v>
      </c>
      <c r="R654" s="6" t="s">
        <v>160</v>
      </c>
      <c r="S654" s="6" t="s">
        <v>205</v>
      </c>
      <c r="T654" s="6" t="s">
        <v>314</v>
      </c>
      <c r="U654" s="6" t="s">
        <v>322</v>
      </c>
      <c r="V654" s="6"/>
      <c r="W654" s="6"/>
      <c r="X654" s="6" t="s">
        <v>345</v>
      </c>
      <c r="Y654" s="6" t="s">
        <v>141</v>
      </c>
    </row>
    <row r="655" spans="1:25">
      <c r="A655" s="171">
        <v>22</v>
      </c>
      <c r="B655" s="174">
        <v>45047</v>
      </c>
      <c r="C655" s="174">
        <v>45070</v>
      </c>
      <c r="D655" s="174">
        <v>45069</v>
      </c>
      <c r="E655" s="171">
        <v>2023</v>
      </c>
      <c r="F655" s="171">
        <v>5</v>
      </c>
      <c r="G655" s="171">
        <v>23</v>
      </c>
      <c r="H655" s="131"/>
      <c r="I655" s="176"/>
      <c r="J655" s="176"/>
      <c r="K655" s="171" t="s">
        <v>199</v>
      </c>
      <c r="L655" s="171" t="s">
        <v>56</v>
      </c>
      <c r="M655" s="171"/>
      <c r="N655" s="175">
        <v>0</v>
      </c>
      <c r="O655" s="171">
        <v>2</v>
      </c>
      <c r="P655" s="171">
        <v>0</v>
      </c>
      <c r="Q655" s="175">
        <v>0</v>
      </c>
      <c r="R655" s="6" t="s">
        <v>157</v>
      </c>
      <c r="S655" s="6" t="s">
        <v>158</v>
      </c>
      <c r="T655" s="6" t="s">
        <v>166</v>
      </c>
      <c r="U655" s="6" t="s">
        <v>167</v>
      </c>
      <c r="V655" s="6"/>
      <c r="W655" s="6"/>
      <c r="X655" s="6" t="s">
        <v>345</v>
      </c>
      <c r="Y655" s="6" t="s">
        <v>141</v>
      </c>
    </row>
    <row r="656" spans="1:25">
      <c r="A656" s="171">
        <v>22</v>
      </c>
      <c r="B656" s="174">
        <v>45047</v>
      </c>
      <c r="C656" s="174">
        <v>45072</v>
      </c>
      <c r="D656" s="174">
        <v>45071</v>
      </c>
      <c r="E656" s="171">
        <v>2023</v>
      </c>
      <c r="F656" s="171">
        <v>5</v>
      </c>
      <c r="G656" s="171">
        <v>25</v>
      </c>
      <c r="H656" s="131"/>
      <c r="I656" s="176"/>
      <c r="J656" s="176"/>
      <c r="K656" s="171"/>
      <c r="L656" s="171" t="s">
        <v>56</v>
      </c>
      <c r="M656" s="171">
        <v>240</v>
      </c>
      <c r="N656" s="175">
        <v>0</v>
      </c>
      <c r="O656" s="171">
        <v>0</v>
      </c>
      <c r="P656" s="171">
        <v>0</v>
      </c>
      <c r="Q656" s="175">
        <v>0</v>
      </c>
      <c r="R656" s="6"/>
      <c r="S656" s="6"/>
      <c r="T656" s="6"/>
      <c r="U656" s="6"/>
      <c r="V656" s="6"/>
      <c r="W656" s="6"/>
      <c r="X656" s="6" t="s">
        <v>345</v>
      </c>
      <c r="Y656" s="6" t="s">
        <v>141</v>
      </c>
    </row>
    <row r="657" spans="1:25">
      <c r="A657" s="171">
        <v>22</v>
      </c>
      <c r="B657" s="174">
        <v>45047</v>
      </c>
      <c r="C657" s="174">
        <v>45070</v>
      </c>
      <c r="D657" s="174">
        <v>45069</v>
      </c>
      <c r="E657" s="171">
        <v>2023</v>
      </c>
      <c r="F657" s="171">
        <v>5</v>
      </c>
      <c r="G657" s="171">
        <v>23</v>
      </c>
      <c r="H657" s="131"/>
      <c r="I657" s="176"/>
      <c r="J657" s="176"/>
      <c r="K657" s="171"/>
      <c r="L657" s="171" t="s">
        <v>56</v>
      </c>
      <c r="M657" s="171">
        <v>310</v>
      </c>
      <c r="N657" s="175">
        <v>0</v>
      </c>
      <c r="O657" s="171">
        <v>0</v>
      </c>
      <c r="P657" s="171">
        <v>0</v>
      </c>
      <c r="Q657" s="175">
        <v>0</v>
      </c>
      <c r="R657" s="6"/>
      <c r="S657" s="6"/>
      <c r="T657" s="6"/>
      <c r="U657" s="6"/>
      <c r="V657" s="6"/>
      <c r="W657" s="6"/>
      <c r="X657" s="6" t="s">
        <v>345</v>
      </c>
      <c r="Y657" s="6" t="s">
        <v>141</v>
      </c>
    </row>
    <row r="658" spans="1:25">
      <c r="A658" s="171">
        <v>22</v>
      </c>
      <c r="B658" s="174">
        <v>45047</v>
      </c>
      <c r="C658" s="174">
        <v>45069</v>
      </c>
      <c r="D658" s="174">
        <v>45068</v>
      </c>
      <c r="E658" s="171">
        <v>2023</v>
      </c>
      <c r="F658" s="171">
        <v>5</v>
      </c>
      <c r="G658" s="171">
        <v>22</v>
      </c>
      <c r="H658" s="131"/>
      <c r="I658" s="176"/>
      <c r="J658" s="176"/>
      <c r="K658" s="171"/>
      <c r="L658" s="171" t="s">
        <v>56</v>
      </c>
      <c r="M658" s="171"/>
      <c r="N658" s="175">
        <v>0</v>
      </c>
      <c r="O658" s="171">
        <v>1</v>
      </c>
      <c r="P658" s="171">
        <v>0</v>
      </c>
      <c r="Q658" s="175">
        <v>0</v>
      </c>
      <c r="R658" s="6" t="s">
        <v>160</v>
      </c>
      <c r="S658" s="6" t="s">
        <v>205</v>
      </c>
      <c r="T658" s="6" t="s">
        <v>314</v>
      </c>
      <c r="U658" s="6" t="s">
        <v>322</v>
      </c>
      <c r="V658" s="6"/>
      <c r="W658" s="6"/>
      <c r="X658" s="6" t="s">
        <v>345</v>
      </c>
      <c r="Y658" s="6" t="s">
        <v>141</v>
      </c>
    </row>
    <row r="659" spans="1:25">
      <c r="A659" s="171">
        <v>22</v>
      </c>
      <c r="B659" s="174">
        <v>45047</v>
      </c>
      <c r="C659" s="174">
        <v>45069</v>
      </c>
      <c r="D659" s="174">
        <v>45068</v>
      </c>
      <c r="E659" s="171">
        <v>2023</v>
      </c>
      <c r="F659" s="171">
        <v>5</v>
      </c>
      <c r="G659" s="171">
        <v>22</v>
      </c>
      <c r="H659" s="131"/>
      <c r="I659" s="176"/>
      <c r="J659" s="176"/>
      <c r="K659" s="171"/>
      <c r="L659" s="171" t="s">
        <v>56</v>
      </c>
      <c r="M659" s="171"/>
      <c r="N659" s="175">
        <v>0</v>
      </c>
      <c r="O659" s="171">
        <v>2</v>
      </c>
      <c r="P659" s="171">
        <v>0</v>
      </c>
      <c r="Q659" s="175">
        <v>0</v>
      </c>
      <c r="R659" s="6" t="s">
        <v>157</v>
      </c>
      <c r="S659" s="6" t="s">
        <v>158</v>
      </c>
      <c r="T659" s="6" t="s">
        <v>166</v>
      </c>
      <c r="U659" s="6" t="s">
        <v>229</v>
      </c>
      <c r="V659" s="6"/>
      <c r="W659" s="6"/>
      <c r="X659" s="6" t="s">
        <v>345</v>
      </c>
      <c r="Y659" s="6" t="s">
        <v>141</v>
      </c>
    </row>
    <row r="660" spans="1:25">
      <c r="A660" s="171">
        <v>22</v>
      </c>
      <c r="B660" s="174">
        <v>45047</v>
      </c>
      <c r="C660" s="174">
        <v>45071</v>
      </c>
      <c r="D660" s="174">
        <v>45070</v>
      </c>
      <c r="E660" s="171">
        <v>2023</v>
      </c>
      <c r="F660" s="171">
        <v>5</v>
      </c>
      <c r="G660" s="171">
        <v>24</v>
      </c>
      <c r="H660" s="131"/>
      <c r="I660" s="176"/>
      <c r="J660" s="176"/>
      <c r="K660" s="171"/>
      <c r="L660" s="171" t="s">
        <v>56</v>
      </c>
      <c r="M660" s="171">
        <v>338</v>
      </c>
      <c r="N660" s="175">
        <v>3</v>
      </c>
      <c r="O660" s="171">
        <v>2</v>
      </c>
      <c r="P660" s="171">
        <v>2</v>
      </c>
      <c r="Q660" s="175">
        <v>1</v>
      </c>
      <c r="R660" s="6" t="s">
        <v>157</v>
      </c>
      <c r="S660" s="6" t="s">
        <v>158</v>
      </c>
      <c r="T660" s="6" t="s">
        <v>166</v>
      </c>
      <c r="U660" s="6" t="s">
        <v>167</v>
      </c>
      <c r="V660" s="6"/>
      <c r="W660" s="6"/>
      <c r="X660" s="6" t="s">
        <v>345</v>
      </c>
      <c r="Y660" s="6" t="s">
        <v>141</v>
      </c>
    </row>
    <row r="661" spans="1:25">
      <c r="A661" s="171">
        <v>22</v>
      </c>
      <c r="B661" s="174">
        <v>45047</v>
      </c>
      <c r="C661" s="174">
        <v>45071</v>
      </c>
      <c r="D661" s="174">
        <v>45070</v>
      </c>
      <c r="E661" s="171">
        <v>2023</v>
      </c>
      <c r="F661" s="171">
        <v>5</v>
      </c>
      <c r="G661" s="171">
        <v>24</v>
      </c>
      <c r="H661" s="131"/>
      <c r="I661" s="176"/>
      <c r="J661" s="176"/>
      <c r="K661" s="171"/>
      <c r="L661" s="171" t="s">
        <v>56</v>
      </c>
      <c r="M661" s="171"/>
      <c r="N661" s="175">
        <v>0</v>
      </c>
      <c r="O661" s="171">
        <v>1</v>
      </c>
      <c r="P661" s="171">
        <v>0</v>
      </c>
      <c r="Q661" s="175">
        <v>0</v>
      </c>
      <c r="R661" s="6" t="s">
        <v>160</v>
      </c>
      <c r="S661" s="6" t="s">
        <v>161</v>
      </c>
      <c r="T661" s="6" t="s">
        <v>253</v>
      </c>
      <c r="U661" s="6" t="s">
        <v>233</v>
      </c>
      <c r="V661" s="6"/>
      <c r="W661" s="6"/>
      <c r="X661" s="6" t="s">
        <v>345</v>
      </c>
      <c r="Y661" s="6" t="s">
        <v>141</v>
      </c>
    </row>
    <row r="662" spans="1:25">
      <c r="A662" s="171">
        <v>22</v>
      </c>
      <c r="B662" s="174">
        <v>45047</v>
      </c>
      <c r="C662" s="174">
        <v>45070</v>
      </c>
      <c r="D662" s="174">
        <v>45069</v>
      </c>
      <c r="E662" s="171">
        <v>2023</v>
      </c>
      <c r="F662" s="171">
        <v>5</v>
      </c>
      <c r="G662" s="171">
        <v>23</v>
      </c>
      <c r="H662" s="131"/>
      <c r="I662" s="176"/>
      <c r="J662" s="176"/>
      <c r="K662" s="171" t="s">
        <v>199</v>
      </c>
      <c r="L662" s="171" t="s">
        <v>56</v>
      </c>
      <c r="M662" s="171">
        <v>516</v>
      </c>
      <c r="N662" s="175">
        <v>2</v>
      </c>
      <c r="O662" s="171">
        <v>0</v>
      </c>
      <c r="P662" s="171">
        <v>2</v>
      </c>
      <c r="Q662" s="175">
        <v>0</v>
      </c>
      <c r="R662" s="6" t="s">
        <v>160</v>
      </c>
      <c r="S662" s="6" t="s">
        <v>256</v>
      </c>
      <c r="T662" s="6" t="s">
        <v>314</v>
      </c>
      <c r="U662" s="6" t="s">
        <v>240</v>
      </c>
      <c r="V662" s="6"/>
      <c r="W662" s="6" t="s">
        <v>350</v>
      </c>
      <c r="X662" s="6" t="s">
        <v>345</v>
      </c>
      <c r="Y662" s="6" t="s">
        <v>141</v>
      </c>
    </row>
    <row r="663" spans="1:25">
      <c r="A663" s="171">
        <v>22</v>
      </c>
      <c r="B663" s="174">
        <v>45047</v>
      </c>
      <c r="C663" s="174">
        <v>45069</v>
      </c>
      <c r="D663" s="174">
        <v>45068</v>
      </c>
      <c r="E663" s="171">
        <v>2023</v>
      </c>
      <c r="F663" s="171">
        <v>5</v>
      </c>
      <c r="G663" s="171">
        <v>22</v>
      </c>
      <c r="H663" s="131"/>
      <c r="I663" s="176"/>
      <c r="J663" s="176"/>
      <c r="K663" s="171" t="s">
        <v>199</v>
      </c>
      <c r="L663" s="171" t="s">
        <v>56</v>
      </c>
      <c r="M663" s="171">
        <v>446</v>
      </c>
      <c r="N663" s="175">
        <v>3</v>
      </c>
      <c r="O663" s="171">
        <v>0</v>
      </c>
      <c r="P663" s="171">
        <v>3</v>
      </c>
      <c r="Q663" s="175">
        <v>0</v>
      </c>
      <c r="R663" s="6" t="s">
        <v>160</v>
      </c>
      <c r="S663" s="6" t="s">
        <v>256</v>
      </c>
      <c r="T663" s="6" t="s">
        <v>314</v>
      </c>
      <c r="U663" s="6" t="s">
        <v>240</v>
      </c>
      <c r="V663" s="6"/>
      <c r="W663" s="6" t="s">
        <v>351</v>
      </c>
      <c r="X663" s="6" t="s">
        <v>345</v>
      </c>
      <c r="Y663" s="6" t="s">
        <v>141</v>
      </c>
    </row>
    <row r="664" spans="1:25">
      <c r="A664" s="171">
        <v>22</v>
      </c>
      <c r="B664" s="174">
        <v>45047</v>
      </c>
      <c r="C664" s="174">
        <v>45069</v>
      </c>
      <c r="D664" s="174">
        <v>45068</v>
      </c>
      <c r="E664" s="171">
        <v>2023</v>
      </c>
      <c r="F664" s="171">
        <v>5</v>
      </c>
      <c r="G664" s="171">
        <v>22</v>
      </c>
      <c r="H664" s="131"/>
      <c r="I664" s="176"/>
      <c r="J664" s="176"/>
      <c r="K664" s="171" t="s">
        <v>199</v>
      </c>
      <c r="L664" s="171" t="s">
        <v>56</v>
      </c>
      <c r="M664" s="171"/>
      <c r="N664" s="175">
        <v>0</v>
      </c>
      <c r="O664" s="171">
        <v>3</v>
      </c>
      <c r="P664" s="171">
        <v>0</v>
      </c>
      <c r="Q664" s="175">
        <v>0</v>
      </c>
      <c r="R664" s="6" t="s">
        <v>157</v>
      </c>
      <c r="S664" s="6" t="s">
        <v>158</v>
      </c>
      <c r="T664" s="6" t="s">
        <v>166</v>
      </c>
      <c r="U664" s="6" t="s">
        <v>167</v>
      </c>
      <c r="V664" s="6" t="s">
        <v>346</v>
      </c>
      <c r="W664" s="6"/>
      <c r="X664" s="6" t="s">
        <v>345</v>
      </c>
      <c r="Y664" s="6" t="s">
        <v>141</v>
      </c>
    </row>
    <row r="665" spans="1:25">
      <c r="A665" s="171">
        <v>22</v>
      </c>
      <c r="B665" s="174">
        <v>45047</v>
      </c>
      <c r="C665" s="174">
        <v>45069</v>
      </c>
      <c r="D665" s="174">
        <v>45068</v>
      </c>
      <c r="E665" s="171">
        <v>2023</v>
      </c>
      <c r="F665" s="171">
        <v>5</v>
      </c>
      <c r="G665" s="171">
        <v>22</v>
      </c>
      <c r="H665" s="131"/>
      <c r="I665" s="176"/>
      <c r="J665" s="176"/>
      <c r="K665" s="171"/>
      <c r="L665" s="171" t="s">
        <v>56</v>
      </c>
      <c r="M665" s="171">
        <v>5000</v>
      </c>
      <c r="N665" s="175">
        <v>0</v>
      </c>
      <c r="O665" s="171">
        <v>0</v>
      </c>
      <c r="P665" s="171">
        <v>0</v>
      </c>
      <c r="Q665" s="175">
        <v>0</v>
      </c>
      <c r="R665" s="6"/>
      <c r="S665" s="6"/>
      <c r="T665" s="6"/>
      <c r="U665" s="6"/>
      <c r="V665" s="6"/>
      <c r="W665" s="6"/>
      <c r="X665" s="6" t="s">
        <v>345</v>
      </c>
      <c r="Y665" s="6" t="s">
        <v>141</v>
      </c>
    </row>
    <row r="666" spans="1:25">
      <c r="A666" s="171">
        <v>22</v>
      </c>
      <c r="B666" s="174">
        <v>45047</v>
      </c>
      <c r="C666" s="174">
        <v>45069</v>
      </c>
      <c r="D666" s="174">
        <v>45068</v>
      </c>
      <c r="E666" s="171">
        <v>2023</v>
      </c>
      <c r="F666" s="171">
        <v>5</v>
      </c>
      <c r="G666" s="171">
        <v>22</v>
      </c>
      <c r="H666" s="131"/>
      <c r="I666" s="176"/>
      <c r="J666" s="176"/>
      <c r="K666" s="171"/>
      <c r="L666" s="171" t="s">
        <v>56</v>
      </c>
      <c r="M666" s="171">
        <v>3500</v>
      </c>
      <c r="N666" s="175">
        <v>0</v>
      </c>
      <c r="O666" s="171">
        <v>0</v>
      </c>
      <c r="P666" s="171">
        <v>0</v>
      </c>
      <c r="Q666" s="175">
        <v>0</v>
      </c>
      <c r="R666" s="6"/>
      <c r="S666" s="6"/>
      <c r="T666" s="6"/>
      <c r="U666" s="6"/>
      <c r="V666" s="6"/>
      <c r="W666" s="6"/>
      <c r="X666" s="6" t="s">
        <v>345</v>
      </c>
      <c r="Y666" s="6" t="s">
        <v>141</v>
      </c>
    </row>
    <row r="667" spans="1:25">
      <c r="A667" s="171">
        <v>22</v>
      </c>
      <c r="B667" s="174">
        <v>45047</v>
      </c>
      <c r="C667" s="174">
        <v>45069</v>
      </c>
      <c r="D667" s="174">
        <v>45068</v>
      </c>
      <c r="E667" s="171">
        <v>2023</v>
      </c>
      <c r="F667" s="171">
        <v>5</v>
      </c>
      <c r="G667" s="171">
        <v>22</v>
      </c>
      <c r="H667" s="131"/>
      <c r="I667" s="176"/>
      <c r="J667" s="176"/>
      <c r="K667" s="171" t="s">
        <v>199</v>
      </c>
      <c r="L667" s="171" t="s">
        <v>56</v>
      </c>
      <c r="M667" s="171">
        <v>509</v>
      </c>
      <c r="N667" s="175">
        <v>2</v>
      </c>
      <c r="O667" s="171">
        <v>2</v>
      </c>
      <c r="P667" s="171">
        <v>0</v>
      </c>
      <c r="Q667" s="175">
        <v>2</v>
      </c>
      <c r="R667" s="6" t="s">
        <v>160</v>
      </c>
      <c r="S667" s="6" t="s">
        <v>162</v>
      </c>
      <c r="T667" s="6"/>
      <c r="U667" s="6" t="s">
        <v>162</v>
      </c>
      <c r="V667" s="6" t="s">
        <v>347</v>
      </c>
      <c r="W667" s="6"/>
      <c r="X667" s="6" t="s">
        <v>345</v>
      </c>
      <c r="Y667" s="6" t="s">
        <v>141</v>
      </c>
    </row>
    <row r="668" spans="1:25">
      <c r="A668" s="171">
        <v>22</v>
      </c>
      <c r="B668" s="174">
        <v>45047</v>
      </c>
      <c r="C668" s="174">
        <v>45070</v>
      </c>
      <c r="D668" s="174">
        <v>45069</v>
      </c>
      <c r="E668" s="171">
        <v>2023</v>
      </c>
      <c r="F668" s="171">
        <v>5</v>
      </c>
      <c r="G668" s="171">
        <v>23</v>
      </c>
      <c r="H668" s="131"/>
      <c r="I668" s="176"/>
      <c r="J668" s="176"/>
      <c r="K668" s="171" t="s">
        <v>199</v>
      </c>
      <c r="L668" s="171" t="s">
        <v>56</v>
      </c>
      <c r="M668" s="171"/>
      <c r="N668" s="175">
        <v>0</v>
      </c>
      <c r="O668" s="171">
        <v>2</v>
      </c>
      <c r="P668" s="171">
        <v>0</v>
      </c>
      <c r="Q668" s="175">
        <v>0</v>
      </c>
      <c r="R668" s="6" t="s">
        <v>160</v>
      </c>
      <c r="S668" s="6" t="s">
        <v>162</v>
      </c>
      <c r="T668" s="6"/>
      <c r="U668" s="6" t="s">
        <v>162</v>
      </c>
      <c r="V668" s="6" t="s">
        <v>348</v>
      </c>
      <c r="W668" s="6"/>
      <c r="X668" s="6" t="s">
        <v>345</v>
      </c>
      <c r="Y668" s="6" t="s">
        <v>141</v>
      </c>
    </row>
    <row r="669" spans="1:25">
      <c r="A669" s="171">
        <v>22</v>
      </c>
      <c r="B669" s="174">
        <v>45047</v>
      </c>
      <c r="C669" s="174">
        <v>45070</v>
      </c>
      <c r="D669" s="174">
        <v>45069</v>
      </c>
      <c r="E669" s="171">
        <v>2023</v>
      </c>
      <c r="F669" s="171">
        <v>5</v>
      </c>
      <c r="G669" s="171">
        <v>23</v>
      </c>
      <c r="H669" s="131"/>
      <c r="I669" s="176"/>
      <c r="J669" s="176"/>
      <c r="K669" s="171" t="s">
        <v>199</v>
      </c>
      <c r="L669" s="171" t="s">
        <v>56</v>
      </c>
      <c r="M669" s="171"/>
      <c r="N669" s="175">
        <v>0</v>
      </c>
      <c r="O669" s="171">
        <v>3</v>
      </c>
      <c r="P669" s="171">
        <v>0</v>
      </c>
      <c r="Q669" s="175">
        <v>0</v>
      </c>
      <c r="R669" s="6" t="s">
        <v>160</v>
      </c>
      <c r="S669" s="6" t="s">
        <v>161</v>
      </c>
      <c r="T669" s="6" t="s">
        <v>198</v>
      </c>
      <c r="U669" s="6" t="s">
        <v>172</v>
      </c>
      <c r="V669" s="6"/>
      <c r="W669" s="6"/>
      <c r="X669" s="6" t="s">
        <v>345</v>
      </c>
      <c r="Y669" s="6" t="s">
        <v>141</v>
      </c>
    </row>
    <row r="670" spans="1:25">
      <c r="A670" s="171">
        <v>22</v>
      </c>
      <c r="B670" s="174">
        <v>45047</v>
      </c>
      <c r="C670" s="174">
        <v>45069</v>
      </c>
      <c r="D670" s="174">
        <v>45068</v>
      </c>
      <c r="E670" s="171">
        <v>2023</v>
      </c>
      <c r="F670" s="171">
        <v>5</v>
      </c>
      <c r="G670" s="171">
        <v>22</v>
      </c>
      <c r="H670" s="131"/>
      <c r="I670" s="176"/>
      <c r="J670" s="176"/>
      <c r="K670" s="171" t="s">
        <v>199</v>
      </c>
      <c r="L670" s="171" t="s">
        <v>56</v>
      </c>
      <c r="M670" s="171"/>
      <c r="N670" s="175">
        <v>0</v>
      </c>
      <c r="O670" s="171">
        <v>0</v>
      </c>
      <c r="P670" s="171">
        <v>0</v>
      </c>
      <c r="Q670" s="175">
        <v>0</v>
      </c>
      <c r="R670" s="6" t="s">
        <v>160</v>
      </c>
      <c r="S670" s="6" t="s">
        <v>256</v>
      </c>
      <c r="T670" s="6"/>
      <c r="U670" s="6" t="s">
        <v>240</v>
      </c>
      <c r="V670" s="6"/>
      <c r="W670" s="6" t="s">
        <v>344</v>
      </c>
      <c r="X670" s="6" t="s">
        <v>345</v>
      </c>
      <c r="Y670" s="6" t="s">
        <v>141</v>
      </c>
    </row>
    <row r="671" spans="1:25">
      <c r="A671" s="171">
        <v>22</v>
      </c>
      <c r="B671" s="174">
        <v>45047</v>
      </c>
      <c r="C671" s="174">
        <v>45070</v>
      </c>
      <c r="D671" s="174">
        <v>45069</v>
      </c>
      <c r="E671" s="171">
        <v>2023</v>
      </c>
      <c r="F671" s="171">
        <v>5</v>
      </c>
      <c r="G671" s="171">
        <v>23</v>
      </c>
      <c r="H671" s="131"/>
      <c r="I671" s="176"/>
      <c r="J671" s="176"/>
      <c r="K671" s="171" t="s">
        <v>199</v>
      </c>
      <c r="L671" s="171" t="s">
        <v>56</v>
      </c>
      <c r="M671" s="171">
        <v>682</v>
      </c>
      <c r="N671" s="175">
        <v>5</v>
      </c>
      <c r="O671" s="171">
        <v>0</v>
      </c>
      <c r="P671" s="171">
        <v>0</v>
      </c>
      <c r="Q671" s="175">
        <v>5</v>
      </c>
      <c r="R671" s="6" t="s">
        <v>160</v>
      </c>
      <c r="S671" s="6" t="s">
        <v>256</v>
      </c>
      <c r="T671" s="6" t="s">
        <v>314</v>
      </c>
      <c r="U671" s="6" t="s">
        <v>240</v>
      </c>
      <c r="V671" s="6"/>
      <c r="W671" s="6" t="s">
        <v>349</v>
      </c>
      <c r="X671" s="6" t="s">
        <v>345</v>
      </c>
      <c r="Y671" s="6" t="s">
        <v>141</v>
      </c>
    </row>
    <row r="672" spans="1:25">
      <c r="A672" s="171">
        <v>22</v>
      </c>
      <c r="B672" s="174">
        <v>45047</v>
      </c>
      <c r="C672" s="174">
        <v>45069</v>
      </c>
      <c r="D672" s="174">
        <v>45068</v>
      </c>
      <c r="E672" s="171">
        <v>2023</v>
      </c>
      <c r="F672" s="171">
        <v>5</v>
      </c>
      <c r="G672" s="171">
        <v>22</v>
      </c>
      <c r="H672" s="131"/>
      <c r="I672" s="176"/>
      <c r="J672" s="176"/>
      <c r="K672" s="171"/>
      <c r="L672" s="171" t="s">
        <v>56</v>
      </c>
      <c r="M672" s="171">
        <v>335</v>
      </c>
      <c r="N672" s="175">
        <v>5</v>
      </c>
      <c r="O672" s="171">
        <v>2</v>
      </c>
      <c r="P672" s="171">
        <v>2</v>
      </c>
      <c r="Q672" s="175">
        <v>3</v>
      </c>
      <c r="R672" s="6" t="s">
        <v>160</v>
      </c>
      <c r="S672" s="6" t="s">
        <v>158</v>
      </c>
      <c r="T672" s="6" t="s">
        <v>314</v>
      </c>
      <c r="U672" s="6" t="s">
        <v>190</v>
      </c>
      <c r="V672" s="6"/>
      <c r="W672" s="6"/>
      <c r="X672" s="6" t="s">
        <v>345</v>
      </c>
      <c r="Y672" s="6" t="s">
        <v>141</v>
      </c>
    </row>
    <row r="673" spans="1:25">
      <c r="A673" s="171">
        <v>22</v>
      </c>
      <c r="B673" s="174">
        <v>45047</v>
      </c>
      <c r="C673" s="174">
        <v>45072</v>
      </c>
      <c r="D673" s="174">
        <v>45071</v>
      </c>
      <c r="E673" s="171">
        <v>2023</v>
      </c>
      <c r="F673" s="171">
        <v>5</v>
      </c>
      <c r="G673" s="171">
        <v>25</v>
      </c>
      <c r="H673" s="131"/>
      <c r="I673" s="176"/>
      <c r="J673" s="176"/>
      <c r="K673" s="171" t="s">
        <v>199</v>
      </c>
      <c r="L673" s="171" t="s">
        <v>56</v>
      </c>
      <c r="M673" s="171">
        <v>450</v>
      </c>
      <c r="N673" s="175">
        <v>0</v>
      </c>
      <c r="O673" s="171">
        <v>0</v>
      </c>
      <c r="P673" s="171">
        <v>0</v>
      </c>
      <c r="Q673" s="175">
        <v>0</v>
      </c>
      <c r="R673" s="6" t="s">
        <v>160</v>
      </c>
      <c r="S673" s="6" t="s">
        <v>256</v>
      </c>
      <c r="T673" s="6" t="s">
        <v>314</v>
      </c>
      <c r="U673" s="6" t="s">
        <v>240</v>
      </c>
      <c r="V673" s="6"/>
      <c r="W673" s="6" t="s">
        <v>305</v>
      </c>
      <c r="X673" s="6" t="s">
        <v>345</v>
      </c>
      <c r="Y673" s="6" t="s">
        <v>141</v>
      </c>
    </row>
    <row r="674" spans="1:25">
      <c r="A674" s="171">
        <v>22</v>
      </c>
      <c r="B674" s="174">
        <v>45047</v>
      </c>
      <c r="C674" s="174">
        <v>45071</v>
      </c>
      <c r="D674" s="174">
        <v>45070</v>
      </c>
      <c r="E674" s="171">
        <v>2023</v>
      </c>
      <c r="F674" s="171">
        <v>5</v>
      </c>
      <c r="G674" s="171">
        <v>24</v>
      </c>
      <c r="H674" s="131"/>
      <c r="I674" s="176"/>
      <c r="J674" s="176"/>
      <c r="K674" s="171"/>
      <c r="L674" s="171" t="s">
        <v>56</v>
      </c>
      <c r="M674" s="171">
        <v>196</v>
      </c>
      <c r="N674" s="175">
        <v>1</v>
      </c>
      <c r="O674" s="171">
        <v>1</v>
      </c>
      <c r="P674" s="171">
        <v>1</v>
      </c>
      <c r="Q674" s="175">
        <v>0</v>
      </c>
      <c r="R674" s="6" t="s">
        <v>157</v>
      </c>
      <c r="S674" s="6" t="s">
        <v>158</v>
      </c>
      <c r="T674" s="6" t="s">
        <v>166</v>
      </c>
      <c r="U674" s="6" t="s">
        <v>167</v>
      </c>
      <c r="V674" s="6"/>
      <c r="W674" s="6"/>
      <c r="X674" s="6" t="s">
        <v>345</v>
      </c>
      <c r="Y674" s="6" t="s">
        <v>141</v>
      </c>
    </row>
    <row r="675" spans="1:25">
      <c r="A675" s="171">
        <v>22</v>
      </c>
      <c r="B675" s="174">
        <v>45047</v>
      </c>
      <c r="C675" s="174">
        <v>45072</v>
      </c>
      <c r="D675" s="174">
        <v>45071</v>
      </c>
      <c r="E675" s="171">
        <v>2023</v>
      </c>
      <c r="F675" s="171">
        <v>5</v>
      </c>
      <c r="G675" s="171">
        <v>25</v>
      </c>
      <c r="H675" s="131"/>
      <c r="I675" s="176"/>
      <c r="J675" s="176"/>
      <c r="K675" s="171" t="s">
        <v>199</v>
      </c>
      <c r="L675" s="171" t="s">
        <v>56</v>
      </c>
      <c r="M675" s="171">
        <v>252</v>
      </c>
      <c r="N675" s="175">
        <v>2</v>
      </c>
      <c r="O675" s="171">
        <v>0</v>
      </c>
      <c r="P675" s="171">
        <v>0</v>
      </c>
      <c r="Q675" s="175">
        <v>2</v>
      </c>
      <c r="R675" s="6" t="s">
        <v>160</v>
      </c>
      <c r="S675" s="6" t="s">
        <v>256</v>
      </c>
      <c r="T675" s="6" t="s">
        <v>314</v>
      </c>
      <c r="U675" s="6" t="s">
        <v>240</v>
      </c>
      <c r="V675" s="6"/>
      <c r="W675" s="6" t="s">
        <v>327</v>
      </c>
      <c r="X675" s="6" t="s">
        <v>345</v>
      </c>
      <c r="Y675" s="6" t="s">
        <v>141</v>
      </c>
    </row>
    <row r="676" spans="1:25">
      <c r="A676" s="171">
        <v>22</v>
      </c>
      <c r="B676" s="174">
        <v>45047</v>
      </c>
      <c r="C676" s="174">
        <v>45072</v>
      </c>
      <c r="D676" s="174">
        <v>45071</v>
      </c>
      <c r="E676" s="171">
        <v>2023</v>
      </c>
      <c r="F676" s="171">
        <v>5</v>
      </c>
      <c r="G676" s="171">
        <v>25</v>
      </c>
      <c r="H676" s="131"/>
      <c r="I676" s="176"/>
      <c r="J676" s="176"/>
      <c r="K676" s="171" t="s">
        <v>199</v>
      </c>
      <c r="L676" s="171" t="s">
        <v>56</v>
      </c>
      <c r="M676" s="171">
        <v>410</v>
      </c>
      <c r="N676" s="175">
        <v>0</v>
      </c>
      <c r="O676" s="171">
        <v>0</v>
      </c>
      <c r="P676" s="171">
        <v>0</v>
      </c>
      <c r="Q676" s="175">
        <v>0</v>
      </c>
      <c r="R676" s="6" t="s">
        <v>160</v>
      </c>
      <c r="S676" s="6" t="s">
        <v>256</v>
      </c>
      <c r="T676" s="6" t="s">
        <v>314</v>
      </c>
      <c r="U676" s="6" t="s">
        <v>240</v>
      </c>
      <c r="V676" s="6"/>
      <c r="W676" s="6" t="s">
        <v>327</v>
      </c>
      <c r="X676" s="6" t="s">
        <v>345</v>
      </c>
      <c r="Y676" s="6" t="s">
        <v>141</v>
      </c>
    </row>
    <row r="677" spans="1:25">
      <c r="A677" s="171">
        <v>22</v>
      </c>
      <c r="B677" s="174">
        <v>45047</v>
      </c>
      <c r="C677" s="174">
        <v>45069</v>
      </c>
      <c r="D677" s="174">
        <v>45068</v>
      </c>
      <c r="E677" s="171">
        <v>2023</v>
      </c>
      <c r="F677" s="171">
        <v>5</v>
      </c>
      <c r="G677" s="171">
        <v>22</v>
      </c>
      <c r="H677" s="131"/>
      <c r="I677" s="176"/>
      <c r="J677" s="176"/>
      <c r="K677" s="171"/>
      <c r="L677" s="171" t="s">
        <v>52</v>
      </c>
      <c r="M677" s="171">
        <v>5002</v>
      </c>
      <c r="N677" s="175">
        <v>2</v>
      </c>
      <c r="O677" s="171">
        <v>2</v>
      </c>
      <c r="P677" s="171">
        <v>0</v>
      </c>
      <c r="Q677" s="175">
        <v>2</v>
      </c>
      <c r="R677" s="6" t="s">
        <v>160</v>
      </c>
      <c r="S677" s="6" t="s">
        <v>161</v>
      </c>
      <c r="T677" s="6" t="s">
        <v>253</v>
      </c>
      <c r="U677" s="6" t="s">
        <v>233</v>
      </c>
      <c r="V677" s="6" t="s">
        <v>356</v>
      </c>
      <c r="W677" s="6"/>
      <c r="X677" s="6" t="s">
        <v>353</v>
      </c>
      <c r="Y677" s="6" t="s">
        <v>143</v>
      </c>
    </row>
    <row r="678" spans="1:25">
      <c r="A678" s="171">
        <v>22</v>
      </c>
      <c r="B678" s="174">
        <v>45047</v>
      </c>
      <c r="C678" s="174">
        <v>45071</v>
      </c>
      <c r="D678" s="174">
        <v>45070</v>
      </c>
      <c r="E678" s="171">
        <v>2023</v>
      </c>
      <c r="F678" s="171">
        <v>5</v>
      </c>
      <c r="G678" s="171">
        <v>24</v>
      </c>
      <c r="H678" s="131"/>
      <c r="I678" s="176"/>
      <c r="J678" s="176"/>
      <c r="K678" s="171"/>
      <c r="L678" s="171" t="s">
        <v>52</v>
      </c>
      <c r="M678" s="171"/>
      <c r="N678" s="175">
        <v>0</v>
      </c>
      <c r="O678" s="171">
        <v>5</v>
      </c>
      <c r="P678" s="171">
        <v>0</v>
      </c>
      <c r="Q678" s="175">
        <v>0</v>
      </c>
      <c r="R678" s="6" t="s">
        <v>160</v>
      </c>
      <c r="S678" s="6" t="s">
        <v>161</v>
      </c>
      <c r="T678" s="6" t="s">
        <v>253</v>
      </c>
      <c r="U678" s="6" t="s">
        <v>233</v>
      </c>
      <c r="V678" s="6" t="s">
        <v>355</v>
      </c>
      <c r="W678" s="6"/>
      <c r="X678" s="6" t="s">
        <v>353</v>
      </c>
      <c r="Y678" s="6" t="s">
        <v>143</v>
      </c>
    </row>
    <row r="679" spans="1:25">
      <c r="A679" s="171">
        <v>22</v>
      </c>
      <c r="B679" s="174">
        <v>45047</v>
      </c>
      <c r="C679" s="174">
        <v>45072</v>
      </c>
      <c r="D679" s="174">
        <v>45071</v>
      </c>
      <c r="E679" s="171">
        <v>2023</v>
      </c>
      <c r="F679" s="171">
        <v>5</v>
      </c>
      <c r="G679" s="171">
        <v>25</v>
      </c>
      <c r="H679" s="131"/>
      <c r="I679" s="176"/>
      <c r="J679" s="176"/>
      <c r="K679" s="171"/>
      <c r="L679" s="171" t="s">
        <v>52</v>
      </c>
      <c r="M679" s="171">
        <v>7000</v>
      </c>
      <c r="N679" s="175">
        <v>1</v>
      </c>
      <c r="O679" s="171">
        <v>1</v>
      </c>
      <c r="P679" s="171">
        <v>0</v>
      </c>
      <c r="Q679" s="175">
        <v>1</v>
      </c>
      <c r="R679" s="6" t="s">
        <v>160</v>
      </c>
      <c r="S679" s="6" t="s">
        <v>161</v>
      </c>
      <c r="T679" s="6" t="s">
        <v>314</v>
      </c>
      <c r="U679" s="6" t="s">
        <v>238</v>
      </c>
      <c r="V679" s="6" t="s">
        <v>362</v>
      </c>
      <c r="W679" s="6"/>
      <c r="X679" s="6" t="s">
        <v>353</v>
      </c>
      <c r="Y679" s="6" t="s">
        <v>143</v>
      </c>
    </row>
    <row r="680" spans="1:25">
      <c r="A680" s="171">
        <v>22</v>
      </c>
      <c r="B680" s="174">
        <v>45047</v>
      </c>
      <c r="C680" s="174">
        <v>45069</v>
      </c>
      <c r="D680" s="174">
        <v>45068</v>
      </c>
      <c r="E680" s="171">
        <v>2023</v>
      </c>
      <c r="F680" s="171">
        <v>5</v>
      </c>
      <c r="G680" s="171">
        <v>22</v>
      </c>
      <c r="H680" s="131"/>
      <c r="I680" s="176"/>
      <c r="J680" s="176"/>
      <c r="K680" s="171"/>
      <c r="L680" s="171" t="s">
        <v>52</v>
      </c>
      <c r="M680" s="171">
        <v>7101</v>
      </c>
      <c r="N680" s="175">
        <v>1</v>
      </c>
      <c r="O680" s="171">
        <v>1</v>
      </c>
      <c r="P680" s="171">
        <v>0</v>
      </c>
      <c r="Q680" s="175">
        <v>1</v>
      </c>
      <c r="R680" s="6" t="s">
        <v>160</v>
      </c>
      <c r="S680" s="6" t="s">
        <v>161</v>
      </c>
      <c r="T680" s="6" t="s">
        <v>253</v>
      </c>
      <c r="U680" s="6" t="s">
        <v>233</v>
      </c>
      <c r="V680" s="6" t="s">
        <v>357</v>
      </c>
      <c r="W680" s="6"/>
      <c r="X680" s="6" t="s">
        <v>353</v>
      </c>
      <c r="Y680" s="6" t="s">
        <v>143</v>
      </c>
    </row>
    <row r="681" spans="1:25">
      <c r="A681" s="171">
        <v>22</v>
      </c>
      <c r="B681" s="174">
        <v>45047</v>
      </c>
      <c r="C681" s="174">
        <v>45071</v>
      </c>
      <c r="D681" s="174">
        <v>45070</v>
      </c>
      <c r="E681" s="171">
        <v>2023</v>
      </c>
      <c r="F681" s="171">
        <v>5</v>
      </c>
      <c r="G681" s="171">
        <v>24</v>
      </c>
      <c r="H681" s="131"/>
      <c r="I681" s="176"/>
      <c r="J681" s="176"/>
      <c r="K681" s="171"/>
      <c r="L681" s="171" t="s">
        <v>52</v>
      </c>
      <c r="M681" s="171">
        <v>8316</v>
      </c>
      <c r="N681" s="175">
        <v>6</v>
      </c>
      <c r="O681" s="171">
        <v>1</v>
      </c>
      <c r="P681" s="171">
        <v>1</v>
      </c>
      <c r="Q681" s="175">
        <v>5</v>
      </c>
      <c r="R681" s="6" t="s">
        <v>157</v>
      </c>
      <c r="S681" s="6" t="s">
        <v>161</v>
      </c>
      <c r="T681" s="6"/>
      <c r="U681" s="6" t="s">
        <v>162</v>
      </c>
      <c r="V681" s="6" t="s">
        <v>354</v>
      </c>
      <c r="W681" s="6"/>
      <c r="X681" s="6" t="s">
        <v>353</v>
      </c>
      <c r="Y681" s="6" t="s">
        <v>143</v>
      </c>
    </row>
    <row r="682" spans="1:25">
      <c r="A682" s="171">
        <v>22</v>
      </c>
      <c r="B682" s="174">
        <v>45047</v>
      </c>
      <c r="C682" s="174">
        <v>45072</v>
      </c>
      <c r="D682" s="174">
        <v>45071</v>
      </c>
      <c r="E682" s="171">
        <v>2023</v>
      </c>
      <c r="F682" s="171">
        <v>5</v>
      </c>
      <c r="G682" s="171">
        <v>25</v>
      </c>
      <c r="H682" s="131"/>
      <c r="I682" s="176"/>
      <c r="J682" s="176"/>
      <c r="K682" s="171" t="s">
        <v>199</v>
      </c>
      <c r="L682" s="171" t="s">
        <v>56</v>
      </c>
      <c r="M682" s="171"/>
      <c r="N682" s="175">
        <v>0</v>
      </c>
      <c r="O682" s="171">
        <v>2</v>
      </c>
      <c r="P682" s="171">
        <v>0</v>
      </c>
      <c r="Q682" s="175">
        <v>0</v>
      </c>
      <c r="R682" s="6" t="s">
        <v>160</v>
      </c>
      <c r="S682" s="6" t="s">
        <v>162</v>
      </c>
      <c r="T682" s="6"/>
      <c r="U682" s="6" t="s">
        <v>162</v>
      </c>
      <c r="V682" s="6" t="s">
        <v>359</v>
      </c>
      <c r="W682" s="6"/>
      <c r="X682" s="6" t="s">
        <v>345</v>
      </c>
      <c r="Y682" s="6" t="s">
        <v>141</v>
      </c>
    </row>
    <row r="683" spans="1:25">
      <c r="A683" s="171">
        <v>22</v>
      </c>
      <c r="B683" s="174">
        <v>45047</v>
      </c>
      <c r="C683" s="174">
        <v>45071</v>
      </c>
      <c r="D683" s="174">
        <v>45070</v>
      </c>
      <c r="E683" s="171">
        <v>2023</v>
      </c>
      <c r="F683" s="171">
        <v>5</v>
      </c>
      <c r="G683" s="171">
        <v>24</v>
      </c>
      <c r="H683" s="131"/>
      <c r="I683" s="176"/>
      <c r="J683" s="176"/>
      <c r="K683" s="171"/>
      <c r="L683" s="171" t="s">
        <v>56</v>
      </c>
      <c r="M683" s="171">
        <v>1900</v>
      </c>
      <c r="N683" s="175">
        <v>0</v>
      </c>
      <c r="O683" s="171">
        <v>0</v>
      </c>
      <c r="P683" s="171">
        <v>0</v>
      </c>
      <c r="Q683" s="175">
        <v>0</v>
      </c>
      <c r="R683" s="6"/>
      <c r="S683" s="6"/>
      <c r="T683" s="6"/>
      <c r="U683" s="6"/>
      <c r="V683" s="6"/>
      <c r="W683" s="6"/>
      <c r="X683" s="6" t="s">
        <v>345</v>
      </c>
      <c r="Y683" s="6" t="s">
        <v>141</v>
      </c>
    </row>
    <row r="684" spans="1:25">
      <c r="A684" s="171">
        <v>22</v>
      </c>
      <c r="B684" s="174">
        <v>45047</v>
      </c>
      <c r="C684" s="174">
        <v>45075</v>
      </c>
      <c r="D684" s="174">
        <v>45072</v>
      </c>
      <c r="E684" s="171">
        <v>2023</v>
      </c>
      <c r="F684" s="171">
        <v>5</v>
      </c>
      <c r="G684" s="171">
        <v>26</v>
      </c>
      <c r="H684" s="131"/>
      <c r="I684" s="176"/>
      <c r="J684" s="176"/>
      <c r="K684" s="171" t="s">
        <v>199</v>
      </c>
      <c r="L684" s="171" t="s">
        <v>56</v>
      </c>
      <c r="M684" s="171"/>
      <c r="N684" s="175">
        <v>0</v>
      </c>
      <c r="O684" s="171">
        <v>1</v>
      </c>
      <c r="P684" s="171">
        <v>0</v>
      </c>
      <c r="Q684" s="175">
        <v>0</v>
      </c>
      <c r="R684" s="6" t="s">
        <v>160</v>
      </c>
      <c r="S684" s="6" t="s">
        <v>161</v>
      </c>
      <c r="T684" s="6" t="s">
        <v>198</v>
      </c>
      <c r="U684" s="6" t="s">
        <v>172</v>
      </c>
      <c r="V684" s="6" t="s">
        <v>360</v>
      </c>
      <c r="W684" s="6"/>
      <c r="X684" s="6" t="s">
        <v>345</v>
      </c>
      <c r="Y684" s="6" t="s">
        <v>141</v>
      </c>
    </row>
    <row r="685" spans="1:25">
      <c r="A685" s="171">
        <v>22</v>
      </c>
      <c r="B685" s="174">
        <v>45047</v>
      </c>
      <c r="C685" s="174">
        <v>45071</v>
      </c>
      <c r="D685" s="174">
        <v>45070</v>
      </c>
      <c r="E685" s="171">
        <v>2023</v>
      </c>
      <c r="F685" s="171">
        <v>5</v>
      </c>
      <c r="G685" s="171">
        <v>24</v>
      </c>
      <c r="H685" s="131"/>
      <c r="I685" s="176"/>
      <c r="J685" s="176"/>
      <c r="K685" s="171"/>
      <c r="L685" s="171" t="s">
        <v>56</v>
      </c>
      <c r="M685" s="171">
        <v>1300</v>
      </c>
      <c r="N685" s="175">
        <v>0</v>
      </c>
      <c r="O685" s="171">
        <v>0</v>
      </c>
      <c r="P685" s="171">
        <v>0</v>
      </c>
      <c r="Q685" s="175">
        <v>0</v>
      </c>
      <c r="R685" s="6"/>
      <c r="S685" s="6"/>
      <c r="T685" s="6"/>
      <c r="U685" s="6"/>
      <c r="V685" s="6"/>
      <c r="W685" s="6"/>
      <c r="X685" s="6" t="s">
        <v>345</v>
      </c>
      <c r="Y685" s="6" t="s">
        <v>141</v>
      </c>
    </row>
    <row r="686" spans="1:25">
      <c r="A686" s="171">
        <v>22</v>
      </c>
      <c r="B686" s="174">
        <v>45047</v>
      </c>
      <c r="C686" s="174">
        <v>45071</v>
      </c>
      <c r="D686" s="174">
        <v>45070</v>
      </c>
      <c r="E686" s="171">
        <v>2023</v>
      </c>
      <c r="F686" s="171">
        <v>5</v>
      </c>
      <c r="G686" s="171">
        <v>24</v>
      </c>
      <c r="H686" s="131"/>
      <c r="I686" s="176"/>
      <c r="J686" s="176"/>
      <c r="K686" s="171"/>
      <c r="L686" s="171" t="s">
        <v>56</v>
      </c>
      <c r="M686" s="171">
        <v>1400</v>
      </c>
      <c r="N686" s="175">
        <v>0</v>
      </c>
      <c r="O686" s="171">
        <v>0</v>
      </c>
      <c r="P686" s="171">
        <v>0</v>
      </c>
      <c r="Q686" s="175">
        <v>0</v>
      </c>
      <c r="R686" s="6"/>
      <c r="S686" s="6"/>
      <c r="T686" s="6"/>
      <c r="U686" s="6"/>
      <c r="V686" s="6"/>
      <c r="W686" s="6"/>
      <c r="X686" s="6" t="s">
        <v>345</v>
      </c>
      <c r="Y686" s="6" t="s">
        <v>141</v>
      </c>
    </row>
    <row r="687" spans="1:25">
      <c r="A687" s="171">
        <v>22</v>
      </c>
      <c r="B687" s="174">
        <v>45047</v>
      </c>
      <c r="C687" s="174">
        <v>45075</v>
      </c>
      <c r="D687" s="174">
        <v>45072</v>
      </c>
      <c r="E687" s="171">
        <v>2023</v>
      </c>
      <c r="F687" s="171">
        <v>5</v>
      </c>
      <c r="G687" s="171">
        <v>26</v>
      </c>
      <c r="H687" s="131"/>
      <c r="I687" s="176"/>
      <c r="J687" s="176"/>
      <c r="K687" s="171" t="s">
        <v>199</v>
      </c>
      <c r="L687" s="171" t="s">
        <v>56</v>
      </c>
      <c r="M687" s="171"/>
      <c r="N687" s="175">
        <v>0</v>
      </c>
      <c r="O687" s="171">
        <v>1</v>
      </c>
      <c r="P687" s="171">
        <v>0</v>
      </c>
      <c r="Q687" s="175">
        <v>0</v>
      </c>
      <c r="R687" s="6" t="s">
        <v>160</v>
      </c>
      <c r="S687" s="6" t="s">
        <v>205</v>
      </c>
      <c r="T687" s="6" t="s">
        <v>314</v>
      </c>
      <c r="U687" s="6" t="s">
        <v>322</v>
      </c>
      <c r="V687" s="6"/>
      <c r="W687" s="6"/>
      <c r="X687" s="6" t="s">
        <v>345</v>
      </c>
      <c r="Y687" s="6" t="s">
        <v>141</v>
      </c>
    </row>
    <row r="688" spans="1:25">
      <c r="A688" s="171">
        <v>22</v>
      </c>
      <c r="B688" s="174">
        <v>45047</v>
      </c>
      <c r="C688" s="174">
        <v>45075</v>
      </c>
      <c r="D688" s="174">
        <v>45072</v>
      </c>
      <c r="E688" s="171">
        <v>2023</v>
      </c>
      <c r="F688" s="171">
        <v>5</v>
      </c>
      <c r="G688" s="171">
        <v>26</v>
      </c>
      <c r="H688" s="131"/>
      <c r="I688" s="176"/>
      <c r="J688" s="176"/>
      <c r="K688" s="171" t="s">
        <v>199</v>
      </c>
      <c r="L688" s="171" t="s">
        <v>56</v>
      </c>
      <c r="M688" s="171">
        <v>650</v>
      </c>
      <c r="N688" s="175">
        <v>0</v>
      </c>
      <c r="O688" s="171">
        <v>0</v>
      </c>
      <c r="P688" s="171">
        <v>0</v>
      </c>
      <c r="Q688" s="175">
        <v>0</v>
      </c>
      <c r="R688" s="6" t="s">
        <v>160</v>
      </c>
      <c r="S688" s="6" t="s">
        <v>256</v>
      </c>
      <c r="T688" s="6" t="s">
        <v>314</v>
      </c>
      <c r="U688" s="6" t="s">
        <v>240</v>
      </c>
      <c r="V688" s="6"/>
      <c r="W688" s="6" t="s">
        <v>308</v>
      </c>
      <c r="X688" s="6" t="s">
        <v>345</v>
      </c>
      <c r="Y688" s="6" t="s">
        <v>141</v>
      </c>
    </row>
    <row r="689" spans="1:25">
      <c r="A689" s="171">
        <v>22</v>
      </c>
      <c r="B689" s="174">
        <v>45047</v>
      </c>
      <c r="C689" s="174">
        <v>45075</v>
      </c>
      <c r="D689" s="174">
        <v>45072</v>
      </c>
      <c r="E689" s="171">
        <v>2023</v>
      </c>
      <c r="F689" s="171">
        <v>5</v>
      </c>
      <c r="G689" s="171">
        <v>26</v>
      </c>
      <c r="H689" s="131"/>
      <c r="I689" s="176"/>
      <c r="J689" s="176"/>
      <c r="K689" s="171" t="s">
        <v>199</v>
      </c>
      <c r="L689" s="171" t="s">
        <v>56</v>
      </c>
      <c r="M689" s="171">
        <v>650</v>
      </c>
      <c r="N689" s="175">
        <v>0</v>
      </c>
      <c r="O689" s="171">
        <v>0</v>
      </c>
      <c r="P689" s="171">
        <v>0</v>
      </c>
      <c r="Q689" s="175">
        <v>0</v>
      </c>
      <c r="R689" s="6" t="s">
        <v>160</v>
      </c>
      <c r="S689" s="6" t="s">
        <v>256</v>
      </c>
      <c r="T689" s="6" t="s">
        <v>314</v>
      </c>
      <c r="U689" s="6" t="s">
        <v>240</v>
      </c>
      <c r="V689" s="6"/>
      <c r="W689" s="6" t="s">
        <v>308</v>
      </c>
      <c r="X689" s="6" t="s">
        <v>345</v>
      </c>
      <c r="Y689" s="6" t="s">
        <v>141</v>
      </c>
    </row>
    <row r="690" spans="1:25">
      <c r="A690" s="171">
        <v>22</v>
      </c>
      <c r="B690" s="174">
        <v>45047</v>
      </c>
      <c r="C690" s="174">
        <v>45075</v>
      </c>
      <c r="D690" s="174">
        <v>45072</v>
      </c>
      <c r="E690" s="171">
        <v>2023</v>
      </c>
      <c r="F690" s="171">
        <v>5</v>
      </c>
      <c r="G690" s="171">
        <v>26</v>
      </c>
      <c r="H690" s="131"/>
      <c r="I690" s="176"/>
      <c r="J690" s="176"/>
      <c r="K690" s="171" t="s">
        <v>199</v>
      </c>
      <c r="L690" s="171" t="s">
        <v>56</v>
      </c>
      <c r="M690" s="171"/>
      <c r="N690" s="175">
        <v>0</v>
      </c>
      <c r="O690" s="171">
        <v>1</v>
      </c>
      <c r="P690" s="171">
        <v>0</v>
      </c>
      <c r="Q690" s="175">
        <v>0</v>
      </c>
      <c r="R690" s="6" t="s">
        <v>160</v>
      </c>
      <c r="S690" s="6" t="s">
        <v>162</v>
      </c>
      <c r="T690" s="6"/>
      <c r="U690" s="6" t="s">
        <v>162</v>
      </c>
      <c r="V690" s="6" t="s">
        <v>361</v>
      </c>
      <c r="W690" s="6"/>
      <c r="X690" s="6" t="s">
        <v>345</v>
      </c>
      <c r="Y690" s="6" t="s">
        <v>141</v>
      </c>
    </row>
    <row r="691" spans="1:25">
      <c r="A691" s="171">
        <v>22</v>
      </c>
      <c r="B691" s="174">
        <v>45047</v>
      </c>
      <c r="C691" s="174">
        <v>45075</v>
      </c>
      <c r="D691" s="174">
        <v>45072</v>
      </c>
      <c r="E691" s="171">
        <v>2023</v>
      </c>
      <c r="F691" s="171">
        <v>5</v>
      </c>
      <c r="G691" s="171">
        <v>26</v>
      </c>
      <c r="H691" s="131"/>
      <c r="I691" s="176"/>
      <c r="J691" s="176"/>
      <c r="K691" s="171" t="s">
        <v>199</v>
      </c>
      <c r="L691" s="171" t="s">
        <v>56</v>
      </c>
      <c r="M691" s="171">
        <v>402</v>
      </c>
      <c r="N691" s="175">
        <v>3</v>
      </c>
      <c r="O691" s="171">
        <v>0</v>
      </c>
      <c r="P691" s="171">
        <v>0</v>
      </c>
      <c r="Q691" s="175">
        <v>3</v>
      </c>
      <c r="R691" s="6" t="s">
        <v>160</v>
      </c>
      <c r="S691" s="6" t="s">
        <v>256</v>
      </c>
      <c r="T691" s="6" t="s">
        <v>314</v>
      </c>
      <c r="U691" s="6" t="s">
        <v>240</v>
      </c>
      <c r="V691" s="6"/>
      <c r="W691" s="6" t="s">
        <v>372</v>
      </c>
      <c r="X691" s="6" t="s">
        <v>345</v>
      </c>
      <c r="Y691" s="6" t="s">
        <v>141</v>
      </c>
    </row>
    <row r="692" spans="1:25">
      <c r="A692" s="171">
        <v>22</v>
      </c>
      <c r="B692" s="174">
        <v>45047</v>
      </c>
      <c r="C692" s="174">
        <v>45075</v>
      </c>
      <c r="D692" s="174">
        <v>45072</v>
      </c>
      <c r="E692" s="171">
        <v>2023</v>
      </c>
      <c r="F692" s="171">
        <v>5</v>
      </c>
      <c r="G692" s="171">
        <v>26</v>
      </c>
      <c r="H692" s="131"/>
      <c r="I692" s="176"/>
      <c r="J692" s="176"/>
      <c r="K692" s="171"/>
      <c r="L692" s="171" t="s">
        <v>56</v>
      </c>
      <c r="M692" s="171">
        <v>3501</v>
      </c>
      <c r="N692" s="175">
        <v>1</v>
      </c>
      <c r="O692" s="171">
        <v>1</v>
      </c>
      <c r="P692" s="171">
        <v>1</v>
      </c>
      <c r="Q692" s="175">
        <v>0</v>
      </c>
      <c r="R692" s="6" t="s">
        <v>157</v>
      </c>
      <c r="S692" s="6" t="s">
        <v>205</v>
      </c>
      <c r="T692" s="6" t="s">
        <v>166</v>
      </c>
      <c r="U692" s="6" t="s">
        <v>169</v>
      </c>
      <c r="V692" s="6"/>
      <c r="W692" s="6"/>
      <c r="X692" s="6" t="s">
        <v>345</v>
      </c>
      <c r="Y692" s="6" t="s">
        <v>141</v>
      </c>
    </row>
    <row r="693" spans="1:25">
      <c r="A693" s="171">
        <v>22</v>
      </c>
      <c r="B693" s="174">
        <v>45047</v>
      </c>
      <c r="C693" s="174">
        <v>45075</v>
      </c>
      <c r="D693" s="174">
        <v>45072</v>
      </c>
      <c r="E693" s="171">
        <v>2023</v>
      </c>
      <c r="F693" s="171">
        <v>5</v>
      </c>
      <c r="G693" s="171">
        <v>26</v>
      </c>
      <c r="H693" s="131"/>
      <c r="I693" s="176"/>
      <c r="J693" s="176"/>
      <c r="K693" s="171"/>
      <c r="L693" s="171" t="s">
        <v>56</v>
      </c>
      <c r="M693" s="171">
        <v>900</v>
      </c>
      <c r="N693" s="175">
        <v>0</v>
      </c>
      <c r="O693" s="171">
        <v>0</v>
      </c>
      <c r="P693" s="171">
        <v>0</v>
      </c>
      <c r="Q693" s="175">
        <v>0</v>
      </c>
      <c r="R693" s="6"/>
      <c r="S693" s="6"/>
      <c r="T693" s="6"/>
      <c r="U693" s="6"/>
      <c r="V693" s="6"/>
      <c r="W693" s="6"/>
      <c r="X693" s="6" t="s">
        <v>345</v>
      </c>
      <c r="Y693" s="6" t="s">
        <v>141</v>
      </c>
    </row>
    <row r="694" spans="1:25">
      <c r="A694" s="171">
        <v>22</v>
      </c>
      <c r="B694" s="174">
        <v>45047</v>
      </c>
      <c r="C694" s="174">
        <v>45072</v>
      </c>
      <c r="D694" s="174">
        <v>45071</v>
      </c>
      <c r="E694" s="171">
        <v>2023</v>
      </c>
      <c r="F694" s="171">
        <v>5</v>
      </c>
      <c r="G694" s="171">
        <v>25</v>
      </c>
      <c r="H694" s="131"/>
      <c r="I694" s="176"/>
      <c r="J694" s="176"/>
      <c r="K694" s="171"/>
      <c r="L694" s="171" t="s">
        <v>56</v>
      </c>
      <c r="M694" s="171">
        <v>900</v>
      </c>
      <c r="N694" s="175">
        <v>0</v>
      </c>
      <c r="O694" s="171">
        <v>0</v>
      </c>
      <c r="P694" s="171">
        <v>0</v>
      </c>
      <c r="Q694" s="175">
        <v>0</v>
      </c>
      <c r="R694" s="6"/>
      <c r="S694" s="6"/>
      <c r="T694" s="6"/>
      <c r="U694" s="6"/>
      <c r="V694" s="6"/>
      <c r="W694" s="6"/>
      <c r="X694" s="6" t="s">
        <v>345</v>
      </c>
      <c r="Y694" s="6" t="s">
        <v>141</v>
      </c>
    </row>
    <row r="695" spans="1:25">
      <c r="A695" s="171">
        <v>22</v>
      </c>
      <c r="B695" s="174">
        <v>45047</v>
      </c>
      <c r="C695" s="174">
        <v>45072</v>
      </c>
      <c r="D695" s="174">
        <v>45071</v>
      </c>
      <c r="E695" s="171">
        <v>2023</v>
      </c>
      <c r="F695" s="171">
        <v>5</v>
      </c>
      <c r="G695" s="171">
        <v>25</v>
      </c>
      <c r="H695" s="131"/>
      <c r="I695" s="176"/>
      <c r="J695" s="176"/>
      <c r="K695" s="171"/>
      <c r="L695" s="171" t="s">
        <v>56</v>
      </c>
      <c r="M695" s="171">
        <v>7500</v>
      </c>
      <c r="N695" s="175">
        <v>0</v>
      </c>
      <c r="O695" s="171">
        <v>0</v>
      </c>
      <c r="P695" s="171">
        <v>0</v>
      </c>
      <c r="Q695" s="175">
        <v>0</v>
      </c>
      <c r="R695" s="6"/>
      <c r="S695" s="6"/>
      <c r="T695" s="6"/>
      <c r="U695" s="6"/>
      <c r="V695" s="6"/>
      <c r="W695" s="6"/>
      <c r="X695" s="6" t="s">
        <v>345</v>
      </c>
      <c r="Y695" s="6" t="s">
        <v>141</v>
      </c>
    </row>
    <row r="696" spans="1:25">
      <c r="A696" s="171">
        <v>22</v>
      </c>
      <c r="B696" s="174">
        <v>45047</v>
      </c>
      <c r="C696" s="174">
        <v>45070</v>
      </c>
      <c r="D696" s="174">
        <v>45069</v>
      </c>
      <c r="E696" s="171">
        <v>2023</v>
      </c>
      <c r="F696" s="171">
        <v>5</v>
      </c>
      <c r="G696" s="171">
        <v>23</v>
      </c>
      <c r="H696" s="131"/>
      <c r="I696" s="176"/>
      <c r="J696" s="176"/>
      <c r="K696" s="171"/>
      <c r="L696" s="171" t="s">
        <v>56</v>
      </c>
      <c r="M696" s="171">
        <v>500</v>
      </c>
      <c r="N696" s="175">
        <v>0</v>
      </c>
      <c r="O696" s="171">
        <v>0</v>
      </c>
      <c r="P696" s="171">
        <v>0</v>
      </c>
      <c r="Q696" s="175">
        <v>0</v>
      </c>
      <c r="R696" s="6"/>
      <c r="S696" s="6"/>
      <c r="T696" s="6"/>
      <c r="U696" s="6"/>
      <c r="V696" s="6"/>
      <c r="W696" s="6"/>
      <c r="X696" s="6" t="s">
        <v>345</v>
      </c>
      <c r="Y696" s="6" t="s">
        <v>141</v>
      </c>
    </row>
    <row r="697" spans="1:25">
      <c r="A697" s="171">
        <v>22</v>
      </c>
      <c r="B697" s="174">
        <v>45047</v>
      </c>
      <c r="C697" s="174">
        <v>45070</v>
      </c>
      <c r="D697" s="174">
        <v>45069</v>
      </c>
      <c r="E697" s="171">
        <v>2023</v>
      </c>
      <c r="F697" s="171">
        <v>5</v>
      </c>
      <c r="G697" s="171">
        <v>23</v>
      </c>
      <c r="H697" s="131"/>
      <c r="I697" s="176"/>
      <c r="J697" s="176"/>
      <c r="K697" s="171"/>
      <c r="L697" s="171" t="s">
        <v>52</v>
      </c>
      <c r="M697" s="171">
        <v>55018</v>
      </c>
      <c r="N697" s="175">
        <v>18</v>
      </c>
      <c r="O697" s="171">
        <v>18</v>
      </c>
      <c r="P697" s="171">
        <v>0</v>
      </c>
      <c r="Q697" s="175">
        <v>18</v>
      </c>
      <c r="R697" s="6" t="s">
        <v>160</v>
      </c>
      <c r="S697" s="6" t="s">
        <v>161</v>
      </c>
      <c r="T697" s="6" t="s">
        <v>314</v>
      </c>
      <c r="U697" s="6" t="s">
        <v>168</v>
      </c>
      <c r="V697" s="6"/>
      <c r="W697" s="6"/>
      <c r="X697" s="6" t="s">
        <v>353</v>
      </c>
      <c r="Y697" s="6" t="s">
        <v>143</v>
      </c>
    </row>
    <row r="698" spans="1:25">
      <c r="A698" s="171">
        <v>22</v>
      </c>
      <c r="B698" s="174">
        <v>45047</v>
      </c>
      <c r="C698" s="174">
        <v>45072</v>
      </c>
      <c r="D698" s="174">
        <v>45071</v>
      </c>
      <c r="E698" s="171">
        <v>2023</v>
      </c>
      <c r="F698" s="171">
        <v>5</v>
      </c>
      <c r="G698" s="171">
        <v>25</v>
      </c>
      <c r="H698" s="131"/>
      <c r="I698" s="176"/>
      <c r="J698" s="176"/>
      <c r="K698" s="171"/>
      <c r="L698" s="171" t="s">
        <v>56</v>
      </c>
      <c r="M698" s="171">
        <v>500</v>
      </c>
      <c r="N698" s="175">
        <v>0</v>
      </c>
      <c r="O698" s="171">
        <v>0</v>
      </c>
      <c r="P698" s="171">
        <v>0</v>
      </c>
      <c r="Q698" s="175">
        <v>0</v>
      </c>
      <c r="R698" s="6"/>
      <c r="S698" s="6"/>
      <c r="T698" s="6"/>
      <c r="U698" s="6"/>
      <c r="V698" s="6"/>
      <c r="W698" s="6"/>
      <c r="X698" s="6" t="s">
        <v>345</v>
      </c>
      <c r="Y698" s="6" t="s">
        <v>141</v>
      </c>
    </row>
    <row r="699" spans="1:25">
      <c r="A699" s="171">
        <v>22</v>
      </c>
      <c r="B699" s="174">
        <v>45047</v>
      </c>
      <c r="C699" s="174">
        <v>45071</v>
      </c>
      <c r="D699" s="174">
        <v>45070</v>
      </c>
      <c r="E699" s="171">
        <v>2023</v>
      </c>
      <c r="F699" s="171">
        <v>5</v>
      </c>
      <c r="G699" s="171">
        <v>24</v>
      </c>
      <c r="H699" s="131"/>
      <c r="I699" s="176"/>
      <c r="J699" s="176"/>
      <c r="K699" s="171"/>
      <c r="L699" s="171" t="s">
        <v>56</v>
      </c>
      <c r="M699" s="171">
        <v>1400</v>
      </c>
      <c r="N699" s="175">
        <v>0</v>
      </c>
      <c r="O699" s="171">
        <v>0</v>
      </c>
      <c r="P699" s="171">
        <v>0</v>
      </c>
      <c r="Q699" s="175">
        <v>0</v>
      </c>
      <c r="R699" s="6"/>
      <c r="S699" s="6"/>
      <c r="T699" s="6"/>
      <c r="U699" s="6"/>
      <c r="V699" s="6"/>
      <c r="W699" s="6"/>
      <c r="X699" s="6" t="s">
        <v>345</v>
      </c>
      <c r="Y699" s="6" t="s">
        <v>141</v>
      </c>
    </row>
    <row r="700" spans="1:25">
      <c r="A700" s="171">
        <v>22</v>
      </c>
      <c r="B700" s="174">
        <v>45047</v>
      </c>
      <c r="C700" s="174">
        <v>45069</v>
      </c>
      <c r="D700" s="174">
        <v>45068</v>
      </c>
      <c r="E700" s="171">
        <v>2023</v>
      </c>
      <c r="F700" s="171">
        <v>5</v>
      </c>
      <c r="G700" s="171">
        <v>22</v>
      </c>
      <c r="H700" s="131"/>
      <c r="I700" s="176"/>
      <c r="J700" s="176"/>
      <c r="K700" s="171"/>
      <c r="L700" s="171" t="s">
        <v>52</v>
      </c>
      <c r="M700" s="171">
        <v>50008</v>
      </c>
      <c r="N700" s="175">
        <v>8</v>
      </c>
      <c r="O700" s="171">
        <v>8</v>
      </c>
      <c r="P700" s="171">
        <v>0</v>
      </c>
      <c r="Q700" s="175">
        <v>8</v>
      </c>
      <c r="R700" s="6" t="s">
        <v>160</v>
      </c>
      <c r="S700" s="6" t="s">
        <v>161</v>
      </c>
      <c r="T700" s="6" t="s">
        <v>314</v>
      </c>
      <c r="U700" s="6" t="s">
        <v>168</v>
      </c>
      <c r="V700" s="6"/>
      <c r="W700" s="6"/>
      <c r="X700" s="6" t="s">
        <v>353</v>
      </c>
      <c r="Y700" s="6" t="s">
        <v>143</v>
      </c>
    </row>
    <row r="701" spans="1:25">
      <c r="A701" s="171">
        <v>22</v>
      </c>
      <c r="B701" s="174">
        <v>45047</v>
      </c>
      <c r="C701" s="174">
        <v>45071</v>
      </c>
      <c r="D701" s="174">
        <v>45070</v>
      </c>
      <c r="E701" s="171">
        <v>2023</v>
      </c>
      <c r="F701" s="171">
        <v>5</v>
      </c>
      <c r="G701" s="171">
        <v>24</v>
      </c>
      <c r="H701" s="131"/>
      <c r="I701" s="176"/>
      <c r="J701" s="176"/>
      <c r="K701" s="171"/>
      <c r="L701" s="171" t="s">
        <v>56</v>
      </c>
      <c r="M701" s="171">
        <v>740</v>
      </c>
      <c r="N701" s="175">
        <v>0</v>
      </c>
      <c r="O701" s="171">
        <v>0</v>
      </c>
      <c r="P701" s="171">
        <v>0</v>
      </c>
      <c r="Q701" s="175">
        <v>0</v>
      </c>
      <c r="R701" s="6"/>
      <c r="S701" s="6"/>
      <c r="T701" s="6"/>
      <c r="U701" s="6"/>
      <c r="V701" s="6"/>
      <c r="W701" s="6"/>
      <c r="X701" s="6" t="s">
        <v>345</v>
      </c>
      <c r="Y701" s="6" t="s">
        <v>141</v>
      </c>
    </row>
    <row r="702" spans="1:25">
      <c r="A702" s="171">
        <v>22</v>
      </c>
      <c r="B702" s="174">
        <v>45047</v>
      </c>
      <c r="C702" s="174">
        <v>45070</v>
      </c>
      <c r="D702" s="174">
        <v>45069</v>
      </c>
      <c r="E702" s="171">
        <v>2023</v>
      </c>
      <c r="F702" s="171">
        <v>5</v>
      </c>
      <c r="G702" s="171">
        <v>23</v>
      </c>
      <c r="H702" s="131"/>
      <c r="I702" s="176"/>
      <c r="J702" s="176"/>
      <c r="K702" s="171"/>
      <c r="L702" s="171" t="s">
        <v>56</v>
      </c>
      <c r="M702" s="171">
        <v>600</v>
      </c>
      <c r="N702" s="175">
        <v>0</v>
      </c>
      <c r="O702" s="171">
        <v>0</v>
      </c>
      <c r="P702" s="171">
        <v>0</v>
      </c>
      <c r="Q702" s="175">
        <v>0</v>
      </c>
      <c r="R702" s="6"/>
      <c r="S702" s="6"/>
      <c r="T702" s="6"/>
      <c r="U702" s="6"/>
      <c r="V702" s="6"/>
      <c r="W702" s="6"/>
      <c r="X702" s="6" t="s">
        <v>345</v>
      </c>
      <c r="Y702" s="6" t="s">
        <v>141</v>
      </c>
    </row>
    <row r="703" spans="1:25">
      <c r="A703" s="171">
        <v>22</v>
      </c>
      <c r="B703" s="174">
        <v>45047</v>
      </c>
      <c r="C703" s="174">
        <v>45075</v>
      </c>
      <c r="D703" s="174">
        <v>45072</v>
      </c>
      <c r="E703" s="171">
        <v>2023</v>
      </c>
      <c r="F703" s="171">
        <v>5</v>
      </c>
      <c r="G703" s="171">
        <v>26</v>
      </c>
      <c r="H703" s="131"/>
      <c r="I703" s="176"/>
      <c r="J703" s="176"/>
      <c r="K703" s="171"/>
      <c r="L703" s="171" t="s">
        <v>56</v>
      </c>
      <c r="M703" s="171">
        <v>430</v>
      </c>
      <c r="N703" s="175">
        <v>0</v>
      </c>
      <c r="O703" s="171">
        <v>0</v>
      </c>
      <c r="P703" s="171">
        <v>0</v>
      </c>
      <c r="Q703" s="175">
        <v>0</v>
      </c>
      <c r="R703" s="6"/>
      <c r="S703" s="6"/>
      <c r="T703" s="6"/>
      <c r="U703" s="6"/>
      <c r="V703" s="6"/>
      <c r="W703" s="6"/>
      <c r="X703" s="6" t="s">
        <v>345</v>
      </c>
      <c r="Y703" s="6" t="s">
        <v>141</v>
      </c>
    </row>
    <row r="704" spans="1:25">
      <c r="A704" s="171">
        <v>22</v>
      </c>
      <c r="B704" s="174">
        <v>45047</v>
      </c>
      <c r="C704" s="174">
        <v>45071</v>
      </c>
      <c r="D704" s="174">
        <v>45070</v>
      </c>
      <c r="E704" s="171">
        <v>2023</v>
      </c>
      <c r="F704" s="171">
        <v>5</v>
      </c>
      <c r="G704" s="171">
        <v>24</v>
      </c>
      <c r="H704" s="131"/>
      <c r="I704" s="176"/>
      <c r="J704" s="176"/>
      <c r="K704" s="171"/>
      <c r="L704" s="171" t="s">
        <v>56</v>
      </c>
      <c r="M704" s="171">
        <v>4000</v>
      </c>
      <c r="N704" s="175">
        <v>0</v>
      </c>
      <c r="O704" s="171">
        <v>0</v>
      </c>
      <c r="P704" s="171">
        <v>0</v>
      </c>
      <c r="Q704" s="175">
        <v>0</v>
      </c>
      <c r="R704" s="6"/>
      <c r="S704" s="6"/>
      <c r="T704" s="6"/>
      <c r="U704" s="6"/>
      <c r="V704" s="6"/>
      <c r="W704" s="6"/>
      <c r="X704" s="6" t="s">
        <v>345</v>
      </c>
      <c r="Y704" s="6" t="s">
        <v>141</v>
      </c>
    </row>
    <row r="705" spans="1:25">
      <c r="A705" s="171">
        <v>22</v>
      </c>
      <c r="B705" s="174">
        <v>45047</v>
      </c>
      <c r="C705" s="174">
        <v>45070</v>
      </c>
      <c r="D705" s="174">
        <v>45069</v>
      </c>
      <c r="E705" s="171">
        <v>2023</v>
      </c>
      <c r="F705" s="171">
        <v>5</v>
      </c>
      <c r="G705" s="171">
        <v>23</v>
      </c>
      <c r="H705" s="131"/>
      <c r="I705" s="176"/>
      <c r="J705" s="176"/>
      <c r="K705" s="171"/>
      <c r="L705" s="171" t="s">
        <v>56</v>
      </c>
      <c r="M705" s="171">
        <v>300</v>
      </c>
      <c r="N705" s="175">
        <v>0</v>
      </c>
      <c r="O705" s="171">
        <v>0</v>
      </c>
      <c r="P705" s="171">
        <v>0</v>
      </c>
      <c r="Q705" s="175">
        <v>0</v>
      </c>
      <c r="R705" s="6"/>
      <c r="S705" s="6"/>
      <c r="T705" s="6"/>
      <c r="U705" s="6"/>
      <c r="V705" s="6"/>
      <c r="W705" s="6"/>
      <c r="X705" s="6" t="s">
        <v>345</v>
      </c>
      <c r="Y705" s="6" t="s">
        <v>141</v>
      </c>
    </row>
    <row r="706" spans="1:25">
      <c r="A706" s="171">
        <v>22</v>
      </c>
      <c r="B706" s="174">
        <v>45047</v>
      </c>
      <c r="C706" s="174">
        <v>45070</v>
      </c>
      <c r="D706" s="174">
        <v>45069</v>
      </c>
      <c r="E706" s="171">
        <v>2023</v>
      </c>
      <c r="F706" s="171">
        <v>5</v>
      </c>
      <c r="G706" s="171">
        <v>23</v>
      </c>
      <c r="H706" s="131"/>
      <c r="I706" s="176"/>
      <c r="J706" s="176"/>
      <c r="K706" s="171"/>
      <c r="L706" s="171" t="s">
        <v>56</v>
      </c>
      <c r="M706" s="171">
        <v>160</v>
      </c>
      <c r="N706" s="175">
        <v>0</v>
      </c>
      <c r="O706" s="171">
        <v>0</v>
      </c>
      <c r="P706" s="171">
        <v>0</v>
      </c>
      <c r="Q706" s="175">
        <v>0</v>
      </c>
      <c r="R706" s="6"/>
      <c r="S706" s="6"/>
      <c r="T706" s="6"/>
      <c r="U706" s="6"/>
      <c r="V706" s="6"/>
      <c r="W706" s="6"/>
      <c r="X706" s="6" t="s">
        <v>345</v>
      </c>
      <c r="Y706" s="6" t="s">
        <v>141</v>
      </c>
    </row>
    <row r="707" spans="1:25">
      <c r="A707" s="171">
        <v>22</v>
      </c>
      <c r="B707" s="174">
        <v>45047</v>
      </c>
      <c r="C707" s="174">
        <v>45071</v>
      </c>
      <c r="D707" s="174">
        <v>45070</v>
      </c>
      <c r="E707" s="171">
        <v>2023</v>
      </c>
      <c r="F707" s="171">
        <v>5</v>
      </c>
      <c r="G707" s="171">
        <v>24</v>
      </c>
      <c r="H707" s="131"/>
      <c r="I707" s="176"/>
      <c r="J707" s="176"/>
      <c r="K707" s="171"/>
      <c r="L707" s="171" t="s">
        <v>56</v>
      </c>
      <c r="M707" s="171">
        <v>100</v>
      </c>
      <c r="N707" s="175">
        <v>0</v>
      </c>
      <c r="O707" s="171">
        <v>0</v>
      </c>
      <c r="P707" s="171">
        <v>0</v>
      </c>
      <c r="Q707" s="175">
        <v>0</v>
      </c>
      <c r="R707" s="6"/>
      <c r="S707" s="6"/>
      <c r="T707" s="6"/>
      <c r="U707" s="6"/>
      <c r="V707" s="6"/>
      <c r="W707" s="6"/>
      <c r="X707" s="6" t="s">
        <v>345</v>
      </c>
      <c r="Y707" s="6" t="s">
        <v>141</v>
      </c>
    </row>
    <row r="708" spans="1:25">
      <c r="A708" s="171">
        <v>22</v>
      </c>
      <c r="B708" s="174">
        <v>45047</v>
      </c>
      <c r="C708" s="174">
        <v>45070</v>
      </c>
      <c r="D708" s="174">
        <v>45069</v>
      </c>
      <c r="E708" s="171">
        <v>2023</v>
      </c>
      <c r="F708" s="171">
        <v>5</v>
      </c>
      <c r="G708" s="171">
        <v>23</v>
      </c>
      <c r="H708" s="131"/>
      <c r="I708" s="176"/>
      <c r="J708" s="176"/>
      <c r="K708" s="171"/>
      <c r="L708" s="171" t="s">
        <v>56</v>
      </c>
      <c r="M708" s="171">
        <v>5000</v>
      </c>
      <c r="N708" s="175">
        <v>0</v>
      </c>
      <c r="O708" s="171">
        <v>0</v>
      </c>
      <c r="P708" s="171">
        <v>0</v>
      </c>
      <c r="Q708" s="175">
        <v>0</v>
      </c>
      <c r="R708" s="6"/>
      <c r="S708" s="6"/>
      <c r="T708" s="6"/>
      <c r="U708" s="6"/>
      <c r="V708" s="6"/>
      <c r="W708" s="6"/>
      <c r="X708" s="6" t="s">
        <v>345</v>
      </c>
      <c r="Y708" s="6" t="s">
        <v>141</v>
      </c>
    </row>
    <row r="709" spans="1:25">
      <c r="A709" s="171">
        <v>23</v>
      </c>
      <c r="B709" s="174">
        <v>45047</v>
      </c>
      <c r="C709" s="174">
        <v>45078</v>
      </c>
      <c r="D709" s="174">
        <v>45077</v>
      </c>
      <c r="E709" s="171">
        <v>2023</v>
      </c>
      <c r="F709" s="171">
        <v>5</v>
      </c>
      <c r="G709" s="171">
        <v>31</v>
      </c>
      <c r="H709" s="131"/>
      <c r="I709" s="176"/>
      <c r="J709" s="176"/>
      <c r="K709" s="171" t="s">
        <v>199</v>
      </c>
      <c r="L709" s="171" t="s">
        <v>56</v>
      </c>
      <c r="M709" s="171">
        <v>700</v>
      </c>
      <c r="N709" s="175">
        <v>0</v>
      </c>
      <c r="O709" s="171">
        <v>0</v>
      </c>
      <c r="P709" s="171">
        <v>0</v>
      </c>
      <c r="Q709" s="175">
        <v>0</v>
      </c>
      <c r="R709" s="6" t="s">
        <v>160</v>
      </c>
      <c r="S709" s="6" t="s">
        <v>256</v>
      </c>
      <c r="T709" s="6" t="s">
        <v>314</v>
      </c>
      <c r="U709" s="6" t="s">
        <v>240</v>
      </c>
      <c r="V709" s="6"/>
      <c r="W709" s="6" t="s">
        <v>308</v>
      </c>
      <c r="X709" s="6" t="s">
        <v>363</v>
      </c>
      <c r="Y709" s="6" t="s">
        <v>141</v>
      </c>
    </row>
    <row r="710" spans="1:25">
      <c r="A710" s="171">
        <v>23</v>
      </c>
      <c r="B710" s="174">
        <v>45047</v>
      </c>
      <c r="C710" s="174">
        <v>45077</v>
      </c>
      <c r="D710" s="174">
        <v>45076</v>
      </c>
      <c r="E710" s="171">
        <v>2023</v>
      </c>
      <c r="F710" s="171">
        <v>5</v>
      </c>
      <c r="G710" s="171">
        <v>30</v>
      </c>
      <c r="H710" s="131"/>
      <c r="I710" s="176"/>
      <c r="J710" s="176"/>
      <c r="K710" s="171" t="s">
        <v>199</v>
      </c>
      <c r="L710" s="171" t="s">
        <v>56</v>
      </c>
      <c r="M710" s="171">
        <v>359</v>
      </c>
      <c r="N710" s="175">
        <v>1</v>
      </c>
      <c r="O710" s="171">
        <v>0</v>
      </c>
      <c r="P710" s="171">
        <v>1</v>
      </c>
      <c r="Q710" s="175">
        <v>0</v>
      </c>
      <c r="R710" s="6" t="s">
        <v>160</v>
      </c>
      <c r="S710" s="6" t="s">
        <v>256</v>
      </c>
      <c r="T710" s="6" t="s">
        <v>314</v>
      </c>
      <c r="U710" s="6" t="s">
        <v>240</v>
      </c>
      <c r="V710" s="6"/>
      <c r="W710" s="6" t="s">
        <v>375</v>
      </c>
      <c r="X710" s="6" t="s">
        <v>363</v>
      </c>
      <c r="Y710" s="6" t="s">
        <v>141</v>
      </c>
    </row>
    <row r="711" spans="1:25">
      <c r="A711" s="171">
        <v>23</v>
      </c>
      <c r="B711" s="174">
        <v>45047</v>
      </c>
      <c r="C711" s="174">
        <v>45077</v>
      </c>
      <c r="D711" s="174">
        <v>45075</v>
      </c>
      <c r="E711" s="171">
        <v>2023</v>
      </c>
      <c r="F711" s="171">
        <v>5</v>
      </c>
      <c r="G711" s="171">
        <v>29</v>
      </c>
      <c r="H711" s="131"/>
      <c r="I711" s="176"/>
      <c r="J711" s="176"/>
      <c r="K711" s="171" t="s">
        <v>199</v>
      </c>
      <c r="L711" s="171" t="s">
        <v>56</v>
      </c>
      <c r="M711" s="171">
        <v>680</v>
      </c>
      <c r="N711" s="175">
        <v>0</v>
      </c>
      <c r="O711" s="171">
        <v>0</v>
      </c>
      <c r="P711" s="171">
        <v>0</v>
      </c>
      <c r="Q711" s="175">
        <v>0</v>
      </c>
      <c r="R711" s="6" t="s">
        <v>160</v>
      </c>
      <c r="S711" s="6" t="s">
        <v>256</v>
      </c>
      <c r="T711" s="6" t="s">
        <v>314</v>
      </c>
      <c r="U711" s="6" t="s">
        <v>240</v>
      </c>
      <c r="V711" s="6"/>
      <c r="W711" s="6" t="s">
        <v>373</v>
      </c>
      <c r="X711" s="6" t="s">
        <v>363</v>
      </c>
      <c r="Y711" s="6" t="s">
        <v>141</v>
      </c>
    </row>
    <row r="712" spans="1:25">
      <c r="A712" s="171">
        <v>23</v>
      </c>
      <c r="B712" s="174">
        <v>45047</v>
      </c>
      <c r="C712" s="174">
        <v>45077</v>
      </c>
      <c r="D712" s="174">
        <v>45076</v>
      </c>
      <c r="E712" s="171">
        <v>2023</v>
      </c>
      <c r="F712" s="171">
        <v>5</v>
      </c>
      <c r="G712" s="171">
        <v>30</v>
      </c>
      <c r="H712" s="131"/>
      <c r="I712" s="176"/>
      <c r="J712" s="176"/>
      <c r="K712" s="171" t="s">
        <v>199</v>
      </c>
      <c r="L712" s="171" t="s">
        <v>56</v>
      </c>
      <c r="M712" s="171">
        <v>486</v>
      </c>
      <c r="N712" s="175">
        <v>0</v>
      </c>
      <c r="O712" s="171">
        <v>0</v>
      </c>
      <c r="P712" s="171">
        <v>0</v>
      </c>
      <c r="Q712" s="175">
        <v>0</v>
      </c>
      <c r="R712" s="6" t="s">
        <v>160</v>
      </c>
      <c r="S712" s="6" t="s">
        <v>256</v>
      </c>
      <c r="T712" s="6" t="s">
        <v>314</v>
      </c>
      <c r="U712" s="6" t="s">
        <v>240</v>
      </c>
      <c r="V712" s="6"/>
      <c r="W712" s="6" t="s">
        <v>308</v>
      </c>
      <c r="X712" s="6" t="s">
        <v>363</v>
      </c>
      <c r="Y712" s="6" t="s">
        <v>141</v>
      </c>
    </row>
    <row r="713" spans="1:25">
      <c r="A713" s="171">
        <v>23</v>
      </c>
      <c r="B713" s="174">
        <v>45047</v>
      </c>
      <c r="C713" s="174">
        <v>45076</v>
      </c>
      <c r="D713" s="174">
        <v>45075</v>
      </c>
      <c r="E713" s="171">
        <v>2023</v>
      </c>
      <c r="F713" s="171">
        <v>5</v>
      </c>
      <c r="G713" s="171">
        <v>29</v>
      </c>
      <c r="H713" s="131"/>
      <c r="I713" s="176"/>
      <c r="J713" s="176"/>
      <c r="K713" s="171"/>
      <c r="L713" s="171" t="s">
        <v>56</v>
      </c>
      <c r="M713" s="171"/>
      <c r="N713" s="175">
        <v>0</v>
      </c>
      <c r="O713" s="171">
        <v>1</v>
      </c>
      <c r="P713" s="171">
        <v>0</v>
      </c>
      <c r="Q713" s="175">
        <v>0</v>
      </c>
      <c r="R713" s="6" t="s">
        <v>160</v>
      </c>
      <c r="S713" s="6" t="s">
        <v>295</v>
      </c>
      <c r="T713" s="6" t="s">
        <v>198</v>
      </c>
      <c r="U713" s="6" t="s">
        <v>173</v>
      </c>
      <c r="V713" s="6"/>
      <c r="W713" s="6"/>
      <c r="X713" s="6" t="s">
        <v>363</v>
      </c>
      <c r="Y713" s="6" t="s">
        <v>141</v>
      </c>
    </row>
    <row r="714" spans="1:25">
      <c r="A714" s="171">
        <v>23</v>
      </c>
      <c r="B714" s="174">
        <v>45047</v>
      </c>
      <c r="C714" s="174">
        <v>45076</v>
      </c>
      <c r="D714" s="174">
        <v>45075</v>
      </c>
      <c r="E714" s="171">
        <v>2023</v>
      </c>
      <c r="F714" s="171">
        <v>5</v>
      </c>
      <c r="G714" s="171">
        <v>29</v>
      </c>
      <c r="H714" s="131"/>
      <c r="I714" s="176"/>
      <c r="J714" s="176"/>
      <c r="K714" s="171" t="s">
        <v>199</v>
      </c>
      <c r="L714" s="171" t="s">
        <v>56</v>
      </c>
      <c r="M714" s="171">
        <v>400</v>
      </c>
      <c r="N714" s="175">
        <v>2</v>
      </c>
      <c r="O714" s="171">
        <v>2</v>
      </c>
      <c r="P714" s="171">
        <v>2</v>
      </c>
      <c r="Q714" s="175">
        <v>0</v>
      </c>
      <c r="R714" s="6" t="s">
        <v>157</v>
      </c>
      <c r="S714" s="6" t="s">
        <v>158</v>
      </c>
      <c r="T714" s="6" t="s">
        <v>166</v>
      </c>
      <c r="U714" s="6" t="s">
        <v>167</v>
      </c>
      <c r="V714" s="6"/>
      <c r="W714" s="6"/>
      <c r="X714" s="6" t="s">
        <v>363</v>
      </c>
      <c r="Y714" s="6" t="s">
        <v>141</v>
      </c>
    </row>
    <row r="715" spans="1:25">
      <c r="A715" s="171">
        <v>23</v>
      </c>
      <c r="B715" s="174">
        <v>45047</v>
      </c>
      <c r="C715" s="174">
        <v>45076</v>
      </c>
      <c r="D715" s="174">
        <v>45075</v>
      </c>
      <c r="E715" s="171">
        <v>2023</v>
      </c>
      <c r="F715" s="171">
        <v>5</v>
      </c>
      <c r="G715" s="171">
        <v>29</v>
      </c>
      <c r="H715" s="131"/>
      <c r="I715" s="176"/>
      <c r="J715" s="176"/>
      <c r="K715" s="171" t="s">
        <v>199</v>
      </c>
      <c r="L715" s="171" t="s">
        <v>56</v>
      </c>
      <c r="M715" s="171"/>
      <c r="N715" s="175">
        <v>0</v>
      </c>
      <c r="O715" s="171">
        <v>0</v>
      </c>
      <c r="P715" s="171">
        <v>0</v>
      </c>
      <c r="Q715" s="175">
        <v>0</v>
      </c>
      <c r="R715" s="6" t="s">
        <v>160</v>
      </c>
      <c r="S715" s="6" t="s">
        <v>256</v>
      </c>
      <c r="T715" s="6"/>
      <c r="U715" s="6" t="s">
        <v>240</v>
      </c>
      <c r="V715" s="6"/>
      <c r="W715" s="6" t="s">
        <v>374</v>
      </c>
      <c r="X715" s="6" t="s">
        <v>363</v>
      </c>
      <c r="Y715" s="6" t="s">
        <v>141</v>
      </c>
    </row>
    <row r="716" spans="1:25">
      <c r="A716" s="171">
        <v>23</v>
      </c>
      <c r="B716" s="174">
        <v>45047</v>
      </c>
      <c r="C716" s="174">
        <v>45077</v>
      </c>
      <c r="D716" s="174">
        <v>45075</v>
      </c>
      <c r="E716" s="171">
        <v>2023</v>
      </c>
      <c r="F716" s="171">
        <v>5</v>
      </c>
      <c r="G716" s="171">
        <v>29</v>
      </c>
      <c r="H716" s="131"/>
      <c r="I716" s="176"/>
      <c r="J716" s="176"/>
      <c r="K716" s="171" t="s">
        <v>199</v>
      </c>
      <c r="L716" s="171" t="s">
        <v>56</v>
      </c>
      <c r="M716" s="171">
        <v>680</v>
      </c>
      <c r="N716" s="175">
        <v>0</v>
      </c>
      <c r="O716" s="171">
        <v>0</v>
      </c>
      <c r="P716" s="171">
        <v>0</v>
      </c>
      <c r="Q716" s="175">
        <v>0</v>
      </c>
      <c r="R716" s="6" t="s">
        <v>160</v>
      </c>
      <c r="S716" s="6" t="s">
        <v>256</v>
      </c>
      <c r="T716" s="6" t="s">
        <v>314</v>
      </c>
      <c r="U716" s="6" t="s">
        <v>240</v>
      </c>
      <c r="V716" s="6"/>
      <c r="W716" s="6" t="s">
        <v>373</v>
      </c>
      <c r="X716" s="6" t="s">
        <v>363</v>
      </c>
      <c r="Y716" s="6" t="s">
        <v>141</v>
      </c>
    </row>
    <row r="717" spans="1:25">
      <c r="A717" s="171">
        <v>23</v>
      </c>
      <c r="B717" s="174">
        <v>45047</v>
      </c>
      <c r="C717" s="174">
        <v>45077</v>
      </c>
      <c r="D717" s="174">
        <v>45076</v>
      </c>
      <c r="E717" s="171">
        <v>2023</v>
      </c>
      <c r="F717" s="171">
        <v>5</v>
      </c>
      <c r="G717" s="171">
        <v>30</v>
      </c>
      <c r="H717" s="131"/>
      <c r="I717" s="176"/>
      <c r="J717" s="176"/>
      <c r="K717" s="171" t="s">
        <v>199</v>
      </c>
      <c r="L717" s="171" t="s">
        <v>56</v>
      </c>
      <c r="M717" s="171"/>
      <c r="N717" s="175">
        <v>0</v>
      </c>
      <c r="O717" s="171">
        <v>1</v>
      </c>
      <c r="P717" s="171">
        <v>0</v>
      </c>
      <c r="Q717" s="175">
        <v>0</v>
      </c>
      <c r="R717" s="6" t="s">
        <v>157</v>
      </c>
      <c r="S717" s="6" t="s">
        <v>162</v>
      </c>
      <c r="T717" s="6" t="s">
        <v>166</v>
      </c>
      <c r="U717" s="6" t="s">
        <v>162</v>
      </c>
      <c r="V717" s="6" t="s">
        <v>364</v>
      </c>
      <c r="W717" s="6"/>
      <c r="X717" s="6" t="s">
        <v>363</v>
      </c>
      <c r="Y717" s="6" t="s">
        <v>141</v>
      </c>
    </row>
    <row r="718" spans="1:25">
      <c r="A718" s="171">
        <v>23</v>
      </c>
      <c r="B718" s="174">
        <v>45078</v>
      </c>
      <c r="C718" s="174">
        <v>45079</v>
      </c>
      <c r="D718" s="174">
        <v>45078</v>
      </c>
      <c r="E718" s="171">
        <v>2023</v>
      </c>
      <c r="F718" s="171">
        <v>6</v>
      </c>
      <c r="G718" s="171">
        <v>1</v>
      </c>
      <c r="H718" s="131"/>
      <c r="I718" s="176"/>
      <c r="J718" s="176"/>
      <c r="K718" s="171"/>
      <c r="L718" s="171" t="s">
        <v>56</v>
      </c>
      <c r="M718" s="171">
        <v>444</v>
      </c>
      <c r="N718" s="175">
        <v>0</v>
      </c>
      <c r="O718" s="171">
        <v>0</v>
      </c>
      <c r="P718" s="171">
        <v>0</v>
      </c>
      <c r="Q718" s="175">
        <v>0</v>
      </c>
      <c r="R718" s="6" t="s">
        <v>160</v>
      </c>
      <c r="S718" s="6" t="s">
        <v>256</v>
      </c>
      <c r="T718" s="6" t="s">
        <v>314</v>
      </c>
      <c r="U718" s="6" t="s">
        <v>240</v>
      </c>
      <c r="V718" s="6"/>
      <c r="W718" s="6">
        <v>23</v>
      </c>
      <c r="X718" s="6" t="s">
        <v>363</v>
      </c>
      <c r="Y718" s="6" t="s">
        <v>378</v>
      </c>
    </row>
    <row r="719" spans="1:25">
      <c r="A719" s="171">
        <v>23</v>
      </c>
      <c r="B719" s="174">
        <v>45047</v>
      </c>
      <c r="C719" s="174">
        <v>45078</v>
      </c>
      <c r="D719" s="174">
        <v>45077</v>
      </c>
      <c r="E719" s="171">
        <v>2023</v>
      </c>
      <c r="F719" s="171">
        <v>5</v>
      </c>
      <c r="G719" s="171">
        <v>31</v>
      </c>
      <c r="H719" s="131"/>
      <c r="I719" s="176"/>
      <c r="J719" s="176"/>
      <c r="K719" s="171" t="s">
        <v>199</v>
      </c>
      <c r="L719" s="171" t="s">
        <v>56</v>
      </c>
      <c r="M719" s="171">
        <v>700</v>
      </c>
      <c r="N719" s="175">
        <v>0</v>
      </c>
      <c r="O719" s="171">
        <v>0</v>
      </c>
      <c r="P719" s="171">
        <v>0</v>
      </c>
      <c r="Q719" s="175">
        <v>0</v>
      </c>
      <c r="R719" s="6" t="s">
        <v>160</v>
      </c>
      <c r="S719" s="6" t="s">
        <v>256</v>
      </c>
      <c r="T719" s="6" t="s">
        <v>314</v>
      </c>
      <c r="U719" s="6" t="s">
        <v>240</v>
      </c>
      <c r="V719" s="6"/>
      <c r="W719" s="6" t="s">
        <v>308</v>
      </c>
      <c r="X719" s="6" t="s">
        <v>363</v>
      </c>
      <c r="Y719" s="6" t="s">
        <v>141</v>
      </c>
    </row>
    <row r="720" spans="1:25">
      <c r="A720" s="171">
        <v>23</v>
      </c>
      <c r="B720" s="174">
        <v>45078</v>
      </c>
      <c r="C720" s="174">
        <v>45079</v>
      </c>
      <c r="D720" s="174">
        <v>45078</v>
      </c>
      <c r="E720" s="171">
        <v>2023</v>
      </c>
      <c r="F720" s="171">
        <v>6</v>
      </c>
      <c r="G720" s="171">
        <v>1</v>
      </c>
      <c r="H720" s="131"/>
      <c r="I720" s="176"/>
      <c r="J720" s="176"/>
      <c r="K720" s="171" t="s">
        <v>199</v>
      </c>
      <c r="L720" s="171" t="s">
        <v>56</v>
      </c>
      <c r="M720" s="171">
        <v>700</v>
      </c>
      <c r="N720" s="175">
        <v>21</v>
      </c>
      <c r="O720" s="171">
        <v>0</v>
      </c>
      <c r="P720" s="171">
        <v>21</v>
      </c>
      <c r="Q720" s="175">
        <v>0</v>
      </c>
      <c r="R720" s="6" t="s">
        <v>160</v>
      </c>
      <c r="S720" s="6" t="s">
        <v>256</v>
      </c>
      <c r="T720" s="6" t="s">
        <v>314</v>
      </c>
      <c r="U720" s="6" t="s">
        <v>240</v>
      </c>
      <c r="V720" s="6"/>
      <c r="W720" s="6">
        <v>50</v>
      </c>
      <c r="X720" s="6" t="s">
        <v>363</v>
      </c>
      <c r="Y720" s="6" t="s">
        <v>378</v>
      </c>
    </row>
    <row r="721" spans="1:25">
      <c r="A721" s="171">
        <v>23</v>
      </c>
      <c r="B721" s="174">
        <v>45078</v>
      </c>
      <c r="C721" s="174">
        <v>45079</v>
      </c>
      <c r="D721" s="174">
        <v>45078</v>
      </c>
      <c r="E721" s="171">
        <v>2023</v>
      </c>
      <c r="F721" s="171">
        <v>6</v>
      </c>
      <c r="G721" s="171">
        <v>1</v>
      </c>
      <c r="H721" s="131"/>
      <c r="I721" s="176"/>
      <c r="J721" s="176"/>
      <c r="K721" s="171"/>
      <c r="L721" s="171" t="s">
        <v>56</v>
      </c>
      <c r="M721" s="171"/>
      <c r="N721" s="175">
        <v>0</v>
      </c>
      <c r="O721" s="171">
        <v>21</v>
      </c>
      <c r="P721" s="171">
        <v>0</v>
      </c>
      <c r="Q721" s="175">
        <v>0</v>
      </c>
      <c r="R721" s="6" t="s">
        <v>157</v>
      </c>
      <c r="S721" s="6" t="s">
        <v>158</v>
      </c>
      <c r="T721" s="6" t="s">
        <v>166</v>
      </c>
      <c r="U721" s="6" t="s">
        <v>167</v>
      </c>
      <c r="V721" s="6" t="s">
        <v>377</v>
      </c>
      <c r="W721" s="6"/>
      <c r="X721" s="6" t="s">
        <v>363</v>
      </c>
      <c r="Y721" s="6" t="s">
        <v>378</v>
      </c>
    </row>
    <row r="722" spans="1:25">
      <c r="A722" s="171">
        <v>23</v>
      </c>
      <c r="B722" s="174">
        <v>45078</v>
      </c>
      <c r="C722" s="174">
        <v>45079</v>
      </c>
      <c r="D722" s="174">
        <v>45078</v>
      </c>
      <c r="E722" s="171">
        <v>2023</v>
      </c>
      <c r="F722" s="171">
        <v>6</v>
      </c>
      <c r="G722" s="171">
        <v>1</v>
      </c>
      <c r="H722" s="131"/>
      <c r="I722" s="176"/>
      <c r="J722" s="176"/>
      <c r="K722" s="171" t="s">
        <v>199</v>
      </c>
      <c r="L722" s="171" t="s">
        <v>56</v>
      </c>
      <c r="M722" s="171">
        <v>700</v>
      </c>
      <c r="N722" s="175">
        <v>0</v>
      </c>
      <c r="O722" s="171">
        <v>0</v>
      </c>
      <c r="P722" s="171">
        <v>0</v>
      </c>
      <c r="Q722" s="175">
        <v>0</v>
      </c>
      <c r="R722" s="6" t="s">
        <v>160</v>
      </c>
      <c r="S722" s="6" t="s">
        <v>256</v>
      </c>
      <c r="T722" s="6" t="s">
        <v>314</v>
      </c>
      <c r="U722" s="6" t="s">
        <v>240</v>
      </c>
      <c r="V722" s="6"/>
      <c r="W722" s="6">
        <v>50</v>
      </c>
      <c r="X722" s="6" t="s">
        <v>363</v>
      </c>
      <c r="Y722" s="6" t="s">
        <v>378</v>
      </c>
    </row>
    <row r="723" spans="1:25">
      <c r="A723" s="171">
        <v>23</v>
      </c>
      <c r="B723" s="174">
        <v>45047</v>
      </c>
      <c r="C723" s="174">
        <v>45078</v>
      </c>
      <c r="D723" s="174">
        <v>45077</v>
      </c>
      <c r="E723" s="171">
        <v>2023</v>
      </c>
      <c r="F723" s="171">
        <v>5</v>
      </c>
      <c r="G723" s="171">
        <v>31</v>
      </c>
      <c r="H723" s="131"/>
      <c r="I723" s="176"/>
      <c r="J723" s="176"/>
      <c r="K723" s="171" t="s">
        <v>199</v>
      </c>
      <c r="L723" s="171" t="s">
        <v>56</v>
      </c>
      <c r="M723" s="171">
        <v>344</v>
      </c>
      <c r="N723" s="175">
        <v>2</v>
      </c>
      <c r="O723" s="171">
        <v>0</v>
      </c>
      <c r="P723" s="171">
        <v>2</v>
      </c>
      <c r="Q723" s="175">
        <v>0</v>
      </c>
      <c r="R723" s="6" t="s">
        <v>160</v>
      </c>
      <c r="S723" s="6" t="s">
        <v>256</v>
      </c>
      <c r="T723" s="6" t="s">
        <v>314</v>
      </c>
      <c r="U723" s="6" t="s">
        <v>240</v>
      </c>
      <c r="V723" s="6"/>
      <c r="W723" s="6" t="s">
        <v>376</v>
      </c>
      <c r="X723" s="6" t="s">
        <v>363</v>
      </c>
      <c r="Y723" s="6" t="s">
        <v>141</v>
      </c>
    </row>
    <row r="724" spans="1:25">
      <c r="A724" s="171">
        <v>23</v>
      </c>
      <c r="B724" s="174">
        <v>45047</v>
      </c>
      <c r="C724" s="174">
        <v>45077</v>
      </c>
      <c r="D724" s="174">
        <v>45076</v>
      </c>
      <c r="E724" s="171">
        <v>2023</v>
      </c>
      <c r="F724" s="171">
        <v>5</v>
      </c>
      <c r="G724" s="171">
        <v>30</v>
      </c>
      <c r="H724" s="131"/>
      <c r="I724" s="176"/>
      <c r="J724" s="176"/>
      <c r="K724" s="171" t="s">
        <v>199</v>
      </c>
      <c r="L724" s="171" t="s">
        <v>56</v>
      </c>
      <c r="M724" s="171">
        <v>440</v>
      </c>
      <c r="N724" s="175">
        <v>0</v>
      </c>
      <c r="O724" s="171">
        <v>0</v>
      </c>
      <c r="P724" s="171">
        <v>0</v>
      </c>
      <c r="Q724" s="175">
        <v>0</v>
      </c>
      <c r="R724" s="6" t="s">
        <v>160</v>
      </c>
      <c r="S724" s="6" t="s">
        <v>256</v>
      </c>
      <c r="T724" s="6" t="s">
        <v>314</v>
      </c>
      <c r="U724" s="6" t="s">
        <v>240</v>
      </c>
      <c r="V724" s="6"/>
      <c r="W724" s="6" t="s">
        <v>269</v>
      </c>
      <c r="X724" s="6" t="s">
        <v>363</v>
      </c>
      <c r="Y724" s="6" t="s">
        <v>141</v>
      </c>
    </row>
    <row r="725" spans="1:25">
      <c r="A725" s="171">
        <v>23</v>
      </c>
      <c r="B725" s="174">
        <v>45078</v>
      </c>
      <c r="C725" s="174">
        <v>45080</v>
      </c>
      <c r="D725" s="174">
        <v>45079</v>
      </c>
      <c r="E725" s="171">
        <v>2023</v>
      </c>
      <c r="F725" s="171">
        <v>6</v>
      </c>
      <c r="G725" s="171">
        <v>2</v>
      </c>
      <c r="H725" s="131"/>
      <c r="I725" s="176"/>
      <c r="J725" s="176"/>
      <c r="K725" s="171"/>
      <c r="L725" s="171" t="s">
        <v>56</v>
      </c>
      <c r="M725" s="171">
        <v>320</v>
      </c>
      <c r="N725" s="175">
        <v>0</v>
      </c>
      <c r="O725" s="171">
        <v>0</v>
      </c>
      <c r="P725" s="171">
        <v>0</v>
      </c>
      <c r="Q725" s="175">
        <v>0</v>
      </c>
      <c r="R725" s="6"/>
      <c r="S725" s="6"/>
      <c r="T725" s="6"/>
      <c r="U725" s="6"/>
      <c r="V725" s="6"/>
      <c r="W725" s="6"/>
      <c r="X725" s="6" t="s">
        <v>363</v>
      </c>
      <c r="Y725" s="6" t="s">
        <v>378</v>
      </c>
    </row>
    <row r="726" spans="1:25">
      <c r="A726" s="171">
        <v>23</v>
      </c>
      <c r="B726" s="174">
        <v>45047</v>
      </c>
      <c r="C726" s="174">
        <v>45078</v>
      </c>
      <c r="D726" s="174">
        <v>45077</v>
      </c>
      <c r="E726" s="171">
        <v>2023</v>
      </c>
      <c r="F726" s="171">
        <v>5</v>
      </c>
      <c r="G726" s="171">
        <v>31</v>
      </c>
      <c r="H726" s="131"/>
      <c r="I726" s="176"/>
      <c r="J726" s="176"/>
      <c r="K726" s="171" t="s">
        <v>199</v>
      </c>
      <c r="L726" s="171" t="s">
        <v>56</v>
      </c>
      <c r="M726" s="171"/>
      <c r="N726" s="175">
        <v>0</v>
      </c>
      <c r="O726" s="171">
        <v>2</v>
      </c>
      <c r="P726" s="171">
        <v>0</v>
      </c>
      <c r="Q726" s="175">
        <v>0</v>
      </c>
      <c r="R726" s="6" t="s">
        <v>157</v>
      </c>
      <c r="S726" s="6" t="s">
        <v>158</v>
      </c>
      <c r="T726" s="6" t="s">
        <v>166</v>
      </c>
      <c r="U726" s="6" t="s">
        <v>167</v>
      </c>
      <c r="V726" s="6"/>
      <c r="W726" s="6"/>
      <c r="X726" s="6" t="s">
        <v>363</v>
      </c>
      <c r="Y726" s="6" t="s">
        <v>141</v>
      </c>
    </row>
    <row r="727" spans="1:25">
      <c r="A727" s="171">
        <v>23</v>
      </c>
      <c r="B727" s="174">
        <v>45047</v>
      </c>
      <c r="C727" s="174">
        <v>45076</v>
      </c>
      <c r="D727" s="174">
        <v>45075</v>
      </c>
      <c r="E727" s="171">
        <v>2023</v>
      </c>
      <c r="F727" s="171">
        <v>5</v>
      </c>
      <c r="G727" s="171">
        <v>29</v>
      </c>
      <c r="H727" s="131"/>
      <c r="I727" s="176"/>
      <c r="J727" s="176"/>
      <c r="K727" s="171"/>
      <c r="L727" s="171" t="s">
        <v>56</v>
      </c>
      <c r="M727" s="171">
        <v>805</v>
      </c>
      <c r="N727" s="175">
        <v>5</v>
      </c>
      <c r="O727" s="171">
        <v>4</v>
      </c>
      <c r="P727" s="171">
        <v>4</v>
      </c>
      <c r="Q727" s="175">
        <v>1</v>
      </c>
      <c r="R727" s="6" t="s">
        <v>157</v>
      </c>
      <c r="S727" s="6" t="s">
        <v>158</v>
      </c>
      <c r="T727" s="6" t="s">
        <v>166</v>
      </c>
      <c r="U727" s="6" t="s">
        <v>239</v>
      </c>
      <c r="V727" s="6"/>
      <c r="W727" s="6"/>
      <c r="X727" s="6" t="s">
        <v>363</v>
      </c>
      <c r="Y727" s="6" t="s">
        <v>141</v>
      </c>
    </row>
    <row r="728" spans="1:25">
      <c r="A728" s="171">
        <v>23</v>
      </c>
      <c r="B728" s="174">
        <v>45047</v>
      </c>
      <c r="C728" s="174">
        <v>45078</v>
      </c>
      <c r="D728" s="174">
        <v>45077</v>
      </c>
      <c r="E728" s="171">
        <v>2023</v>
      </c>
      <c r="F728" s="171">
        <v>5</v>
      </c>
      <c r="G728" s="171">
        <v>31</v>
      </c>
      <c r="H728" s="131"/>
      <c r="I728" s="176"/>
      <c r="J728" s="176"/>
      <c r="K728" s="171"/>
      <c r="L728" s="171" t="s">
        <v>52</v>
      </c>
      <c r="M728" s="171"/>
      <c r="N728" s="175">
        <v>0</v>
      </c>
      <c r="O728" s="171">
        <v>1</v>
      </c>
      <c r="P728" s="171">
        <v>0</v>
      </c>
      <c r="Q728" s="175">
        <v>0</v>
      </c>
      <c r="R728" s="6" t="s">
        <v>157</v>
      </c>
      <c r="S728" s="6" t="s">
        <v>161</v>
      </c>
      <c r="T728" s="6"/>
      <c r="U728" s="6" t="s">
        <v>169</v>
      </c>
      <c r="V728" s="6" t="s">
        <v>370</v>
      </c>
      <c r="W728" s="6"/>
      <c r="X728" s="6" t="s">
        <v>366</v>
      </c>
      <c r="Y728" s="6" t="s">
        <v>143</v>
      </c>
    </row>
    <row r="729" spans="1:25">
      <c r="A729" s="171">
        <v>23</v>
      </c>
      <c r="B729" s="174">
        <v>45047</v>
      </c>
      <c r="C729" s="174">
        <v>45078</v>
      </c>
      <c r="D729" s="174">
        <v>45077</v>
      </c>
      <c r="E729" s="171">
        <v>2023</v>
      </c>
      <c r="F729" s="171">
        <v>5</v>
      </c>
      <c r="G729" s="171">
        <v>31</v>
      </c>
      <c r="H729" s="131"/>
      <c r="I729" s="176"/>
      <c r="J729" s="176"/>
      <c r="K729" s="171"/>
      <c r="L729" s="171" t="s">
        <v>52</v>
      </c>
      <c r="M729" s="171"/>
      <c r="N729" s="175">
        <v>0</v>
      </c>
      <c r="O729" s="171">
        <v>1</v>
      </c>
      <c r="P729" s="171">
        <v>0</v>
      </c>
      <c r="Q729" s="175">
        <v>0</v>
      </c>
      <c r="R729" s="6" t="s">
        <v>160</v>
      </c>
      <c r="S729" s="6" t="s">
        <v>161</v>
      </c>
      <c r="T729" s="6" t="s">
        <v>253</v>
      </c>
      <c r="U729" s="6" t="s">
        <v>233</v>
      </c>
      <c r="V729" s="6" t="s">
        <v>369</v>
      </c>
      <c r="W729" s="6"/>
      <c r="X729" s="6" t="s">
        <v>366</v>
      </c>
      <c r="Y729" s="6" t="s">
        <v>143</v>
      </c>
    </row>
    <row r="730" spans="1:25">
      <c r="A730" s="171">
        <v>23</v>
      </c>
      <c r="B730" s="174">
        <v>45047</v>
      </c>
      <c r="C730" s="174">
        <v>45076</v>
      </c>
      <c r="D730" s="174">
        <v>45075</v>
      </c>
      <c r="E730" s="171">
        <v>2023</v>
      </c>
      <c r="F730" s="171">
        <v>5</v>
      </c>
      <c r="G730" s="171">
        <v>29</v>
      </c>
      <c r="H730" s="131"/>
      <c r="I730" s="176"/>
      <c r="J730" s="176"/>
      <c r="K730" s="171"/>
      <c r="L730" s="171" t="s">
        <v>52</v>
      </c>
      <c r="M730" s="171">
        <v>6000</v>
      </c>
      <c r="N730" s="175">
        <v>0</v>
      </c>
      <c r="O730" s="171">
        <v>0</v>
      </c>
      <c r="P730" s="171">
        <v>0</v>
      </c>
      <c r="Q730" s="175">
        <v>0</v>
      </c>
      <c r="R730" s="6"/>
      <c r="S730" s="6"/>
      <c r="T730" s="6"/>
      <c r="U730" s="6"/>
      <c r="V730" s="6"/>
      <c r="W730" s="6"/>
      <c r="X730" s="6" t="s">
        <v>366</v>
      </c>
      <c r="Y730" s="6" t="s">
        <v>143</v>
      </c>
    </row>
    <row r="731" spans="1:25">
      <c r="A731" s="171">
        <v>23</v>
      </c>
      <c r="B731" s="174">
        <v>45047</v>
      </c>
      <c r="C731" s="174">
        <v>45078</v>
      </c>
      <c r="D731" s="174">
        <v>45077</v>
      </c>
      <c r="E731" s="171">
        <v>2023</v>
      </c>
      <c r="F731" s="171">
        <v>5</v>
      </c>
      <c r="G731" s="171">
        <v>31</v>
      </c>
      <c r="H731" s="131"/>
      <c r="I731" s="176"/>
      <c r="J731" s="176"/>
      <c r="K731" s="171"/>
      <c r="L731" s="171" t="s">
        <v>52</v>
      </c>
      <c r="M731" s="171">
        <v>8804</v>
      </c>
      <c r="N731" s="175">
        <v>4</v>
      </c>
      <c r="O731" s="171">
        <v>1</v>
      </c>
      <c r="P731" s="171">
        <v>2</v>
      </c>
      <c r="Q731" s="175">
        <v>2</v>
      </c>
      <c r="R731" s="6" t="s">
        <v>157</v>
      </c>
      <c r="S731" s="6" t="s">
        <v>161</v>
      </c>
      <c r="T731" s="6" t="s">
        <v>166</v>
      </c>
      <c r="U731" s="6" t="s">
        <v>170</v>
      </c>
      <c r="V731" s="6" t="s">
        <v>365</v>
      </c>
      <c r="W731" s="6"/>
      <c r="X731" s="6" t="s">
        <v>366</v>
      </c>
      <c r="Y731" s="6" t="s">
        <v>143</v>
      </c>
    </row>
    <row r="732" spans="1:25">
      <c r="A732" s="171">
        <v>23</v>
      </c>
      <c r="B732" s="174">
        <v>45047</v>
      </c>
      <c r="C732" s="174">
        <v>45078</v>
      </c>
      <c r="D732" s="174">
        <v>45077</v>
      </c>
      <c r="E732" s="171">
        <v>2023</v>
      </c>
      <c r="F732" s="171">
        <v>5</v>
      </c>
      <c r="G732" s="171">
        <v>31</v>
      </c>
      <c r="H732" s="131"/>
      <c r="I732" s="176"/>
      <c r="J732" s="176"/>
      <c r="K732" s="171"/>
      <c r="L732" s="171" t="s">
        <v>52</v>
      </c>
      <c r="M732" s="171"/>
      <c r="N732" s="175">
        <v>0</v>
      </c>
      <c r="O732" s="171">
        <v>1</v>
      </c>
      <c r="P732" s="171">
        <v>0</v>
      </c>
      <c r="Q732" s="175">
        <v>0</v>
      </c>
      <c r="R732" s="6" t="s">
        <v>160</v>
      </c>
      <c r="S732" s="6" t="s">
        <v>161</v>
      </c>
      <c r="T732" s="6" t="s">
        <v>314</v>
      </c>
      <c r="U732" s="6" t="s">
        <v>238</v>
      </c>
      <c r="V732" s="6" t="s">
        <v>371</v>
      </c>
      <c r="W732" s="6"/>
      <c r="X732" s="6" t="s">
        <v>366</v>
      </c>
      <c r="Y732" s="6" t="s">
        <v>143</v>
      </c>
    </row>
    <row r="733" spans="1:25">
      <c r="A733" s="171">
        <v>23</v>
      </c>
      <c r="B733" s="174">
        <v>45078</v>
      </c>
      <c r="C733" s="174">
        <v>45082</v>
      </c>
      <c r="D733" s="174">
        <v>45080</v>
      </c>
      <c r="E733" s="171">
        <v>2023</v>
      </c>
      <c r="F733" s="171">
        <v>6</v>
      </c>
      <c r="G733" s="171">
        <v>3</v>
      </c>
      <c r="H733" s="131"/>
      <c r="I733" s="176"/>
      <c r="J733" s="176"/>
      <c r="K733" s="171"/>
      <c r="L733" s="171" t="s">
        <v>52</v>
      </c>
      <c r="M733" s="171">
        <v>201</v>
      </c>
      <c r="N733" s="175">
        <v>1</v>
      </c>
      <c r="O733" s="171">
        <v>1</v>
      </c>
      <c r="P733" s="171">
        <v>0</v>
      </c>
      <c r="Q733" s="175">
        <v>1</v>
      </c>
      <c r="R733" s="6" t="s">
        <v>160</v>
      </c>
      <c r="S733" s="6" t="s">
        <v>161</v>
      </c>
      <c r="T733" s="6" t="s">
        <v>253</v>
      </c>
      <c r="U733" s="6" t="s">
        <v>233</v>
      </c>
      <c r="V733" s="6" t="s">
        <v>379</v>
      </c>
      <c r="W733" s="6"/>
      <c r="X733" s="6" t="s">
        <v>366</v>
      </c>
      <c r="Y733" s="6" t="s">
        <v>380</v>
      </c>
    </row>
    <row r="734" spans="1:25">
      <c r="A734" s="171">
        <v>23</v>
      </c>
      <c r="B734" s="174">
        <v>45078</v>
      </c>
      <c r="C734" s="174">
        <v>45082</v>
      </c>
      <c r="D734" s="174">
        <v>45080</v>
      </c>
      <c r="E734" s="171">
        <v>2023</v>
      </c>
      <c r="F734" s="171">
        <v>6</v>
      </c>
      <c r="G734" s="171">
        <v>3</v>
      </c>
      <c r="H734" s="131"/>
      <c r="I734" s="176"/>
      <c r="J734" s="176"/>
      <c r="K734" s="171"/>
      <c r="L734" s="171" t="s">
        <v>52</v>
      </c>
      <c r="M734" s="171">
        <v>6000</v>
      </c>
      <c r="N734" s="175">
        <v>0</v>
      </c>
      <c r="O734" s="171">
        <v>0</v>
      </c>
      <c r="P734" s="171">
        <v>0</v>
      </c>
      <c r="Q734" s="175">
        <v>0</v>
      </c>
      <c r="R734" s="6"/>
      <c r="S734" s="6"/>
      <c r="T734" s="6"/>
      <c r="U734" s="6"/>
      <c r="V734" s="6"/>
      <c r="W734" s="6"/>
      <c r="X734" s="6" t="s">
        <v>366</v>
      </c>
      <c r="Y734" s="6" t="s">
        <v>380</v>
      </c>
    </row>
    <row r="735" spans="1:25">
      <c r="A735" s="171">
        <v>23</v>
      </c>
      <c r="B735" s="174">
        <v>45078</v>
      </c>
      <c r="C735" s="174">
        <v>45082</v>
      </c>
      <c r="D735" s="174">
        <v>45080</v>
      </c>
      <c r="E735" s="171">
        <v>2023</v>
      </c>
      <c r="F735" s="171">
        <v>6</v>
      </c>
      <c r="G735" s="171">
        <v>3</v>
      </c>
      <c r="H735" s="131"/>
      <c r="I735" s="176"/>
      <c r="J735" s="176"/>
      <c r="K735" s="171"/>
      <c r="L735" s="171" t="s">
        <v>52</v>
      </c>
      <c r="M735" s="171">
        <v>1053</v>
      </c>
      <c r="N735" s="175">
        <v>2</v>
      </c>
      <c r="O735" s="171">
        <v>1</v>
      </c>
      <c r="P735" s="171">
        <v>2</v>
      </c>
      <c r="Q735" s="175">
        <v>0</v>
      </c>
      <c r="R735" s="6" t="s">
        <v>157</v>
      </c>
      <c r="S735" s="6" t="s">
        <v>205</v>
      </c>
      <c r="T735" s="6" t="s">
        <v>166</v>
      </c>
      <c r="U735" s="6" t="s">
        <v>169</v>
      </c>
      <c r="V735" s="6"/>
      <c r="W735" s="6"/>
      <c r="X735" s="6" t="s">
        <v>366</v>
      </c>
      <c r="Y735" s="6" t="s">
        <v>380</v>
      </c>
    </row>
    <row r="736" spans="1:25">
      <c r="A736" s="171">
        <v>23</v>
      </c>
      <c r="B736" s="174">
        <v>45078</v>
      </c>
      <c r="C736" s="174">
        <v>45082</v>
      </c>
      <c r="D736" s="174">
        <v>45080</v>
      </c>
      <c r="E736" s="171">
        <v>2023</v>
      </c>
      <c r="F736" s="171">
        <v>6</v>
      </c>
      <c r="G736" s="171">
        <v>3</v>
      </c>
      <c r="H736" s="131"/>
      <c r="I736" s="176"/>
      <c r="J736" s="176"/>
      <c r="K736" s="171"/>
      <c r="L736" s="171" t="s">
        <v>52</v>
      </c>
      <c r="M736" s="171"/>
      <c r="N736" s="175">
        <v>0</v>
      </c>
      <c r="O736" s="171">
        <v>1</v>
      </c>
      <c r="P736" s="171">
        <v>0</v>
      </c>
      <c r="Q736" s="175">
        <v>0</v>
      </c>
      <c r="R736" s="6" t="s">
        <v>157</v>
      </c>
      <c r="S736" s="6" t="s">
        <v>161</v>
      </c>
      <c r="T736" s="6"/>
      <c r="U736" s="6" t="s">
        <v>162</v>
      </c>
      <c r="V736" s="6" t="s">
        <v>381</v>
      </c>
      <c r="W736" s="6"/>
      <c r="X736" s="6" t="s">
        <v>366</v>
      </c>
      <c r="Y736" s="6" t="s">
        <v>380</v>
      </c>
    </row>
    <row r="737" spans="1:25">
      <c r="A737" s="171">
        <v>23</v>
      </c>
      <c r="B737" s="174">
        <v>45078</v>
      </c>
      <c r="C737" s="174">
        <v>45079</v>
      </c>
      <c r="D737" s="174">
        <v>45078</v>
      </c>
      <c r="E737" s="171">
        <v>2023</v>
      </c>
      <c r="F737" s="171">
        <v>6</v>
      </c>
      <c r="G737" s="171">
        <v>1</v>
      </c>
      <c r="H737" s="131"/>
      <c r="I737" s="176"/>
      <c r="J737" s="176"/>
      <c r="K737" s="171"/>
      <c r="L737" s="171" t="s">
        <v>56</v>
      </c>
      <c r="M737" s="171">
        <v>400</v>
      </c>
      <c r="N737" s="175">
        <v>0</v>
      </c>
      <c r="O737" s="171">
        <v>0</v>
      </c>
      <c r="P737" s="171">
        <v>0</v>
      </c>
      <c r="Q737" s="175">
        <v>0</v>
      </c>
      <c r="R737" s="6"/>
      <c r="S737" s="6"/>
      <c r="T737" s="6"/>
      <c r="U737" s="6"/>
      <c r="V737" s="6"/>
      <c r="W737" s="6"/>
      <c r="X737" s="6" t="s">
        <v>363</v>
      </c>
      <c r="Y737" s="6" t="s">
        <v>378</v>
      </c>
    </row>
    <row r="738" spans="1:25">
      <c r="A738" s="171">
        <v>23</v>
      </c>
      <c r="B738" s="174">
        <v>45078</v>
      </c>
      <c r="C738" s="174">
        <v>45079</v>
      </c>
      <c r="D738" s="174">
        <v>45078</v>
      </c>
      <c r="E738" s="171">
        <v>2023</v>
      </c>
      <c r="F738" s="171">
        <v>6</v>
      </c>
      <c r="G738" s="171">
        <v>1</v>
      </c>
      <c r="H738" s="131"/>
      <c r="I738" s="176"/>
      <c r="J738" s="176"/>
      <c r="K738" s="171"/>
      <c r="L738" s="171" t="s">
        <v>56</v>
      </c>
      <c r="M738" s="171">
        <v>700</v>
      </c>
      <c r="N738" s="175">
        <v>0</v>
      </c>
      <c r="O738" s="171">
        <v>0</v>
      </c>
      <c r="P738" s="171">
        <v>0</v>
      </c>
      <c r="Q738" s="175">
        <v>0</v>
      </c>
      <c r="R738" s="6"/>
      <c r="S738" s="6"/>
      <c r="T738" s="6"/>
      <c r="U738" s="6"/>
      <c r="V738" s="6"/>
      <c r="W738" s="6"/>
      <c r="X738" s="6" t="s">
        <v>363</v>
      </c>
      <c r="Y738" s="6" t="s">
        <v>378</v>
      </c>
    </row>
    <row r="739" spans="1:25">
      <c r="A739" s="171">
        <v>23</v>
      </c>
      <c r="B739" s="174">
        <v>45078</v>
      </c>
      <c r="C739" s="174">
        <v>45080</v>
      </c>
      <c r="D739" s="174">
        <v>45079</v>
      </c>
      <c r="E739" s="171">
        <v>2023</v>
      </c>
      <c r="F739" s="171">
        <v>6</v>
      </c>
      <c r="G739" s="171">
        <v>2</v>
      </c>
      <c r="H739" s="131"/>
      <c r="I739" s="176"/>
      <c r="J739" s="176"/>
      <c r="K739" s="171"/>
      <c r="L739" s="171" t="s">
        <v>56</v>
      </c>
      <c r="M739" s="171">
        <v>1101</v>
      </c>
      <c r="N739" s="175">
        <v>1</v>
      </c>
      <c r="O739" s="171">
        <v>1</v>
      </c>
      <c r="P739" s="171">
        <v>0</v>
      </c>
      <c r="Q739" s="175">
        <v>1</v>
      </c>
      <c r="R739" s="6" t="s">
        <v>160</v>
      </c>
      <c r="S739" s="6" t="s">
        <v>161</v>
      </c>
      <c r="T739" s="6" t="s">
        <v>318</v>
      </c>
      <c r="U739" s="6" t="s">
        <v>175</v>
      </c>
      <c r="V739" s="6"/>
      <c r="W739" s="6"/>
      <c r="X739" s="6" t="s">
        <v>363</v>
      </c>
      <c r="Y739" s="6" t="s">
        <v>378</v>
      </c>
    </row>
    <row r="740" spans="1:25">
      <c r="A740" s="171">
        <v>23</v>
      </c>
      <c r="B740" s="174">
        <v>45078</v>
      </c>
      <c r="C740" s="174">
        <v>45080</v>
      </c>
      <c r="D740" s="174">
        <v>45079</v>
      </c>
      <c r="E740" s="171">
        <v>2023</v>
      </c>
      <c r="F740" s="171">
        <v>6</v>
      </c>
      <c r="G740" s="171">
        <v>2</v>
      </c>
      <c r="H740" s="131"/>
      <c r="I740" s="176"/>
      <c r="J740" s="176"/>
      <c r="K740" s="171"/>
      <c r="L740" s="171" t="s">
        <v>56</v>
      </c>
      <c r="M740" s="171">
        <v>600</v>
      </c>
      <c r="N740" s="175">
        <v>0</v>
      </c>
      <c r="O740" s="171">
        <v>0</v>
      </c>
      <c r="P740" s="171">
        <v>0</v>
      </c>
      <c r="Q740" s="175">
        <v>0</v>
      </c>
      <c r="R740" s="6"/>
      <c r="S740" s="6"/>
      <c r="T740" s="6"/>
      <c r="U740" s="6"/>
      <c r="V740" s="6"/>
      <c r="W740" s="6"/>
      <c r="X740" s="6" t="s">
        <v>363</v>
      </c>
      <c r="Y740" s="6" t="s">
        <v>378</v>
      </c>
    </row>
    <row r="741" spans="1:25">
      <c r="A741" s="171">
        <v>23</v>
      </c>
      <c r="B741" s="174">
        <v>45047</v>
      </c>
      <c r="C741" s="174">
        <v>45077</v>
      </c>
      <c r="D741" s="174">
        <v>45076</v>
      </c>
      <c r="E741" s="171">
        <v>2023</v>
      </c>
      <c r="F741" s="171">
        <v>5</v>
      </c>
      <c r="G741" s="171">
        <v>30</v>
      </c>
      <c r="H741" s="131"/>
      <c r="I741" s="176"/>
      <c r="J741" s="176"/>
      <c r="K741" s="171"/>
      <c r="L741" s="171" t="s">
        <v>56</v>
      </c>
      <c r="M741" s="171">
        <v>1000</v>
      </c>
      <c r="N741" s="175">
        <v>0</v>
      </c>
      <c r="O741" s="171">
        <v>0</v>
      </c>
      <c r="P741" s="171">
        <v>0</v>
      </c>
      <c r="Q741" s="175">
        <v>0</v>
      </c>
      <c r="R741" s="6"/>
      <c r="S741" s="6"/>
      <c r="T741" s="6"/>
      <c r="U741" s="6"/>
      <c r="V741" s="6"/>
      <c r="W741" s="6"/>
      <c r="X741" s="6" t="s">
        <v>363</v>
      </c>
      <c r="Y741" s="6" t="s">
        <v>141</v>
      </c>
    </row>
    <row r="742" spans="1:25">
      <c r="A742" s="171">
        <v>23</v>
      </c>
      <c r="B742" s="174">
        <v>45078</v>
      </c>
      <c r="C742" s="174">
        <v>45080</v>
      </c>
      <c r="D742" s="174">
        <v>45079</v>
      </c>
      <c r="E742" s="171">
        <v>2023</v>
      </c>
      <c r="F742" s="171">
        <v>6</v>
      </c>
      <c r="G742" s="171">
        <v>2</v>
      </c>
      <c r="H742" s="131"/>
      <c r="I742" s="176"/>
      <c r="J742" s="176"/>
      <c r="K742" s="171"/>
      <c r="L742" s="171" t="s">
        <v>56</v>
      </c>
      <c r="M742" s="171">
        <v>400</v>
      </c>
      <c r="N742" s="175">
        <v>0</v>
      </c>
      <c r="O742" s="171">
        <v>0</v>
      </c>
      <c r="P742" s="171">
        <v>0</v>
      </c>
      <c r="Q742" s="175">
        <v>0</v>
      </c>
      <c r="R742" s="6"/>
      <c r="S742" s="6"/>
      <c r="T742" s="6"/>
      <c r="U742" s="6"/>
      <c r="V742" s="6"/>
      <c r="W742" s="6"/>
      <c r="X742" s="6" t="s">
        <v>363</v>
      </c>
      <c r="Y742" s="6" t="s">
        <v>378</v>
      </c>
    </row>
    <row r="743" spans="1:25">
      <c r="A743" s="171">
        <v>23</v>
      </c>
      <c r="B743" s="174">
        <v>45078</v>
      </c>
      <c r="C743" s="174">
        <v>45082</v>
      </c>
      <c r="D743" s="174">
        <v>45080</v>
      </c>
      <c r="E743" s="171">
        <v>2023</v>
      </c>
      <c r="F743" s="171">
        <v>6</v>
      </c>
      <c r="G743" s="171">
        <v>3</v>
      </c>
      <c r="H743" s="131"/>
      <c r="I743" s="176"/>
      <c r="J743" s="176"/>
      <c r="K743" s="171"/>
      <c r="L743" s="171" t="s">
        <v>56</v>
      </c>
      <c r="M743" s="171">
        <v>250</v>
      </c>
      <c r="N743" s="175">
        <v>0</v>
      </c>
      <c r="O743" s="171">
        <v>0</v>
      </c>
      <c r="P743" s="171">
        <v>0</v>
      </c>
      <c r="Q743" s="175">
        <v>0</v>
      </c>
      <c r="R743" s="6"/>
      <c r="S743" s="6"/>
      <c r="T743" s="6"/>
      <c r="U743" s="6"/>
      <c r="V743" s="6"/>
      <c r="W743" s="6"/>
      <c r="X743" s="6" t="s">
        <v>363</v>
      </c>
      <c r="Y743" s="6" t="s">
        <v>378</v>
      </c>
    </row>
    <row r="744" spans="1:25">
      <c r="A744" s="171">
        <v>23</v>
      </c>
      <c r="B744" s="174">
        <v>45047</v>
      </c>
      <c r="C744" s="174">
        <v>45076</v>
      </c>
      <c r="D744" s="174">
        <v>45075</v>
      </c>
      <c r="E744" s="171">
        <v>2023</v>
      </c>
      <c r="F744" s="171">
        <v>5</v>
      </c>
      <c r="G744" s="171">
        <v>29</v>
      </c>
      <c r="H744" s="131"/>
      <c r="I744" s="176"/>
      <c r="J744" s="176"/>
      <c r="K744" s="171"/>
      <c r="L744" s="171" t="s">
        <v>56</v>
      </c>
      <c r="M744" s="171">
        <v>900</v>
      </c>
      <c r="N744" s="175">
        <v>0</v>
      </c>
      <c r="O744" s="171">
        <v>0</v>
      </c>
      <c r="P744" s="171">
        <v>0</v>
      </c>
      <c r="Q744" s="175">
        <v>0</v>
      </c>
      <c r="R744" s="6"/>
      <c r="S744" s="6"/>
      <c r="T744" s="6"/>
      <c r="U744" s="6"/>
      <c r="V744" s="6"/>
      <c r="W744" s="6"/>
      <c r="X744" s="6" t="s">
        <v>363</v>
      </c>
      <c r="Y744" s="6" t="s">
        <v>141</v>
      </c>
    </row>
    <row r="745" spans="1:25">
      <c r="A745" s="171">
        <v>23</v>
      </c>
      <c r="B745" s="174">
        <v>45078</v>
      </c>
      <c r="C745" s="174">
        <v>45079</v>
      </c>
      <c r="D745" s="174">
        <v>45078</v>
      </c>
      <c r="E745" s="171">
        <v>2023</v>
      </c>
      <c r="F745" s="171">
        <v>6</v>
      </c>
      <c r="G745" s="171">
        <v>1</v>
      </c>
      <c r="H745" s="131"/>
      <c r="I745" s="176"/>
      <c r="J745" s="176"/>
      <c r="K745" s="171"/>
      <c r="L745" s="171" t="s">
        <v>56</v>
      </c>
      <c r="M745" s="171">
        <v>550</v>
      </c>
      <c r="N745" s="175">
        <v>0</v>
      </c>
      <c r="O745" s="171">
        <v>0</v>
      </c>
      <c r="P745" s="171">
        <v>0</v>
      </c>
      <c r="Q745" s="175">
        <v>0</v>
      </c>
      <c r="R745" s="6"/>
      <c r="S745" s="6"/>
      <c r="T745" s="6"/>
      <c r="U745" s="6"/>
      <c r="V745" s="6"/>
      <c r="W745" s="6"/>
      <c r="X745" s="6" t="s">
        <v>363</v>
      </c>
      <c r="Y745" s="6" t="s">
        <v>378</v>
      </c>
    </row>
    <row r="746" spans="1:25">
      <c r="A746" s="171">
        <v>23</v>
      </c>
      <c r="B746" s="174">
        <v>45078</v>
      </c>
      <c r="C746" s="174">
        <v>45080</v>
      </c>
      <c r="D746" s="174">
        <v>45079</v>
      </c>
      <c r="E746" s="171">
        <v>2023</v>
      </c>
      <c r="F746" s="171">
        <v>6</v>
      </c>
      <c r="G746" s="171">
        <v>2</v>
      </c>
      <c r="H746" s="131"/>
      <c r="I746" s="176"/>
      <c r="J746" s="176"/>
      <c r="K746" s="171" t="s">
        <v>199</v>
      </c>
      <c r="L746" s="171" t="s">
        <v>56</v>
      </c>
      <c r="M746" s="171">
        <v>312</v>
      </c>
      <c r="N746" s="175">
        <v>1</v>
      </c>
      <c r="O746" s="171">
        <v>1</v>
      </c>
      <c r="P746" s="171">
        <v>1</v>
      </c>
      <c r="Q746" s="175">
        <v>0</v>
      </c>
      <c r="R746" s="6" t="s">
        <v>157</v>
      </c>
      <c r="S746" s="6" t="s">
        <v>162</v>
      </c>
      <c r="T746" s="6" t="s">
        <v>166</v>
      </c>
      <c r="U746" s="6" t="s">
        <v>162</v>
      </c>
      <c r="V746" s="6" t="s">
        <v>382</v>
      </c>
      <c r="W746" s="6"/>
      <c r="X746" s="6" t="s">
        <v>363</v>
      </c>
      <c r="Y746" s="6" t="s">
        <v>378</v>
      </c>
    </row>
    <row r="747" spans="1:25">
      <c r="A747" s="171">
        <v>23</v>
      </c>
      <c r="B747" s="174">
        <v>45078</v>
      </c>
      <c r="C747" s="174">
        <v>45079</v>
      </c>
      <c r="D747" s="174">
        <v>45078</v>
      </c>
      <c r="E747" s="171">
        <v>2023</v>
      </c>
      <c r="F747" s="171">
        <v>6</v>
      </c>
      <c r="G747" s="171">
        <v>1</v>
      </c>
      <c r="H747" s="131"/>
      <c r="I747" s="176"/>
      <c r="J747" s="176"/>
      <c r="K747" s="171"/>
      <c r="L747" s="171" t="s">
        <v>56</v>
      </c>
      <c r="M747" s="171">
        <v>5000</v>
      </c>
      <c r="N747" s="175">
        <v>0</v>
      </c>
      <c r="O747" s="171">
        <v>0</v>
      </c>
      <c r="P747" s="171">
        <v>0</v>
      </c>
      <c r="Q747" s="175">
        <v>0</v>
      </c>
      <c r="R747" s="6"/>
      <c r="S747" s="6"/>
      <c r="T747" s="6"/>
      <c r="U747" s="6"/>
      <c r="V747" s="6"/>
      <c r="W747" s="6"/>
      <c r="X747" s="6" t="s">
        <v>363</v>
      </c>
      <c r="Y747" s="6" t="s">
        <v>378</v>
      </c>
    </row>
    <row r="748" spans="1:25">
      <c r="A748" s="171">
        <v>23</v>
      </c>
      <c r="B748" s="174">
        <v>45047</v>
      </c>
      <c r="C748" s="174">
        <v>45076</v>
      </c>
      <c r="D748" s="174">
        <v>45075</v>
      </c>
      <c r="E748" s="171">
        <v>2023</v>
      </c>
      <c r="F748" s="171">
        <v>5</v>
      </c>
      <c r="G748" s="171">
        <v>29</v>
      </c>
      <c r="H748" s="131"/>
      <c r="I748" s="176"/>
      <c r="J748" s="176"/>
      <c r="K748" s="171"/>
      <c r="L748" s="171" t="s">
        <v>56</v>
      </c>
      <c r="M748" s="171">
        <v>6950</v>
      </c>
      <c r="N748" s="175">
        <v>0</v>
      </c>
      <c r="O748" s="171">
        <v>0</v>
      </c>
      <c r="P748" s="171">
        <v>0</v>
      </c>
      <c r="Q748" s="175">
        <v>0</v>
      </c>
      <c r="R748" s="6"/>
      <c r="S748" s="6"/>
      <c r="T748" s="6"/>
      <c r="U748" s="6"/>
      <c r="V748" s="6"/>
      <c r="W748" s="6"/>
      <c r="X748" s="6" t="s">
        <v>363</v>
      </c>
      <c r="Y748" s="6" t="s">
        <v>141</v>
      </c>
    </row>
    <row r="749" spans="1:25">
      <c r="A749" s="171">
        <v>23</v>
      </c>
      <c r="B749" s="174">
        <v>45078</v>
      </c>
      <c r="C749" s="174">
        <v>45080</v>
      </c>
      <c r="D749" s="174">
        <v>45079</v>
      </c>
      <c r="E749" s="171">
        <v>2023</v>
      </c>
      <c r="F749" s="171">
        <v>6</v>
      </c>
      <c r="G749" s="171">
        <v>2</v>
      </c>
      <c r="H749" s="131"/>
      <c r="I749" s="176"/>
      <c r="J749" s="176"/>
      <c r="K749" s="171"/>
      <c r="L749" s="171" t="s">
        <v>56</v>
      </c>
      <c r="M749" s="171">
        <v>2000</v>
      </c>
      <c r="N749" s="175">
        <v>0</v>
      </c>
      <c r="O749" s="171">
        <v>0</v>
      </c>
      <c r="P749" s="171">
        <v>0</v>
      </c>
      <c r="Q749" s="175">
        <v>0</v>
      </c>
      <c r="R749" s="6"/>
      <c r="S749" s="6"/>
      <c r="T749" s="6"/>
      <c r="U749" s="6"/>
      <c r="V749" s="6"/>
      <c r="W749" s="6"/>
      <c r="X749" s="6" t="s">
        <v>363</v>
      </c>
      <c r="Y749" s="6" t="s">
        <v>378</v>
      </c>
    </row>
    <row r="750" spans="1:25">
      <c r="A750" s="171">
        <v>23</v>
      </c>
      <c r="B750" s="174">
        <v>45047</v>
      </c>
      <c r="C750" s="174">
        <v>45076</v>
      </c>
      <c r="D750" s="174">
        <v>45075</v>
      </c>
      <c r="E750" s="171">
        <v>2023</v>
      </c>
      <c r="F750" s="171">
        <v>5</v>
      </c>
      <c r="G750" s="171">
        <v>29</v>
      </c>
      <c r="H750" s="131"/>
      <c r="I750" s="176"/>
      <c r="J750" s="176"/>
      <c r="K750" s="171"/>
      <c r="L750" s="171" t="s">
        <v>56</v>
      </c>
      <c r="M750" s="171">
        <v>300</v>
      </c>
      <c r="N750" s="175">
        <v>0</v>
      </c>
      <c r="O750" s="171">
        <v>0</v>
      </c>
      <c r="P750" s="171">
        <v>0</v>
      </c>
      <c r="Q750" s="175">
        <v>0</v>
      </c>
      <c r="R750" s="6"/>
      <c r="S750" s="6"/>
      <c r="T750" s="6"/>
      <c r="U750" s="6"/>
      <c r="V750" s="6"/>
      <c r="W750" s="6"/>
      <c r="X750" s="6" t="s">
        <v>363</v>
      </c>
      <c r="Y750" s="6" t="s">
        <v>141</v>
      </c>
    </row>
    <row r="751" spans="1:25">
      <c r="A751" s="171">
        <v>23</v>
      </c>
      <c r="B751" s="174">
        <v>45047</v>
      </c>
      <c r="C751" s="174">
        <v>45076</v>
      </c>
      <c r="D751" s="174">
        <v>45075</v>
      </c>
      <c r="E751" s="171">
        <v>2023</v>
      </c>
      <c r="F751" s="171">
        <v>5</v>
      </c>
      <c r="G751" s="171">
        <v>29</v>
      </c>
      <c r="H751" s="131"/>
      <c r="I751" s="176"/>
      <c r="J751" s="176"/>
      <c r="K751" s="171"/>
      <c r="L751" s="171" t="s">
        <v>56</v>
      </c>
      <c r="M751" s="171">
        <v>2300</v>
      </c>
      <c r="N751" s="175">
        <v>0</v>
      </c>
      <c r="O751" s="171">
        <v>0</v>
      </c>
      <c r="P751" s="171">
        <v>0</v>
      </c>
      <c r="Q751" s="175">
        <v>0</v>
      </c>
      <c r="R751" s="6"/>
      <c r="S751" s="6"/>
      <c r="T751" s="6"/>
      <c r="U751" s="6"/>
      <c r="V751" s="6"/>
      <c r="W751" s="6"/>
      <c r="X751" s="6" t="s">
        <v>363</v>
      </c>
      <c r="Y751" s="6" t="s">
        <v>141</v>
      </c>
    </row>
    <row r="752" spans="1:25">
      <c r="A752" s="171">
        <v>23</v>
      </c>
      <c r="B752" s="174">
        <v>45047</v>
      </c>
      <c r="C752" s="174">
        <v>45076</v>
      </c>
      <c r="D752" s="174">
        <v>45075</v>
      </c>
      <c r="E752" s="171">
        <v>2023</v>
      </c>
      <c r="F752" s="171">
        <v>5</v>
      </c>
      <c r="G752" s="171">
        <v>29</v>
      </c>
      <c r="H752" s="131"/>
      <c r="I752" s="176"/>
      <c r="J752" s="176"/>
      <c r="K752" s="171"/>
      <c r="L752" s="171" t="s">
        <v>56</v>
      </c>
      <c r="M752" s="171">
        <v>3500</v>
      </c>
      <c r="N752" s="175">
        <v>0</v>
      </c>
      <c r="O752" s="171">
        <v>0</v>
      </c>
      <c r="P752" s="171">
        <v>0</v>
      </c>
      <c r="Q752" s="175">
        <v>0</v>
      </c>
      <c r="R752" s="6"/>
      <c r="S752" s="6"/>
      <c r="T752" s="6"/>
      <c r="U752" s="6"/>
      <c r="V752" s="6"/>
      <c r="W752" s="6"/>
      <c r="X752" s="6" t="s">
        <v>363</v>
      </c>
      <c r="Y752" s="6" t="s">
        <v>141</v>
      </c>
    </row>
    <row r="753" spans="1:25">
      <c r="A753" s="171">
        <v>23</v>
      </c>
      <c r="B753" s="174">
        <v>45047</v>
      </c>
      <c r="C753" s="174">
        <v>45077</v>
      </c>
      <c r="D753" s="174">
        <v>45076</v>
      </c>
      <c r="E753" s="171">
        <v>2023</v>
      </c>
      <c r="F753" s="171">
        <v>5</v>
      </c>
      <c r="G753" s="171">
        <v>30</v>
      </c>
      <c r="H753" s="131"/>
      <c r="I753" s="176"/>
      <c r="J753" s="176"/>
      <c r="K753" s="171"/>
      <c r="L753" s="171" t="s">
        <v>56</v>
      </c>
      <c r="M753" s="171">
        <v>2000</v>
      </c>
      <c r="N753" s="175">
        <v>0</v>
      </c>
      <c r="O753" s="171">
        <v>0</v>
      </c>
      <c r="P753" s="171">
        <v>0</v>
      </c>
      <c r="Q753" s="175">
        <v>0</v>
      </c>
      <c r="R753" s="6"/>
      <c r="S753" s="6"/>
      <c r="T753" s="6"/>
      <c r="U753" s="6"/>
      <c r="V753" s="6"/>
      <c r="W753" s="6"/>
      <c r="X753" s="6" t="s">
        <v>363</v>
      </c>
      <c r="Y753" s="6" t="s">
        <v>141</v>
      </c>
    </row>
    <row r="754" spans="1:25">
      <c r="A754" s="171">
        <v>23</v>
      </c>
      <c r="B754" s="174">
        <v>45047</v>
      </c>
      <c r="C754" s="174">
        <v>45077</v>
      </c>
      <c r="D754" s="174">
        <v>45076</v>
      </c>
      <c r="E754" s="171">
        <v>2023</v>
      </c>
      <c r="F754" s="171">
        <v>5</v>
      </c>
      <c r="G754" s="171">
        <v>30</v>
      </c>
      <c r="H754" s="131"/>
      <c r="I754" s="176"/>
      <c r="J754" s="176"/>
      <c r="K754" s="171"/>
      <c r="L754" s="171" t="s">
        <v>56</v>
      </c>
      <c r="M754" s="171">
        <v>806</v>
      </c>
      <c r="N754" s="175">
        <v>6</v>
      </c>
      <c r="O754" s="171">
        <v>6</v>
      </c>
      <c r="P754" s="171">
        <v>6</v>
      </c>
      <c r="Q754" s="175">
        <v>0</v>
      </c>
      <c r="R754" s="6" t="s">
        <v>157</v>
      </c>
      <c r="S754" s="6" t="s">
        <v>158</v>
      </c>
      <c r="T754" s="6" t="s">
        <v>166</v>
      </c>
      <c r="U754" s="6" t="s">
        <v>239</v>
      </c>
      <c r="V754" s="6"/>
      <c r="W754" s="6"/>
      <c r="X754" s="6" t="s">
        <v>363</v>
      </c>
      <c r="Y754" s="6" t="s">
        <v>141</v>
      </c>
    </row>
    <row r="755" spans="1:25">
      <c r="A755" s="171">
        <v>23</v>
      </c>
      <c r="B755" s="174">
        <v>45078</v>
      </c>
      <c r="C755" s="174">
        <v>45082</v>
      </c>
      <c r="D755" s="174">
        <v>45080</v>
      </c>
      <c r="E755" s="171">
        <v>2023</v>
      </c>
      <c r="F755" s="171">
        <v>6</v>
      </c>
      <c r="G755" s="171">
        <v>3</v>
      </c>
      <c r="H755" s="131"/>
      <c r="I755" s="176"/>
      <c r="J755" s="176"/>
      <c r="K755" s="171"/>
      <c r="L755" s="171" t="s">
        <v>56</v>
      </c>
      <c r="M755" s="171">
        <v>800</v>
      </c>
      <c r="N755" s="175">
        <v>0</v>
      </c>
      <c r="O755" s="171">
        <v>0</v>
      </c>
      <c r="P755" s="171">
        <v>0</v>
      </c>
      <c r="Q755" s="175">
        <v>0</v>
      </c>
      <c r="R755" s="6"/>
      <c r="S755" s="6"/>
      <c r="T755" s="6"/>
      <c r="U755" s="6"/>
      <c r="V755" s="6"/>
      <c r="W755" s="6"/>
      <c r="X755" s="6" t="s">
        <v>363</v>
      </c>
      <c r="Y755" s="6" t="s">
        <v>378</v>
      </c>
    </row>
    <row r="756" spans="1:25">
      <c r="A756" s="171">
        <v>23</v>
      </c>
      <c r="B756" s="174">
        <v>45078</v>
      </c>
      <c r="C756" s="174">
        <v>45082</v>
      </c>
      <c r="D756" s="174">
        <v>45080</v>
      </c>
      <c r="E756" s="171">
        <v>2023</v>
      </c>
      <c r="F756" s="171">
        <v>6</v>
      </c>
      <c r="G756" s="171">
        <v>3</v>
      </c>
      <c r="H756" s="131"/>
      <c r="I756" s="176"/>
      <c r="J756" s="176"/>
      <c r="K756" s="171"/>
      <c r="L756" s="171" t="s">
        <v>56</v>
      </c>
      <c r="M756" s="171">
        <v>400</v>
      </c>
      <c r="N756" s="175">
        <v>0</v>
      </c>
      <c r="O756" s="171">
        <v>0</v>
      </c>
      <c r="P756" s="171">
        <v>0</v>
      </c>
      <c r="Q756" s="175">
        <v>0</v>
      </c>
      <c r="R756" s="6"/>
      <c r="S756" s="6"/>
      <c r="T756" s="6"/>
      <c r="U756" s="6"/>
      <c r="V756" s="6"/>
      <c r="W756" s="6"/>
      <c r="X756" s="6" t="s">
        <v>363</v>
      </c>
      <c r="Y756" s="6" t="s">
        <v>378</v>
      </c>
    </row>
    <row r="757" spans="1:25">
      <c r="A757" s="171">
        <v>23</v>
      </c>
      <c r="B757" s="174">
        <v>45047</v>
      </c>
      <c r="C757" s="174">
        <v>45076</v>
      </c>
      <c r="D757" s="174">
        <v>45075</v>
      </c>
      <c r="E757" s="171">
        <v>2023</v>
      </c>
      <c r="F757" s="171">
        <v>5</v>
      </c>
      <c r="G757" s="171">
        <v>29</v>
      </c>
      <c r="H757" s="131"/>
      <c r="I757" s="176"/>
      <c r="J757" s="176"/>
      <c r="K757" s="171"/>
      <c r="L757" s="171" t="s">
        <v>56</v>
      </c>
      <c r="M757" s="171">
        <v>1300</v>
      </c>
      <c r="N757" s="175">
        <v>0</v>
      </c>
      <c r="O757" s="171">
        <v>0</v>
      </c>
      <c r="P757" s="171">
        <v>0</v>
      </c>
      <c r="Q757" s="175">
        <v>0</v>
      </c>
      <c r="R757" s="6"/>
      <c r="S757" s="6"/>
      <c r="T757" s="6"/>
      <c r="U757" s="6"/>
      <c r="V757" s="6"/>
      <c r="W757" s="6"/>
      <c r="X757" s="6" t="s">
        <v>363</v>
      </c>
      <c r="Y757" s="6" t="s">
        <v>141</v>
      </c>
    </row>
    <row r="758" spans="1:25">
      <c r="A758" s="171">
        <v>23</v>
      </c>
      <c r="B758" s="174">
        <v>45047</v>
      </c>
      <c r="C758" s="174">
        <v>45076</v>
      </c>
      <c r="D758" s="174">
        <v>45075</v>
      </c>
      <c r="E758" s="171">
        <v>2023</v>
      </c>
      <c r="F758" s="171">
        <v>5</v>
      </c>
      <c r="G758" s="171">
        <v>29</v>
      </c>
      <c r="H758" s="131"/>
      <c r="I758" s="176"/>
      <c r="J758" s="176"/>
      <c r="K758" s="171"/>
      <c r="L758" s="171" t="s">
        <v>56</v>
      </c>
      <c r="M758" s="171">
        <v>3000</v>
      </c>
      <c r="N758" s="175">
        <v>0</v>
      </c>
      <c r="O758" s="171">
        <v>0</v>
      </c>
      <c r="P758" s="171">
        <v>0</v>
      </c>
      <c r="Q758" s="175">
        <v>0</v>
      </c>
      <c r="R758" s="6"/>
      <c r="S758" s="6"/>
      <c r="T758" s="6"/>
      <c r="U758" s="6"/>
      <c r="V758" s="6"/>
      <c r="W758" s="6"/>
      <c r="X758" s="6" t="s">
        <v>363</v>
      </c>
      <c r="Y758" s="6" t="s">
        <v>141</v>
      </c>
    </row>
    <row r="759" spans="1:25">
      <c r="A759" s="171">
        <v>23</v>
      </c>
      <c r="B759" s="174">
        <v>45047</v>
      </c>
      <c r="C759" s="174">
        <v>45076</v>
      </c>
      <c r="D759" s="174">
        <v>45075</v>
      </c>
      <c r="E759" s="171">
        <v>2023</v>
      </c>
      <c r="F759" s="171">
        <v>5</v>
      </c>
      <c r="G759" s="171">
        <v>29</v>
      </c>
      <c r="H759" s="131"/>
      <c r="I759" s="176"/>
      <c r="J759" s="176"/>
      <c r="K759" s="171"/>
      <c r="L759" s="171" t="s">
        <v>56</v>
      </c>
      <c r="M759" s="171">
        <v>6001</v>
      </c>
      <c r="N759" s="175">
        <v>1</v>
      </c>
      <c r="O759" s="171">
        <v>1</v>
      </c>
      <c r="P759" s="171">
        <v>0</v>
      </c>
      <c r="Q759" s="175">
        <v>1</v>
      </c>
      <c r="R759" s="6" t="s">
        <v>160</v>
      </c>
      <c r="S759" s="6" t="s">
        <v>158</v>
      </c>
      <c r="T759" s="6" t="s">
        <v>314</v>
      </c>
      <c r="U759" s="6" t="s">
        <v>190</v>
      </c>
      <c r="V759" s="6"/>
      <c r="W759" s="6"/>
      <c r="X759" s="6" t="s">
        <v>363</v>
      </c>
      <c r="Y759" s="6" t="s">
        <v>141</v>
      </c>
    </row>
    <row r="760" spans="1:25">
      <c r="A760" s="171">
        <v>23</v>
      </c>
      <c r="B760" s="174">
        <v>45047</v>
      </c>
      <c r="C760" s="174">
        <v>45076</v>
      </c>
      <c r="D760" s="174">
        <v>45075</v>
      </c>
      <c r="E760" s="171">
        <v>2023</v>
      </c>
      <c r="F760" s="171">
        <v>5</v>
      </c>
      <c r="G760" s="171">
        <v>29</v>
      </c>
      <c r="H760" s="131"/>
      <c r="I760" s="176"/>
      <c r="J760" s="176"/>
      <c r="K760" s="171"/>
      <c r="L760" s="171" t="s">
        <v>56</v>
      </c>
      <c r="M760" s="171">
        <v>1100</v>
      </c>
      <c r="N760" s="175">
        <v>0</v>
      </c>
      <c r="O760" s="171">
        <v>0</v>
      </c>
      <c r="P760" s="171">
        <v>0</v>
      </c>
      <c r="Q760" s="175">
        <v>0</v>
      </c>
      <c r="R760" s="6"/>
      <c r="S760" s="6"/>
      <c r="T760" s="6"/>
      <c r="U760" s="6"/>
      <c r="V760" s="6"/>
      <c r="W760" s="6"/>
      <c r="X760" s="6" t="s">
        <v>363</v>
      </c>
      <c r="Y760" s="6" t="s">
        <v>141</v>
      </c>
    </row>
    <row r="761" spans="1:25">
      <c r="A761" s="171">
        <v>23</v>
      </c>
      <c r="B761" s="174">
        <v>45047</v>
      </c>
      <c r="C761" s="174">
        <v>45076</v>
      </c>
      <c r="D761" s="174">
        <v>45075</v>
      </c>
      <c r="E761" s="171">
        <v>2023</v>
      </c>
      <c r="F761" s="171">
        <v>5</v>
      </c>
      <c r="G761" s="171">
        <v>29</v>
      </c>
      <c r="H761" s="131"/>
      <c r="I761" s="176"/>
      <c r="J761" s="176"/>
      <c r="K761" s="171"/>
      <c r="L761" s="171" t="s">
        <v>56</v>
      </c>
      <c r="M761" s="171">
        <v>401</v>
      </c>
      <c r="N761" s="175">
        <v>1</v>
      </c>
      <c r="O761" s="171">
        <v>1</v>
      </c>
      <c r="P761" s="171">
        <v>1</v>
      </c>
      <c r="Q761" s="175">
        <v>0</v>
      </c>
      <c r="R761" s="6" t="s">
        <v>157</v>
      </c>
      <c r="S761" s="6" t="s">
        <v>205</v>
      </c>
      <c r="T761" s="6" t="s">
        <v>166</v>
      </c>
      <c r="U761" s="6" t="s">
        <v>169</v>
      </c>
      <c r="V761" s="6"/>
      <c r="W761" s="6"/>
      <c r="X761" s="6" t="s">
        <v>363</v>
      </c>
      <c r="Y761" s="6" t="s">
        <v>141</v>
      </c>
    </row>
    <row r="762" spans="1:25">
      <c r="A762" s="171">
        <v>23</v>
      </c>
      <c r="B762" s="174">
        <v>45047</v>
      </c>
      <c r="C762" s="174">
        <v>45076</v>
      </c>
      <c r="D762" s="174">
        <v>45075</v>
      </c>
      <c r="E762" s="171">
        <v>2023</v>
      </c>
      <c r="F762" s="171">
        <v>5</v>
      </c>
      <c r="G762" s="171">
        <v>29</v>
      </c>
      <c r="H762" s="131"/>
      <c r="I762" s="176"/>
      <c r="J762" s="176"/>
      <c r="K762" s="171"/>
      <c r="L762" s="171" t="s">
        <v>56</v>
      </c>
      <c r="M762" s="171">
        <v>1800</v>
      </c>
      <c r="N762" s="175">
        <v>0</v>
      </c>
      <c r="O762" s="171">
        <v>0</v>
      </c>
      <c r="P762" s="171">
        <v>0</v>
      </c>
      <c r="Q762" s="175">
        <v>0</v>
      </c>
      <c r="R762" s="6"/>
      <c r="S762" s="6"/>
      <c r="T762" s="6"/>
      <c r="U762" s="6"/>
      <c r="V762" s="6"/>
      <c r="W762" s="6"/>
      <c r="X762" s="6" t="s">
        <v>363</v>
      </c>
      <c r="Y762" s="6" t="s">
        <v>141</v>
      </c>
    </row>
    <row r="763" spans="1:25">
      <c r="A763" s="171">
        <v>23</v>
      </c>
      <c r="B763" s="174">
        <v>45047</v>
      </c>
      <c r="C763" s="174">
        <v>45076</v>
      </c>
      <c r="D763" s="174">
        <v>45075</v>
      </c>
      <c r="E763" s="171">
        <v>2023</v>
      </c>
      <c r="F763" s="171">
        <v>5</v>
      </c>
      <c r="G763" s="171">
        <v>29</v>
      </c>
      <c r="H763" s="131"/>
      <c r="I763" s="176"/>
      <c r="J763" s="176"/>
      <c r="K763" s="171"/>
      <c r="L763" s="171" t="s">
        <v>56</v>
      </c>
      <c r="M763" s="171">
        <v>2501</v>
      </c>
      <c r="N763" s="175">
        <v>1</v>
      </c>
      <c r="O763" s="171">
        <v>1</v>
      </c>
      <c r="P763" s="171">
        <v>1</v>
      </c>
      <c r="Q763" s="175">
        <v>0</v>
      </c>
      <c r="R763" s="6" t="s">
        <v>157</v>
      </c>
      <c r="S763" s="6" t="s">
        <v>205</v>
      </c>
      <c r="T763" s="6" t="s">
        <v>166</v>
      </c>
      <c r="U763" s="6" t="s">
        <v>169</v>
      </c>
      <c r="V763" s="6"/>
      <c r="W763" s="6"/>
      <c r="X763" s="6" t="s">
        <v>363</v>
      </c>
      <c r="Y763" s="6" t="s">
        <v>141</v>
      </c>
    </row>
    <row r="764" spans="1:25">
      <c r="A764" s="171">
        <v>23</v>
      </c>
      <c r="B764" s="174">
        <v>45047</v>
      </c>
      <c r="C764" s="174">
        <v>45078</v>
      </c>
      <c r="D764" s="174">
        <v>45077</v>
      </c>
      <c r="E764" s="171">
        <v>2023</v>
      </c>
      <c r="F764" s="171">
        <v>5</v>
      </c>
      <c r="G764" s="171">
        <v>31</v>
      </c>
      <c r="H764" s="131"/>
      <c r="I764" s="176"/>
      <c r="J764" s="176"/>
      <c r="K764" s="171"/>
      <c r="L764" s="171" t="s">
        <v>56</v>
      </c>
      <c r="M764" s="171">
        <v>300</v>
      </c>
      <c r="N764" s="175">
        <v>0</v>
      </c>
      <c r="O764" s="171">
        <v>0</v>
      </c>
      <c r="P764" s="171">
        <v>0</v>
      </c>
      <c r="Q764" s="175">
        <v>0</v>
      </c>
      <c r="R764" s="6"/>
      <c r="S764" s="6"/>
      <c r="T764" s="6"/>
      <c r="U764" s="6"/>
      <c r="V764" s="6"/>
      <c r="W764" s="6"/>
      <c r="X764" s="6" t="s">
        <v>363</v>
      </c>
      <c r="Y764" s="6" t="s">
        <v>141</v>
      </c>
    </row>
    <row r="765" spans="1:25">
      <c r="A765" s="171">
        <v>23</v>
      </c>
      <c r="B765" s="174">
        <v>45047</v>
      </c>
      <c r="C765" s="174">
        <v>45076</v>
      </c>
      <c r="D765" s="174">
        <v>45075</v>
      </c>
      <c r="E765" s="171">
        <v>2023</v>
      </c>
      <c r="F765" s="171">
        <v>5</v>
      </c>
      <c r="G765" s="171">
        <v>29</v>
      </c>
      <c r="H765" s="131"/>
      <c r="I765" s="176"/>
      <c r="J765" s="176"/>
      <c r="K765" s="171"/>
      <c r="L765" s="171" t="s">
        <v>56</v>
      </c>
      <c r="M765" s="171">
        <v>1000</v>
      </c>
      <c r="N765" s="175">
        <v>0</v>
      </c>
      <c r="O765" s="171">
        <v>0</v>
      </c>
      <c r="P765" s="171">
        <v>0</v>
      </c>
      <c r="Q765" s="175">
        <v>0</v>
      </c>
      <c r="R765" s="6"/>
      <c r="S765" s="6"/>
      <c r="T765" s="6"/>
      <c r="U765" s="6"/>
      <c r="V765" s="6"/>
      <c r="W765" s="6"/>
      <c r="X765" s="6" t="s">
        <v>363</v>
      </c>
      <c r="Y765" s="6" t="s">
        <v>141</v>
      </c>
    </row>
    <row r="766" spans="1:25">
      <c r="A766" s="171">
        <v>23</v>
      </c>
      <c r="B766" s="174">
        <v>45047</v>
      </c>
      <c r="C766" s="174">
        <v>45077</v>
      </c>
      <c r="D766" s="174">
        <v>45076</v>
      </c>
      <c r="E766" s="171">
        <v>2023</v>
      </c>
      <c r="F766" s="171">
        <v>5</v>
      </c>
      <c r="G766" s="171">
        <v>30</v>
      </c>
      <c r="H766" s="131"/>
      <c r="I766" s="176"/>
      <c r="J766" s="176"/>
      <c r="K766" s="171"/>
      <c r="L766" s="171" t="s">
        <v>56</v>
      </c>
      <c r="M766" s="171">
        <v>460</v>
      </c>
      <c r="N766" s="175">
        <v>0</v>
      </c>
      <c r="O766" s="171">
        <v>0</v>
      </c>
      <c r="P766" s="171">
        <v>0</v>
      </c>
      <c r="Q766" s="175">
        <v>0</v>
      </c>
      <c r="R766" s="6"/>
      <c r="S766" s="6"/>
      <c r="T766" s="6"/>
      <c r="U766" s="6"/>
      <c r="V766" s="6"/>
      <c r="W766" s="6"/>
      <c r="X766" s="6" t="s">
        <v>363</v>
      </c>
      <c r="Y766" s="6" t="s">
        <v>141</v>
      </c>
    </row>
    <row r="767" spans="1:25">
      <c r="A767" s="171">
        <v>23</v>
      </c>
      <c r="B767" s="174">
        <v>45047</v>
      </c>
      <c r="C767" s="174">
        <v>45077</v>
      </c>
      <c r="D767" s="174">
        <v>45076</v>
      </c>
      <c r="E767" s="171">
        <v>2023</v>
      </c>
      <c r="F767" s="171">
        <v>5</v>
      </c>
      <c r="G767" s="171">
        <v>30</v>
      </c>
      <c r="H767" s="131"/>
      <c r="I767" s="176"/>
      <c r="J767" s="176"/>
      <c r="K767" s="171"/>
      <c r="L767" s="171" t="s">
        <v>56</v>
      </c>
      <c r="M767" s="171">
        <v>5000</v>
      </c>
      <c r="N767" s="175">
        <v>0</v>
      </c>
      <c r="O767" s="171">
        <v>0</v>
      </c>
      <c r="P767" s="171">
        <v>0</v>
      </c>
      <c r="Q767" s="175">
        <v>0</v>
      </c>
      <c r="R767" s="6"/>
      <c r="S767" s="6"/>
      <c r="T767" s="6"/>
      <c r="U767" s="6"/>
      <c r="V767" s="6"/>
      <c r="W767" s="6"/>
      <c r="X767" s="6" t="s">
        <v>363</v>
      </c>
      <c r="Y767" s="6" t="s">
        <v>141</v>
      </c>
    </row>
    <row r="768" spans="1:25">
      <c r="A768" s="171">
        <v>23</v>
      </c>
      <c r="B768" s="174">
        <v>45047</v>
      </c>
      <c r="C768" s="174">
        <v>45077</v>
      </c>
      <c r="D768" s="174">
        <v>45076</v>
      </c>
      <c r="E768" s="171">
        <v>2023</v>
      </c>
      <c r="F768" s="171">
        <v>5</v>
      </c>
      <c r="G768" s="171">
        <v>30</v>
      </c>
      <c r="H768" s="131"/>
      <c r="I768" s="176"/>
      <c r="J768" s="176"/>
      <c r="K768" s="171"/>
      <c r="L768" s="171" t="s">
        <v>56</v>
      </c>
      <c r="M768" s="171">
        <v>24</v>
      </c>
      <c r="N768" s="175">
        <v>0</v>
      </c>
      <c r="O768" s="171">
        <v>0</v>
      </c>
      <c r="P768" s="171">
        <v>0</v>
      </c>
      <c r="Q768" s="175">
        <v>0</v>
      </c>
      <c r="R768" s="6"/>
      <c r="S768" s="6"/>
      <c r="T768" s="6"/>
      <c r="U768" s="6"/>
      <c r="V768" s="6"/>
      <c r="W768" s="6"/>
      <c r="X768" s="6" t="s">
        <v>363</v>
      </c>
      <c r="Y768" s="6" t="s">
        <v>141</v>
      </c>
    </row>
    <row r="769" spans="1:25">
      <c r="A769" s="171">
        <v>23</v>
      </c>
      <c r="B769" s="174">
        <v>45047</v>
      </c>
      <c r="C769" s="174">
        <v>45076</v>
      </c>
      <c r="D769" s="174">
        <v>45075</v>
      </c>
      <c r="E769" s="171">
        <v>2023</v>
      </c>
      <c r="F769" s="171">
        <v>5</v>
      </c>
      <c r="G769" s="171">
        <v>29</v>
      </c>
      <c r="H769" s="131"/>
      <c r="I769" s="176"/>
      <c r="J769" s="176"/>
      <c r="K769" s="171"/>
      <c r="L769" s="171" t="s">
        <v>56</v>
      </c>
      <c r="M769" s="171">
        <v>1900</v>
      </c>
      <c r="N769" s="175">
        <v>0</v>
      </c>
      <c r="O769" s="171">
        <v>0</v>
      </c>
      <c r="P769" s="171">
        <v>0</v>
      </c>
      <c r="Q769" s="175">
        <v>0</v>
      </c>
      <c r="R769" s="6"/>
      <c r="S769" s="6"/>
      <c r="T769" s="6"/>
      <c r="U769" s="6"/>
      <c r="V769" s="6"/>
      <c r="W769" s="6"/>
      <c r="X769" s="6" t="s">
        <v>363</v>
      </c>
      <c r="Y769" s="6" t="s">
        <v>141</v>
      </c>
    </row>
    <row r="770" spans="1:25">
      <c r="A770" s="171">
        <v>23</v>
      </c>
      <c r="B770" s="174">
        <v>45047</v>
      </c>
      <c r="C770" s="174">
        <v>45077</v>
      </c>
      <c r="D770" s="174">
        <v>45076</v>
      </c>
      <c r="E770" s="171">
        <v>2023</v>
      </c>
      <c r="F770" s="171">
        <v>5</v>
      </c>
      <c r="G770" s="171">
        <v>30</v>
      </c>
      <c r="H770" s="131"/>
      <c r="I770" s="176"/>
      <c r="J770" s="176"/>
      <c r="K770" s="171"/>
      <c r="L770" s="171" t="s">
        <v>56</v>
      </c>
      <c r="M770" s="171">
        <v>780</v>
      </c>
      <c r="N770" s="175">
        <v>0</v>
      </c>
      <c r="O770" s="171">
        <v>0</v>
      </c>
      <c r="P770" s="171">
        <v>0</v>
      </c>
      <c r="Q770" s="175">
        <v>0</v>
      </c>
      <c r="R770" s="6"/>
      <c r="S770" s="6"/>
      <c r="T770" s="6"/>
      <c r="U770" s="6"/>
      <c r="V770" s="6"/>
      <c r="W770" s="6"/>
      <c r="X770" s="6" t="s">
        <v>363</v>
      </c>
      <c r="Y770" s="6" t="s">
        <v>141</v>
      </c>
    </row>
    <row r="771" spans="1:25">
      <c r="A771" s="171">
        <v>23</v>
      </c>
      <c r="B771" s="174">
        <v>45047</v>
      </c>
      <c r="C771" s="174">
        <v>45077</v>
      </c>
      <c r="D771" s="174">
        <v>45076</v>
      </c>
      <c r="E771" s="171">
        <v>2023</v>
      </c>
      <c r="F771" s="171">
        <v>5</v>
      </c>
      <c r="G771" s="171">
        <v>30</v>
      </c>
      <c r="H771" s="131"/>
      <c r="I771" s="176"/>
      <c r="J771" s="176"/>
      <c r="K771" s="171"/>
      <c r="L771" s="171" t="s">
        <v>56</v>
      </c>
      <c r="M771" s="171">
        <v>800</v>
      </c>
      <c r="N771" s="175">
        <v>0</v>
      </c>
      <c r="O771" s="171">
        <v>0</v>
      </c>
      <c r="P771" s="171">
        <v>0</v>
      </c>
      <c r="Q771" s="175">
        <v>0</v>
      </c>
      <c r="R771" s="6"/>
      <c r="S771" s="6"/>
      <c r="T771" s="6"/>
      <c r="U771" s="6"/>
      <c r="V771" s="6"/>
      <c r="W771" s="6"/>
      <c r="X771" s="6" t="s">
        <v>363</v>
      </c>
      <c r="Y771" s="6" t="s">
        <v>141</v>
      </c>
    </row>
    <row r="772" spans="1:25">
      <c r="A772" s="171">
        <v>23</v>
      </c>
      <c r="B772" s="174">
        <v>45047</v>
      </c>
      <c r="C772" s="174">
        <v>45077</v>
      </c>
      <c r="D772" s="174">
        <v>45076</v>
      </c>
      <c r="E772" s="171">
        <v>2023</v>
      </c>
      <c r="F772" s="171">
        <v>5</v>
      </c>
      <c r="G772" s="171">
        <v>30</v>
      </c>
      <c r="H772" s="131"/>
      <c r="I772" s="176"/>
      <c r="J772" s="176"/>
      <c r="K772" s="171"/>
      <c r="L772" s="171" t="s">
        <v>56</v>
      </c>
      <c r="M772" s="171">
        <v>2801</v>
      </c>
      <c r="N772" s="175">
        <v>1</v>
      </c>
      <c r="O772" s="171">
        <v>1</v>
      </c>
      <c r="P772" s="171">
        <v>0</v>
      </c>
      <c r="Q772" s="175">
        <v>1</v>
      </c>
      <c r="R772" s="6" t="s">
        <v>160</v>
      </c>
      <c r="S772" s="6" t="s">
        <v>162</v>
      </c>
      <c r="T772" s="6"/>
      <c r="U772" s="6" t="s">
        <v>162</v>
      </c>
      <c r="V772" s="6" t="s">
        <v>368</v>
      </c>
      <c r="W772" s="6"/>
      <c r="X772" s="6" t="s">
        <v>363</v>
      </c>
      <c r="Y772" s="6" t="s">
        <v>141</v>
      </c>
    </row>
    <row r="773" spans="1:25">
      <c r="A773" s="171">
        <v>23</v>
      </c>
      <c r="B773" s="174">
        <v>45078</v>
      </c>
      <c r="C773" s="174">
        <v>45080</v>
      </c>
      <c r="D773" s="174">
        <v>45079</v>
      </c>
      <c r="E773" s="171">
        <v>2023</v>
      </c>
      <c r="F773" s="171">
        <v>6</v>
      </c>
      <c r="G773" s="171">
        <v>2</v>
      </c>
      <c r="H773" s="131"/>
      <c r="I773" s="176"/>
      <c r="J773" s="176"/>
      <c r="K773" s="171" t="s">
        <v>199</v>
      </c>
      <c r="L773" s="171" t="s">
        <v>56</v>
      </c>
      <c r="M773" s="171">
        <v>564</v>
      </c>
      <c r="N773" s="175">
        <v>0</v>
      </c>
      <c r="O773" s="171">
        <v>0</v>
      </c>
      <c r="P773" s="171">
        <v>0</v>
      </c>
      <c r="Q773" s="175">
        <v>0</v>
      </c>
      <c r="R773" s="6" t="s">
        <v>160</v>
      </c>
      <c r="S773" s="6" t="s">
        <v>256</v>
      </c>
      <c r="T773" s="6" t="s">
        <v>314</v>
      </c>
      <c r="U773" s="6" t="s">
        <v>240</v>
      </c>
      <c r="V773" s="6"/>
      <c r="W773" s="6" t="s">
        <v>308</v>
      </c>
      <c r="X773" s="6" t="s">
        <v>363</v>
      </c>
      <c r="Y773" s="6" t="s">
        <v>378</v>
      </c>
    </row>
    <row r="774" spans="1:25">
      <c r="A774" s="171">
        <v>23</v>
      </c>
      <c r="B774" s="174">
        <v>45078</v>
      </c>
      <c r="C774" s="174">
        <v>45080</v>
      </c>
      <c r="D774" s="174">
        <v>45079</v>
      </c>
      <c r="E774" s="171">
        <v>2023</v>
      </c>
      <c r="F774" s="171">
        <v>6</v>
      </c>
      <c r="G774" s="171">
        <v>2</v>
      </c>
      <c r="H774" s="131"/>
      <c r="I774" s="176"/>
      <c r="J774" s="176"/>
      <c r="K774" s="171" t="s">
        <v>199</v>
      </c>
      <c r="L774" s="171" t="s">
        <v>56</v>
      </c>
      <c r="M774" s="171"/>
      <c r="N774" s="175">
        <v>0</v>
      </c>
      <c r="O774" s="171">
        <v>0</v>
      </c>
      <c r="P774" s="171">
        <v>0</v>
      </c>
      <c r="Q774" s="175">
        <v>0</v>
      </c>
      <c r="R774" s="6" t="s">
        <v>160</v>
      </c>
      <c r="S774" s="6" t="s">
        <v>256</v>
      </c>
      <c r="T774" s="6"/>
      <c r="U774" s="6" t="s">
        <v>240</v>
      </c>
      <c r="V774" s="6"/>
      <c r="W774" s="6" t="s">
        <v>329</v>
      </c>
      <c r="X774" s="6" t="s">
        <v>363</v>
      </c>
      <c r="Y774" s="6" t="s">
        <v>378</v>
      </c>
    </row>
    <row r="775" spans="1:25">
      <c r="A775" s="171">
        <v>23</v>
      </c>
      <c r="B775" s="174">
        <v>45047</v>
      </c>
      <c r="C775" s="174">
        <v>45076</v>
      </c>
      <c r="D775" s="174">
        <v>45075</v>
      </c>
      <c r="E775" s="171">
        <v>2023</v>
      </c>
      <c r="F775" s="171">
        <v>5</v>
      </c>
      <c r="G775" s="171">
        <v>29</v>
      </c>
      <c r="H775" s="131"/>
      <c r="I775" s="176"/>
      <c r="J775" s="176"/>
      <c r="K775" s="171"/>
      <c r="L775" s="171" t="s">
        <v>56</v>
      </c>
      <c r="M775" s="171">
        <v>1081</v>
      </c>
      <c r="N775" s="175">
        <v>1</v>
      </c>
      <c r="O775" s="171">
        <v>1</v>
      </c>
      <c r="P775" s="171">
        <v>1</v>
      </c>
      <c r="Q775" s="175">
        <v>0</v>
      </c>
      <c r="R775" s="6" t="s">
        <v>157</v>
      </c>
      <c r="S775" s="6" t="s">
        <v>158</v>
      </c>
      <c r="T775" s="6" t="s">
        <v>166</v>
      </c>
      <c r="U775" s="6" t="s">
        <v>229</v>
      </c>
      <c r="V775" s="6"/>
      <c r="W775" s="6"/>
      <c r="X775" s="6" t="s">
        <v>363</v>
      </c>
      <c r="Y775" s="6" t="s">
        <v>141</v>
      </c>
    </row>
    <row r="776" spans="1:25">
      <c r="A776" s="171">
        <v>23</v>
      </c>
      <c r="B776" s="174">
        <v>45047</v>
      </c>
      <c r="C776" s="174">
        <v>45076</v>
      </c>
      <c r="D776" s="174">
        <v>45075</v>
      </c>
      <c r="E776" s="171">
        <v>2023</v>
      </c>
      <c r="F776" s="171">
        <v>5</v>
      </c>
      <c r="G776" s="171">
        <v>29</v>
      </c>
      <c r="H776" s="131"/>
      <c r="I776" s="176"/>
      <c r="J776" s="176"/>
      <c r="K776" s="171"/>
      <c r="L776" s="171" t="s">
        <v>56</v>
      </c>
      <c r="M776" s="171">
        <v>1976</v>
      </c>
      <c r="N776" s="175">
        <v>0</v>
      </c>
      <c r="O776" s="171">
        <v>0</v>
      </c>
      <c r="P776" s="171">
        <v>0</v>
      </c>
      <c r="Q776" s="175">
        <v>0</v>
      </c>
      <c r="R776" s="6"/>
      <c r="S776" s="6"/>
      <c r="T776" s="6"/>
      <c r="U776" s="6"/>
      <c r="V776" s="6"/>
      <c r="W776" s="6"/>
      <c r="X776" s="6" t="s">
        <v>363</v>
      </c>
      <c r="Y776" s="6" t="s">
        <v>141</v>
      </c>
    </row>
    <row r="777" spans="1:25">
      <c r="A777" s="171">
        <v>23</v>
      </c>
      <c r="B777" s="174">
        <v>45047</v>
      </c>
      <c r="C777" s="174">
        <v>45076</v>
      </c>
      <c r="D777" s="174">
        <v>45075</v>
      </c>
      <c r="E777" s="171">
        <v>2023</v>
      </c>
      <c r="F777" s="171">
        <v>5</v>
      </c>
      <c r="G777" s="171">
        <v>29</v>
      </c>
      <c r="H777" s="131"/>
      <c r="I777" s="176"/>
      <c r="J777" s="176"/>
      <c r="K777" s="171"/>
      <c r="L777" s="171" t="s">
        <v>56</v>
      </c>
      <c r="M777" s="171">
        <v>720</v>
      </c>
      <c r="N777" s="175">
        <v>0</v>
      </c>
      <c r="O777" s="171">
        <v>0</v>
      </c>
      <c r="P777" s="171">
        <v>0</v>
      </c>
      <c r="Q777" s="175">
        <v>0</v>
      </c>
      <c r="R777" s="6"/>
      <c r="S777" s="6"/>
      <c r="T777" s="6"/>
      <c r="U777" s="6"/>
      <c r="V777" s="6"/>
      <c r="W777" s="6"/>
      <c r="X777" s="6" t="s">
        <v>363</v>
      </c>
      <c r="Y777" s="6" t="s">
        <v>141</v>
      </c>
    </row>
    <row r="778" spans="1:25">
      <c r="A778" s="171">
        <v>23</v>
      </c>
      <c r="B778" s="174">
        <v>45047</v>
      </c>
      <c r="C778" s="174">
        <v>45076</v>
      </c>
      <c r="D778" s="174">
        <v>45075</v>
      </c>
      <c r="E778" s="171">
        <v>2023</v>
      </c>
      <c r="F778" s="171">
        <v>5</v>
      </c>
      <c r="G778" s="171">
        <v>29</v>
      </c>
      <c r="H778" s="131"/>
      <c r="I778" s="176"/>
      <c r="J778" s="176"/>
      <c r="K778" s="171"/>
      <c r="L778" s="171" t="s">
        <v>56</v>
      </c>
      <c r="M778" s="171">
        <v>1010</v>
      </c>
      <c r="N778" s="175">
        <v>10</v>
      </c>
      <c r="O778" s="171">
        <v>6</v>
      </c>
      <c r="P778" s="171">
        <v>0</v>
      </c>
      <c r="Q778" s="175">
        <v>10</v>
      </c>
      <c r="R778" s="6" t="s">
        <v>160</v>
      </c>
      <c r="S778" s="6" t="s">
        <v>161</v>
      </c>
      <c r="T778" s="6" t="s">
        <v>314</v>
      </c>
      <c r="U778" s="6" t="s">
        <v>236</v>
      </c>
      <c r="V778" s="6"/>
      <c r="W778" s="6"/>
      <c r="X778" s="6" t="s">
        <v>363</v>
      </c>
      <c r="Y778" s="6" t="s">
        <v>141</v>
      </c>
    </row>
    <row r="779" spans="1:25">
      <c r="A779" s="171">
        <v>23</v>
      </c>
      <c r="B779" s="174">
        <v>45078</v>
      </c>
      <c r="C779" s="174">
        <v>45082</v>
      </c>
      <c r="D779" s="174">
        <v>45080</v>
      </c>
      <c r="E779" s="171">
        <v>2023</v>
      </c>
      <c r="F779" s="171">
        <v>6</v>
      </c>
      <c r="G779" s="171">
        <v>3</v>
      </c>
      <c r="H779" s="131"/>
      <c r="I779" s="176"/>
      <c r="J779" s="176"/>
      <c r="K779" s="171" t="s">
        <v>199</v>
      </c>
      <c r="L779" s="171" t="s">
        <v>56</v>
      </c>
      <c r="M779" s="171">
        <v>240</v>
      </c>
      <c r="N779" s="175">
        <v>0</v>
      </c>
      <c r="O779" s="171">
        <v>0</v>
      </c>
      <c r="P779" s="171">
        <v>0</v>
      </c>
      <c r="Q779" s="175">
        <v>0</v>
      </c>
      <c r="R779" s="6" t="s">
        <v>160</v>
      </c>
      <c r="S779" s="6" t="s">
        <v>256</v>
      </c>
      <c r="T779" s="6" t="s">
        <v>314</v>
      </c>
      <c r="U779" s="6" t="s">
        <v>240</v>
      </c>
      <c r="V779" s="6"/>
      <c r="W779" s="6" t="s">
        <v>309</v>
      </c>
      <c r="X779" s="6" t="s">
        <v>363</v>
      </c>
      <c r="Y779" s="6" t="s">
        <v>378</v>
      </c>
    </row>
    <row r="780" spans="1:25">
      <c r="A780" s="171">
        <v>23</v>
      </c>
      <c r="B780" s="174">
        <v>45047</v>
      </c>
      <c r="C780" s="174">
        <v>45076</v>
      </c>
      <c r="D780" s="174">
        <v>45075</v>
      </c>
      <c r="E780" s="171">
        <v>2023</v>
      </c>
      <c r="F780" s="171">
        <v>5</v>
      </c>
      <c r="G780" s="171">
        <v>29</v>
      </c>
      <c r="H780" s="131"/>
      <c r="I780" s="176"/>
      <c r="J780" s="176"/>
      <c r="K780" s="171"/>
      <c r="L780" s="171" t="s">
        <v>56</v>
      </c>
      <c r="M780" s="171"/>
      <c r="N780" s="175">
        <v>0</v>
      </c>
      <c r="O780" s="171">
        <v>4</v>
      </c>
      <c r="P780" s="171">
        <v>0</v>
      </c>
      <c r="Q780" s="175">
        <v>0</v>
      </c>
      <c r="R780" s="6" t="s">
        <v>160</v>
      </c>
      <c r="S780" s="6" t="s">
        <v>162</v>
      </c>
      <c r="T780" s="6"/>
      <c r="U780" s="6" t="s">
        <v>162</v>
      </c>
      <c r="V780" s="6" t="s">
        <v>367</v>
      </c>
      <c r="W780" s="6"/>
      <c r="X780" s="6" t="s">
        <v>363</v>
      </c>
      <c r="Y780" s="6" t="s">
        <v>141</v>
      </c>
    </row>
    <row r="781" spans="1:25">
      <c r="A781" s="171">
        <v>23</v>
      </c>
      <c r="B781" s="174">
        <v>45047</v>
      </c>
      <c r="C781" s="174">
        <v>45077</v>
      </c>
      <c r="D781" s="174">
        <v>45076</v>
      </c>
      <c r="E781" s="171">
        <v>2023</v>
      </c>
      <c r="F781" s="171">
        <v>5</v>
      </c>
      <c r="G781" s="171">
        <v>30</v>
      </c>
      <c r="H781" s="131"/>
      <c r="I781" s="176"/>
      <c r="J781" s="176"/>
      <c r="K781" s="171"/>
      <c r="L781" s="171" t="s">
        <v>56</v>
      </c>
      <c r="M781" s="171">
        <v>2250</v>
      </c>
      <c r="N781" s="175">
        <v>0</v>
      </c>
      <c r="O781" s="171">
        <v>0</v>
      </c>
      <c r="P781" s="171">
        <v>0</v>
      </c>
      <c r="Q781" s="175">
        <v>0</v>
      </c>
      <c r="R781" s="6"/>
      <c r="S781" s="6"/>
      <c r="T781" s="6"/>
      <c r="U781" s="6"/>
      <c r="V781" s="6"/>
      <c r="W781" s="6"/>
      <c r="X781" s="6" t="s">
        <v>363</v>
      </c>
      <c r="Y781" s="6" t="s">
        <v>141</v>
      </c>
    </row>
    <row r="782" spans="1:25">
      <c r="A782" s="171">
        <v>23</v>
      </c>
      <c r="B782" s="174">
        <v>45047</v>
      </c>
      <c r="C782" s="174">
        <v>45077</v>
      </c>
      <c r="D782" s="174">
        <v>45076</v>
      </c>
      <c r="E782" s="171">
        <v>2023</v>
      </c>
      <c r="F782" s="171">
        <v>5</v>
      </c>
      <c r="G782" s="171">
        <v>30</v>
      </c>
      <c r="H782" s="131"/>
      <c r="I782" s="176"/>
      <c r="J782" s="176"/>
      <c r="K782" s="171"/>
      <c r="L782" s="171" t="s">
        <v>56</v>
      </c>
      <c r="M782" s="171">
        <v>950</v>
      </c>
      <c r="N782" s="175">
        <v>0</v>
      </c>
      <c r="O782" s="171">
        <v>0</v>
      </c>
      <c r="P782" s="171">
        <v>0</v>
      </c>
      <c r="Q782" s="175">
        <v>0</v>
      </c>
      <c r="R782" s="6"/>
      <c r="S782" s="6"/>
      <c r="T782" s="6"/>
      <c r="U782" s="6"/>
      <c r="V782" s="6"/>
      <c r="W782" s="6"/>
      <c r="X782" s="6" t="s">
        <v>363</v>
      </c>
      <c r="Y782" s="6" t="s">
        <v>141</v>
      </c>
    </row>
    <row r="783" spans="1:25">
      <c r="A783" s="171">
        <v>23</v>
      </c>
      <c r="B783" s="174">
        <v>45078</v>
      </c>
      <c r="C783" s="174">
        <v>45082</v>
      </c>
      <c r="D783" s="174">
        <v>45080</v>
      </c>
      <c r="E783" s="171">
        <v>2023</v>
      </c>
      <c r="F783" s="171">
        <v>6</v>
      </c>
      <c r="G783" s="171">
        <v>3</v>
      </c>
      <c r="H783" s="131"/>
      <c r="I783" s="176"/>
      <c r="J783" s="176"/>
      <c r="K783" s="171"/>
      <c r="L783" s="171" t="s">
        <v>56</v>
      </c>
      <c r="M783" s="171">
        <v>1000</v>
      </c>
      <c r="N783" s="175">
        <v>0</v>
      </c>
      <c r="O783" s="171">
        <v>0</v>
      </c>
      <c r="P783" s="171">
        <v>0</v>
      </c>
      <c r="Q783" s="175">
        <v>0</v>
      </c>
      <c r="R783" s="6"/>
      <c r="S783" s="6"/>
      <c r="T783" s="6"/>
      <c r="U783" s="6"/>
      <c r="V783" s="6"/>
      <c r="W783" s="6"/>
      <c r="X783" s="6" t="s">
        <v>363</v>
      </c>
      <c r="Y783" s="6" t="s">
        <v>378</v>
      </c>
    </row>
    <row r="784" spans="1:25">
      <c r="A784" s="171">
        <v>23</v>
      </c>
      <c r="B784" s="174">
        <v>45047</v>
      </c>
      <c r="C784" s="174">
        <v>45078</v>
      </c>
      <c r="D784" s="174">
        <v>45077</v>
      </c>
      <c r="E784" s="171">
        <v>2023</v>
      </c>
      <c r="F784" s="171">
        <v>5</v>
      </c>
      <c r="G784" s="171">
        <v>31</v>
      </c>
      <c r="H784" s="131"/>
      <c r="I784" s="176"/>
      <c r="J784" s="176"/>
      <c r="K784" s="171"/>
      <c r="L784" s="171" t="s">
        <v>56</v>
      </c>
      <c r="M784" s="171">
        <v>480</v>
      </c>
      <c r="N784" s="175">
        <v>0</v>
      </c>
      <c r="O784" s="171">
        <v>0</v>
      </c>
      <c r="P784" s="171">
        <v>0</v>
      </c>
      <c r="Q784" s="175">
        <v>0</v>
      </c>
      <c r="R784" s="6"/>
      <c r="S784" s="6"/>
      <c r="T784" s="6"/>
      <c r="U784" s="6"/>
      <c r="V784" s="6"/>
      <c r="W784" s="6"/>
      <c r="X784" s="6" t="s">
        <v>363</v>
      </c>
      <c r="Y784" s="6" t="s">
        <v>141</v>
      </c>
    </row>
    <row r="785" spans="1:25">
      <c r="A785" s="171">
        <v>23</v>
      </c>
      <c r="B785" s="174">
        <v>45078</v>
      </c>
      <c r="C785" s="174">
        <v>45082</v>
      </c>
      <c r="D785" s="174">
        <v>45080</v>
      </c>
      <c r="E785" s="171">
        <v>2023</v>
      </c>
      <c r="F785" s="171">
        <v>6</v>
      </c>
      <c r="G785" s="171">
        <v>3</v>
      </c>
      <c r="H785" s="131"/>
      <c r="I785" s="176"/>
      <c r="J785" s="176"/>
      <c r="K785" s="171"/>
      <c r="L785" s="171" t="s">
        <v>56</v>
      </c>
      <c r="M785" s="171">
        <v>800</v>
      </c>
      <c r="N785" s="175">
        <v>0</v>
      </c>
      <c r="O785" s="171">
        <v>0</v>
      </c>
      <c r="P785" s="171">
        <v>0</v>
      </c>
      <c r="Q785" s="175">
        <v>0</v>
      </c>
      <c r="R785" s="6"/>
      <c r="S785" s="6"/>
      <c r="T785" s="6"/>
      <c r="U785" s="6"/>
      <c r="V785" s="6"/>
      <c r="W785" s="6"/>
      <c r="X785" s="6" t="s">
        <v>363</v>
      </c>
      <c r="Y785" s="6" t="s">
        <v>378</v>
      </c>
    </row>
    <row r="786" spans="1:25">
      <c r="A786" s="171">
        <v>23</v>
      </c>
      <c r="B786" s="174">
        <v>45078</v>
      </c>
      <c r="C786" s="174">
        <v>45082</v>
      </c>
      <c r="D786" s="174">
        <v>45080</v>
      </c>
      <c r="E786" s="171">
        <v>2023</v>
      </c>
      <c r="F786" s="171">
        <v>6</v>
      </c>
      <c r="G786" s="171">
        <v>3</v>
      </c>
      <c r="H786" s="131"/>
      <c r="I786" s="176"/>
      <c r="J786" s="176"/>
      <c r="K786" s="171" t="s">
        <v>199</v>
      </c>
      <c r="L786" s="171" t="s">
        <v>56</v>
      </c>
      <c r="M786" s="171">
        <v>400</v>
      </c>
      <c r="N786" s="175">
        <v>0</v>
      </c>
      <c r="O786" s="171">
        <v>0</v>
      </c>
      <c r="P786" s="171">
        <v>0</v>
      </c>
      <c r="Q786" s="175">
        <v>0</v>
      </c>
      <c r="R786" s="6" t="s">
        <v>160</v>
      </c>
      <c r="S786" s="6" t="s">
        <v>256</v>
      </c>
      <c r="T786" s="6" t="s">
        <v>314</v>
      </c>
      <c r="U786" s="6" t="s">
        <v>240</v>
      </c>
      <c r="V786" s="6"/>
      <c r="W786" s="6" t="s">
        <v>309</v>
      </c>
      <c r="X786" s="6" t="s">
        <v>363</v>
      </c>
      <c r="Y786" s="6" t="s">
        <v>378</v>
      </c>
    </row>
    <row r="787" spans="1:25">
      <c r="A787" s="171">
        <v>23</v>
      </c>
      <c r="B787" s="174">
        <v>45078</v>
      </c>
      <c r="C787" s="174">
        <v>45082</v>
      </c>
      <c r="D787" s="174">
        <v>45080</v>
      </c>
      <c r="E787" s="171">
        <v>2023</v>
      </c>
      <c r="F787" s="171">
        <v>6</v>
      </c>
      <c r="G787" s="171">
        <v>3</v>
      </c>
      <c r="H787" s="131"/>
      <c r="I787" s="176"/>
      <c r="J787" s="176"/>
      <c r="K787" s="171" t="s">
        <v>199</v>
      </c>
      <c r="L787" s="171" t="s">
        <v>56</v>
      </c>
      <c r="M787" s="171">
        <v>400</v>
      </c>
      <c r="N787" s="175">
        <v>0</v>
      </c>
      <c r="O787" s="171">
        <v>0</v>
      </c>
      <c r="P787" s="171">
        <v>0</v>
      </c>
      <c r="Q787" s="175">
        <v>0</v>
      </c>
      <c r="R787" s="6" t="s">
        <v>160</v>
      </c>
      <c r="S787" s="6" t="s">
        <v>256</v>
      </c>
      <c r="T787" s="6" t="s">
        <v>314</v>
      </c>
      <c r="U787" s="6" t="s">
        <v>240</v>
      </c>
      <c r="V787" s="6"/>
      <c r="W787" s="6" t="s">
        <v>309</v>
      </c>
      <c r="X787" s="6" t="s">
        <v>363</v>
      </c>
      <c r="Y787" s="6" t="s">
        <v>378</v>
      </c>
    </row>
    <row r="788" spans="1:25">
      <c r="A788" s="171">
        <v>23</v>
      </c>
      <c r="B788" s="174">
        <v>45078</v>
      </c>
      <c r="C788" s="174">
        <v>45080</v>
      </c>
      <c r="D788" s="174">
        <v>45079</v>
      </c>
      <c r="E788" s="171">
        <v>2023</v>
      </c>
      <c r="F788" s="171">
        <v>6</v>
      </c>
      <c r="G788" s="171">
        <v>2</v>
      </c>
      <c r="H788" s="131"/>
      <c r="I788" s="176"/>
      <c r="J788" s="176"/>
      <c r="K788" s="171"/>
      <c r="L788" s="171" t="s">
        <v>56</v>
      </c>
      <c r="M788" s="171">
        <v>1000</v>
      </c>
      <c r="N788" s="175">
        <v>0</v>
      </c>
      <c r="O788" s="171">
        <v>0</v>
      </c>
      <c r="P788" s="171">
        <v>0</v>
      </c>
      <c r="Q788" s="175">
        <v>0</v>
      </c>
      <c r="R788" s="6"/>
      <c r="S788" s="6"/>
      <c r="T788" s="6"/>
      <c r="U788" s="6"/>
      <c r="V788" s="6"/>
      <c r="W788" s="6"/>
      <c r="X788" s="6" t="s">
        <v>363</v>
      </c>
      <c r="Y788" s="6" t="s">
        <v>378</v>
      </c>
    </row>
    <row r="789" spans="1:25">
      <c r="A789" s="171">
        <v>23</v>
      </c>
      <c r="B789" s="174">
        <v>45047</v>
      </c>
      <c r="C789" s="174">
        <v>45077</v>
      </c>
      <c r="D789" s="174">
        <v>45076</v>
      </c>
      <c r="E789" s="171">
        <v>2023</v>
      </c>
      <c r="F789" s="171">
        <v>5</v>
      </c>
      <c r="G789" s="171">
        <v>30</v>
      </c>
      <c r="H789" s="131"/>
      <c r="I789" s="176"/>
      <c r="J789" s="176"/>
      <c r="K789" s="171"/>
      <c r="L789" s="171" t="s">
        <v>52</v>
      </c>
      <c r="M789" s="171">
        <v>27000</v>
      </c>
      <c r="N789" s="175">
        <v>0</v>
      </c>
      <c r="O789" s="171">
        <v>0</v>
      </c>
      <c r="P789" s="171">
        <v>0</v>
      </c>
      <c r="Q789" s="175">
        <v>0</v>
      </c>
      <c r="R789" s="6"/>
      <c r="S789" s="6"/>
      <c r="T789" s="6"/>
      <c r="U789" s="6"/>
      <c r="V789" s="6"/>
      <c r="W789" s="6"/>
      <c r="X789" s="6" t="s">
        <v>366</v>
      </c>
      <c r="Y789" s="6" t="s">
        <v>143</v>
      </c>
    </row>
    <row r="790" spans="1:25">
      <c r="A790" s="171">
        <v>23</v>
      </c>
      <c r="B790" s="174">
        <v>45078</v>
      </c>
      <c r="C790" s="174">
        <v>45079</v>
      </c>
      <c r="D790" s="174">
        <v>45078</v>
      </c>
      <c r="E790" s="171">
        <v>2023</v>
      </c>
      <c r="F790" s="171">
        <v>6</v>
      </c>
      <c r="G790" s="171">
        <v>1</v>
      </c>
      <c r="H790" s="131"/>
      <c r="I790" s="176"/>
      <c r="J790" s="176"/>
      <c r="K790" s="171"/>
      <c r="L790" s="171" t="s">
        <v>56</v>
      </c>
      <c r="M790" s="171">
        <v>2000</v>
      </c>
      <c r="N790" s="175">
        <v>0</v>
      </c>
      <c r="O790" s="171">
        <v>0</v>
      </c>
      <c r="P790" s="171">
        <v>0</v>
      </c>
      <c r="Q790" s="175">
        <v>0</v>
      </c>
      <c r="R790" s="6"/>
      <c r="S790" s="6"/>
      <c r="T790" s="6"/>
      <c r="U790" s="6"/>
      <c r="V790" s="6"/>
      <c r="W790" s="6"/>
      <c r="X790" s="6" t="s">
        <v>363</v>
      </c>
      <c r="Y790" s="6" t="s">
        <v>378</v>
      </c>
    </row>
    <row r="791" spans="1:25">
      <c r="A791" s="171">
        <v>23</v>
      </c>
      <c r="B791" s="174">
        <v>45078</v>
      </c>
      <c r="C791" s="174">
        <v>45079</v>
      </c>
      <c r="D791" s="174">
        <v>45078</v>
      </c>
      <c r="E791" s="171">
        <v>2023</v>
      </c>
      <c r="F791" s="171">
        <v>6</v>
      </c>
      <c r="G791" s="171">
        <v>1</v>
      </c>
      <c r="H791" s="131"/>
      <c r="I791" s="176"/>
      <c r="J791" s="176"/>
      <c r="K791" s="171"/>
      <c r="L791" s="171" t="s">
        <v>56</v>
      </c>
      <c r="M791" s="171">
        <v>500</v>
      </c>
      <c r="N791" s="175">
        <v>0</v>
      </c>
      <c r="O791" s="171">
        <v>0</v>
      </c>
      <c r="P791" s="171">
        <v>0</v>
      </c>
      <c r="Q791" s="175">
        <v>0</v>
      </c>
      <c r="R791" s="6"/>
      <c r="S791" s="6"/>
      <c r="T791" s="6"/>
      <c r="U791" s="6"/>
      <c r="V791" s="6"/>
      <c r="W791" s="6"/>
      <c r="X791" s="6" t="s">
        <v>363</v>
      </c>
      <c r="Y791" s="6" t="s">
        <v>378</v>
      </c>
    </row>
    <row r="792" spans="1:25">
      <c r="A792" s="171">
        <v>23</v>
      </c>
      <c r="B792" s="174">
        <v>45078</v>
      </c>
      <c r="C792" s="174">
        <v>45079</v>
      </c>
      <c r="D792" s="174">
        <v>45078</v>
      </c>
      <c r="E792" s="171">
        <v>2023</v>
      </c>
      <c r="F792" s="171">
        <v>6</v>
      </c>
      <c r="G792" s="171">
        <v>1</v>
      </c>
      <c r="H792" s="131"/>
      <c r="I792" s="176"/>
      <c r="J792" s="176"/>
      <c r="K792" s="171"/>
      <c r="L792" s="171" t="s">
        <v>56</v>
      </c>
      <c r="M792" s="171">
        <v>1000</v>
      </c>
      <c r="N792" s="175">
        <v>0</v>
      </c>
      <c r="O792" s="171">
        <v>0</v>
      </c>
      <c r="P792" s="171">
        <v>0</v>
      </c>
      <c r="Q792" s="175">
        <v>0</v>
      </c>
      <c r="R792" s="6"/>
      <c r="S792" s="6"/>
      <c r="T792" s="6"/>
      <c r="U792" s="6"/>
      <c r="V792" s="6"/>
      <c r="W792" s="6"/>
      <c r="X792" s="6" t="s">
        <v>363</v>
      </c>
      <c r="Y792" s="6" t="s">
        <v>378</v>
      </c>
    </row>
    <row r="793" spans="1:25">
      <c r="A793" s="171">
        <v>23</v>
      </c>
      <c r="B793" s="174">
        <v>45078</v>
      </c>
      <c r="C793" s="174">
        <v>45082</v>
      </c>
      <c r="D793" s="174">
        <v>45080</v>
      </c>
      <c r="E793" s="171">
        <v>2023</v>
      </c>
      <c r="F793" s="171">
        <v>6</v>
      </c>
      <c r="G793" s="171">
        <v>3</v>
      </c>
      <c r="H793" s="131"/>
      <c r="I793" s="176"/>
      <c r="J793" s="176"/>
      <c r="K793" s="171"/>
      <c r="L793" s="171" t="s">
        <v>56</v>
      </c>
      <c r="M793" s="171">
        <v>600</v>
      </c>
      <c r="N793" s="175">
        <v>0</v>
      </c>
      <c r="O793" s="171">
        <v>0</v>
      </c>
      <c r="P793" s="171">
        <v>0</v>
      </c>
      <c r="Q793" s="175">
        <v>0</v>
      </c>
      <c r="R793" s="6"/>
      <c r="S793" s="6"/>
      <c r="T793" s="6"/>
      <c r="U793" s="6"/>
      <c r="V793" s="6"/>
      <c r="W793" s="6"/>
      <c r="X793" s="6" t="s">
        <v>363</v>
      </c>
      <c r="Y793" s="6" t="s">
        <v>378</v>
      </c>
    </row>
    <row r="794" spans="1:25">
      <c r="A794" s="171">
        <v>23</v>
      </c>
      <c r="B794" s="174">
        <v>45078</v>
      </c>
      <c r="C794" s="174">
        <v>45082</v>
      </c>
      <c r="D794" s="174">
        <v>45080</v>
      </c>
      <c r="E794" s="171">
        <v>2023</v>
      </c>
      <c r="F794" s="171">
        <v>6</v>
      </c>
      <c r="G794" s="171">
        <v>3</v>
      </c>
      <c r="H794" s="131"/>
      <c r="I794" s="176"/>
      <c r="J794" s="176"/>
      <c r="K794" s="171"/>
      <c r="L794" s="171" t="s">
        <v>56</v>
      </c>
      <c r="M794" s="171">
        <v>7000</v>
      </c>
      <c r="N794" s="175">
        <v>0</v>
      </c>
      <c r="O794" s="171">
        <v>0</v>
      </c>
      <c r="P794" s="171">
        <v>0</v>
      </c>
      <c r="Q794" s="175">
        <v>0</v>
      </c>
      <c r="R794" s="6"/>
      <c r="S794" s="6"/>
      <c r="T794" s="6"/>
      <c r="U794" s="6"/>
      <c r="V794" s="6"/>
      <c r="W794" s="6"/>
      <c r="X794" s="6" t="s">
        <v>363</v>
      </c>
      <c r="Y794" s="6" t="s">
        <v>378</v>
      </c>
    </row>
    <row r="795" spans="1:25">
      <c r="A795" s="171">
        <v>23</v>
      </c>
      <c r="B795" s="174">
        <v>45078</v>
      </c>
      <c r="C795" s="174">
        <v>45082</v>
      </c>
      <c r="D795" s="174">
        <v>45080</v>
      </c>
      <c r="E795" s="171">
        <v>2023</v>
      </c>
      <c r="F795" s="171">
        <v>6</v>
      </c>
      <c r="G795" s="171">
        <v>3</v>
      </c>
      <c r="H795" s="131"/>
      <c r="I795" s="176"/>
      <c r="J795" s="176"/>
      <c r="K795" s="171"/>
      <c r="L795" s="171" t="s">
        <v>56</v>
      </c>
      <c r="M795" s="171">
        <v>2200</v>
      </c>
      <c r="N795" s="175">
        <v>0</v>
      </c>
      <c r="O795" s="171">
        <v>0</v>
      </c>
      <c r="P795" s="171">
        <v>0</v>
      </c>
      <c r="Q795" s="175">
        <v>0</v>
      </c>
      <c r="R795" s="6"/>
      <c r="S795" s="6"/>
      <c r="T795" s="6"/>
      <c r="U795" s="6"/>
      <c r="V795" s="6"/>
      <c r="W795" s="6"/>
      <c r="X795" s="6" t="s">
        <v>363</v>
      </c>
      <c r="Y795" s="6" t="s">
        <v>378</v>
      </c>
    </row>
    <row r="796" spans="1:25">
      <c r="A796" s="171">
        <v>23</v>
      </c>
      <c r="B796" s="174">
        <v>45078</v>
      </c>
      <c r="C796" s="174">
        <v>45080</v>
      </c>
      <c r="D796" s="174">
        <v>45079</v>
      </c>
      <c r="E796" s="171">
        <v>2023</v>
      </c>
      <c r="F796" s="171">
        <v>6</v>
      </c>
      <c r="G796" s="171">
        <v>2</v>
      </c>
      <c r="H796" s="131"/>
      <c r="I796" s="176"/>
      <c r="J796" s="176"/>
      <c r="K796" s="171"/>
      <c r="L796" s="171" t="s">
        <v>56</v>
      </c>
      <c r="M796" s="171">
        <v>2000</v>
      </c>
      <c r="N796" s="175">
        <v>0</v>
      </c>
      <c r="O796" s="171">
        <v>0</v>
      </c>
      <c r="P796" s="171">
        <v>0</v>
      </c>
      <c r="Q796" s="175">
        <v>0</v>
      </c>
      <c r="R796" s="6"/>
      <c r="S796" s="6"/>
      <c r="T796" s="6"/>
      <c r="U796" s="6"/>
      <c r="V796" s="6"/>
      <c r="W796" s="6"/>
      <c r="X796" s="6" t="s">
        <v>363</v>
      </c>
      <c r="Y796" s="6" t="s">
        <v>378</v>
      </c>
    </row>
    <row r="797" spans="1:25">
      <c r="A797" s="171">
        <v>23</v>
      </c>
      <c r="B797" s="174">
        <v>45078</v>
      </c>
      <c r="C797" s="174">
        <v>45080</v>
      </c>
      <c r="D797" s="174">
        <v>45079</v>
      </c>
      <c r="E797" s="171">
        <v>2023</v>
      </c>
      <c r="F797" s="171">
        <v>6</v>
      </c>
      <c r="G797" s="171">
        <v>2</v>
      </c>
      <c r="H797" s="131"/>
      <c r="I797" s="176"/>
      <c r="J797" s="176"/>
      <c r="K797" s="171"/>
      <c r="L797" s="171" t="s">
        <v>56</v>
      </c>
      <c r="M797" s="171">
        <v>300</v>
      </c>
      <c r="N797" s="175">
        <v>0</v>
      </c>
      <c r="O797" s="171">
        <v>0</v>
      </c>
      <c r="P797" s="171">
        <v>0</v>
      </c>
      <c r="Q797" s="175">
        <v>0</v>
      </c>
      <c r="R797" s="6"/>
      <c r="S797" s="6"/>
      <c r="T797" s="6"/>
      <c r="U797" s="6"/>
      <c r="V797" s="6"/>
      <c r="W797" s="6"/>
      <c r="X797" s="6" t="s">
        <v>363</v>
      </c>
      <c r="Y797" s="6" t="s">
        <v>378</v>
      </c>
    </row>
    <row r="798" spans="1:25">
      <c r="A798" s="171">
        <v>23</v>
      </c>
      <c r="B798" s="174">
        <v>45047</v>
      </c>
      <c r="C798" s="174">
        <v>45076</v>
      </c>
      <c r="D798" s="174">
        <v>45075</v>
      </c>
      <c r="E798" s="171">
        <v>2023</v>
      </c>
      <c r="F798" s="171">
        <v>5</v>
      </c>
      <c r="G798" s="171">
        <v>29</v>
      </c>
      <c r="H798" s="131"/>
      <c r="I798" s="176"/>
      <c r="J798" s="176"/>
      <c r="K798" s="171"/>
      <c r="L798" s="171" t="s">
        <v>56</v>
      </c>
      <c r="M798" s="171">
        <v>4000</v>
      </c>
      <c r="N798" s="175">
        <v>0</v>
      </c>
      <c r="O798" s="171">
        <v>0</v>
      </c>
      <c r="P798" s="171">
        <v>0</v>
      </c>
      <c r="Q798" s="175">
        <v>0</v>
      </c>
      <c r="R798" s="6"/>
      <c r="S798" s="6"/>
      <c r="T798" s="6"/>
      <c r="U798" s="6"/>
      <c r="V798" s="6"/>
      <c r="W798" s="6"/>
      <c r="X798" s="6" t="s">
        <v>363</v>
      </c>
      <c r="Y798" s="6" t="s">
        <v>141</v>
      </c>
    </row>
    <row r="799" spans="1:25">
      <c r="A799" s="171">
        <v>23</v>
      </c>
      <c r="B799" s="174">
        <v>45078</v>
      </c>
      <c r="C799" s="174">
        <v>45082</v>
      </c>
      <c r="D799" s="174">
        <v>45080</v>
      </c>
      <c r="E799" s="171">
        <v>2023</v>
      </c>
      <c r="F799" s="171">
        <v>6</v>
      </c>
      <c r="G799" s="171">
        <v>3</v>
      </c>
      <c r="H799" s="131"/>
      <c r="I799" s="176"/>
      <c r="J799" s="176"/>
      <c r="K799" s="171"/>
      <c r="L799" s="171" t="s">
        <v>56</v>
      </c>
      <c r="M799" s="171">
        <v>3000</v>
      </c>
      <c r="N799" s="175">
        <v>0</v>
      </c>
      <c r="O799" s="171">
        <v>0</v>
      </c>
      <c r="P799" s="171">
        <v>0</v>
      </c>
      <c r="Q799" s="175">
        <v>0</v>
      </c>
      <c r="R799" s="6"/>
      <c r="S799" s="6"/>
      <c r="T799" s="6"/>
      <c r="U799" s="6"/>
      <c r="V799" s="6"/>
      <c r="W799" s="6"/>
      <c r="X799" s="6" t="s">
        <v>363</v>
      </c>
      <c r="Y799" s="6" t="s">
        <v>378</v>
      </c>
    </row>
    <row r="800" spans="1:25">
      <c r="A800" s="171">
        <v>23</v>
      </c>
      <c r="B800" s="174">
        <v>45078</v>
      </c>
      <c r="C800" s="174">
        <v>45080</v>
      </c>
      <c r="D800" s="174">
        <v>45079</v>
      </c>
      <c r="E800" s="171">
        <v>2023</v>
      </c>
      <c r="F800" s="171">
        <v>6</v>
      </c>
      <c r="G800" s="171">
        <v>2</v>
      </c>
      <c r="H800" s="131"/>
      <c r="I800" s="176"/>
      <c r="J800" s="176"/>
      <c r="K800" s="171"/>
      <c r="L800" s="171" t="s">
        <v>56</v>
      </c>
      <c r="M800" s="171">
        <v>3000</v>
      </c>
      <c r="N800" s="175">
        <v>0</v>
      </c>
      <c r="O800" s="171">
        <v>0</v>
      </c>
      <c r="P800" s="171">
        <v>0</v>
      </c>
      <c r="Q800" s="175">
        <v>0</v>
      </c>
      <c r="R800" s="6"/>
      <c r="S800" s="6"/>
      <c r="T800" s="6"/>
      <c r="U800" s="6"/>
      <c r="V800" s="6"/>
      <c r="W800" s="6"/>
      <c r="X800" s="6" t="s">
        <v>363</v>
      </c>
      <c r="Y800" s="6" t="s">
        <v>378</v>
      </c>
    </row>
    <row r="801" spans="1:25">
      <c r="A801" s="171">
        <v>23</v>
      </c>
      <c r="B801" s="174">
        <v>45078</v>
      </c>
      <c r="C801" s="174">
        <v>45082</v>
      </c>
      <c r="D801" s="174">
        <v>45080</v>
      </c>
      <c r="E801" s="171">
        <v>2023</v>
      </c>
      <c r="F801" s="171">
        <v>6</v>
      </c>
      <c r="G801" s="171">
        <v>3</v>
      </c>
      <c r="H801" s="131"/>
      <c r="I801" s="176"/>
      <c r="J801" s="176"/>
      <c r="K801" s="171"/>
      <c r="L801" s="171" t="s">
        <v>56</v>
      </c>
      <c r="M801" s="171">
        <v>2000</v>
      </c>
      <c r="N801" s="175">
        <v>0</v>
      </c>
      <c r="O801" s="171">
        <v>0</v>
      </c>
      <c r="P801" s="171">
        <v>0</v>
      </c>
      <c r="Q801" s="175">
        <v>0</v>
      </c>
      <c r="R801" s="6"/>
      <c r="S801" s="6"/>
      <c r="T801" s="6"/>
      <c r="U801" s="6"/>
      <c r="V801" s="6"/>
      <c r="W801" s="6"/>
      <c r="X801" s="6" t="s">
        <v>363</v>
      </c>
      <c r="Y801" s="6" t="s">
        <v>378</v>
      </c>
    </row>
    <row r="802" spans="1:25">
      <c r="A802" s="171">
        <v>23</v>
      </c>
      <c r="B802" s="174">
        <v>45047</v>
      </c>
      <c r="C802" s="174">
        <v>45078</v>
      </c>
      <c r="D802" s="174">
        <v>45077</v>
      </c>
      <c r="E802" s="171">
        <v>2023</v>
      </c>
      <c r="F802" s="171">
        <v>5</v>
      </c>
      <c r="G802" s="171">
        <v>31</v>
      </c>
      <c r="H802" s="131"/>
      <c r="I802" s="176"/>
      <c r="J802" s="176"/>
      <c r="K802" s="171"/>
      <c r="L802" s="171" t="s">
        <v>56</v>
      </c>
      <c r="M802" s="171">
        <v>200</v>
      </c>
      <c r="N802" s="175">
        <v>0</v>
      </c>
      <c r="O802" s="171">
        <v>0</v>
      </c>
      <c r="P802" s="171">
        <v>0</v>
      </c>
      <c r="Q802" s="175">
        <v>0</v>
      </c>
      <c r="R802" s="6"/>
      <c r="S802" s="6"/>
      <c r="T802" s="6"/>
      <c r="U802" s="6"/>
      <c r="V802" s="6"/>
      <c r="W802" s="6"/>
      <c r="X802" s="6" t="s">
        <v>363</v>
      </c>
      <c r="Y802" s="6" t="s">
        <v>141</v>
      </c>
    </row>
    <row r="803" spans="1:25">
      <c r="A803" s="171">
        <v>23</v>
      </c>
      <c r="B803" s="174">
        <v>45047</v>
      </c>
      <c r="C803" s="174">
        <v>45078</v>
      </c>
      <c r="D803" s="174">
        <v>45077</v>
      </c>
      <c r="E803" s="171">
        <v>2023</v>
      </c>
      <c r="F803" s="171">
        <v>5</v>
      </c>
      <c r="G803" s="171">
        <v>31</v>
      </c>
      <c r="H803" s="131"/>
      <c r="I803" s="176"/>
      <c r="J803" s="176"/>
      <c r="K803" s="171"/>
      <c r="L803" s="171" t="s">
        <v>56</v>
      </c>
      <c r="M803" s="171">
        <v>274</v>
      </c>
      <c r="N803" s="175">
        <v>0</v>
      </c>
      <c r="O803" s="171">
        <v>0</v>
      </c>
      <c r="P803" s="171">
        <v>0</v>
      </c>
      <c r="Q803" s="175">
        <v>0</v>
      </c>
      <c r="R803" s="6"/>
      <c r="S803" s="6"/>
      <c r="T803" s="6"/>
      <c r="U803" s="6"/>
      <c r="V803" s="6"/>
      <c r="W803" s="6"/>
      <c r="X803" s="6" t="s">
        <v>363</v>
      </c>
      <c r="Y803" s="6" t="s">
        <v>141</v>
      </c>
    </row>
    <row r="804" spans="1:25">
      <c r="A804" s="171">
        <v>23</v>
      </c>
      <c r="B804" s="174">
        <v>45047</v>
      </c>
      <c r="C804" s="174">
        <v>45077</v>
      </c>
      <c r="D804" s="174">
        <v>45076</v>
      </c>
      <c r="E804" s="171">
        <v>2023</v>
      </c>
      <c r="F804" s="171">
        <v>5</v>
      </c>
      <c r="G804" s="171">
        <v>30</v>
      </c>
      <c r="H804" s="131"/>
      <c r="I804" s="176"/>
      <c r="J804" s="176"/>
      <c r="K804" s="171"/>
      <c r="L804" s="171" t="s">
        <v>56</v>
      </c>
      <c r="M804" s="171">
        <v>1200</v>
      </c>
      <c r="N804" s="175">
        <v>0</v>
      </c>
      <c r="O804" s="171">
        <v>0</v>
      </c>
      <c r="P804" s="171">
        <v>0</v>
      </c>
      <c r="Q804" s="175">
        <v>0</v>
      </c>
      <c r="R804" s="6"/>
      <c r="S804" s="6"/>
      <c r="T804" s="6"/>
      <c r="U804" s="6"/>
      <c r="V804" s="6"/>
      <c r="W804" s="6"/>
      <c r="X804" s="6" t="s">
        <v>363</v>
      </c>
      <c r="Y804" s="6" t="s">
        <v>141</v>
      </c>
    </row>
    <row r="805" spans="1:25">
      <c r="A805" s="171">
        <v>23</v>
      </c>
      <c r="B805" s="174">
        <v>45047</v>
      </c>
      <c r="C805" s="174">
        <v>45077</v>
      </c>
      <c r="D805" s="174">
        <v>45076</v>
      </c>
      <c r="E805" s="171">
        <v>2023</v>
      </c>
      <c r="F805" s="171">
        <v>5</v>
      </c>
      <c r="G805" s="171">
        <v>30</v>
      </c>
      <c r="H805" s="131"/>
      <c r="I805" s="176"/>
      <c r="J805" s="176"/>
      <c r="K805" s="171"/>
      <c r="L805" s="171" t="s">
        <v>56</v>
      </c>
      <c r="M805" s="171">
        <v>5500</v>
      </c>
      <c r="N805" s="175">
        <v>0</v>
      </c>
      <c r="O805" s="171">
        <v>0</v>
      </c>
      <c r="P805" s="171">
        <v>0</v>
      </c>
      <c r="Q805" s="175">
        <v>0</v>
      </c>
      <c r="R805" s="6"/>
      <c r="S805" s="6"/>
      <c r="T805" s="6"/>
      <c r="U805" s="6"/>
      <c r="V805" s="6"/>
      <c r="W805" s="6"/>
      <c r="X805" s="6" t="s">
        <v>363</v>
      </c>
      <c r="Y805" s="6" t="s">
        <v>141</v>
      </c>
    </row>
    <row r="806" spans="1:25">
      <c r="A806" s="171">
        <v>23</v>
      </c>
      <c r="B806" s="174">
        <v>45047</v>
      </c>
      <c r="C806" s="174">
        <v>45078</v>
      </c>
      <c r="D806" s="174">
        <v>45077</v>
      </c>
      <c r="E806" s="171">
        <v>2023</v>
      </c>
      <c r="F806" s="171">
        <v>5</v>
      </c>
      <c r="G806" s="171">
        <v>31</v>
      </c>
      <c r="H806" s="131"/>
      <c r="I806" s="176"/>
      <c r="J806" s="176"/>
      <c r="K806" s="171"/>
      <c r="L806" s="171" t="s">
        <v>56</v>
      </c>
      <c r="M806" s="171">
        <v>1600</v>
      </c>
      <c r="N806" s="175">
        <v>0</v>
      </c>
      <c r="O806" s="171">
        <v>0</v>
      </c>
      <c r="P806" s="171">
        <v>0</v>
      </c>
      <c r="Q806" s="175">
        <v>0</v>
      </c>
      <c r="R806" s="6"/>
      <c r="S806" s="6"/>
      <c r="T806" s="6"/>
      <c r="U806" s="6"/>
      <c r="V806" s="6"/>
      <c r="W806" s="6"/>
      <c r="X806" s="6" t="s">
        <v>363</v>
      </c>
      <c r="Y806" s="6" t="s">
        <v>141</v>
      </c>
    </row>
    <row r="807" spans="1:25">
      <c r="A807" s="171">
        <v>23</v>
      </c>
      <c r="B807" s="174">
        <v>45078</v>
      </c>
      <c r="C807" s="174">
        <v>45080</v>
      </c>
      <c r="D807" s="174">
        <v>45079</v>
      </c>
      <c r="E807" s="171">
        <v>2023</v>
      </c>
      <c r="F807" s="171">
        <v>6</v>
      </c>
      <c r="G807" s="171">
        <v>2</v>
      </c>
      <c r="H807" s="131"/>
      <c r="I807" s="176"/>
      <c r="J807" s="176"/>
      <c r="K807" s="171"/>
      <c r="L807" s="171" t="s">
        <v>56</v>
      </c>
      <c r="M807" s="171">
        <v>3000</v>
      </c>
      <c r="N807" s="175">
        <v>0</v>
      </c>
      <c r="O807" s="171">
        <v>0</v>
      </c>
      <c r="P807" s="171">
        <v>0</v>
      </c>
      <c r="Q807" s="175">
        <v>0</v>
      </c>
      <c r="R807" s="6"/>
      <c r="S807" s="6"/>
      <c r="T807" s="6"/>
      <c r="U807" s="6"/>
      <c r="V807" s="6"/>
      <c r="W807" s="6"/>
      <c r="X807" s="6" t="s">
        <v>363</v>
      </c>
      <c r="Y807" s="6" t="s">
        <v>378</v>
      </c>
    </row>
    <row r="808" spans="1:25">
      <c r="A808" s="171">
        <v>23</v>
      </c>
      <c r="B808" s="174">
        <v>45078</v>
      </c>
      <c r="C808" s="174">
        <v>45079</v>
      </c>
      <c r="D808" s="174">
        <v>45078</v>
      </c>
      <c r="E808" s="171">
        <v>2023</v>
      </c>
      <c r="F808" s="171">
        <v>6</v>
      </c>
      <c r="G808" s="171">
        <v>1</v>
      </c>
      <c r="H808" s="131"/>
      <c r="I808" s="176"/>
      <c r="J808" s="176"/>
      <c r="K808" s="171"/>
      <c r="L808" s="171" t="s">
        <v>56</v>
      </c>
      <c r="M808" s="171">
        <v>1800</v>
      </c>
      <c r="N808" s="175">
        <v>0</v>
      </c>
      <c r="O808" s="171">
        <v>0</v>
      </c>
      <c r="P808" s="171">
        <v>0</v>
      </c>
      <c r="Q808" s="175">
        <v>0</v>
      </c>
      <c r="R808" s="6"/>
      <c r="S808" s="6"/>
      <c r="T808" s="6"/>
      <c r="U808" s="6"/>
      <c r="V808" s="6"/>
      <c r="W808" s="6"/>
      <c r="X808" s="6" t="s">
        <v>363</v>
      </c>
      <c r="Y808" s="6" t="s">
        <v>378</v>
      </c>
    </row>
    <row r="809" spans="1:25">
      <c r="A809" s="171">
        <v>23</v>
      </c>
      <c r="B809" s="174">
        <v>45078</v>
      </c>
      <c r="C809" s="174">
        <v>45080</v>
      </c>
      <c r="D809" s="174">
        <v>45079</v>
      </c>
      <c r="E809" s="171">
        <v>2023</v>
      </c>
      <c r="F809" s="171">
        <v>6</v>
      </c>
      <c r="G809" s="171">
        <v>2</v>
      </c>
      <c r="H809" s="131"/>
      <c r="I809" s="176"/>
      <c r="J809" s="176"/>
      <c r="K809" s="171"/>
      <c r="L809" s="171" t="s">
        <v>56</v>
      </c>
      <c r="M809" s="171">
        <v>4500</v>
      </c>
      <c r="N809" s="175">
        <v>0</v>
      </c>
      <c r="O809" s="171">
        <v>0</v>
      </c>
      <c r="P809" s="171">
        <v>0</v>
      </c>
      <c r="Q809" s="175">
        <v>0</v>
      </c>
      <c r="R809" s="6"/>
      <c r="S809" s="6"/>
      <c r="T809" s="6"/>
      <c r="U809" s="6"/>
      <c r="V809" s="6"/>
      <c r="W809" s="6"/>
      <c r="X809" s="6" t="s">
        <v>363</v>
      </c>
      <c r="Y809" s="6" t="s">
        <v>378</v>
      </c>
    </row>
    <row r="810" spans="1:25">
      <c r="A810" s="171">
        <v>23</v>
      </c>
      <c r="B810" s="174">
        <v>45078</v>
      </c>
      <c r="C810" s="174">
        <v>45082</v>
      </c>
      <c r="D810" s="174">
        <v>45080</v>
      </c>
      <c r="E810" s="171">
        <v>2023</v>
      </c>
      <c r="F810" s="171">
        <v>6</v>
      </c>
      <c r="G810" s="171">
        <v>3</v>
      </c>
      <c r="H810" s="131"/>
      <c r="I810" s="176"/>
      <c r="J810" s="176"/>
      <c r="K810" s="171"/>
      <c r="L810" s="171" t="s">
        <v>56</v>
      </c>
      <c r="M810" s="171">
        <v>3000</v>
      </c>
      <c r="N810" s="175">
        <v>0</v>
      </c>
      <c r="O810" s="171">
        <v>0</v>
      </c>
      <c r="P810" s="171">
        <v>0</v>
      </c>
      <c r="Q810" s="175">
        <v>0</v>
      </c>
      <c r="R810" s="6"/>
      <c r="S810" s="6"/>
      <c r="T810" s="6"/>
      <c r="U810" s="6"/>
      <c r="V810" s="6"/>
      <c r="W810" s="6"/>
      <c r="X810" s="6" t="s">
        <v>363</v>
      </c>
      <c r="Y810" s="6" t="s">
        <v>378</v>
      </c>
    </row>
    <row r="811" spans="1:25">
      <c r="A811" s="171">
        <v>23</v>
      </c>
      <c r="B811" s="174">
        <v>45078</v>
      </c>
      <c r="C811" s="174">
        <v>45080</v>
      </c>
      <c r="D811" s="174">
        <v>45079</v>
      </c>
      <c r="E811" s="171">
        <v>2023</v>
      </c>
      <c r="F811" s="171">
        <v>6</v>
      </c>
      <c r="G811" s="171">
        <v>2</v>
      </c>
      <c r="H811" s="131"/>
      <c r="I811" s="176"/>
      <c r="J811" s="176"/>
      <c r="K811" s="171"/>
      <c r="L811" s="171" t="s">
        <v>56</v>
      </c>
      <c r="M811" s="171">
        <v>2500</v>
      </c>
      <c r="N811" s="175">
        <v>0</v>
      </c>
      <c r="O811" s="171">
        <v>0</v>
      </c>
      <c r="P811" s="171">
        <v>0</v>
      </c>
      <c r="Q811" s="175">
        <v>0</v>
      </c>
      <c r="R811" s="6"/>
      <c r="S811" s="6"/>
      <c r="T811" s="6"/>
      <c r="U811" s="6"/>
      <c r="V811" s="6"/>
      <c r="W811" s="6"/>
      <c r="X811" s="6" t="s">
        <v>363</v>
      </c>
      <c r="Y811" s="6" t="s">
        <v>378</v>
      </c>
    </row>
    <row r="812" spans="1:25">
      <c r="A812" s="171">
        <v>23</v>
      </c>
      <c r="B812" s="174">
        <v>45047</v>
      </c>
      <c r="C812" s="174">
        <v>45078</v>
      </c>
      <c r="D812" s="174">
        <v>45077</v>
      </c>
      <c r="E812" s="171">
        <v>2023</v>
      </c>
      <c r="F812" s="171">
        <v>5</v>
      </c>
      <c r="G812" s="171">
        <v>31</v>
      </c>
      <c r="H812" s="131"/>
      <c r="I812" s="176"/>
      <c r="J812" s="176"/>
      <c r="K812" s="171"/>
      <c r="L812" s="171" t="s">
        <v>56</v>
      </c>
      <c r="M812" s="171">
        <v>500</v>
      </c>
      <c r="N812" s="175">
        <v>0</v>
      </c>
      <c r="O812" s="171">
        <v>0</v>
      </c>
      <c r="P812" s="171">
        <v>0</v>
      </c>
      <c r="Q812" s="175">
        <v>0</v>
      </c>
      <c r="R812" s="6"/>
      <c r="S812" s="6"/>
      <c r="T812" s="6"/>
      <c r="U812" s="6"/>
      <c r="V812" s="6"/>
      <c r="W812" s="6"/>
      <c r="X812" s="6" t="s">
        <v>363</v>
      </c>
      <c r="Y812" s="6" t="s">
        <v>141</v>
      </c>
    </row>
    <row r="813" spans="1:25">
      <c r="A813" s="171">
        <v>23</v>
      </c>
      <c r="B813" s="174">
        <v>45078</v>
      </c>
      <c r="C813" s="174">
        <v>45079</v>
      </c>
      <c r="D813" s="174">
        <v>45078</v>
      </c>
      <c r="E813" s="171">
        <v>2023</v>
      </c>
      <c r="F813" s="171">
        <v>6</v>
      </c>
      <c r="G813" s="171">
        <v>1</v>
      </c>
      <c r="H813" s="131"/>
      <c r="I813" s="176"/>
      <c r="J813" s="176"/>
      <c r="K813" s="171"/>
      <c r="L813" s="171" t="s">
        <v>56</v>
      </c>
      <c r="M813" s="171">
        <v>7500</v>
      </c>
      <c r="N813" s="175">
        <v>0</v>
      </c>
      <c r="O813" s="171">
        <v>0</v>
      </c>
      <c r="P813" s="171">
        <v>0</v>
      </c>
      <c r="Q813" s="175">
        <v>0</v>
      </c>
      <c r="R813" s="6"/>
      <c r="S813" s="6"/>
      <c r="T813" s="6"/>
      <c r="U813" s="6"/>
      <c r="V813" s="6"/>
      <c r="W813" s="6"/>
      <c r="X813" s="6" t="s">
        <v>363</v>
      </c>
      <c r="Y813" s="6" t="s">
        <v>378</v>
      </c>
    </row>
    <row r="814" spans="1:25">
      <c r="A814" s="171">
        <v>23</v>
      </c>
      <c r="B814" s="174">
        <v>45078</v>
      </c>
      <c r="C814" s="174">
        <v>45082</v>
      </c>
      <c r="D814" s="174">
        <v>45080</v>
      </c>
      <c r="E814" s="171">
        <v>2023</v>
      </c>
      <c r="F814" s="171">
        <v>6</v>
      </c>
      <c r="G814" s="171">
        <v>3</v>
      </c>
      <c r="H814" s="131"/>
      <c r="I814" s="176"/>
      <c r="J814" s="176"/>
      <c r="K814" s="171"/>
      <c r="L814" s="171" t="s">
        <v>56</v>
      </c>
      <c r="M814" s="171">
        <v>310</v>
      </c>
      <c r="N814" s="175">
        <v>0</v>
      </c>
      <c r="O814" s="171">
        <v>0</v>
      </c>
      <c r="P814" s="171">
        <v>0</v>
      </c>
      <c r="Q814" s="175">
        <v>0</v>
      </c>
      <c r="R814" s="6"/>
      <c r="S814" s="6"/>
      <c r="T814" s="6"/>
      <c r="U814" s="6"/>
      <c r="V814" s="6"/>
      <c r="W814" s="6"/>
      <c r="X814" s="6" t="s">
        <v>363</v>
      </c>
      <c r="Y814" s="6" t="s">
        <v>378</v>
      </c>
    </row>
    <row r="815" spans="1:25">
      <c r="A815" s="171">
        <v>23</v>
      </c>
      <c r="B815" s="174">
        <v>45047</v>
      </c>
      <c r="C815" s="174">
        <v>45078</v>
      </c>
      <c r="D815" s="174">
        <v>45077</v>
      </c>
      <c r="E815" s="171">
        <v>2023</v>
      </c>
      <c r="F815" s="171">
        <v>5</v>
      </c>
      <c r="G815" s="171">
        <v>31</v>
      </c>
      <c r="H815" s="131"/>
      <c r="I815" s="176"/>
      <c r="J815" s="176"/>
      <c r="K815" s="171"/>
      <c r="L815" s="171" t="s">
        <v>52</v>
      </c>
      <c r="M815" s="171">
        <v>4000</v>
      </c>
      <c r="N815" s="175">
        <v>0</v>
      </c>
      <c r="O815" s="171">
        <v>0</v>
      </c>
      <c r="P815" s="171">
        <v>0</v>
      </c>
      <c r="Q815" s="175">
        <v>0</v>
      </c>
      <c r="R815" s="6"/>
      <c r="S815" s="6"/>
      <c r="T815" s="6"/>
      <c r="U815" s="6"/>
      <c r="V815" s="6"/>
      <c r="W815" s="6"/>
      <c r="X815" s="6" t="s">
        <v>366</v>
      </c>
      <c r="Y815" s="6" t="s">
        <v>143</v>
      </c>
    </row>
    <row r="816" spans="1:25">
      <c r="A816" s="171">
        <v>23</v>
      </c>
      <c r="B816" s="174">
        <v>45078</v>
      </c>
      <c r="C816" s="174">
        <v>45080</v>
      </c>
      <c r="D816" s="174">
        <v>45079</v>
      </c>
      <c r="E816" s="171">
        <v>2023</v>
      </c>
      <c r="F816" s="171">
        <v>6</v>
      </c>
      <c r="G816" s="171">
        <v>2</v>
      </c>
      <c r="H816" s="131"/>
      <c r="I816" s="176"/>
      <c r="J816" s="176"/>
      <c r="K816" s="171"/>
      <c r="L816" s="171" t="s">
        <v>56</v>
      </c>
      <c r="M816" s="171">
        <v>140</v>
      </c>
      <c r="N816" s="175">
        <v>0</v>
      </c>
      <c r="O816" s="171">
        <v>0</v>
      </c>
      <c r="P816" s="171">
        <v>0</v>
      </c>
      <c r="Q816" s="175">
        <v>0</v>
      </c>
      <c r="R816" s="6"/>
      <c r="S816" s="6"/>
      <c r="T816" s="6"/>
      <c r="U816" s="6"/>
      <c r="V816" s="6"/>
      <c r="W816" s="6"/>
      <c r="X816" s="6" t="s">
        <v>363</v>
      </c>
      <c r="Y816" s="6" t="s">
        <v>378</v>
      </c>
    </row>
    <row r="817" spans="1:25">
      <c r="A817" s="171">
        <v>23</v>
      </c>
      <c r="B817" s="174">
        <v>45047</v>
      </c>
      <c r="C817" s="174">
        <v>45076</v>
      </c>
      <c r="D817" s="174">
        <v>45075</v>
      </c>
      <c r="E817" s="171">
        <v>2023</v>
      </c>
      <c r="F817" s="171">
        <v>5</v>
      </c>
      <c r="G817" s="171">
        <v>29</v>
      </c>
      <c r="H817" s="131"/>
      <c r="I817" s="176"/>
      <c r="J817" s="176"/>
      <c r="K817" s="171"/>
      <c r="L817" s="171" t="s">
        <v>56</v>
      </c>
      <c r="M817" s="171">
        <v>200</v>
      </c>
      <c r="N817" s="175">
        <v>0</v>
      </c>
      <c r="O817" s="171">
        <v>0</v>
      </c>
      <c r="P817" s="171">
        <v>0</v>
      </c>
      <c r="Q817" s="175">
        <v>0</v>
      </c>
      <c r="R817" s="6"/>
      <c r="S817" s="6"/>
      <c r="T817" s="6"/>
      <c r="U817" s="6"/>
      <c r="V817" s="6"/>
      <c r="W817" s="6"/>
      <c r="X817" s="6" t="s">
        <v>363</v>
      </c>
      <c r="Y817" s="6" t="s">
        <v>141</v>
      </c>
    </row>
    <row r="818" spans="1:25">
      <c r="A818" s="171">
        <v>23</v>
      </c>
      <c r="B818" s="174">
        <v>45078</v>
      </c>
      <c r="C818" s="174">
        <v>45080</v>
      </c>
      <c r="D818" s="174">
        <v>45079</v>
      </c>
      <c r="E818" s="171">
        <v>2023</v>
      </c>
      <c r="F818" s="171">
        <v>6</v>
      </c>
      <c r="G818" s="171">
        <v>2</v>
      </c>
      <c r="H818" s="131"/>
      <c r="I818" s="176"/>
      <c r="J818" s="176"/>
      <c r="K818" s="171"/>
      <c r="L818" s="171" t="s">
        <v>56</v>
      </c>
      <c r="M818" s="171">
        <v>500</v>
      </c>
      <c r="N818" s="175">
        <v>0</v>
      </c>
      <c r="O818" s="171">
        <v>0</v>
      </c>
      <c r="P818" s="171">
        <v>0</v>
      </c>
      <c r="Q818" s="175">
        <v>0</v>
      </c>
      <c r="R818" s="6"/>
      <c r="S818" s="6"/>
      <c r="T818" s="6"/>
      <c r="U818" s="6"/>
      <c r="V818" s="6"/>
      <c r="W818" s="6"/>
      <c r="X818" s="6" t="s">
        <v>363</v>
      </c>
      <c r="Y818" s="6" t="s">
        <v>378</v>
      </c>
    </row>
    <row r="819" spans="1:25">
      <c r="A819" s="171">
        <v>23</v>
      </c>
      <c r="B819" s="174">
        <v>45047</v>
      </c>
      <c r="C819" s="174">
        <v>45077</v>
      </c>
      <c r="D819" s="174">
        <v>45076</v>
      </c>
      <c r="E819" s="171">
        <v>2023</v>
      </c>
      <c r="F819" s="171">
        <v>5</v>
      </c>
      <c r="G819" s="171">
        <v>30</v>
      </c>
      <c r="H819" s="131"/>
      <c r="I819" s="176"/>
      <c r="J819" s="176"/>
      <c r="K819" s="171"/>
      <c r="L819" s="171" t="s">
        <v>56</v>
      </c>
      <c r="M819" s="171">
        <v>300</v>
      </c>
      <c r="N819" s="175">
        <v>0</v>
      </c>
      <c r="O819" s="171">
        <v>0</v>
      </c>
      <c r="P819" s="171">
        <v>0</v>
      </c>
      <c r="Q819" s="175">
        <v>0</v>
      </c>
      <c r="R819" s="6"/>
      <c r="S819" s="6"/>
      <c r="T819" s="6"/>
      <c r="U819" s="6"/>
      <c r="V819" s="6"/>
      <c r="W819" s="6"/>
      <c r="X819" s="6" t="s">
        <v>363</v>
      </c>
      <c r="Y819" s="6" t="s">
        <v>141</v>
      </c>
    </row>
    <row r="820" spans="1:25">
      <c r="A820" s="171">
        <v>23</v>
      </c>
      <c r="B820" s="174">
        <v>45047</v>
      </c>
      <c r="C820" s="174">
        <v>45077</v>
      </c>
      <c r="D820" s="174">
        <v>45076</v>
      </c>
      <c r="E820" s="171">
        <v>2023</v>
      </c>
      <c r="F820" s="171">
        <v>5</v>
      </c>
      <c r="G820" s="171">
        <v>30</v>
      </c>
      <c r="H820" s="131"/>
      <c r="I820" s="176"/>
      <c r="J820" s="176"/>
      <c r="K820" s="171"/>
      <c r="L820" s="171" t="s">
        <v>56</v>
      </c>
      <c r="M820" s="171">
        <v>66</v>
      </c>
      <c r="N820" s="175">
        <v>0</v>
      </c>
      <c r="O820" s="171">
        <v>0</v>
      </c>
      <c r="P820" s="171">
        <v>0</v>
      </c>
      <c r="Q820" s="175">
        <v>0</v>
      </c>
      <c r="R820" s="6"/>
      <c r="S820" s="6"/>
      <c r="T820" s="6"/>
      <c r="U820" s="6"/>
      <c r="V820" s="6"/>
      <c r="W820" s="6"/>
      <c r="X820" s="6" t="s">
        <v>363</v>
      </c>
      <c r="Y820" s="6" t="s">
        <v>141</v>
      </c>
    </row>
    <row r="821" spans="1:25">
      <c r="A821" s="171">
        <v>23</v>
      </c>
      <c r="B821" s="174">
        <v>45047</v>
      </c>
      <c r="C821" s="174">
        <v>45076</v>
      </c>
      <c r="D821" s="174">
        <v>45075</v>
      </c>
      <c r="E821" s="171">
        <v>2023</v>
      </c>
      <c r="F821" s="171">
        <v>5</v>
      </c>
      <c r="G821" s="171">
        <v>29</v>
      </c>
      <c r="H821" s="131"/>
      <c r="I821" s="176"/>
      <c r="J821" s="176"/>
      <c r="K821" s="171"/>
      <c r="L821" s="171" t="s">
        <v>56</v>
      </c>
      <c r="M821" s="171">
        <v>50</v>
      </c>
      <c r="N821" s="175">
        <v>0</v>
      </c>
      <c r="O821" s="171">
        <v>0</v>
      </c>
      <c r="P821" s="171">
        <v>0</v>
      </c>
      <c r="Q821" s="175">
        <v>0</v>
      </c>
      <c r="R821" s="6"/>
      <c r="S821" s="6"/>
      <c r="T821" s="6"/>
      <c r="U821" s="6"/>
      <c r="V821" s="6"/>
      <c r="W821" s="6"/>
      <c r="X821" s="6" t="s">
        <v>363</v>
      </c>
      <c r="Y821" s="6" t="s">
        <v>141</v>
      </c>
    </row>
    <row r="822" spans="1:25">
      <c r="A822" s="171">
        <v>23</v>
      </c>
      <c r="B822" s="174">
        <v>45047</v>
      </c>
      <c r="C822" s="174">
        <v>45077</v>
      </c>
      <c r="D822" s="174">
        <v>45076</v>
      </c>
      <c r="E822" s="171">
        <v>2023</v>
      </c>
      <c r="F822" s="171">
        <v>5</v>
      </c>
      <c r="G822" s="171">
        <v>30</v>
      </c>
      <c r="H822" s="131"/>
      <c r="I822" s="176"/>
      <c r="J822" s="176"/>
      <c r="K822" s="171"/>
      <c r="L822" s="171" t="s">
        <v>56</v>
      </c>
      <c r="M822" s="171">
        <v>66</v>
      </c>
      <c r="N822" s="175">
        <v>0</v>
      </c>
      <c r="O822" s="171">
        <v>0</v>
      </c>
      <c r="P822" s="171">
        <v>0</v>
      </c>
      <c r="Q822" s="175">
        <v>0</v>
      </c>
      <c r="R822" s="6"/>
      <c r="S822" s="6"/>
      <c r="T822" s="6"/>
      <c r="U822" s="6"/>
      <c r="V822" s="6"/>
      <c r="W822" s="6"/>
      <c r="X822" s="6" t="s">
        <v>363</v>
      </c>
      <c r="Y822" s="6" t="s">
        <v>141</v>
      </c>
    </row>
    <row r="823" spans="1:25">
      <c r="A823" s="171">
        <v>23</v>
      </c>
      <c r="B823" s="174">
        <v>45078</v>
      </c>
      <c r="C823" s="174">
        <v>45082</v>
      </c>
      <c r="D823" s="174">
        <v>45080</v>
      </c>
      <c r="E823" s="171">
        <v>2023</v>
      </c>
      <c r="F823" s="171">
        <v>6</v>
      </c>
      <c r="G823" s="171">
        <v>3</v>
      </c>
      <c r="H823" s="131"/>
      <c r="I823" s="176"/>
      <c r="J823" s="176"/>
      <c r="K823" s="171"/>
      <c r="L823" s="171" t="s">
        <v>56</v>
      </c>
      <c r="M823" s="171">
        <v>1000</v>
      </c>
      <c r="N823" s="175">
        <v>0</v>
      </c>
      <c r="O823" s="171">
        <v>0</v>
      </c>
      <c r="P823" s="171">
        <v>0</v>
      </c>
      <c r="Q823" s="175">
        <v>0</v>
      </c>
      <c r="R823" s="6"/>
      <c r="S823" s="6"/>
      <c r="T823" s="6"/>
      <c r="U823" s="6"/>
      <c r="V823" s="6"/>
      <c r="W823" s="6"/>
      <c r="X823" s="6" t="s">
        <v>363</v>
      </c>
      <c r="Y823" s="6" t="s">
        <v>378</v>
      </c>
    </row>
    <row r="824" spans="1:25">
      <c r="A824" s="171">
        <v>23</v>
      </c>
      <c r="B824" s="174">
        <v>45047</v>
      </c>
      <c r="C824" s="174">
        <v>45077</v>
      </c>
      <c r="D824" s="174">
        <v>45076</v>
      </c>
      <c r="E824" s="171">
        <v>2023</v>
      </c>
      <c r="F824" s="171">
        <v>5</v>
      </c>
      <c r="G824" s="171">
        <v>30</v>
      </c>
      <c r="H824" s="131"/>
      <c r="I824" s="176"/>
      <c r="J824" s="176"/>
      <c r="K824" s="171"/>
      <c r="L824" s="171" t="s">
        <v>56</v>
      </c>
      <c r="M824" s="171">
        <v>66</v>
      </c>
      <c r="N824" s="175">
        <v>0</v>
      </c>
      <c r="O824" s="171">
        <v>0</v>
      </c>
      <c r="P824" s="171">
        <v>0</v>
      </c>
      <c r="Q824" s="175">
        <v>0</v>
      </c>
      <c r="R824" s="6"/>
      <c r="S824" s="6"/>
      <c r="T824" s="6"/>
      <c r="U824" s="6"/>
      <c r="V824" s="6"/>
      <c r="W824" s="6"/>
      <c r="X824" s="6" t="s">
        <v>363</v>
      </c>
      <c r="Y824" s="6" t="s">
        <v>141</v>
      </c>
    </row>
    <row r="825" spans="1:25">
      <c r="A825" s="171">
        <v>23</v>
      </c>
      <c r="B825" s="174">
        <v>45078</v>
      </c>
      <c r="C825" s="174">
        <v>45080</v>
      </c>
      <c r="D825" s="174">
        <v>45079</v>
      </c>
      <c r="E825" s="171">
        <v>2023</v>
      </c>
      <c r="F825" s="171">
        <v>6</v>
      </c>
      <c r="G825" s="171">
        <v>2</v>
      </c>
      <c r="H825" s="131"/>
      <c r="I825" s="176"/>
      <c r="J825" s="176"/>
      <c r="K825" s="171"/>
      <c r="L825" s="171" t="s">
        <v>56</v>
      </c>
      <c r="M825" s="171">
        <v>1498</v>
      </c>
      <c r="N825" s="175">
        <v>0</v>
      </c>
      <c r="O825" s="171">
        <v>0</v>
      </c>
      <c r="P825" s="171">
        <v>0</v>
      </c>
      <c r="Q825" s="175">
        <v>0</v>
      </c>
      <c r="R825" s="6"/>
      <c r="S825" s="6"/>
      <c r="T825" s="6"/>
      <c r="U825" s="6"/>
      <c r="V825" s="6"/>
      <c r="W825" s="6"/>
      <c r="X825" s="6" t="s">
        <v>363</v>
      </c>
      <c r="Y825" s="6" t="s">
        <v>378</v>
      </c>
    </row>
    <row r="826" spans="1:25">
      <c r="A826" s="171">
        <v>23</v>
      </c>
      <c r="B826" s="174">
        <v>45078</v>
      </c>
      <c r="C826" s="174">
        <v>45079</v>
      </c>
      <c r="D826" s="174">
        <v>45078</v>
      </c>
      <c r="E826" s="171">
        <v>2023</v>
      </c>
      <c r="F826" s="171">
        <v>6</v>
      </c>
      <c r="G826" s="171">
        <v>1</v>
      </c>
      <c r="H826" s="131"/>
      <c r="I826" s="176"/>
      <c r="J826" s="176"/>
      <c r="K826" s="171"/>
      <c r="L826" s="171" t="s">
        <v>56</v>
      </c>
      <c r="M826" s="171">
        <v>3500</v>
      </c>
      <c r="N826" s="175">
        <v>0</v>
      </c>
      <c r="O826" s="171">
        <v>0</v>
      </c>
      <c r="P826" s="171">
        <v>0</v>
      </c>
      <c r="Q826" s="175">
        <v>0</v>
      </c>
      <c r="R826" s="6"/>
      <c r="S826" s="6"/>
      <c r="T826" s="6"/>
      <c r="U826" s="6"/>
      <c r="V826" s="6"/>
      <c r="W826" s="6"/>
      <c r="X826" s="6" t="s">
        <v>363</v>
      </c>
      <c r="Y826" s="6" t="s">
        <v>378</v>
      </c>
    </row>
    <row r="827" spans="1:25">
      <c r="A827" s="171">
        <v>23</v>
      </c>
      <c r="B827" s="174">
        <v>45078</v>
      </c>
      <c r="C827" s="174">
        <v>45082</v>
      </c>
      <c r="D827" s="174">
        <v>45080</v>
      </c>
      <c r="E827" s="171">
        <v>2023</v>
      </c>
      <c r="F827" s="171">
        <v>6</v>
      </c>
      <c r="G827" s="171">
        <v>3</v>
      </c>
      <c r="H827" s="131"/>
      <c r="I827" s="176"/>
      <c r="J827" s="176"/>
      <c r="K827" s="171"/>
      <c r="L827" s="171" t="s">
        <v>56</v>
      </c>
      <c r="M827" s="171">
        <v>800</v>
      </c>
      <c r="N827" s="175">
        <v>0</v>
      </c>
      <c r="O827" s="171">
        <v>0</v>
      </c>
      <c r="P827" s="171">
        <v>0</v>
      </c>
      <c r="Q827" s="175">
        <v>0</v>
      </c>
      <c r="R827" s="6"/>
      <c r="S827" s="6"/>
      <c r="T827" s="6"/>
      <c r="U827" s="6"/>
      <c r="V827" s="6"/>
      <c r="W827" s="6"/>
      <c r="X827" s="6" t="s">
        <v>363</v>
      </c>
      <c r="Y827" s="6" t="s">
        <v>378</v>
      </c>
    </row>
    <row r="828" spans="1:25">
      <c r="A828" s="171">
        <v>23</v>
      </c>
      <c r="B828" s="174">
        <v>45078</v>
      </c>
      <c r="C828" s="174">
        <v>45080</v>
      </c>
      <c r="D828" s="174">
        <v>45079</v>
      </c>
      <c r="E828" s="171">
        <v>2023</v>
      </c>
      <c r="F828" s="171">
        <v>6</v>
      </c>
      <c r="G828" s="171">
        <v>2</v>
      </c>
      <c r="H828" s="131"/>
      <c r="I828" s="176"/>
      <c r="J828" s="176"/>
      <c r="K828" s="171"/>
      <c r="L828" s="171" t="s">
        <v>52</v>
      </c>
      <c r="M828" s="171">
        <v>4000</v>
      </c>
      <c r="N828" s="175">
        <v>0</v>
      </c>
      <c r="O828" s="171">
        <v>0</v>
      </c>
      <c r="P828" s="171">
        <v>0</v>
      </c>
      <c r="Q828" s="175">
        <v>0</v>
      </c>
      <c r="R828" s="6"/>
      <c r="S828" s="6"/>
      <c r="T828" s="6"/>
      <c r="U828" s="6"/>
      <c r="V828" s="6"/>
      <c r="W828" s="6"/>
      <c r="X828" s="6" t="s">
        <v>366</v>
      </c>
      <c r="Y828" s="6" t="s">
        <v>380</v>
      </c>
    </row>
    <row r="829" spans="1:25">
      <c r="A829" s="171">
        <v>23</v>
      </c>
      <c r="B829" s="174">
        <v>45078</v>
      </c>
      <c r="C829" s="174">
        <v>45082</v>
      </c>
      <c r="D829" s="174">
        <v>45080</v>
      </c>
      <c r="E829" s="171">
        <v>2023</v>
      </c>
      <c r="F829" s="171">
        <v>6</v>
      </c>
      <c r="G829" s="171">
        <v>3</v>
      </c>
      <c r="H829" s="131"/>
      <c r="I829" s="176"/>
      <c r="J829" s="176"/>
      <c r="K829" s="171"/>
      <c r="L829" s="171" t="s">
        <v>56</v>
      </c>
      <c r="M829" s="171">
        <v>3000</v>
      </c>
      <c r="N829" s="175">
        <v>0</v>
      </c>
      <c r="O829" s="171">
        <v>0</v>
      </c>
      <c r="P829" s="171">
        <v>0</v>
      </c>
      <c r="Q829" s="175">
        <v>0</v>
      </c>
      <c r="R829" s="6"/>
      <c r="S829" s="6"/>
      <c r="T829" s="6"/>
      <c r="U829" s="6"/>
      <c r="V829" s="6"/>
      <c r="W829" s="6"/>
      <c r="X829" s="6" t="s">
        <v>363</v>
      </c>
      <c r="Y829" s="6" t="s">
        <v>378</v>
      </c>
    </row>
    <row r="830" spans="1:25">
      <c r="A830" s="171">
        <v>23</v>
      </c>
      <c r="B830" s="174">
        <v>45047</v>
      </c>
      <c r="C830" s="174">
        <v>45078</v>
      </c>
      <c r="D830" s="174">
        <v>45077</v>
      </c>
      <c r="E830" s="171">
        <v>2023</v>
      </c>
      <c r="F830" s="171">
        <v>5</v>
      </c>
      <c r="G830" s="171">
        <v>31</v>
      </c>
      <c r="H830" s="131"/>
      <c r="I830" s="176"/>
      <c r="J830" s="176"/>
      <c r="K830" s="171"/>
      <c r="L830" s="171" t="s">
        <v>56</v>
      </c>
      <c r="M830" s="171">
        <v>80</v>
      </c>
      <c r="N830" s="175">
        <v>0</v>
      </c>
      <c r="O830" s="171">
        <v>0</v>
      </c>
      <c r="P830" s="171">
        <v>0</v>
      </c>
      <c r="Q830" s="175">
        <v>0</v>
      </c>
      <c r="R830" s="6"/>
      <c r="S830" s="6"/>
      <c r="T830" s="6"/>
      <c r="U830" s="6"/>
      <c r="V830" s="6"/>
      <c r="W830" s="6"/>
      <c r="X830" s="6" t="s">
        <v>363</v>
      </c>
      <c r="Y830" s="6" t="s">
        <v>141</v>
      </c>
    </row>
    <row r="831" spans="1:25">
      <c r="A831" s="171">
        <v>23</v>
      </c>
      <c r="B831" s="174">
        <v>45047</v>
      </c>
      <c r="C831" s="174">
        <v>45078</v>
      </c>
      <c r="D831" s="174">
        <v>45077</v>
      </c>
      <c r="E831" s="171">
        <v>2023</v>
      </c>
      <c r="F831" s="171">
        <v>5</v>
      </c>
      <c r="G831" s="171">
        <v>31</v>
      </c>
      <c r="H831" s="131"/>
      <c r="I831" s="176"/>
      <c r="J831" s="176"/>
      <c r="K831" s="171"/>
      <c r="L831" s="171" t="s">
        <v>56</v>
      </c>
      <c r="M831" s="171">
        <v>1050</v>
      </c>
      <c r="N831" s="175">
        <v>0</v>
      </c>
      <c r="O831" s="171">
        <v>0</v>
      </c>
      <c r="P831" s="171">
        <v>0</v>
      </c>
      <c r="Q831" s="175">
        <v>0</v>
      </c>
      <c r="R831" s="6"/>
      <c r="S831" s="6"/>
      <c r="T831" s="6"/>
      <c r="U831" s="6"/>
      <c r="V831" s="6"/>
      <c r="W831" s="6"/>
      <c r="X831" s="6" t="s">
        <v>363</v>
      </c>
      <c r="Y831" s="6" t="s">
        <v>141</v>
      </c>
    </row>
    <row r="832" spans="1:25">
      <c r="A832" s="171">
        <v>23</v>
      </c>
      <c r="B832" s="174">
        <v>45047</v>
      </c>
      <c r="C832" s="174">
        <v>45078</v>
      </c>
      <c r="D832" s="174">
        <v>45077</v>
      </c>
      <c r="E832" s="171">
        <v>2023</v>
      </c>
      <c r="F832" s="171">
        <v>5</v>
      </c>
      <c r="G832" s="171">
        <v>31</v>
      </c>
      <c r="H832" s="131"/>
      <c r="I832" s="176"/>
      <c r="J832" s="176"/>
      <c r="K832" s="171"/>
      <c r="L832" s="171" t="s">
        <v>56</v>
      </c>
      <c r="M832" s="171">
        <v>4950</v>
      </c>
      <c r="N832" s="175">
        <v>0</v>
      </c>
      <c r="O832" s="171">
        <v>0</v>
      </c>
      <c r="P832" s="171">
        <v>0</v>
      </c>
      <c r="Q832" s="175">
        <v>0</v>
      </c>
      <c r="R832" s="6"/>
      <c r="S832" s="6"/>
      <c r="T832" s="6"/>
      <c r="U832" s="6"/>
      <c r="V832" s="6"/>
      <c r="W832" s="6"/>
      <c r="X832" s="6" t="s">
        <v>363</v>
      </c>
      <c r="Y832" s="6" t="s">
        <v>141</v>
      </c>
    </row>
    <row r="833" spans="1:25">
      <c r="A833" s="171">
        <v>23</v>
      </c>
      <c r="B833" s="174">
        <v>45047</v>
      </c>
      <c r="C833" s="174">
        <v>45078</v>
      </c>
      <c r="D833" s="174">
        <v>45077</v>
      </c>
      <c r="E833" s="171">
        <v>2023</v>
      </c>
      <c r="F833" s="171">
        <v>5</v>
      </c>
      <c r="G833" s="171">
        <v>31</v>
      </c>
      <c r="H833" s="131"/>
      <c r="I833" s="176"/>
      <c r="J833" s="176"/>
      <c r="K833" s="171"/>
      <c r="L833" s="171" t="s">
        <v>56</v>
      </c>
      <c r="M833" s="171">
        <v>3050</v>
      </c>
      <c r="N833" s="175">
        <v>0</v>
      </c>
      <c r="O833" s="171">
        <v>0</v>
      </c>
      <c r="P833" s="171">
        <v>0</v>
      </c>
      <c r="Q833" s="175">
        <v>0</v>
      </c>
      <c r="R833" s="6"/>
      <c r="S833" s="6"/>
      <c r="T833" s="6"/>
      <c r="U833" s="6"/>
      <c r="V833" s="6"/>
      <c r="W833" s="6"/>
      <c r="X833" s="6" t="s">
        <v>363</v>
      </c>
      <c r="Y833" s="6" t="s">
        <v>141</v>
      </c>
    </row>
    <row r="834" spans="1:25">
      <c r="A834" s="171">
        <v>23</v>
      </c>
      <c r="B834" s="174">
        <v>45047</v>
      </c>
      <c r="C834" s="174">
        <v>45077</v>
      </c>
      <c r="D834" s="174">
        <v>45076</v>
      </c>
      <c r="E834" s="171">
        <v>2023</v>
      </c>
      <c r="F834" s="171">
        <v>5</v>
      </c>
      <c r="G834" s="171">
        <v>30</v>
      </c>
      <c r="H834" s="131"/>
      <c r="I834" s="176"/>
      <c r="J834" s="176"/>
      <c r="K834" s="171"/>
      <c r="L834" s="171" t="s">
        <v>56</v>
      </c>
      <c r="M834" s="171">
        <v>180</v>
      </c>
      <c r="N834" s="175">
        <v>0</v>
      </c>
      <c r="O834" s="171">
        <v>0</v>
      </c>
      <c r="P834" s="171">
        <v>0</v>
      </c>
      <c r="Q834" s="175">
        <v>0</v>
      </c>
      <c r="R834" s="6"/>
      <c r="S834" s="6"/>
      <c r="T834" s="6"/>
      <c r="U834" s="6"/>
      <c r="V834" s="6"/>
      <c r="W834" s="6"/>
      <c r="X834" s="6" t="s">
        <v>363</v>
      </c>
      <c r="Y834" s="6" t="s">
        <v>141</v>
      </c>
    </row>
    <row r="835" spans="1:25">
      <c r="A835" s="171">
        <v>23</v>
      </c>
      <c r="B835" s="174">
        <v>45047</v>
      </c>
      <c r="C835" s="174">
        <v>45077</v>
      </c>
      <c r="D835" s="174">
        <v>45076</v>
      </c>
      <c r="E835" s="171">
        <v>2023</v>
      </c>
      <c r="F835" s="171">
        <v>5</v>
      </c>
      <c r="G835" s="171">
        <v>30</v>
      </c>
      <c r="H835" s="131"/>
      <c r="I835" s="176"/>
      <c r="J835" s="176"/>
      <c r="K835" s="171"/>
      <c r="L835" s="171" t="s">
        <v>56</v>
      </c>
      <c r="M835" s="171">
        <v>2550</v>
      </c>
      <c r="N835" s="175">
        <v>0</v>
      </c>
      <c r="O835" s="171">
        <v>0</v>
      </c>
      <c r="P835" s="171">
        <v>0</v>
      </c>
      <c r="Q835" s="175">
        <v>0</v>
      </c>
      <c r="R835" s="6"/>
      <c r="S835" s="6"/>
      <c r="T835" s="6"/>
      <c r="U835" s="6"/>
      <c r="V835" s="6"/>
      <c r="W835" s="6"/>
      <c r="X835" s="6" t="s">
        <v>363</v>
      </c>
      <c r="Y835" s="6" t="s">
        <v>141</v>
      </c>
    </row>
    <row r="836" spans="1:25">
      <c r="A836" s="171">
        <v>23</v>
      </c>
      <c r="B836" s="174">
        <v>45047</v>
      </c>
      <c r="C836" s="174">
        <v>45078</v>
      </c>
      <c r="D836" s="174">
        <v>45077</v>
      </c>
      <c r="E836" s="171">
        <v>2023</v>
      </c>
      <c r="F836" s="171">
        <v>5</v>
      </c>
      <c r="G836" s="171">
        <v>31</v>
      </c>
      <c r="H836" s="131"/>
      <c r="I836" s="176"/>
      <c r="J836" s="176"/>
      <c r="K836" s="171"/>
      <c r="L836" s="171" t="s">
        <v>56</v>
      </c>
      <c r="M836" s="171">
        <v>530</v>
      </c>
      <c r="N836" s="175">
        <v>0</v>
      </c>
      <c r="O836" s="171">
        <v>0</v>
      </c>
      <c r="P836" s="171">
        <v>0</v>
      </c>
      <c r="Q836" s="175">
        <v>0</v>
      </c>
      <c r="R836" s="6"/>
      <c r="S836" s="6"/>
      <c r="T836" s="6"/>
      <c r="U836" s="6"/>
      <c r="V836" s="6"/>
      <c r="W836" s="6"/>
      <c r="X836" s="6" t="s">
        <v>363</v>
      </c>
      <c r="Y836" s="6" t="s">
        <v>141</v>
      </c>
    </row>
    <row r="837" spans="1:25">
      <c r="A837" s="171">
        <v>23</v>
      </c>
      <c r="B837" s="174">
        <v>45047</v>
      </c>
      <c r="C837" s="174">
        <v>45077</v>
      </c>
      <c r="D837" s="174">
        <v>45076</v>
      </c>
      <c r="E837" s="171">
        <v>2023</v>
      </c>
      <c r="F837" s="171">
        <v>5</v>
      </c>
      <c r="G837" s="171">
        <v>30</v>
      </c>
      <c r="H837" s="131"/>
      <c r="I837" s="176"/>
      <c r="J837" s="176"/>
      <c r="K837" s="171"/>
      <c r="L837" s="171" t="s">
        <v>56</v>
      </c>
      <c r="M837" s="171">
        <v>1500</v>
      </c>
      <c r="N837" s="175">
        <v>0</v>
      </c>
      <c r="O837" s="171">
        <v>0</v>
      </c>
      <c r="P837" s="171">
        <v>0</v>
      </c>
      <c r="Q837" s="175">
        <v>0</v>
      </c>
      <c r="R837" s="6"/>
      <c r="S837" s="6"/>
      <c r="T837" s="6"/>
      <c r="U837" s="6"/>
      <c r="V837" s="6"/>
      <c r="W837" s="6"/>
      <c r="X837" s="6" t="s">
        <v>363</v>
      </c>
      <c r="Y837" s="6" t="s">
        <v>141</v>
      </c>
    </row>
    <row r="838" spans="1:25">
      <c r="A838" s="171">
        <v>23</v>
      </c>
      <c r="B838" s="174">
        <v>45078</v>
      </c>
      <c r="C838" s="174">
        <v>45079</v>
      </c>
      <c r="D838" s="174">
        <v>45078</v>
      </c>
      <c r="E838" s="171">
        <v>2023</v>
      </c>
      <c r="F838" s="171">
        <v>6</v>
      </c>
      <c r="G838" s="171">
        <v>1</v>
      </c>
      <c r="H838" s="131"/>
      <c r="I838" s="176"/>
      <c r="J838" s="176"/>
      <c r="K838" s="171"/>
      <c r="L838" s="171" t="s">
        <v>56</v>
      </c>
      <c r="M838" s="171">
        <v>5000</v>
      </c>
      <c r="N838" s="175">
        <v>0</v>
      </c>
      <c r="O838" s="171">
        <v>0</v>
      </c>
      <c r="P838" s="171">
        <v>0</v>
      </c>
      <c r="Q838" s="175">
        <v>0</v>
      </c>
      <c r="R838" s="6"/>
      <c r="S838" s="6"/>
      <c r="T838" s="6"/>
      <c r="U838" s="6"/>
      <c r="V838" s="6"/>
      <c r="W838" s="6"/>
      <c r="X838" s="6" t="s">
        <v>363</v>
      </c>
      <c r="Y838" s="6" t="s">
        <v>378</v>
      </c>
    </row>
    <row r="839" spans="1:25">
      <c r="A839" s="171">
        <v>23</v>
      </c>
      <c r="B839" s="174">
        <v>45047</v>
      </c>
      <c r="C839" s="174">
        <v>45077</v>
      </c>
      <c r="D839" s="174">
        <v>45076</v>
      </c>
      <c r="E839" s="171">
        <v>2023</v>
      </c>
      <c r="F839" s="171">
        <v>5</v>
      </c>
      <c r="G839" s="171">
        <v>30</v>
      </c>
      <c r="H839" s="131"/>
      <c r="I839" s="176"/>
      <c r="J839" s="176"/>
      <c r="K839" s="171"/>
      <c r="L839" s="171" t="s">
        <v>56</v>
      </c>
      <c r="M839" s="171">
        <v>1300</v>
      </c>
      <c r="N839" s="175">
        <v>0</v>
      </c>
      <c r="O839" s="171">
        <v>0</v>
      </c>
      <c r="P839" s="171">
        <v>0</v>
      </c>
      <c r="Q839" s="175">
        <v>0</v>
      </c>
      <c r="R839" s="6"/>
      <c r="S839" s="6"/>
      <c r="T839" s="6"/>
      <c r="U839" s="6"/>
      <c r="V839" s="6"/>
      <c r="W839" s="6"/>
      <c r="X839" s="6" t="s">
        <v>363</v>
      </c>
      <c r="Y839" s="6" t="s">
        <v>141</v>
      </c>
    </row>
    <row r="840" spans="1:25">
      <c r="A840" s="171">
        <v>23</v>
      </c>
      <c r="B840" s="174">
        <v>45078</v>
      </c>
      <c r="C840" s="174">
        <v>45079</v>
      </c>
      <c r="D840" s="174">
        <v>45078</v>
      </c>
      <c r="E840" s="171">
        <v>2023</v>
      </c>
      <c r="F840" s="171">
        <v>6</v>
      </c>
      <c r="G840" s="171">
        <v>1</v>
      </c>
      <c r="H840" s="131"/>
      <c r="I840" s="176"/>
      <c r="J840" s="176"/>
      <c r="K840" s="171"/>
      <c r="L840" s="171" t="s">
        <v>56</v>
      </c>
      <c r="M840" s="171">
        <v>2200</v>
      </c>
      <c r="N840" s="175">
        <v>0</v>
      </c>
      <c r="O840" s="171">
        <v>0</v>
      </c>
      <c r="P840" s="171">
        <v>0</v>
      </c>
      <c r="Q840" s="175">
        <v>0</v>
      </c>
      <c r="R840" s="6"/>
      <c r="S840" s="6"/>
      <c r="T840" s="6"/>
      <c r="U840" s="6"/>
      <c r="V840" s="6"/>
      <c r="W840" s="6"/>
      <c r="X840" s="6" t="s">
        <v>363</v>
      </c>
      <c r="Y840" s="6" t="s">
        <v>378</v>
      </c>
    </row>
    <row r="841" spans="1:25">
      <c r="A841" s="171">
        <v>23</v>
      </c>
      <c r="B841" s="174">
        <v>45078</v>
      </c>
      <c r="C841" s="174">
        <v>45079</v>
      </c>
      <c r="D841" s="174">
        <v>45078</v>
      </c>
      <c r="E841" s="171">
        <v>2023</v>
      </c>
      <c r="F841" s="171">
        <v>6</v>
      </c>
      <c r="G841" s="171">
        <v>1</v>
      </c>
      <c r="H841" s="131"/>
      <c r="I841" s="176"/>
      <c r="J841" s="176"/>
      <c r="K841" s="171"/>
      <c r="L841" s="171" t="s">
        <v>56</v>
      </c>
      <c r="M841" s="171">
        <v>5000</v>
      </c>
      <c r="N841" s="175">
        <v>0</v>
      </c>
      <c r="O841" s="171">
        <v>0</v>
      </c>
      <c r="P841" s="171">
        <v>0</v>
      </c>
      <c r="Q841" s="175">
        <v>0</v>
      </c>
      <c r="R841" s="6"/>
      <c r="S841" s="6"/>
      <c r="T841" s="6"/>
      <c r="U841" s="6"/>
      <c r="V841" s="6"/>
      <c r="W841" s="6"/>
      <c r="X841" s="6" t="s">
        <v>363</v>
      </c>
      <c r="Y841" s="6" t="s">
        <v>378</v>
      </c>
    </row>
    <row r="842" spans="1:25">
      <c r="A842" s="171">
        <v>23</v>
      </c>
      <c r="B842" s="174">
        <v>45047</v>
      </c>
      <c r="C842" s="174">
        <v>45077</v>
      </c>
      <c r="D842" s="174">
        <v>45076</v>
      </c>
      <c r="E842" s="171">
        <v>2023</v>
      </c>
      <c r="F842" s="171">
        <v>5</v>
      </c>
      <c r="G842" s="171">
        <v>30</v>
      </c>
      <c r="H842" s="131"/>
      <c r="I842" s="176"/>
      <c r="J842" s="176"/>
      <c r="K842" s="171"/>
      <c r="L842" s="171" t="s">
        <v>56</v>
      </c>
      <c r="M842" s="171">
        <v>200</v>
      </c>
      <c r="N842" s="175">
        <v>0</v>
      </c>
      <c r="O842" s="171">
        <v>0</v>
      </c>
      <c r="P842" s="171">
        <v>0</v>
      </c>
      <c r="Q842" s="175">
        <v>0</v>
      </c>
      <c r="R842" s="6"/>
      <c r="S842" s="6"/>
      <c r="T842" s="6"/>
      <c r="U842" s="6"/>
      <c r="V842" s="6"/>
      <c r="W842" s="6"/>
      <c r="X842" s="6" t="s">
        <v>363</v>
      </c>
      <c r="Y842" s="6" t="s">
        <v>141</v>
      </c>
    </row>
    <row r="843" spans="1:25">
      <c r="A843" s="171">
        <v>23</v>
      </c>
      <c r="B843" s="174">
        <v>45047</v>
      </c>
      <c r="C843" s="174">
        <v>45077</v>
      </c>
      <c r="D843" s="174">
        <v>45076</v>
      </c>
      <c r="E843" s="171">
        <v>2023</v>
      </c>
      <c r="F843" s="171">
        <v>5</v>
      </c>
      <c r="G843" s="171">
        <v>30</v>
      </c>
      <c r="H843" s="131"/>
      <c r="I843" s="176"/>
      <c r="J843" s="176"/>
      <c r="K843" s="171"/>
      <c r="L843" s="171" t="s">
        <v>56</v>
      </c>
      <c r="M843" s="171">
        <v>3900</v>
      </c>
      <c r="N843" s="175">
        <v>0</v>
      </c>
      <c r="O843" s="171">
        <v>0</v>
      </c>
      <c r="P843" s="171">
        <v>0</v>
      </c>
      <c r="Q843" s="175">
        <v>0</v>
      </c>
      <c r="R843" s="6"/>
      <c r="S843" s="6"/>
      <c r="T843" s="6"/>
      <c r="U843" s="6"/>
      <c r="V843" s="6"/>
      <c r="W843" s="6"/>
      <c r="X843" s="6" t="s">
        <v>363</v>
      </c>
      <c r="Y843" s="6" t="s">
        <v>141</v>
      </c>
    </row>
    <row r="844" spans="1:25">
      <c r="A844" s="171">
        <v>23</v>
      </c>
      <c r="B844" s="174">
        <v>45047</v>
      </c>
      <c r="C844" s="174">
        <v>45077</v>
      </c>
      <c r="D844" s="174">
        <v>45076</v>
      </c>
      <c r="E844" s="171">
        <v>2023</v>
      </c>
      <c r="F844" s="171">
        <v>5</v>
      </c>
      <c r="G844" s="171">
        <v>30</v>
      </c>
      <c r="H844" s="131"/>
      <c r="I844" s="176"/>
      <c r="J844" s="176"/>
      <c r="K844" s="171"/>
      <c r="L844" s="171" t="s">
        <v>56</v>
      </c>
      <c r="M844" s="171">
        <v>2000</v>
      </c>
      <c r="N844" s="175">
        <v>0</v>
      </c>
      <c r="O844" s="171">
        <v>0</v>
      </c>
      <c r="P844" s="171">
        <v>0</v>
      </c>
      <c r="Q844" s="175">
        <v>0</v>
      </c>
      <c r="R844" s="6"/>
      <c r="S844" s="6"/>
      <c r="T844" s="6"/>
      <c r="U844" s="6"/>
      <c r="V844" s="6"/>
      <c r="W844" s="6"/>
      <c r="X844" s="6" t="s">
        <v>363</v>
      </c>
      <c r="Y844" s="6" t="s">
        <v>141</v>
      </c>
    </row>
    <row r="845" spans="1:25">
      <c r="A845" s="171">
        <v>23</v>
      </c>
      <c r="B845" s="174">
        <v>45047</v>
      </c>
      <c r="C845" s="174">
        <v>45078</v>
      </c>
      <c r="D845" s="174">
        <v>45077</v>
      </c>
      <c r="E845" s="171">
        <v>2023</v>
      </c>
      <c r="F845" s="171">
        <v>5</v>
      </c>
      <c r="G845" s="171">
        <v>31</v>
      </c>
      <c r="H845" s="131"/>
      <c r="I845" s="176"/>
      <c r="J845" s="176"/>
      <c r="K845" s="171"/>
      <c r="L845" s="171" t="s">
        <v>56</v>
      </c>
      <c r="M845" s="171">
        <v>800</v>
      </c>
      <c r="N845" s="175">
        <v>0</v>
      </c>
      <c r="O845" s="171">
        <v>0</v>
      </c>
      <c r="P845" s="171">
        <v>0</v>
      </c>
      <c r="Q845" s="175">
        <v>0</v>
      </c>
      <c r="R845" s="6"/>
      <c r="S845" s="6"/>
      <c r="T845" s="6"/>
      <c r="U845" s="6"/>
      <c r="V845" s="6"/>
      <c r="W845" s="6"/>
      <c r="X845" s="6" t="s">
        <v>363</v>
      </c>
      <c r="Y845" s="6" t="s">
        <v>141</v>
      </c>
    </row>
    <row r="846" spans="1:25">
      <c r="A846" s="171">
        <v>23</v>
      </c>
      <c r="B846" s="174">
        <v>45047</v>
      </c>
      <c r="C846" s="174">
        <v>45077</v>
      </c>
      <c r="D846" s="174">
        <v>45076</v>
      </c>
      <c r="E846" s="171">
        <v>2023</v>
      </c>
      <c r="F846" s="171">
        <v>5</v>
      </c>
      <c r="G846" s="171">
        <v>30</v>
      </c>
      <c r="H846" s="131"/>
      <c r="I846" s="176"/>
      <c r="J846" s="176"/>
      <c r="K846" s="171"/>
      <c r="L846" s="171" t="s">
        <v>56</v>
      </c>
      <c r="M846" s="171">
        <v>2645</v>
      </c>
      <c r="N846" s="175">
        <v>0</v>
      </c>
      <c r="O846" s="171">
        <v>0</v>
      </c>
      <c r="P846" s="171">
        <v>0</v>
      </c>
      <c r="Q846" s="175">
        <v>0</v>
      </c>
      <c r="R846" s="6"/>
      <c r="S846" s="6"/>
      <c r="T846" s="6"/>
      <c r="U846" s="6"/>
      <c r="V846" s="6"/>
      <c r="W846" s="6"/>
      <c r="X846" s="6" t="s">
        <v>363</v>
      </c>
      <c r="Y846" s="6" t="s">
        <v>141</v>
      </c>
    </row>
    <row r="847" spans="1:25">
      <c r="A847" s="171">
        <v>23</v>
      </c>
      <c r="B847" s="174">
        <v>45047</v>
      </c>
      <c r="C847" s="174">
        <v>45077</v>
      </c>
      <c r="D847" s="174">
        <v>45076</v>
      </c>
      <c r="E847" s="171">
        <v>2023</v>
      </c>
      <c r="F847" s="171">
        <v>5</v>
      </c>
      <c r="G847" s="171">
        <v>30</v>
      </c>
      <c r="H847" s="131"/>
      <c r="I847" s="176"/>
      <c r="J847" s="176"/>
      <c r="K847" s="171"/>
      <c r="L847" s="171" t="s">
        <v>56</v>
      </c>
      <c r="M847" s="171">
        <v>6950</v>
      </c>
      <c r="N847" s="175">
        <v>0</v>
      </c>
      <c r="O847" s="171">
        <v>0</v>
      </c>
      <c r="P847" s="171">
        <v>0</v>
      </c>
      <c r="Q847" s="175">
        <v>0</v>
      </c>
      <c r="R847" s="6"/>
      <c r="S847" s="6"/>
      <c r="T847" s="6"/>
      <c r="U847" s="6"/>
      <c r="V847" s="6"/>
      <c r="W847" s="6"/>
      <c r="X847" s="6" t="s">
        <v>363</v>
      </c>
      <c r="Y847" s="6" t="s">
        <v>141</v>
      </c>
    </row>
    <row r="848" spans="1:25">
      <c r="A848" s="171">
        <v>23</v>
      </c>
      <c r="B848" s="174">
        <v>45047</v>
      </c>
      <c r="C848" s="174">
        <v>45077</v>
      </c>
      <c r="D848" s="174">
        <v>45076</v>
      </c>
      <c r="E848" s="171">
        <v>2023</v>
      </c>
      <c r="F848" s="171">
        <v>5</v>
      </c>
      <c r="G848" s="171">
        <v>30</v>
      </c>
      <c r="H848" s="131"/>
      <c r="I848" s="176"/>
      <c r="J848" s="176"/>
      <c r="K848" s="171"/>
      <c r="L848" s="171" t="s">
        <v>56</v>
      </c>
      <c r="M848" s="171">
        <v>3450</v>
      </c>
      <c r="N848" s="175">
        <v>0</v>
      </c>
      <c r="O848" s="171">
        <v>0</v>
      </c>
      <c r="P848" s="171">
        <v>0</v>
      </c>
      <c r="Q848" s="175">
        <v>0</v>
      </c>
      <c r="R848" s="6"/>
      <c r="S848" s="6"/>
      <c r="T848" s="6"/>
      <c r="U848" s="6"/>
      <c r="V848" s="6"/>
      <c r="W848" s="6"/>
      <c r="X848" s="6" t="s">
        <v>363</v>
      </c>
      <c r="Y848" s="6" t="s">
        <v>141</v>
      </c>
    </row>
    <row r="849" spans="1:25">
      <c r="A849" s="171">
        <v>23</v>
      </c>
      <c r="B849" s="174">
        <v>45047</v>
      </c>
      <c r="C849" s="174">
        <v>45078</v>
      </c>
      <c r="D849" s="174">
        <v>45077</v>
      </c>
      <c r="E849" s="171">
        <v>2023</v>
      </c>
      <c r="F849" s="171">
        <v>5</v>
      </c>
      <c r="G849" s="171">
        <v>31</v>
      </c>
      <c r="H849" s="131"/>
      <c r="I849" s="176"/>
      <c r="J849" s="176"/>
      <c r="K849" s="171"/>
      <c r="L849" s="171" t="s">
        <v>56</v>
      </c>
      <c r="M849" s="171">
        <v>300</v>
      </c>
      <c r="N849" s="175">
        <v>0</v>
      </c>
      <c r="O849" s="171">
        <v>0</v>
      </c>
      <c r="P849" s="171">
        <v>0</v>
      </c>
      <c r="Q849" s="175">
        <v>0</v>
      </c>
      <c r="R849" s="6"/>
      <c r="S849" s="6"/>
      <c r="T849" s="6"/>
      <c r="U849" s="6"/>
      <c r="V849" s="6"/>
      <c r="W849" s="6"/>
      <c r="X849" s="6" t="s">
        <v>363</v>
      </c>
      <c r="Y849" s="6" t="s">
        <v>141</v>
      </c>
    </row>
    <row r="850" spans="1:25">
      <c r="A850" s="171">
        <v>23</v>
      </c>
      <c r="B850" s="174">
        <v>45047</v>
      </c>
      <c r="C850" s="174">
        <v>45078</v>
      </c>
      <c r="D850" s="174">
        <v>45077</v>
      </c>
      <c r="E850" s="171">
        <v>2023</v>
      </c>
      <c r="F850" s="171">
        <v>5</v>
      </c>
      <c r="G850" s="171">
        <v>31</v>
      </c>
      <c r="H850" s="131"/>
      <c r="I850" s="176"/>
      <c r="J850" s="176"/>
      <c r="K850" s="171"/>
      <c r="L850" s="171" t="s">
        <v>56</v>
      </c>
      <c r="M850" s="171">
        <v>450</v>
      </c>
      <c r="N850" s="175">
        <v>0</v>
      </c>
      <c r="O850" s="171">
        <v>0</v>
      </c>
      <c r="P850" s="171">
        <v>0</v>
      </c>
      <c r="Q850" s="175">
        <v>0</v>
      </c>
      <c r="R850" s="6"/>
      <c r="S850" s="6"/>
      <c r="T850" s="6"/>
      <c r="U850" s="6"/>
      <c r="V850" s="6"/>
      <c r="W850" s="6"/>
      <c r="X850" s="6" t="s">
        <v>363</v>
      </c>
      <c r="Y850" s="6" t="s">
        <v>141</v>
      </c>
    </row>
    <row r="851" spans="1:25">
      <c r="A851" s="171">
        <v>23</v>
      </c>
      <c r="B851" s="174">
        <v>45047</v>
      </c>
      <c r="C851" s="174">
        <v>45078</v>
      </c>
      <c r="D851" s="174">
        <v>45077</v>
      </c>
      <c r="E851" s="171">
        <v>2023</v>
      </c>
      <c r="F851" s="171">
        <v>5</v>
      </c>
      <c r="G851" s="171">
        <v>31</v>
      </c>
      <c r="H851" s="131"/>
      <c r="I851" s="176"/>
      <c r="J851" s="176"/>
      <c r="K851" s="171"/>
      <c r="L851" s="171" t="s">
        <v>56</v>
      </c>
      <c r="M851" s="171">
        <v>1195</v>
      </c>
      <c r="N851" s="175">
        <v>0</v>
      </c>
      <c r="O851" s="171">
        <v>0</v>
      </c>
      <c r="P851" s="171">
        <v>0</v>
      </c>
      <c r="Q851" s="175">
        <v>0</v>
      </c>
      <c r="R851" s="6"/>
      <c r="S851" s="6"/>
      <c r="T851" s="6"/>
      <c r="U851" s="6"/>
      <c r="V851" s="6"/>
      <c r="W851" s="6"/>
      <c r="X851" s="6" t="s">
        <v>363</v>
      </c>
      <c r="Y851" s="6" t="s">
        <v>141</v>
      </c>
    </row>
    <row r="852" spans="1:25">
      <c r="A852" s="171">
        <v>23</v>
      </c>
      <c r="B852" s="174">
        <v>45047</v>
      </c>
      <c r="C852" s="174">
        <v>45078</v>
      </c>
      <c r="D852" s="174">
        <v>45077</v>
      </c>
      <c r="E852" s="171">
        <v>2023</v>
      </c>
      <c r="F852" s="171">
        <v>5</v>
      </c>
      <c r="G852" s="171">
        <v>31</v>
      </c>
      <c r="H852" s="131"/>
      <c r="I852" s="176"/>
      <c r="J852" s="176"/>
      <c r="K852" s="171"/>
      <c r="L852" s="171" t="s">
        <v>56</v>
      </c>
      <c r="M852" s="171">
        <v>1700</v>
      </c>
      <c r="N852" s="175">
        <v>0</v>
      </c>
      <c r="O852" s="171">
        <v>0</v>
      </c>
      <c r="P852" s="171">
        <v>0</v>
      </c>
      <c r="Q852" s="175">
        <v>0</v>
      </c>
      <c r="R852" s="6"/>
      <c r="S852" s="6"/>
      <c r="T852" s="6"/>
      <c r="U852" s="6"/>
      <c r="V852" s="6"/>
      <c r="W852" s="6"/>
      <c r="X852" s="6" t="s">
        <v>363</v>
      </c>
      <c r="Y852" s="6" t="s">
        <v>141</v>
      </c>
    </row>
    <row r="853" spans="1:25">
      <c r="A853" s="171">
        <v>23</v>
      </c>
      <c r="B853" s="174">
        <v>45047</v>
      </c>
      <c r="C853" s="174">
        <v>45078</v>
      </c>
      <c r="D853" s="174">
        <v>45077</v>
      </c>
      <c r="E853" s="171">
        <v>2023</v>
      </c>
      <c r="F853" s="171">
        <v>5</v>
      </c>
      <c r="G853" s="171">
        <v>31</v>
      </c>
      <c r="H853" s="131"/>
      <c r="I853" s="176"/>
      <c r="J853" s="176"/>
      <c r="K853" s="171"/>
      <c r="L853" s="171" t="s">
        <v>56</v>
      </c>
      <c r="M853" s="171">
        <v>1000</v>
      </c>
      <c r="N853" s="175">
        <v>0</v>
      </c>
      <c r="O853" s="171">
        <v>0</v>
      </c>
      <c r="P853" s="171">
        <v>0</v>
      </c>
      <c r="Q853" s="175">
        <v>0</v>
      </c>
      <c r="R853" s="6"/>
      <c r="S853" s="6"/>
      <c r="T853" s="6"/>
      <c r="U853" s="6"/>
      <c r="V853" s="6"/>
      <c r="W853" s="6"/>
      <c r="X853" s="6" t="s">
        <v>363</v>
      </c>
      <c r="Y853" s="6" t="s">
        <v>141</v>
      </c>
    </row>
    <row r="854" spans="1:25">
      <c r="A854" s="171">
        <v>23</v>
      </c>
      <c r="B854" s="174">
        <v>45047</v>
      </c>
      <c r="C854" s="174">
        <v>45077</v>
      </c>
      <c r="D854" s="174">
        <v>45076</v>
      </c>
      <c r="E854" s="171">
        <v>2023</v>
      </c>
      <c r="F854" s="171">
        <v>5</v>
      </c>
      <c r="G854" s="171">
        <v>30</v>
      </c>
      <c r="H854" s="131"/>
      <c r="I854" s="176"/>
      <c r="J854" s="176"/>
      <c r="K854" s="171"/>
      <c r="L854" s="171" t="s">
        <v>56</v>
      </c>
      <c r="M854" s="171">
        <v>1071</v>
      </c>
      <c r="N854" s="175">
        <v>0</v>
      </c>
      <c r="O854" s="171">
        <v>0</v>
      </c>
      <c r="P854" s="171">
        <v>0</v>
      </c>
      <c r="Q854" s="175">
        <v>0</v>
      </c>
      <c r="R854" s="6"/>
      <c r="S854" s="6"/>
      <c r="T854" s="6"/>
      <c r="U854" s="6"/>
      <c r="V854" s="6"/>
      <c r="W854" s="6"/>
      <c r="X854" s="6" t="s">
        <v>363</v>
      </c>
      <c r="Y854" s="6" t="s">
        <v>141</v>
      </c>
    </row>
    <row r="855" spans="1:25">
      <c r="A855" s="171">
        <v>23</v>
      </c>
      <c r="B855" s="174">
        <v>45078</v>
      </c>
      <c r="C855" s="174">
        <v>45080</v>
      </c>
      <c r="D855" s="174">
        <v>45079</v>
      </c>
      <c r="E855" s="171">
        <v>2023</v>
      </c>
      <c r="F855" s="171">
        <v>6</v>
      </c>
      <c r="G855" s="171">
        <v>2</v>
      </c>
      <c r="H855" s="131"/>
      <c r="I855" s="176"/>
      <c r="J855" s="176"/>
      <c r="K855" s="171"/>
      <c r="L855" s="171" t="s">
        <v>56</v>
      </c>
      <c r="M855" s="171">
        <v>1200</v>
      </c>
      <c r="N855" s="175">
        <v>0</v>
      </c>
      <c r="O855" s="171">
        <v>0</v>
      </c>
      <c r="P855" s="171">
        <v>0</v>
      </c>
      <c r="Q855" s="175">
        <v>0</v>
      </c>
      <c r="R855" s="6"/>
      <c r="S855" s="6"/>
      <c r="T855" s="6"/>
      <c r="U855" s="6"/>
      <c r="V855" s="6"/>
      <c r="W855" s="6"/>
      <c r="X855" s="6" t="s">
        <v>363</v>
      </c>
      <c r="Y855" s="6" t="s">
        <v>378</v>
      </c>
    </row>
    <row r="856" spans="1:25">
      <c r="A856" s="171">
        <v>23</v>
      </c>
      <c r="B856" s="174">
        <v>45078</v>
      </c>
      <c r="C856" s="174">
        <v>45080</v>
      </c>
      <c r="D856" s="174">
        <v>45079</v>
      </c>
      <c r="E856" s="171">
        <v>2023</v>
      </c>
      <c r="F856" s="171">
        <v>6</v>
      </c>
      <c r="G856" s="171">
        <v>2</v>
      </c>
      <c r="H856" s="131"/>
      <c r="I856" s="176"/>
      <c r="J856" s="176"/>
      <c r="K856" s="171"/>
      <c r="L856" s="171" t="s">
        <v>56</v>
      </c>
      <c r="M856" s="171">
        <v>900</v>
      </c>
      <c r="N856" s="175">
        <v>0</v>
      </c>
      <c r="O856" s="171">
        <v>0</v>
      </c>
      <c r="P856" s="171">
        <v>0</v>
      </c>
      <c r="Q856" s="175">
        <v>0</v>
      </c>
      <c r="R856" s="6"/>
      <c r="S856" s="6"/>
      <c r="T856" s="6"/>
      <c r="U856" s="6"/>
      <c r="V856" s="6"/>
      <c r="W856" s="6"/>
      <c r="X856" s="6" t="s">
        <v>363</v>
      </c>
      <c r="Y856" s="6" t="s">
        <v>378</v>
      </c>
    </row>
    <row r="857" spans="1:25">
      <c r="A857" s="171">
        <v>23</v>
      </c>
      <c r="B857" s="174">
        <v>45078</v>
      </c>
      <c r="C857" s="174">
        <v>45080</v>
      </c>
      <c r="D857" s="174">
        <v>45079</v>
      </c>
      <c r="E857" s="171">
        <v>2023</v>
      </c>
      <c r="F857" s="171">
        <v>6</v>
      </c>
      <c r="G857" s="171">
        <v>2</v>
      </c>
      <c r="H857" s="131"/>
      <c r="I857" s="176"/>
      <c r="J857" s="176"/>
      <c r="K857" s="171"/>
      <c r="L857" s="171" t="s">
        <v>56</v>
      </c>
      <c r="M857" s="171">
        <v>2900</v>
      </c>
      <c r="N857" s="175">
        <v>0</v>
      </c>
      <c r="O857" s="171">
        <v>0</v>
      </c>
      <c r="P857" s="171">
        <v>0</v>
      </c>
      <c r="Q857" s="175">
        <v>0</v>
      </c>
      <c r="R857" s="6"/>
      <c r="S857" s="6"/>
      <c r="T857" s="6"/>
      <c r="U857" s="6"/>
      <c r="V857" s="6"/>
      <c r="W857" s="6"/>
      <c r="X857" s="6" t="s">
        <v>363</v>
      </c>
      <c r="Y857" s="6" t="s">
        <v>378</v>
      </c>
    </row>
    <row r="858" spans="1:25">
      <c r="A858" s="171">
        <v>23</v>
      </c>
      <c r="B858" s="174">
        <v>45078</v>
      </c>
      <c r="C858" s="174">
        <v>45080</v>
      </c>
      <c r="D858" s="174">
        <v>45079</v>
      </c>
      <c r="E858" s="171">
        <v>2023</v>
      </c>
      <c r="F858" s="171">
        <v>6</v>
      </c>
      <c r="G858" s="171">
        <v>2</v>
      </c>
      <c r="H858" s="131"/>
      <c r="I858" s="176"/>
      <c r="J858" s="176"/>
      <c r="K858" s="171"/>
      <c r="L858" s="171" t="s">
        <v>56</v>
      </c>
      <c r="M858" s="171">
        <v>2800</v>
      </c>
      <c r="N858" s="175">
        <v>0</v>
      </c>
      <c r="O858" s="171">
        <v>0</v>
      </c>
      <c r="P858" s="171">
        <v>0</v>
      </c>
      <c r="Q858" s="175">
        <v>0</v>
      </c>
      <c r="R858" s="6"/>
      <c r="S858" s="6"/>
      <c r="T858" s="6"/>
      <c r="U858" s="6"/>
      <c r="V858" s="6"/>
      <c r="W858" s="6"/>
      <c r="X858" s="6" t="s">
        <v>363</v>
      </c>
      <c r="Y858" s="6" t="s">
        <v>378</v>
      </c>
    </row>
    <row r="859" spans="1:25">
      <c r="A859" s="171">
        <v>23</v>
      </c>
      <c r="B859" s="174">
        <v>45078</v>
      </c>
      <c r="C859" s="174">
        <v>45079</v>
      </c>
      <c r="D859" s="174">
        <v>45078</v>
      </c>
      <c r="E859" s="171">
        <v>2023</v>
      </c>
      <c r="F859" s="171">
        <v>6</v>
      </c>
      <c r="G859" s="171">
        <v>1</v>
      </c>
      <c r="H859" s="131"/>
      <c r="I859" s="176"/>
      <c r="J859" s="176"/>
      <c r="K859" s="171"/>
      <c r="L859" s="171" t="s">
        <v>56</v>
      </c>
      <c r="M859" s="171">
        <v>3693</v>
      </c>
      <c r="N859" s="175">
        <v>3</v>
      </c>
      <c r="O859" s="171">
        <v>3</v>
      </c>
      <c r="P859" s="171">
        <v>3</v>
      </c>
      <c r="Q859" s="175">
        <v>0</v>
      </c>
      <c r="R859" s="6" t="s">
        <v>157</v>
      </c>
      <c r="S859" s="6" t="s">
        <v>205</v>
      </c>
      <c r="T859" s="6" t="s">
        <v>166</v>
      </c>
      <c r="U859" s="6" t="s">
        <v>169</v>
      </c>
      <c r="V859" s="6"/>
      <c r="W859" s="6"/>
      <c r="X859" s="6" t="s">
        <v>363</v>
      </c>
      <c r="Y859" s="6" t="s">
        <v>378</v>
      </c>
    </row>
    <row r="860" spans="1:25">
      <c r="A860" s="171">
        <v>23</v>
      </c>
      <c r="B860" s="174">
        <v>45078</v>
      </c>
      <c r="C860" s="174">
        <v>45079</v>
      </c>
      <c r="D860" s="174">
        <v>45078</v>
      </c>
      <c r="E860" s="171">
        <v>2023</v>
      </c>
      <c r="F860" s="171">
        <v>6</v>
      </c>
      <c r="G860" s="171">
        <v>1</v>
      </c>
      <c r="H860" s="131"/>
      <c r="I860" s="176"/>
      <c r="J860" s="176"/>
      <c r="K860" s="171"/>
      <c r="L860" s="171" t="s">
        <v>56</v>
      </c>
      <c r="M860" s="171">
        <v>900</v>
      </c>
      <c r="N860" s="175">
        <v>0</v>
      </c>
      <c r="O860" s="171">
        <v>0</v>
      </c>
      <c r="P860" s="171">
        <v>0</v>
      </c>
      <c r="Q860" s="175">
        <v>0</v>
      </c>
      <c r="R860" s="6"/>
      <c r="S860" s="6"/>
      <c r="T860" s="6"/>
      <c r="U860" s="6"/>
      <c r="V860" s="6"/>
      <c r="W860" s="6"/>
      <c r="X860" s="6" t="s">
        <v>363</v>
      </c>
      <c r="Y860" s="6" t="s">
        <v>378</v>
      </c>
    </row>
    <row r="861" spans="1:25">
      <c r="A861" s="171">
        <v>23</v>
      </c>
      <c r="B861" s="174">
        <v>45078</v>
      </c>
      <c r="C861" s="174">
        <v>45079</v>
      </c>
      <c r="D861" s="174">
        <v>45078</v>
      </c>
      <c r="E861" s="171">
        <v>2023</v>
      </c>
      <c r="F861" s="171">
        <v>6</v>
      </c>
      <c r="G861" s="171">
        <v>1</v>
      </c>
      <c r="H861" s="131"/>
      <c r="I861" s="176"/>
      <c r="J861" s="176"/>
      <c r="K861" s="171"/>
      <c r="L861" s="171" t="s">
        <v>56</v>
      </c>
      <c r="M861" s="171">
        <v>3700</v>
      </c>
      <c r="N861" s="175">
        <v>0</v>
      </c>
      <c r="O861" s="171">
        <v>0</v>
      </c>
      <c r="P861" s="171">
        <v>0</v>
      </c>
      <c r="Q861" s="175">
        <v>0</v>
      </c>
      <c r="R861" s="6"/>
      <c r="S861" s="6"/>
      <c r="T861" s="6"/>
      <c r="U861" s="6"/>
      <c r="V861" s="6"/>
      <c r="W861" s="6"/>
      <c r="X861" s="6" t="s">
        <v>363</v>
      </c>
      <c r="Y861" s="6" t="s">
        <v>378</v>
      </c>
    </row>
    <row r="862" spans="1:25">
      <c r="A862" s="171">
        <v>23</v>
      </c>
      <c r="B862" s="174">
        <v>45047</v>
      </c>
      <c r="C862" s="174">
        <v>45076</v>
      </c>
      <c r="D862" s="174">
        <v>45075</v>
      </c>
      <c r="E862" s="171">
        <v>2023</v>
      </c>
      <c r="F862" s="171">
        <v>5</v>
      </c>
      <c r="G862" s="171">
        <v>29</v>
      </c>
      <c r="H862" s="131"/>
      <c r="I862" s="176"/>
      <c r="J862" s="176"/>
      <c r="K862" s="171"/>
      <c r="L862" s="171" t="s">
        <v>56</v>
      </c>
      <c r="M862" s="171">
        <v>2700</v>
      </c>
      <c r="N862" s="175">
        <v>0</v>
      </c>
      <c r="O862" s="171">
        <v>0</v>
      </c>
      <c r="P862" s="171">
        <v>0</v>
      </c>
      <c r="Q862" s="175">
        <v>0</v>
      </c>
      <c r="R862" s="6"/>
      <c r="S862" s="6"/>
      <c r="T862" s="6"/>
      <c r="U862" s="6"/>
      <c r="V862" s="6"/>
      <c r="W862" s="6"/>
      <c r="X862" s="6" t="s">
        <v>363</v>
      </c>
      <c r="Y862" s="6" t="s">
        <v>141</v>
      </c>
    </row>
    <row r="863" spans="1:25">
      <c r="A863" s="171">
        <v>23</v>
      </c>
      <c r="B863" s="174">
        <v>45078</v>
      </c>
      <c r="C863" s="174">
        <v>45079</v>
      </c>
      <c r="D863" s="174">
        <v>45078</v>
      </c>
      <c r="E863" s="171">
        <v>2023</v>
      </c>
      <c r="F863" s="171">
        <v>6</v>
      </c>
      <c r="G863" s="171">
        <v>1</v>
      </c>
      <c r="H863" s="131"/>
      <c r="I863" s="176"/>
      <c r="J863" s="176"/>
      <c r="K863" s="171"/>
      <c r="L863" s="171" t="s">
        <v>56</v>
      </c>
      <c r="M863" s="171">
        <v>820</v>
      </c>
      <c r="N863" s="175">
        <v>0</v>
      </c>
      <c r="O863" s="171">
        <v>0</v>
      </c>
      <c r="P863" s="171">
        <v>0</v>
      </c>
      <c r="Q863" s="175">
        <v>0</v>
      </c>
      <c r="R863" s="6"/>
      <c r="S863" s="6"/>
      <c r="T863" s="6"/>
      <c r="U863" s="6"/>
      <c r="V863" s="6"/>
      <c r="W863" s="6"/>
      <c r="X863" s="6" t="s">
        <v>363</v>
      </c>
      <c r="Y863" s="6" t="s">
        <v>378</v>
      </c>
    </row>
    <row r="864" spans="1:25">
      <c r="A864" s="171">
        <v>23</v>
      </c>
      <c r="B864" s="174">
        <v>45078</v>
      </c>
      <c r="C864" s="174">
        <v>45080</v>
      </c>
      <c r="D864" s="174">
        <v>45079</v>
      </c>
      <c r="E864" s="171">
        <v>2023</v>
      </c>
      <c r="F864" s="171">
        <v>6</v>
      </c>
      <c r="G864" s="171">
        <v>2</v>
      </c>
      <c r="H864" s="131"/>
      <c r="I864" s="176"/>
      <c r="J864" s="176"/>
      <c r="K864" s="171"/>
      <c r="L864" s="171" t="s">
        <v>56</v>
      </c>
      <c r="M864" s="171">
        <v>2311</v>
      </c>
      <c r="N864" s="175">
        <v>1</v>
      </c>
      <c r="O864" s="171">
        <v>1</v>
      </c>
      <c r="P864" s="171">
        <v>1</v>
      </c>
      <c r="Q864" s="175">
        <v>0</v>
      </c>
      <c r="R864" s="6" t="s">
        <v>157</v>
      </c>
      <c r="S864" s="6" t="s">
        <v>205</v>
      </c>
      <c r="T864" s="6" t="s">
        <v>166</v>
      </c>
      <c r="U864" s="6" t="s">
        <v>169</v>
      </c>
      <c r="V864" s="6"/>
      <c r="W864" s="6"/>
      <c r="X864" s="6" t="s">
        <v>363</v>
      </c>
      <c r="Y864" s="6" t="s">
        <v>378</v>
      </c>
    </row>
    <row r="865" spans="1:25">
      <c r="A865" s="171">
        <v>23</v>
      </c>
      <c r="B865" s="174">
        <v>45047</v>
      </c>
      <c r="C865" s="174">
        <v>45078</v>
      </c>
      <c r="D865" s="174">
        <v>45077</v>
      </c>
      <c r="E865" s="171">
        <v>2023</v>
      </c>
      <c r="F865" s="171">
        <v>5</v>
      </c>
      <c r="G865" s="171">
        <v>31</v>
      </c>
      <c r="H865" s="131"/>
      <c r="I865" s="176"/>
      <c r="J865" s="176"/>
      <c r="K865" s="171"/>
      <c r="L865" s="171" t="s">
        <v>56</v>
      </c>
      <c r="M865" s="171">
        <v>500</v>
      </c>
      <c r="N865" s="175">
        <v>0</v>
      </c>
      <c r="O865" s="171">
        <v>0</v>
      </c>
      <c r="P865" s="171">
        <v>0</v>
      </c>
      <c r="Q865" s="175">
        <v>0</v>
      </c>
      <c r="R865" s="6"/>
      <c r="S865" s="6"/>
      <c r="T865" s="6"/>
      <c r="U865" s="6"/>
      <c r="V865" s="6"/>
      <c r="W865" s="6"/>
      <c r="X865" s="6" t="s">
        <v>363</v>
      </c>
      <c r="Y865" s="6" t="s">
        <v>141</v>
      </c>
    </row>
    <row r="866" spans="1:25">
      <c r="A866" s="171">
        <v>23</v>
      </c>
      <c r="B866" s="174">
        <v>45078</v>
      </c>
      <c r="C866" s="174">
        <v>45082</v>
      </c>
      <c r="D866" s="174">
        <v>45080</v>
      </c>
      <c r="E866" s="171">
        <v>2023</v>
      </c>
      <c r="F866" s="171">
        <v>6</v>
      </c>
      <c r="G866" s="171">
        <v>3</v>
      </c>
      <c r="H866" s="131"/>
      <c r="I866" s="176"/>
      <c r="J866" s="176"/>
      <c r="K866" s="171"/>
      <c r="L866" s="171" t="s">
        <v>56</v>
      </c>
      <c r="M866" s="171">
        <v>300</v>
      </c>
      <c r="N866" s="175">
        <v>0</v>
      </c>
      <c r="O866" s="171">
        <v>0</v>
      </c>
      <c r="P866" s="171">
        <v>0</v>
      </c>
      <c r="Q866" s="175">
        <v>0</v>
      </c>
      <c r="R866" s="6"/>
      <c r="S866" s="6"/>
      <c r="T866" s="6"/>
      <c r="U866" s="6"/>
      <c r="V866" s="6"/>
      <c r="W866" s="6"/>
      <c r="X866" s="6" t="s">
        <v>363</v>
      </c>
      <c r="Y866" s="6" t="s">
        <v>378</v>
      </c>
    </row>
    <row r="867" spans="1:25">
      <c r="A867" s="171">
        <v>23</v>
      </c>
      <c r="B867" s="174">
        <v>45047</v>
      </c>
      <c r="C867" s="174">
        <v>45077</v>
      </c>
      <c r="D867" s="174">
        <v>45076</v>
      </c>
      <c r="E867" s="171">
        <v>2023</v>
      </c>
      <c r="F867" s="171">
        <v>5</v>
      </c>
      <c r="G867" s="171">
        <v>30</v>
      </c>
      <c r="H867" s="131"/>
      <c r="I867" s="176"/>
      <c r="J867" s="176"/>
      <c r="K867" s="171"/>
      <c r="L867" s="171" t="s">
        <v>56</v>
      </c>
      <c r="M867" s="171">
        <v>1000</v>
      </c>
      <c r="N867" s="175">
        <v>0</v>
      </c>
      <c r="O867" s="171">
        <v>0</v>
      </c>
      <c r="P867" s="171">
        <v>0</v>
      </c>
      <c r="Q867" s="175">
        <v>0</v>
      </c>
      <c r="R867" s="6"/>
      <c r="S867" s="6"/>
      <c r="T867" s="6"/>
      <c r="U867" s="6"/>
      <c r="V867" s="6"/>
      <c r="W867" s="6"/>
      <c r="X867" s="6" t="s">
        <v>363</v>
      </c>
      <c r="Y867" s="6" t="s">
        <v>141</v>
      </c>
    </row>
    <row r="868" spans="1:25">
      <c r="A868" s="171">
        <v>23</v>
      </c>
      <c r="B868" s="174">
        <v>45047</v>
      </c>
      <c r="C868" s="174">
        <v>45076</v>
      </c>
      <c r="D868" s="174">
        <v>45075</v>
      </c>
      <c r="E868" s="171">
        <v>2023</v>
      </c>
      <c r="F868" s="171">
        <v>5</v>
      </c>
      <c r="G868" s="171">
        <v>29</v>
      </c>
      <c r="H868" s="131"/>
      <c r="I868" s="176"/>
      <c r="J868" s="176"/>
      <c r="K868" s="171"/>
      <c r="L868" s="171" t="s">
        <v>56</v>
      </c>
      <c r="M868" s="171">
        <v>700</v>
      </c>
      <c r="N868" s="175">
        <v>0</v>
      </c>
      <c r="O868" s="171">
        <v>0</v>
      </c>
      <c r="P868" s="171">
        <v>0</v>
      </c>
      <c r="Q868" s="175">
        <v>0</v>
      </c>
      <c r="R868" s="6"/>
      <c r="S868" s="6"/>
      <c r="T868" s="6"/>
      <c r="U868" s="6"/>
      <c r="V868" s="6"/>
      <c r="W868" s="6"/>
      <c r="X868" s="6" t="s">
        <v>363</v>
      </c>
      <c r="Y868" s="6" t="s">
        <v>141</v>
      </c>
    </row>
    <row r="869" spans="1:25">
      <c r="A869" s="171">
        <v>23</v>
      </c>
      <c r="B869" s="174">
        <v>45078</v>
      </c>
      <c r="C869" s="174">
        <v>45080</v>
      </c>
      <c r="D869" s="174">
        <v>45079</v>
      </c>
      <c r="E869" s="171">
        <v>2023</v>
      </c>
      <c r="F869" s="171">
        <v>6</v>
      </c>
      <c r="G869" s="171">
        <v>2</v>
      </c>
      <c r="H869" s="131"/>
      <c r="I869" s="176"/>
      <c r="J869" s="176"/>
      <c r="K869" s="171"/>
      <c r="L869" s="171" t="s">
        <v>56</v>
      </c>
      <c r="M869" s="171">
        <v>2500</v>
      </c>
      <c r="N869" s="175">
        <v>0</v>
      </c>
      <c r="O869" s="171">
        <v>0</v>
      </c>
      <c r="P869" s="171">
        <v>0</v>
      </c>
      <c r="Q869" s="175">
        <v>0</v>
      </c>
      <c r="R869" s="6"/>
      <c r="S869" s="6"/>
      <c r="T869" s="6"/>
      <c r="U869" s="6"/>
      <c r="V869" s="6"/>
      <c r="W869" s="6"/>
      <c r="X869" s="6" t="s">
        <v>363</v>
      </c>
      <c r="Y869" s="6" t="s">
        <v>378</v>
      </c>
    </row>
    <row r="870" spans="1:25">
      <c r="A870" s="171">
        <v>23</v>
      </c>
      <c r="B870" s="174">
        <v>45078</v>
      </c>
      <c r="C870" s="174">
        <v>45080</v>
      </c>
      <c r="D870" s="174">
        <v>45079</v>
      </c>
      <c r="E870" s="171">
        <v>2023</v>
      </c>
      <c r="F870" s="171">
        <v>6</v>
      </c>
      <c r="G870" s="171">
        <v>2</v>
      </c>
      <c r="H870" s="131"/>
      <c r="I870" s="176"/>
      <c r="J870" s="176"/>
      <c r="K870" s="171"/>
      <c r="L870" s="171" t="s">
        <v>56</v>
      </c>
      <c r="M870" s="171">
        <v>3000</v>
      </c>
      <c r="N870" s="175">
        <v>0</v>
      </c>
      <c r="O870" s="171">
        <v>0</v>
      </c>
      <c r="P870" s="171">
        <v>0</v>
      </c>
      <c r="Q870" s="175">
        <v>0</v>
      </c>
      <c r="R870" s="6"/>
      <c r="S870" s="6"/>
      <c r="T870" s="6"/>
      <c r="U870" s="6"/>
      <c r="V870" s="6"/>
      <c r="W870" s="6"/>
      <c r="X870" s="6" t="s">
        <v>363</v>
      </c>
      <c r="Y870" s="6" t="s">
        <v>378</v>
      </c>
    </row>
    <row r="871" spans="1:25">
      <c r="A871" s="171">
        <v>23</v>
      </c>
      <c r="B871" s="174">
        <v>45078</v>
      </c>
      <c r="C871" s="174">
        <v>45082</v>
      </c>
      <c r="D871" s="174">
        <v>45080</v>
      </c>
      <c r="E871" s="171">
        <v>2023</v>
      </c>
      <c r="F871" s="171">
        <v>6</v>
      </c>
      <c r="G871" s="171">
        <v>3</v>
      </c>
      <c r="H871" s="131"/>
      <c r="I871" s="176"/>
      <c r="J871" s="176"/>
      <c r="K871" s="171"/>
      <c r="L871" s="171" t="s">
        <v>56</v>
      </c>
      <c r="M871" s="171">
        <v>1500</v>
      </c>
      <c r="N871" s="175">
        <v>0</v>
      </c>
      <c r="O871" s="171">
        <v>0</v>
      </c>
      <c r="P871" s="171">
        <v>0</v>
      </c>
      <c r="Q871" s="175">
        <v>0</v>
      </c>
      <c r="R871" s="6"/>
      <c r="S871" s="6"/>
      <c r="T871" s="6"/>
      <c r="U871" s="6"/>
      <c r="V871" s="6"/>
      <c r="W871" s="6"/>
      <c r="X871" s="6" t="s">
        <v>363</v>
      </c>
      <c r="Y871" s="6" t="s">
        <v>378</v>
      </c>
    </row>
    <row r="872" spans="1:25">
      <c r="A872" s="171">
        <v>23</v>
      </c>
      <c r="B872" s="174">
        <v>45078</v>
      </c>
      <c r="C872" s="174">
        <v>45082</v>
      </c>
      <c r="D872" s="174">
        <v>45080</v>
      </c>
      <c r="E872" s="171">
        <v>2023</v>
      </c>
      <c r="F872" s="171">
        <v>6</v>
      </c>
      <c r="G872" s="171">
        <v>3</v>
      </c>
      <c r="H872" s="131"/>
      <c r="I872" s="176"/>
      <c r="J872" s="176"/>
      <c r="K872" s="171"/>
      <c r="L872" s="171" t="s">
        <v>56</v>
      </c>
      <c r="M872" s="171">
        <v>6000</v>
      </c>
      <c r="N872" s="175">
        <v>0</v>
      </c>
      <c r="O872" s="171">
        <v>0</v>
      </c>
      <c r="P872" s="171">
        <v>0</v>
      </c>
      <c r="Q872" s="175">
        <v>0</v>
      </c>
      <c r="R872" s="6"/>
      <c r="S872" s="6"/>
      <c r="T872" s="6"/>
      <c r="U872" s="6"/>
      <c r="V872" s="6"/>
      <c r="W872" s="6"/>
      <c r="X872" s="6" t="s">
        <v>363</v>
      </c>
      <c r="Y872" s="6" t="s">
        <v>378</v>
      </c>
    </row>
    <row r="873" spans="1:25">
      <c r="A873" s="171">
        <v>24</v>
      </c>
      <c r="B873" s="174">
        <v>45078</v>
      </c>
      <c r="C873" s="174">
        <v>45090</v>
      </c>
      <c r="D873" s="174">
        <v>45083</v>
      </c>
      <c r="E873" s="171">
        <v>2023</v>
      </c>
      <c r="F873" s="171">
        <v>6</v>
      </c>
      <c r="G873" s="171">
        <v>6</v>
      </c>
      <c r="H873" s="131"/>
      <c r="I873" s="176"/>
      <c r="J873" s="176"/>
      <c r="K873" s="171"/>
      <c r="L873" s="171" t="s">
        <v>56</v>
      </c>
      <c r="M873" s="171">
        <v>100</v>
      </c>
      <c r="N873" s="175">
        <v>0</v>
      </c>
      <c r="O873" s="171">
        <v>0</v>
      </c>
      <c r="P873" s="171">
        <v>0</v>
      </c>
      <c r="Q873" s="175">
        <v>0</v>
      </c>
      <c r="R873" s="6"/>
      <c r="S873" s="6"/>
      <c r="T873" s="6"/>
      <c r="U873" s="6"/>
      <c r="V873" s="6"/>
      <c r="W873" s="6"/>
      <c r="X873" s="6" t="s">
        <v>383</v>
      </c>
      <c r="Y873" s="6" t="s">
        <v>378</v>
      </c>
    </row>
    <row r="874" spans="1:25">
      <c r="A874" s="171">
        <v>24</v>
      </c>
      <c r="B874" s="174">
        <v>45078</v>
      </c>
      <c r="C874" s="174">
        <v>45090</v>
      </c>
      <c r="D874" s="174">
        <v>45085</v>
      </c>
      <c r="E874" s="171">
        <v>2023</v>
      </c>
      <c r="F874" s="171">
        <v>6</v>
      </c>
      <c r="G874" s="171">
        <v>8</v>
      </c>
      <c r="H874" s="131"/>
      <c r="I874" s="176"/>
      <c r="J874" s="176"/>
      <c r="K874" s="171"/>
      <c r="L874" s="171" t="s">
        <v>56</v>
      </c>
      <c r="M874" s="171">
        <v>800</v>
      </c>
      <c r="N874" s="175">
        <v>0</v>
      </c>
      <c r="O874" s="171">
        <v>0</v>
      </c>
      <c r="P874" s="171">
        <v>0</v>
      </c>
      <c r="Q874" s="175">
        <v>0</v>
      </c>
      <c r="R874" s="6"/>
      <c r="S874" s="6"/>
      <c r="T874" s="6"/>
      <c r="U874" s="6"/>
      <c r="V874" s="6"/>
      <c r="W874" s="6"/>
      <c r="X874" s="6" t="s">
        <v>383</v>
      </c>
      <c r="Y874" s="6" t="s">
        <v>378</v>
      </c>
    </row>
    <row r="875" spans="1:25">
      <c r="A875" s="171">
        <v>24</v>
      </c>
      <c r="B875" s="174">
        <v>45078</v>
      </c>
      <c r="C875" s="174">
        <v>45090</v>
      </c>
      <c r="D875" s="174">
        <v>45085</v>
      </c>
      <c r="E875" s="171">
        <v>2023</v>
      </c>
      <c r="F875" s="171">
        <v>6</v>
      </c>
      <c r="G875" s="171">
        <v>8</v>
      </c>
      <c r="H875" s="131"/>
      <c r="I875" s="176"/>
      <c r="J875" s="176"/>
      <c r="K875" s="171"/>
      <c r="L875" s="171" t="s">
        <v>56</v>
      </c>
      <c r="M875" s="171">
        <v>550</v>
      </c>
      <c r="N875" s="175">
        <v>0</v>
      </c>
      <c r="O875" s="171">
        <v>0</v>
      </c>
      <c r="P875" s="171">
        <v>0</v>
      </c>
      <c r="Q875" s="175">
        <v>0</v>
      </c>
      <c r="R875" s="6"/>
      <c r="S875" s="6"/>
      <c r="T875" s="6"/>
      <c r="U875" s="6"/>
      <c r="V875" s="6"/>
      <c r="W875" s="6"/>
      <c r="X875" s="6" t="s">
        <v>383</v>
      </c>
      <c r="Y875" s="6" t="s">
        <v>378</v>
      </c>
    </row>
    <row r="876" spans="1:25">
      <c r="A876" s="171">
        <v>24</v>
      </c>
      <c r="B876" s="174">
        <v>45078</v>
      </c>
      <c r="C876" s="174">
        <v>45090</v>
      </c>
      <c r="D876" s="174">
        <v>45083</v>
      </c>
      <c r="E876" s="171">
        <v>2023</v>
      </c>
      <c r="F876" s="171">
        <v>6</v>
      </c>
      <c r="G876" s="171">
        <v>6</v>
      </c>
      <c r="H876" s="131"/>
      <c r="I876" s="176"/>
      <c r="J876" s="176"/>
      <c r="K876" s="171"/>
      <c r="L876" s="171" t="s">
        <v>56</v>
      </c>
      <c r="M876" s="171">
        <v>300</v>
      </c>
      <c r="N876" s="175">
        <v>0</v>
      </c>
      <c r="O876" s="171">
        <v>0</v>
      </c>
      <c r="P876" s="171">
        <v>0</v>
      </c>
      <c r="Q876" s="175">
        <v>0</v>
      </c>
      <c r="R876" s="6"/>
      <c r="S876" s="6"/>
      <c r="T876" s="6"/>
      <c r="U876" s="6"/>
      <c r="V876" s="6"/>
      <c r="W876" s="6"/>
      <c r="X876" s="6" t="s">
        <v>383</v>
      </c>
      <c r="Y876" s="6" t="s">
        <v>378</v>
      </c>
    </row>
    <row r="877" spans="1:25">
      <c r="A877" s="171">
        <v>24</v>
      </c>
      <c r="B877" s="174">
        <v>45078</v>
      </c>
      <c r="C877" s="174">
        <v>45090</v>
      </c>
      <c r="D877" s="174">
        <v>45082</v>
      </c>
      <c r="E877" s="171">
        <v>2023</v>
      </c>
      <c r="F877" s="171">
        <v>6</v>
      </c>
      <c r="G877" s="171">
        <v>5</v>
      </c>
      <c r="H877" s="131"/>
      <c r="I877" s="176"/>
      <c r="J877" s="176"/>
      <c r="K877" s="171"/>
      <c r="L877" s="171" t="s">
        <v>56</v>
      </c>
      <c r="M877" s="171">
        <v>500</v>
      </c>
      <c r="N877" s="175">
        <v>0</v>
      </c>
      <c r="O877" s="171">
        <v>0</v>
      </c>
      <c r="P877" s="171">
        <v>0</v>
      </c>
      <c r="Q877" s="175">
        <v>0</v>
      </c>
      <c r="R877" s="6"/>
      <c r="S877" s="6"/>
      <c r="T877" s="6"/>
      <c r="U877" s="6"/>
      <c r="V877" s="6"/>
      <c r="W877" s="6"/>
      <c r="X877" s="6" t="s">
        <v>383</v>
      </c>
      <c r="Y877" s="6" t="s">
        <v>378</v>
      </c>
    </row>
    <row r="878" spans="1:25">
      <c r="A878" s="171">
        <v>24</v>
      </c>
      <c r="B878" s="174">
        <v>45078</v>
      </c>
      <c r="C878" s="174">
        <v>45090</v>
      </c>
      <c r="D878" s="174">
        <v>45084</v>
      </c>
      <c r="E878" s="171">
        <v>2023</v>
      </c>
      <c r="F878" s="171">
        <v>6</v>
      </c>
      <c r="G878" s="171">
        <v>7</v>
      </c>
      <c r="H878" s="131"/>
      <c r="I878" s="176"/>
      <c r="J878" s="176"/>
      <c r="K878" s="171"/>
      <c r="L878" s="171" t="s">
        <v>56</v>
      </c>
      <c r="M878" s="171">
        <v>10000</v>
      </c>
      <c r="N878" s="175">
        <v>0</v>
      </c>
      <c r="O878" s="171">
        <v>0</v>
      </c>
      <c r="P878" s="171">
        <v>0</v>
      </c>
      <c r="Q878" s="175">
        <v>0</v>
      </c>
      <c r="R878" s="6"/>
      <c r="S878" s="6"/>
      <c r="T878" s="6"/>
      <c r="U878" s="6"/>
      <c r="V878" s="6"/>
      <c r="W878" s="6"/>
      <c r="X878" s="6" t="s">
        <v>383</v>
      </c>
      <c r="Y878" s="6" t="s">
        <v>378</v>
      </c>
    </row>
    <row r="879" spans="1:25">
      <c r="A879" s="171">
        <v>24</v>
      </c>
      <c r="B879" s="174">
        <v>45078</v>
      </c>
      <c r="C879" s="174">
        <v>45090</v>
      </c>
      <c r="D879" s="174">
        <v>45082</v>
      </c>
      <c r="E879" s="171">
        <v>2023</v>
      </c>
      <c r="F879" s="171">
        <v>6</v>
      </c>
      <c r="G879" s="171">
        <v>5</v>
      </c>
      <c r="H879" s="131"/>
      <c r="I879" s="176"/>
      <c r="J879" s="176"/>
      <c r="K879" s="171"/>
      <c r="L879" s="171" t="s">
        <v>56</v>
      </c>
      <c r="M879" s="171">
        <v>1750</v>
      </c>
      <c r="N879" s="175">
        <v>0</v>
      </c>
      <c r="O879" s="171">
        <v>0</v>
      </c>
      <c r="P879" s="171">
        <v>0</v>
      </c>
      <c r="Q879" s="175">
        <v>0</v>
      </c>
      <c r="R879" s="6"/>
      <c r="S879" s="6"/>
      <c r="T879" s="6"/>
      <c r="U879" s="6"/>
      <c r="V879" s="6"/>
      <c r="W879" s="6"/>
      <c r="X879" s="6" t="s">
        <v>383</v>
      </c>
      <c r="Y879" s="6" t="s">
        <v>378</v>
      </c>
    </row>
    <row r="880" spans="1:25">
      <c r="A880" s="171">
        <v>24</v>
      </c>
      <c r="B880" s="174">
        <v>45078</v>
      </c>
      <c r="C880" s="174">
        <v>45090</v>
      </c>
      <c r="D880" s="174">
        <v>45083</v>
      </c>
      <c r="E880" s="171">
        <v>2023</v>
      </c>
      <c r="F880" s="171">
        <v>6</v>
      </c>
      <c r="G880" s="171">
        <v>6</v>
      </c>
      <c r="H880" s="131"/>
      <c r="I880" s="176"/>
      <c r="J880" s="176"/>
      <c r="K880" s="171"/>
      <c r="L880" s="171" t="s">
        <v>56</v>
      </c>
      <c r="M880" s="171">
        <v>5550</v>
      </c>
      <c r="N880" s="175">
        <v>0</v>
      </c>
      <c r="O880" s="171">
        <v>0</v>
      </c>
      <c r="P880" s="171">
        <v>0</v>
      </c>
      <c r="Q880" s="175">
        <v>0</v>
      </c>
      <c r="R880" s="6"/>
      <c r="S880" s="6"/>
      <c r="T880" s="6"/>
      <c r="U880" s="6"/>
      <c r="V880" s="6"/>
      <c r="W880" s="6"/>
      <c r="X880" s="6" t="s">
        <v>383</v>
      </c>
      <c r="Y880" s="6" t="s">
        <v>378</v>
      </c>
    </row>
    <row r="881" spans="1:25">
      <c r="A881" s="171">
        <v>24</v>
      </c>
      <c r="B881" s="174">
        <v>45078</v>
      </c>
      <c r="C881" s="174">
        <v>45090</v>
      </c>
      <c r="D881" s="174">
        <v>45082</v>
      </c>
      <c r="E881" s="171">
        <v>2023</v>
      </c>
      <c r="F881" s="171">
        <v>6</v>
      </c>
      <c r="G881" s="171">
        <v>5</v>
      </c>
      <c r="H881" s="131"/>
      <c r="I881" s="176"/>
      <c r="J881" s="176"/>
      <c r="K881" s="171"/>
      <c r="L881" s="171" t="s">
        <v>56</v>
      </c>
      <c r="M881" s="171">
        <v>50</v>
      </c>
      <c r="N881" s="175">
        <v>0</v>
      </c>
      <c r="O881" s="171">
        <v>0</v>
      </c>
      <c r="P881" s="171">
        <v>0</v>
      </c>
      <c r="Q881" s="175">
        <v>0</v>
      </c>
      <c r="R881" s="6"/>
      <c r="S881" s="6"/>
      <c r="T881" s="6"/>
      <c r="U881" s="6"/>
      <c r="V881" s="6"/>
      <c r="W881" s="6"/>
      <c r="X881" s="6" t="s">
        <v>383</v>
      </c>
      <c r="Y881" s="6" t="s">
        <v>378</v>
      </c>
    </row>
    <row r="882" spans="1:25">
      <c r="A882" s="171">
        <v>24</v>
      </c>
      <c r="B882" s="174">
        <v>45078</v>
      </c>
      <c r="C882" s="174">
        <v>45090</v>
      </c>
      <c r="D882" s="174">
        <v>45085</v>
      </c>
      <c r="E882" s="171">
        <v>2023</v>
      </c>
      <c r="F882" s="171">
        <v>6</v>
      </c>
      <c r="G882" s="171">
        <v>8</v>
      </c>
      <c r="H882" s="131"/>
      <c r="I882" s="176"/>
      <c r="J882" s="176"/>
      <c r="K882" s="171"/>
      <c r="L882" s="171" t="s">
        <v>56</v>
      </c>
      <c r="M882" s="171">
        <v>4000</v>
      </c>
      <c r="N882" s="175">
        <v>0</v>
      </c>
      <c r="O882" s="171">
        <v>0</v>
      </c>
      <c r="P882" s="171">
        <v>0</v>
      </c>
      <c r="Q882" s="175">
        <v>0</v>
      </c>
      <c r="R882" s="6"/>
      <c r="S882" s="6"/>
      <c r="T882" s="6"/>
      <c r="U882" s="6"/>
      <c r="V882" s="6"/>
      <c r="W882" s="6"/>
      <c r="X882" s="6" t="s">
        <v>383</v>
      </c>
      <c r="Y882" s="6" t="s">
        <v>378</v>
      </c>
    </row>
    <row r="883" spans="1:25">
      <c r="A883" s="171">
        <v>24</v>
      </c>
      <c r="B883" s="174">
        <v>45078</v>
      </c>
      <c r="C883" s="174">
        <v>45090</v>
      </c>
      <c r="D883" s="174">
        <v>45084</v>
      </c>
      <c r="E883" s="171">
        <v>2023</v>
      </c>
      <c r="F883" s="171">
        <v>6</v>
      </c>
      <c r="G883" s="171">
        <v>7</v>
      </c>
      <c r="H883" s="131"/>
      <c r="I883" s="176"/>
      <c r="J883" s="176"/>
      <c r="K883" s="171"/>
      <c r="L883" s="171" t="s">
        <v>56</v>
      </c>
      <c r="M883" s="171">
        <v>1000</v>
      </c>
      <c r="N883" s="175">
        <v>0</v>
      </c>
      <c r="O883" s="171">
        <v>0</v>
      </c>
      <c r="P883" s="171">
        <v>0</v>
      </c>
      <c r="Q883" s="175">
        <v>0</v>
      </c>
      <c r="R883" s="6"/>
      <c r="S883" s="6"/>
      <c r="T883" s="6"/>
      <c r="U883" s="6"/>
      <c r="V883" s="6"/>
      <c r="W883" s="6"/>
      <c r="X883" s="6" t="s">
        <v>383</v>
      </c>
      <c r="Y883" s="6" t="s">
        <v>378</v>
      </c>
    </row>
    <row r="884" spans="1:25">
      <c r="A884" s="171">
        <v>24</v>
      </c>
      <c r="B884" s="174">
        <v>45078</v>
      </c>
      <c r="C884" s="174">
        <v>45090</v>
      </c>
      <c r="D884" s="174">
        <v>45082</v>
      </c>
      <c r="E884" s="171">
        <v>2023</v>
      </c>
      <c r="F884" s="171">
        <v>6</v>
      </c>
      <c r="G884" s="171">
        <v>5</v>
      </c>
      <c r="H884" s="131"/>
      <c r="I884" s="176"/>
      <c r="J884" s="176"/>
      <c r="K884" s="171"/>
      <c r="L884" s="171" t="s">
        <v>56</v>
      </c>
      <c r="M884" s="171">
        <v>4700</v>
      </c>
      <c r="N884" s="175">
        <v>0</v>
      </c>
      <c r="O884" s="171">
        <v>0</v>
      </c>
      <c r="P884" s="171">
        <v>0</v>
      </c>
      <c r="Q884" s="175">
        <v>0</v>
      </c>
      <c r="R884" s="6"/>
      <c r="S884" s="6"/>
      <c r="T884" s="6"/>
      <c r="U884" s="6"/>
      <c r="V884" s="6"/>
      <c r="W884" s="6"/>
      <c r="X884" s="6" t="s">
        <v>383</v>
      </c>
      <c r="Y884" s="6" t="s">
        <v>378</v>
      </c>
    </row>
    <row r="885" spans="1:25">
      <c r="A885" s="171">
        <v>24</v>
      </c>
      <c r="B885" s="174">
        <v>45078</v>
      </c>
      <c r="C885" s="174">
        <v>45090</v>
      </c>
      <c r="D885" s="174">
        <v>45084</v>
      </c>
      <c r="E885" s="171">
        <v>2023</v>
      </c>
      <c r="F885" s="171">
        <v>6</v>
      </c>
      <c r="G885" s="171">
        <v>7</v>
      </c>
      <c r="H885" s="131"/>
      <c r="I885" s="176"/>
      <c r="J885" s="176"/>
      <c r="K885" s="171"/>
      <c r="L885" s="171" t="s">
        <v>56</v>
      </c>
      <c r="M885" s="171">
        <v>200</v>
      </c>
      <c r="N885" s="175">
        <v>0</v>
      </c>
      <c r="O885" s="171">
        <v>0</v>
      </c>
      <c r="P885" s="171">
        <v>0</v>
      </c>
      <c r="Q885" s="175">
        <v>0</v>
      </c>
      <c r="R885" s="6"/>
      <c r="S885" s="6"/>
      <c r="T885" s="6"/>
      <c r="U885" s="6"/>
      <c r="V885" s="6"/>
      <c r="W885" s="6"/>
      <c r="X885" s="6" t="s">
        <v>383</v>
      </c>
      <c r="Y885" s="6" t="s">
        <v>378</v>
      </c>
    </row>
    <row r="886" spans="1:25">
      <c r="A886" s="171">
        <v>24</v>
      </c>
      <c r="B886" s="174">
        <v>45078</v>
      </c>
      <c r="C886" s="174">
        <v>45090</v>
      </c>
      <c r="D886" s="174">
        <v>45085</v>
      </c>
      <c r="E886" s="171">
        <v>2023</v>
      </c>
      <c r="F886" s="171">
        <v>6</v>
      </c>
      <c r="G886" s="171">
        <v>8</v>
      </c>
      <c r="H886" s="131"/>
      <c r="I886" s="176"/>
      <c r="J886" s="176"/>
      <c r="K886" s="171" t="s">
        <v>199</v>
      </c>
      <c r="L886" s="171" t="s">
        <v>56</v>
      </c>
      <c r="M886" s="171">
        <v>400</v>
      </c>
      <c r="N886" s="175">
        <v>0</v>
      </c>
      <c r="O886" s="171">
        <v>0</v>
      </c>
      <c r="P886" s="171">
        <v>0</v>
      </c>
      <c r="Q886" s="175">
        <v>0</v>
      </c>
      <c r="R886" s="6" t="s">
        <v>160</v>
      </c>
      <c r="S886" s="6" t="s">
        <v>256</v>
      </c>
      <c r="T886" s="6" t="s">
        <v>314</v>
      </c>
      <c r="U886" s="6" t="s">
        <v>240</v>
      </c>
      <c r="V886" s="6"/>
      <c r="W886" s="6" t="s">
        <v>384</v>
      </c>
      <c r="X886" s="6" t="s">
        <v>383</v>
      </c>
      <c r="Y886" s="6" t="s">
        <v>378</v>
      </c>
    </row>
    <row r="887" spans="1:25">
      <c r="A887" s="171">
        <v>24</v>
      </c>
      <c r="B887" s="174">
        <v>45078</v>
      </c>
      <c r="C887" s="174">
        <v>45090</v>
      </c>
      <c r="D887" s="174">
        <v>45082</v>
      </c>
      <c r="E887" s="171">
        <v>2023</v>
      </c>
      <c r="F887" s="171">
        <v>6</v>
      </c>
      <c r="G887" s="171">
        <v>5</v>
      </c>
      <c r="H887" s="131"/>
      <c r="I887" s="176"/>
      <c r="J887" s="176"/>
      <c r="K887" s="171"/>
      <c r="L887" s="171" t="s">
        <v>56</v>
      </c>
      <c r="M887" s="171">
        <v>1101</v>
      </c>
      <c r="N887" s="175">
        <v>1</v>
      </c>
      <c r="O887" s="171">
        <v>1</v>
      </c>
      <c r="P887" s="171">
        <v>0</v>
      </c>
      <c r="Q887" s="175">
        <v>1</v>
      </c>
      <c r="R887" s="6" t="s">
        <v>160</v>
      </c>
      <c r="S887" s="6" t="s">
        <v>161</v>
      </c>
      <c r="T887" s="6" t="s">
        <v>198</v>
      </c>
      <c r="U887" s="6" t="s">
        <v>172</v>
      </c>
      <c r="V887" s="6"/>
      <c r="W887" s="6"/>
      <c r="X887" s="6" t="s">
        <v>383</v>
      </c>
      <c r="Y887" s="6" t="s">
        <v>378</v>
      </c>
    </row>
    <row r="888" spans="1:25">
      <c r="A888" s="171">
        <v>24</v>
      </c>
      <c r="B888" s="174">
        <v>45078</v>
      </c>
      <c r="C888" s="174">
        <v>45090</v>
      </c>
      <c r="D888" s="174">
        <v>45084</v>
      </c>
      <c r="E888" s="171">
        <v>2023</v>
      </c>
      <c r="F888" s="171">
        <v>6</v>
      </c>
      <c r="G888" s="171">
        <v>7</v>
      </c>
      <c r="H888" s="131"/>
      <c r="I888" s="176"/>
      <c r="J888" s="176"/>
      <c r="K888" s="171"/>
      <c r="L888" s="171" t="s">
        <v>56</v>
      </c>
      <c r="M888" s="171">
        <v>220</v>
      </c>
      <c r="N888" s="175">
        <v>0</v>
      </c>
      <c r="O888" s="171">
        <v>0</v>
      </c>
      <c r="P888" s="171">
        <v>0</v>
      </c>
      <c r="Q888" s="175">
        <v>0</v>
      </c>
      <c r="R888" s="6"/>
      <c r="S888" s="6"/>
      <c r="T888" s="6"/>
      <c r="U888" s="6"/>
      <c r="V888" s="6"/>
      <c r="W888" s="6"/>
      <c r="X888" s="6" t="s">
        <v>383</v>
      </c>
      <c r="Y888" s="6" t="s">
        <v>378</v>
      </c>
    </row>
    <row r="889" spans="1:25">
      <c r="A889" s="171">
        <v>24</v>
      </c>
      <c r="B889" s="174">
        <v>45078</v>
      </c>
      <c r="C889" s="174">
        <v>45089</v>
      </c>
      <c r="D889" s="174">
        <v>45086</v>
      </c>
      <c r="E889" s="171">
        <v>2023</v>
      </c>
      <c r="F889" s="171">
        <v>6</v>
      </c>
      <c r="G889" s="171">
        <v>9</v>
      </c>
      <c r="H889" s="131"/>
      <c r="I889" s="176"/>
      <c r="J889" s="176"/>
      <c r="K889" s="171"/>
      <c r="L889" s="171" t="s">
        <v>56</v>
      </c>
      <c r="M889" s="171">
        <v>700</v>
      </c>
      <c r="N889" s="175">
        <v>0</v>
      </c>
      <c r="O889" s="171">
        <v>0</v>
      </c>
      <c r="P889" s="171">
        <v>0</v>
      </c>
      <c r="Q889" s="175">
        <v>0</v>
      </c>
      <c r="R889" s="6"/>
      <c r="S889" s="6"/>
      <c r="T889" s="6"/>
      <c r="U889" s="6"/>
      <c r="V889" s="6"/>
      <c r="W889" s="6"/>
      <c r="X889" s="6" t="s">
        <v>383</v>
      </c>
      <c r="Y889" s="6" t="s">
        <v>378</v>
      </c>
    </row>
    <row r="890" spans="1:25">
      <c r="A890" s="171">
        <v>24</v>
      </c>
      <c r="B890" s="174">
        <v>45078</v>
      </c>
      <c r="C890" s="174">
        <v>45089</v>
      </c>
      <c r="D890" s="174">
        <v>45086</v>
      </c>
      <c r="E890" s="171">
        <v>2023</v>
      </c>
      <c r="F890" s="171">
        <v>6</v>
      </c>
      <c r="G890" s="171">
        <v>9</v>
      </c>
      <c r="H890" s="131"/>
      <c r="I890" s="176"/>
      <c r="J890" s="176"/>
      <c r="K890" s="171"/>
      <c r="L890" s="171" t="s">
        <v>56</v>
      </c>
      <c r="M890" s="171">
        <v>1200</v>
      </c>
      <c r="N890" s="175">
        <v>0</v>
      </c>
      <c r="O890" s="171">
        <v>0</v>
      </c>
      <c r="P890" s="171">
        <v>0</v>
      </c>
      <c r="Q890" s="175">
        <v>0</v>
      </c>
      <c r="R890" s="6"/>
      <c r="S890" s="6"/>
      <c r="T890" s="6"/>
      <c r="U890" s="6"/>
      <c r="V890" s="6"/>
      <c r="W890" s="6"/>
      <c r="X890" s="6" t="s">
        <v>383</v>
      </c>
      <c r="Y890" s="6" t="s">
        <v>378</v>
      </c>
    </row>
    <row r="891" spans="1:25">
      <c r="A891" s="171">
        <v>24</v>
      </c>
      <c r="B891" s="174">
        <v>45078</v>
      </c>
      <c r="C891" s="174">
        <v>45090</v>
      </c>
      <c r="D891" s="174">
        <v>45083</v>
      </c>
      <c r="E891" s="171">
        <v>2023</v>
      </c>
      <c r="F891" s="171">
        <v>6</v>
      </c>
      <c r="G891" s="171">
        <v>6</v>
      </c>
      <c r="H891" s="131"/>
      <c r="I891" s="176"/>
      <c r="J891" s="176"/>
      <c r="K891" s="171"/>
      <c r="L891" s="171" t="s">
        <v>56</v>
      </c>
      <c r="M891" s="171">
        <v>280</v>
      </c>
      <c r="N891" s="175">
        <v>0</v>
      </c>
      <c r="O891" s="171">
        <v>0</v>
      </c>
      <c r="P891" s="171">
        <v>0</v>
      </c>
      <c r="Q891" s="175">
        <v>0</v>
      </c>
      <c r="R891" s="6"/>
      <c r="S891" s="6"/>
      <c r="T891" s="6"/>
      <c r="U891" s="6"/>
      <c r="V891" s="6"/>
      <c r="W891" s="6"/>
      <c r="X891" s="6" t="s">
        <v>383</v>
      </c>
      <c r="Y891" s="6" t="s">
        <v>378</v>
      </c>
    </row>
    <row r="892" spans="1:25">
      <c r="A892" s="171">
        <v>24</v>
      </c>
      <c r="B892" s="174">
        <v>45078</v>
      </c>
      <c r="C892" s="174">
        <v>45090</v>
      </c>
      <c r="D892" s="174">
        <v>45082</v>
      </c>
      <c r="E892" s="171">
        <v>2023</v>
      </c>
      <c r="F892" s="171">
        <v>6</v>
      </c>
      <c r="G892" s="171">
        <v>5</v>
      </c>
      <c r="H892" s="131"/>
      <c r="I892" s="176"/>
      <c r="J892" s="176"/>
      <c r="K892" s="171"/>
      <c r="L892" s="171" t="s">
        <v>52</v>
      </c>
      <c r="M892" s="171">
        <v>1000</v>
      </c>
      <c r="N892" s="175">
        <v>0</v>
      </c>
      <c r="O892" s="171">
        <v>0</v>
      </c>
      <c r="P892" s="171">
        <v>0</v>
      </c>
      <c r="Q892" s="175">
        <v>0</v>
      </c>
      <c r="R892" s="6"/>
      <c r="S892" s="6"/>
      <c r="T892" s="6"/>
      <c r="U892" s="6"/>
      <c r="V892" s="6"/>
      <c r="W892" s="6"/>
      <c r="X892" s="6" t="s">
        <v>385</v>
      </c>
      <c r="Y892" s="6" t="s">
        <v>380</v>
      </c>
    </row>
    <row r="893" spans="1:25">
      <c r="A893" s="171">
        <v>24</v>
      </c>
      <c r="B893" s="174">
        <v>45078</v>
      </c>
      <c r="C893" s="174">
        <v>45090</v>
      </c>
      <c r="D893" s="174">
        <v>45082</v>
      </c>
      <c r="E893" s="171">
        <v>2023</v>
      </c>
      <c r="F893" s="171">
        <v>6</v>
      </c>
      <c r="G893" s="171">
        <v>5</v>
      </c>
      <c r="H893" s="131"/>
      <c r="I893" s="176"/>
      <c r="J893" s="176"/>
      <c r="K893" s="171" t="s">
        <v>199</v>
      </c>
      <c r="L893" s="171" t="s">
        <v>56</v>
      </c>
      <c r="M893" s="171">
        <v>600</v>
      </c>
      <c r="N893" s="175">
        <v>0</v>
      </c>
      <c r="O893" s="171">
        <v>0</v>
      </c>
      <c r="P893" s="171">
        <v>0</v>
      </c>
      <c r="Q893" s="175">
        <v>0</v>
      </c>
      <c r="R893" s="6" t="s">
        <v>160</v>
      </c>
      <c r="S893" s="6" t="s">
        <v>256</v>
      </c>
      <c r="T893" s="6" t="s">
        <v>314</v>
      </c>
      <c r="U893" s="6" t="s">
        <v>240</v>
      </c>
      <c r="V893" s="6"/>
      <c r="W893" s="6" t="s">
        <v>308</v>
      </c>
      <c r="X893" s="6" t="s">
        <v>383</v>
      </c>
      <c r="Y893" s="6" t="s">
        <v>378</v>
      </c>
    </row>
    <row r="894" spans="1:25">
      <c r="A894" s="171">
        <v>24</v>
      </c>
      <c r="B894" s="174">
        <v>45078</v>
      </c>
      <c r="C894" s="174">
        <v>45090</v>
      </c>
      <c r="D894" s="174">
        <v>45082</v>
      </c>
      <c r="E894" s="171">
        <v>2023</v>
      </c>
      <c r="F894" s="171">
        <v>6</v>
      </c>
      <c r="G894" s="171">
        <v>5</v>
      </c>
      <c r="H894" s="131"/>
      <c r="I894" s="176"/>
      <c r="J894" s="176"/>
      <c r="K894" s="171" t="s">
        <v>199</v>
      </c>
      <c r="L894" s="171" t="s">
        <v>56</v>
      </c>
      <c r="M894" s="171">
        <v>600</v>
      </c>
      <c r="N894" s="175">
        <v>0</v>
      </c>
      <c r="O894" s="171">
        <v>0</v>
      </c>
      <c r="P894" s="171">
        <v>0</v>
      </c>
      <c r="Q894" s="175">
        <v>0</v>
      </c>
      <c r="R894" s="6" t="s">
        <v>160</v>
      </c>
      <c r="S894" s="6" t="s">
        <v>256</v>
      </c>
      <c r="T894" s="6" t="s">
        <v>314</v>
      </c>
      <c r="U894" s="6" t="s">
        <v>240</v>
      </c>
      <c r="V894" s="6"/>
      <c r="W894" s="6" t="s">
        <v>308</v>
      </c>
      <c r="X894" s="6" t="s">
        <v>383</v>
      </c>
      <c r="Y894" s="6" t="s">
        <v>378</v>
      </c>
    </row>
    <row r="895" spans="1:25">
      <c r="A895" s="171">
        <v>24</v>
      </c>
      <c r="B895" s="174">
        <v>45078</v>
      </c>
      <c r="C895" s="174">
        <v>45090</v>
      </c>
      <c r="D895" s="174">
        <v>45084</v>
      </c>
      <c r="E895" s="171">
        <v>2023</v>
      </c>
      <c r="F895" s="171">
        <v>6</v>
      </c>
      <c r="G895" s="171">
        <v>7</v>
      </c>
      <c r="H895" s="131"/>
      <c r="I895" s="176"/>
      <c r="J895" s="176"/>
      <c r="K895" s="171" t="s">
        <v>199</v>
      </c>
      <c r="L895" s="171" t="s">
        <v>56</v>
      </c>
      <c r="M895" s="171">
        <v>403</v>
      </c>
      <c r="N895" s="175">
        <v>3</v>
      </c>
      <c r="O895" s="171">
        <v>3</v>
      </c>
      <c r="P895" s="171">
        <v>0</v>
      </c>
      <c r="Q895" s="175">
        <v>3</v>
      </c>
      <c r="R895" s="6" t="s">
        <v>160</v>
      </c>
      <c r="S895" s="6" t="s">
        <v>205</v>
      </c>
      <c r="T895" s="6" t="s">
        <v>314</v>
      </c>
      <c r="U895" s="6" t="s">
        <v>322</v>
      </c>
      <c r="V895" s="6"/>
      <c r="W895" s="6"/>
      <c r="X895" s="6" t="s">
        <v>383</v>
      </c>
      <c r="Y895" s="6" t="s">
        <v>378</v>
      </c>
    </row>
    <row r="896" spans="1:25">
      <c r="A896" s="171">
        <v>24</v>
      </c>
      <c r="B896" s="174">
        <v>45078</v>
      </c>
      <c r="C896" s="174">
        <v>45090</v>
      </c>
      <c r="D896" s="174">
        <v>45084</v>
      </c>
      <c r="E896" s="171">
        <v>2023</v>
      </c>
      <c r="F896" s="171">
        <v>6</v>
      </c>
      <c r="G896" s="171">
        <v>7</v>
      </c>
      <c r="H896" s="131"/>
      <c r="I896" s="176"/>
      <c r="J896" s="176"/>
      <c r="K896" s="171" t="s">
        <v>199</v>
      </c>
      <c r="L896" s="171" t="s">
        <v>56</v>
      </c>
      <c r="M896" s="171"/>
      <c r="N896" s="175">
        <v>0</v>
      </c>
      <c r="O896" s="171">
        <v>0</v>
      </c>
      <c r="P896" s="171">
        <v>0</v>
      </c>
      <c r="Q896" s="175">
        <v>0</v>
      </c>
      <c r="R896" s="6" t="s">
        <v>160</v>
      </c>
      <c r="S896" s="6" t="s">
        <v>256</v>
      </c>
      <c r="T896" s="6"/>
      <c r="U896" s="6" t="s">
        <v>240</v>
      </c>
      <c r="V896" s="6"/>
      <c r="W896" s="6" t="s">
        <v>386</v>
      </c>
      <c r="X896" s="6" t="s">
        <v>383</v>
      </c>
      <c r="Y896" s="6" t="s">
        <v>378</v>
      </c>
    </row>
    <row r="897" spans="1:25">
      <c r="A897" s="171">
        <v>24</v>
      </c>
      <c r="B897" s="174">
        <v>45078</v>
      </c>
      <c r="C897" s="174">
        <v>45090</v>
      </c>
      <c r="D897" s="174">
        <v>45084</v>
      </c>
      <c r="E897" s="171">
        <v>2023</v>
      </c>
      <c r="F897" s="171">
        <v>6</v>
      </c>
      <c r="G897" s="171">
        <v>7</v>
      </c>
      <c r="H897" s="131"/>
      <c r="I897" s="176"/>
      <c r="J897" s="176"/>
      <c r="K897" s="171" t="s">
        <v>199</v>
      </c>
      <c r="L897" s="171" t="s">
        <v>56</v>
      </c>
      <c r="M897" s="171">
        <v>660</v>
      </c>
      <c r="N897" s="175">
        <v>0</v>
      </c>
      <c r="O897" s="171">
        <v>0</v>
      </c>
      <c r="P897" s="171">
        <v>0</v>
      </c>
      <c r="Q897" s="175">
        <v>0</v>
      </c>
      <c r="R897" s="6" t="s">
        <v>160</v>
      </c>
      <c r="S897" s="6" t="s">
        <v>256</v>
      </c>
      <c r="T897" s="6" t="s">
        <v>314</v>
      </c>
      <c r="U897" s="6" t="s">
        <v>240</v>
      </c>
      <c r="V897" s="6"/>
      <c r="W897" s="6" t="s">
        <v>269</v>
      </c>
      <c r="X897" s="6" t="s">
        <v>383</v>
      </c>
      <c r="Y897" s="6" t="s">
        <v>378</v>
      </c>
    </row>
    <row r="898" spans="1:25">
      <c r="A898" s="171">
        <v>24</v>
      </c>
      <c r="B898" s="174">
        <v>45078</v>
      </c>
      <c r="C898" s="174">
        <v>45090</v>
      </c>
      <c r="D898" s="174">
        <v>45084</v>
      </c>
      <c r="E898" s="171">
        <v>2023</v>
      </c>
      <c r="F898" s="171">
        <v>6</v>
      </c>
      <c r="G898" s="171">
        <v>7</v>
      </c>
      <c r="H898" s="131"/>
      <c r="I898" s="176"/>
      <c r="J898" s="176"/>
      <c r="K898" s="171" t="s">
        <v>199</v>
      </c>
      <c r="L898" s="171" t="s">
        <v>56</v>
      </c>
      <c r="M898" s="171">
        <v>660</v>
      </c>
      <c r="N898" s="175">
        <v>0</v>
      </c>
      <c r="O898" s="171">
        <v>0</v>
      </c>
      <c r="P898" s="171">
        <v>0</v>
      </c>
      <c r="Q898" s="175">
        <v>0</v>
      </c>
      <c r="R898" s="6" t="s">
        <v>160</v>
      </c>
      <c r="S898" s="6" t="s">
        <v>256</v>
      </c>
      <c r="T898" s="6" t="s">
        <v>314</v>
      </c>
      <c r="U898" s="6" t="s">
        <v>240</v>
      </c>
      <c r="V898" s="6"/>
      <c r="W898" s="6" t="s">
        <v>269</v>
      </c>
      <c r="X898" s="6" t="s">
        <v>383</v>
      </c>
      <c r="Y898" s="6" t="s">
        <v>378</v>
      </c>
    </row>
    <row r="899" spans="1:25">
      <c r="A899" s="171">
        <v>24</v>
      </c>
      <c r="B899" s="174">
        <v>45078</v>
      </c>
      <c r="C899" s="174">
        <v>45090</v>
      </c>
      <c r="D899" s="174">
        <v>45083</v>
      </c>
      <c r="E899" s="171">
        <v>2023</v>
      </c>
      <c r="F899" s="171">
        <v>6</v>
      </c>
      <c r="G899" s="171">
        <v>6</v>
      </c>
      <c r="H899" s="131"/>
      <c r="I899" s="176"/>
      <c r="J899" s="176"/>
      <c r="K899" s="171" t="s">
        <v>199</v>
      </c>
      <c r="L899" s="171" t="s">
        <v>56</v>
      </c>
      <c r="M899" s="171">
        <v>660</v>
      </c>
      <c r="N899" s="175">
        <v>0</v>
      </c>
      <c r="O899" s="171">
        <v>0</v>
      </c>
      <c r="P899" s="171">
        <v>0</v>
      </c>
      <c r="Q899" s="175">
        <v>0</v>
      </c>
      <c r="R899" s="6" t="s">
        <v>160</v>
      </c>
      <c r="S899" s="6" t="s">
        <v>256</v>
      </c>
      <c r="T899" s="6" t="s">
        <v>314</v>
      </c>
      <c r="U899" s="6" t="s">
        <v>240</v>
      </c>
      <c r="V899" s="6"/>
      <c r="W899" s="6" t="s">
        <v>269</v>
      </c>
      <c r="X899" s="6" t="s">
        <v>383</v>
      </c>
      <c r="Y899" s="6" t="s">
        <v>378</v>
      </c>
    </row>
    <row r="900" spans="1:25">
      <c r="A900" s="171">
        <v>24</v>
      </c>
      <c r="B900" s="174">
        <v>45078</v>
      </c>
      <c r="C900" s="174">
        <v>45090</v>
      </c>
      <c r="D900" s="174">
        <v>45083</v>
      </c>
      <c r="E900" s="171">
        <v>2023</v>
      </c>
      <c r="F900" s="171">
        <v>6</v>
      </c>
      <c r="G900" s="171">
        <v>6</v>
      </c>
      <c r="H900" s="131"/>
      <c r="I900" s="176"/>
      <c r="J900" s="176"/>
      <c r="K900" s="171" t="s">
        <v>199</v>
      </c>
      <c r="L900" s="171" t="s">
        <v>56</v>
      </c>
      <c r="M900" s="171">
        <v>660</v>
      </c>
      <c r="N900" s="175">
        <v>0</v>
      </c>
      <c r="O900" s="171">
        <v>0</v>
      </c>
      <c r="P900" s="171">
        <v>0</v>
      </c>
      <c r="Q900" s="175">
        <v>0</v>
      </c>
      <c r="R900" s="6" t="s">
        <v>160</v>
      </c>
      <c r="S900" s="6" t="s">
        <v>256</v>
      </c>
      <c r="T900" s="6" t="s">
        <v>314</v>
      </c>
      <c r="U900" s="6" t="s">
        <v>240</v>
      </c>
      <c r="V900" s="6"/>
      <c r="W900" s="6" t="s">
        <v>269</v>
      </c>
      <c r="X900" s="6" t="s">
        <v>383</v>
      </c>
      <c r="Y900" s="6" t="s">
        <v>378</v>
      </c>
    </row>
    <row r="901" spans="1:25">
      <c r="A901" s="171">
        <v>24</v>
      </c>
      <c r="B901" s="174">
        <v>45078</v>
      </c>
      <c r="C901" s="174">
        <v>45089</v>
      </c>
      <c r="D901" s="174">
        <v>45086</v>
      </c>
      <c r="E901" s="171">
        <v>2023</v>
      </c>
      <c r="F901" s="171">
        <v>6</v>
      </c>
      <c r="G901" s="171">
        <v>9</v>
      </c>
      <c r="H901" s="131"/>
      <c r="I901" s="176"/>
      <c r="J901" s="176"/>
      <c r="K901" s="171" t="s">
        <v>199</v>
      </c>
      <c r="L901" s="171" t="s">
        <v>56</v>
      </c>
      <c r="M901" s="171">
        <v>680</v>
      </c>
      <c r="N901" s="175">
        <v>0</v>
      </c>
      <c r="O901" s="171">
        <v>0</v>
      </c>
      <c r="P901" s="171">
        <v>0</v>
      </c>
      <c r="Q901" s="175">
        <v>0</v>
      </c>
      <c r="R901" s="6" t="s">
        <v>160</v>
      </c>
      <c r="S901" s="6" t="s">
        <v>256</v>
      </c>
      <c r="T901" s="6" t="s">
        <v>314</v>
      </c>
      <c r="U901" s="6" t="s">
        <v>240</v>
      </c>
      <c r="V901" s="6"/>
      <c r="W901" s="6" t="s">
        <v>269</v>
      </c>
      <c r="X901" s="6" t="s">
        <v>383</v>
      </c>
      <c r="Y901" s="6" t="s">
        <v>378</v>
      </c>
    </row>
    <row r="902" spans="1:25">
      <c r="A902" s="171">
        <v>24</v>
      </c>
      <c r="B902" s="174">
        <v>45078</v>
      </c>
      <c r="C902" s="174">
        <v>45089</v>
      </c>
      <c r="D902" s="174">
        <v>45087</v>
      </c>
      <c r="E902" s="171">
        <v>2023</v>
      </c>
      <c r="F902" s="171">
        <v>6</v>
      </c>
      <c r="G902" s="171">
        <v>10</v>
      </c>
      <c r="H902" s="131"/>
      <c r="I902" s="176"/>
      <c r="J902" s="176"/>
      <c r="K902" s="171" t="s">
        <v>199</v>
      </c>
      <c r="L902" s="171" t="s">
        <v>56</v>
      </c>
      <c r="M902" s="171">
        <v>450</v>
      </c>
      <c r="N902" s="175">
        <v>0</v>
      </c>
      <c r="O902" s="171">
        <v>0</v>
      </c>
      <c r="P902" s="171">
        <v>0</v>
      </c>
      <c r="Q902" s="175">
        <v>0</v>
      </c>
      <c r="R902" s="6" t="s">
        <v>160</v>
      </c>
      <c r="S902" s="6" t="s">
        <v>256</v>
      </c>
      <c r="T902" s="6" t="s">
        <v>314</v>
      </c>
      <c r="U902" s="6" t="s">
        <v>240</v>
      </c>
      <c r="V902" s="6"/>
      <c r="W902" s="6" t="s">
        <v>309</v>
      </c>
      <c r="X902" s="6" t="s">
        <v>383</v>
      </c>
      <c r="Y902" s="6" t="s">
        <v>378</v>
      </c>
    </row>
    <row r="903" spans="1:25">
      <c r="A903" s="171">
        <v>24</v>
      </c>
      <c r="B903" s="174">
        <v>45078</v>
      </c>
      <c r="C903" s="174">
        <v>45089</v>
      </c>
      <c r="D903" s="174">
        <v>45086</v>
      </c>
      <c r="E903" s="171">
        <v>2023</v>
      </c>
      <c r="F903" s="171">
        <v>6</v>
      </c>
      <c r="G903" s="171">
        <v>9</v>
      </c>
      <c r="H903" s="131"/>
      <c r="I903" s="176"/>
      <c r="J903" s="176"/>
      <c r="K903" s="171" t="s">
        <v>199</v>
      </c>
      <c r="L903" s="171" t="s">
        <v>56</v>
      </c>
      <c r="M903" s="171">
        <v>400</v>
      </c>
      <c r="N903" s="175">
        <v>0</v>
      </c>
      <c r="O903" s="171">
        <v>0</v>
      </c>
      <c r="P903" s="171">
        <v>0</v>
      </c>
      <c r="Q903" s="175">
        <v>0</v>
      </c>
      <c r="R903" s="6" t="s">
        <v>160</v>
      </c>
      <c r="S903" s="6" t="s">
        <v>256</v>
      </c>
      <c r="T903" s="6" t="s">
        <v>314</v>
      </c>
      <c r="U903" s="6" t="s">
        <v>240</v>
      </c>
      <c r="V903" s="6"/>
      <c r="W903" s="6" t="s">
        <v>327</v>
      </c>
      <c r="X903" s="6" t="s">
        <v>383</v>
      </c>
      <c r="Y903" s="6" t="s">
        <v>378</v>
      </c>
    </row>
    <row r="904" spans="1:25">
      <c r="A904" s="171">
        <v>24</v>
      </c>
      <c r="B904" s="174">
        <v>45078</v>
      </c>
      <c r="C904" s="174">
        <v>45089</v>
      </c>
      <c r="D904" s="174">
        <v>45087</v>
      </c>
      <c r="E904" s="171">
        <v>2023</v>
      </c>
      <c r="F904" s="171">
        <v>6</v>
      </c>
      <c r="G904" s="171">
        <v>10</v>
      </c>
      <c r="H904" s="131"/>
      <c r="I904" s="176"/>
      <c r="J904" s="176"/>
      <c r="K904" s="171" t="s">
        <v>199</v>
      </c>
      <c r="L904" s="171" t="s">
        <v>56</v>
      </c>
      <c r="M904" s="171">
        <v>300</v>
      </c>
      <c r="N904" s="175">
        <v>0</v>
      </c>
      <c r="O904" s="171">
        <v>0</v>
      </c>
      <c r="P904" s="171">
        <v>0</v>
      </c>
      <c r="Q904" s="175">
        <v>0</v>
      </c>
      <c r="R904" s="6" t="s">
        <v>160</v>
      </c>
      <c r="S904" s="6" t="s">
        <v>256</v>
      </c>
      <c r="T904" s="6" t="s">
        <v>314</v>
      </c>
      <c r="U904" s="6" t="s">
        <v>240</v>
      </c>
      <c r="V904" s="6"/>
      <c r="W904" s="6" t="s">
        <v>376</v>
      </c>
      <c r="X904" s="6" t="s">
        <v>383</v>
      </c>
      <c r="Y904" s="6" t="s">
        <v>378</v>
      </c>
    </row>
    <row r="905" spans="1:25">
      <c r="A905" s="171">
        <v>24</v>
      </c>
      <c r="B905" s="174">
        <v>45078</v>
      </c>
      <c r="C905" s="174">
        <v>45090</v>
      </c>
      <c r="D905" s="174">
        <v>45082</v>
      </c>
      <c r="E905" s="171">
        <v>2023</v>
      </c>
      <c r="F905" s="171">
        <v>6</v>
      </c>
      <c r="G905" s="171">
        <v>5</v>
      </c>
      <c r="H905" s="131"/>
      <c r="I905" s="176"/>
      <c r="J905" s="176"/>
      <c r="K905" s="171" t="s">
        <v>199</v>
      </c>
      <c r="L905" s="171" t="s">
        <v>56</v>
      </c>
      <c r="M905" s="171">
        <v>400</v>
      </c>
      <c r="N905" s="175">
        <v>0</v>
      </c>
      <c r="O905" s="171">
        <v>0</v>
      </c>
      <c r="P905" s="171">
        <v>0</v>
      </c>
      <c r="Q905" s="175">
        <v>0</v>
      </c>
      <c r="R905" s="6" t="s">
        <v>160</v>
      </c>
      <c r="S905" s="6" t="s">
        <v>256</v>
      </c>
      <c r="T905" s="6" t="s">
        <v>314</v>
      </c>
      <c r="U905" s="6" t="s">
        <v>240</v>
      </c>
      <c r="V905" s="6"/>
      <c r="W905" s="6" t="s">
        <v>373</v>
      </c>
      <c r="X905" s="6" t="s">
        <v>383</v>
      </c>
      <c r="Y905" s="6" t="s">
        <v>378</v>
      </c>
    </row>
    <row r="906" spans="1:25">
      <c r="A906" s="171">
        <v>24</v>
      </c>
      <c r="B906" s="174">
        <v>45078</v>
      </c>
      <c r="C906" s="174">
        <v>45090</v>
      </c>
      <c r="D906" s="174">
        <v>45083</v>
      </c>
      <c r="E906" s="171">
        <v>2023</v>
      </c>
      <c r="F906" s="171">
        <v>6</v>
      </c>
      <c r="G906" s="171">
        <v>6</v>
      </c>
      <c r="H906" s="131"/>
      <c r="I906" s="176"/>
      <c r="J906" s="176"/>
      <c r="K906" s="171" t="s">
        <v>199</v>
      </c>
      <c r="L906" s="171" t="s">
        <v>56</v>
      </c>
      <c r="M906" s="171">
        <v>400</v>
      </c>
      <c r="N906" s="175">
        <v>0</v>
      </c>
      <c r="O906" s="171">
        <v>0</v>
      </c>
      <c r="P906" s="171">
        <v>0</v>
      </c>
      <c r="Q906" s="175">
        <v>0</v>
      </c>
      <c r="R906" s="6" t="s">
        <v>160</v>
      </c>
      <c r="S906" s="6" t="s">
        <v>256</v>
      </c>
      <c r="T906" s="6" t="s">
        <v>314</v>
      </c>
      <c r="U906" s="6" t="s">
        <v>240</v>
      </c>
      <c r="V906" s="6"/>
      <c r="W906" s="6" t="s">
        <v>306</v>
      </c>
      <c r="X906" s="6" t="s">
        <v>383</v>
      </c>
      <c r="Y906" s="6" t="s">
        <v>378</v>
      </c>
    </row>
    <row r="907" spans="1:25">
      <c r="A907" s="171">
        <v>24</v>
      </c>
      <c r="B907" s="174">
        <v>45078</v>
      </c>
      <c r="C907" s="174">
        <v>45089</v>
      </c>
      <c r="D907" s="174">
        <v>45086</v>
      </c>
      <c r="E907" s="171">
        <v>2023</v>
      </c>
      <c r="F907" s="171">
        <v>6</v>
      </c>
      <c r="G907" s="171">
        <v>9</v>
      </c>
      <c r="H907" s="131"/>
      <c r="I907" s="176"/>
      <c r="J907" s="176"/>
      <c r="K907" s="171" t="s">
        <v>199</v>
      </c>
      <c r="L907" s="171" t="s">
        <v>56</v>
      </c>
      <c r="M907" s="171">
        <v>671</v>
      </c>
      <c r="N907" s="175">
        <v>1</v>
      </c>
      <c r="O907" s="171">
        <v>0</v>
      </c>
      <c r="P907" s="171">
        <v>1</v>
      </c>
      <c r="Q907" s="175">
        <v>0</v>
      </c>
      <c r="R907" s="6" t="s">
        <v>160</v>
      </c>
      <c r="S907" s="6" t="s">
        <v>256</v>
      </c>
      <c r="T907" s="6" t="s">
        <v>314</v>
      </c>
      <c r="U907" s="6" t="s">
        <v>240</v>
      </c>
      <c r="V907" s="6"/>
      <c r="W907" s="6" t="s">
        <v>374</v>
      </c>
      <c r="X907" s="6" t="s">
        <v>383</v>
      </c>
      <c r="Y907" s="6" t="s">
        <v>378</v>
      </c>
    </row>
    <row r="908" spans="1:25">
      <c r="A908" s="171">
        <v>24</v>
      </c>
      <c r="B908" s="174">
        <v>45078</v>
      </c>
      <c r="C908" s="174">
        <v>45089</v>
      </c>
      <c r="D908" s="174">
        <v>45086</v>
      </c>
      <c r="E908" s="171">
        <v>2023</v>
      </c>
      <c r="F908" s="171">
        <v>6</v>
      </c>
      <c r="G908" s="171">
        <v>9</v>
      </c>
      <c r="H908" s="131"/>
      <c r="I908" s="176"/>
      <c r="J908" s="176"/>
      <c r="K908" s="171" t="s">
        <v>199</v>
      </c>
      <c r="L908" s="171" t="s">
        <v>56</v>
      </c>
      <c r="M908" s="171"/>
      <c r="N908" s="175">
        <v>0</v>
      </c>
      <c r="O908" s="171">
        <v>1</v>
      </c>
      <c r="P908" s="171">
        <v>0</v>
      </c>
      <c r="Q908" s="175">
        <v>0</v>
      </c>
      <c r="R908" s="6" t="s">
        <v>157</v>
      </c>
      <c r="S908" s="6" t="s">
        <v>162</v>
      </c>
      <c r="T908" s="6" t="s">
        <v>166</v>
      </c>
      <c r="U908" s="6" t="s">
        <v>162</v>
      </c>
      <c r="V908" s="6" t="s">
        <v>364</v>
      </c>
      <c r="W908" s="6"/>
      <c r="X908" s="6" t="s">
        <v>383</v>
      </c>
      <c r="Y908" s="6" t="s">
        <v>378</v>
      </c>
    </row>
    <row r="909" spans="1:25">
      <c r="A909" s="171">
        <v>24</v>
      </c>
      <c r="B909" s="174">
        <v>45078</v>
      </c>
      <c r="C909" s="174">
        <v>45090</v>
      </c>
      <c r="D909" s="174">
        <v>45084</v>
      </c>
      <c r="E909" s="171">
        <v>2023</v>
      </c>
      <c r="F909" s="171">
        <v>6</v>
      </c>
      <c r="G909" s="171">
        <v>7</v>
      </c>
      <c r="H909" s="131"/>
      <c r="I909" s="176"/>
      <c r="J909" s="176"/>
      <c r="K909" s="171"/>
      <c r="L909" s="171" t="s">
        <v>56</v>
      </c>
      <c r="M909" s="171">
        <v>801</v>
      </c>
      <c r="N909" s="175">
        <v>1</v>
      </c>
      <c r="O909" s="171">
        <v>1</v>
      </c>
      <c r="P909" s="171">
        <v>0</v>
      </c>
      <c r="Q909" s="175">
        <v>1</v>
      </c>
      <c r="R909" s="6" t="s">
        <v>160</v>
      </c>
      <c r="S909" s="6" t="s">
        <v>161</v>
      </c>
      <c r="T909" s="6" t="s">
        <v>253</v>
      </c>
      <c r="U909" s="6" t="s">
        <v>233</v>
      </c>
      <c r="V909" s="6" t="s">
        <v>387</v>
      </c>
      <c r="W909" s="6"/>
      <c r="X909" s="6" t="s">
        <v>383</v>
      </c>
      <c r="Y909" s="6" t="s">
        <v>378</v>
      </c>
    </row>
    <row r="910" spans="1:25">
      <c r="A910" s="171">
        <v>24</v>
      </c>
      <c r="B910" s="174">
        <v>45078</v>
      </c>
      <c r="C910" s="174">
        <v>45090</v>
      </c>
      <c r="D910" s="174">
        <v>45084</v>
      </c>
      <c r="E910" s="171">
        <v>2023</v>
      </c>
      <c r="F910" s="171">
        <v>6</v>
      </c>
      <c r="G910" s="171">
        <v>7</v>
      </c>
      <c r="H910" s="131"/>
      <c r="I910" s="176"/>
      <c r="J910" s="176"/>
      <c r="K910" s="171"/>
      <c r="L910" s="171" t="s">
        <v>56</v>
      </c>
      <c r="M910" s="171">
        <v>203</v>
      </c>
      <c r="N910" s="175">
        <v>3</v>
      </c>
      <c r="O910" s="171">
        <v>3</v>
      </c>
      <c r="P910" s="171">
        <v>0</v>
      </c>
      <c r="Q910" s="175">
        <v>3</v>
      </c>
      <c r="R910" s="6" t="s">
        <v>160</v>
      </c>
      <c r="S910" s="6" t="s">
        <v>205</v>
      </c>
      <c r="T910" s="6" t="s">
        <v>314</v>
      </c>
      <c r="U910" s="6" t="s">
        <v>184</v>
      </c>
      <c r="V910" s="6"/>
      <c r="W910" s="6"/>
      <c r="X910" s="6" t="s">
        <v>383</v>
      </c>
      <c r="Y910" s="6" t="s">
        <v>378</v>
      </c>
    </row>
    <row r="911" spans="1:25">
      <c r="A911" s="171">
        <v>24</v>
      </c>
      <c r="B911" s="174">
        <v>45078</v>
      </c>
      <c r="C911" s="174">
        <v>45090</v>
      </c>
      <c r="D911" s="174">
        <v>45083</v>
      </c>
      <c r="E911" s="171">
        <v>2023</v>
      </c>
      <c r="F911" s="171">
        <v>6</v>
      </c>
      <c r="G911" s="171">
        <v>6</v>
      </c>
      <c r="H911" s="131"/>
      <c r="I911" s="176"/>
      <c r="J911" s="176"/>
      <c r="K911" s="171"/>
      <c r="L911" s="171" t="s">
        <v>56</v>
      </c>
      <c r="M911" s="171">
        <v>200</v>
      </c>
      <c r="N911" s="175">
        <v>0</v>
      </c>
      <c r="O911" s="171">
        <v>0</v>
      </c>
      <c r="P911" s="171">
        <v>0</v>
      </c>
      <c r="Q911" s="175">
        <v>0</v>
      </c>
      <c r="R911" s="6"/>
      <c r="S911" s="6"/>
      <c r="T911" s="6"/>
      <c r="U911" s="6"/>
      <c r="V911" s="6"/>
      <c r="W911" s="6"/>
      <c r="X911" s="6" t="s">
        <v>383</v>
      </c>
      <c r="Y911" s="6" t="s">
        <v>378</v>
      </c>
    </row>
    <row r="912" spans="1:25">
      <c r="A912" s="171">
        <v>24</v>
      </c>
      <c r="B912" s="174">
        <v>45078</v>
      </c>
      <c r="C912" s="174">
        <v>45090</v>
      </c>
      <c r="D912" s="174">
        <v>45084</v>
      </c>
      <c r="E912" s="171">
        <v>2023</v>
      </c>
      <c r="F912" s="171">
        <v>6</v>
      </c>
      <c r="G912" s="171">
        <v>7</v>
      </c>
      <c r="H912" s="131"/>
      <c r="I912" s="176"/>
      <c r="J912" s="176"/>
      <c r="K912" s="171"/>
      <c r="L912" s="171" t="s">
        <v>56</v>
      </c>
      <c r="M912" s="171">
        <v>502</v>
      </c>
      <c r="N912" s="175">
        <v>2</v>
      </c>
      <c r="O912" s="171">
        <v>2</v>
      </c>
      <c r="P912" s="171">
        <v>0</v>
      </c>
      <c r="Q912" s="175">
        <v>2</v>
      </c>
      <c r="R912" s="6" t="s">
        <v>160</v>
      </c>
      <c r="S912" s="6" t="s">
        <v>205</v>
      </c>
      <c r="T912" s="6" t="s">
        <v>314</v>
      </c>
      <c r="U912" s="6" t="s">
        <v>322</v>
      </c>
      <c r="V912" s="6" t="s">
        <v>262</v>
      </c>
      <c r="W912" s="6"/>
      <c r="X912" s="6" t="s">
        <v>383</v>
      </c>
      <c r="Y912" s="6" t="s">
        <v>378</v>
      </c>
    </row>
    <row r="913" spans="1:25">
      <c r="A913" s="171">
        <v>24</v>
      </c>
      <c r="B913" s="174">
        <v>45078</v>
      </c>
      <c r="C913" s="174">
        <v>45090</v>
      </c>
      <c r="D913" s="174">
        <v>45082</v>
      </c>
      <c r="E913" s="171">
        <v>2023</v>
      </c>
      <c r="F913" s="171">
        <v>6</v>
      </c>
      <c r="G913" s="171">
        <v>5</v>
      </c>
      <c r="H913" s="131"/>
      <c r="I913" s="176"/>
      <c r="J913" s="176"/>
      <c r="K913" s="171"/>
      <c r="L913" s="171" t="s">
        <v>52</v>
      </c>
      <c r="M913" s="171">
        <v>4000</v>
      </c>
      <c r="N913" s="175">
        <v>0</v>
      </c>
      <c r="O913" s="171">
        <v>0</v>
      </c>
      <c r="P913" s="171">
        <v>0</v>
      </c>
      <c r="Q913" s="175">
        <v>0</v>
      </c>
      <c r="R913" s="6"/>
      <c r="S913" s="6"/>
      <c r="T913" s="6"/>
      <c r="U913" s="6"/>
      <c r="V913" s="6"/>
      <c r="W913" s="6"/>
      <c r="X913" s="6" t="s">
        <v>385</v>
      </c>
      <c r="Y913" s="6" t="s">
        <v>380</v>
      </c>
    </row>
    <row r="914" spans="1:25">
      <c r="A914" s="171">
        <v>24</v>
      </c>
      <c r="B914" s="174">
        <v>45078</v>
      </c>
      <c r="C914" s="174">
        <v>45090</v>
      </c>
      <c r="D914" s="174">
        <v>45084</v>
      </c>
      <c r="E914" s="171">
        <v>2023</v>
      </c>
      <c r="F914" s="171">
        <v>6</v>
      </c>
      <c r="G914" s="171">
        <v>7</v>
      </c>
      <c r="H914" s="131"/>
      <c r="I914" s="176"/>
      <c r="J914" s="176"/>
      <c r="K914" s="171"/>
      <c r="L914" s="171" t="s">
        <v>56</v>
      </c>
      <c r="M914" s="171">
        <v>4002</v>
      </c>
      <c r="N914" s="175">
        <v>2</v>
      </c>
      <c r="O914" s="171">
        <v>2</v>
      </c>
      <c r="P914" s="171">
        <v>0</v>
      </c>
      <c r="Q914" s="175">
        <v>2</v>
      </c>
      <c r="R914" s="6" t="s">
        <v>160</v>
      </c>
      <c r="S914" s="6" t="s">
        <v>161</v>
      </c>
      <c r="T914" s="6" t="s">
        <v>253</v>
      </c>
      <c r="U914" s="6" t="s">
        <v>233</v>
      </c>
      <c r="V914" s="6" t="s">
        <v>388</v>
      </c>
      <c r="W914" s="6"/>
      <c r="X914" s="6" t="s">
        <v>383</v>
      </c>
      <c r="Y914" s="6" t="s">
        <v>378</v>
      </c>
    </row>
    <row r="915" spans="1:25">
      <c r="A915" s="171">
        <v>24</v>
      </c>
      <c r="B915" s="174">
        <v>45078</v>
      </c>
      <c r="C915" s="174">
        <v>45090</v>
      </c>
      <c r="D915" s="174">
        <v>45085</v>
      </c>
      <c r="E915" s="171">
        <v>2023</v>
      </c>
      <c r="F915" s="171">
        <v>6</v>
      </c>
      <c r="G915" s="171">
        <v>8</v>
      </c>
      <c r="H915" s="131"/>
      <c r="I915" s="176"/>
      <c r="J915" s="176"/>
      <c r="K915" s="171"/>
      <c r="L915" s="171" t="s">
        <v>56</v>
      </c>
      <c r="M915" s="171">
        <v>500</v>
      </c>
      <c r="N915" s="175">
        <v>0</v>
      </c>
      <c r="O915" s="171">
        <v>0</v>
      </c>
      <c r="P915" s="171">
        <v>0</v>
      </c>
      <c r="Q915" s="175">
        <v>0</v>
      </c>
      <c r="R915" s="6"/>
      <c r="S915" s="6"/>
      <c r="T915" s="6"/>
      <c r="U915" s="6"/>
      <c r="V915" s="6"/>
      <c r="W915" s="6"/>
      <c r="X915" s="6" t="s">
        <v>383</v>
      </c>
      <c r="Y915" s="6" t="s">
        <v>378</v>
      </c>
    </row>
    <row r="916" spans="1:25">
      <c r="A916" s="171">
        <v>24</v>
      </c>
      <c r="B916" s="174">
        <v>45078</v>
      </c>
      <c r="C916" s="174">
        <v>45090</v>
      </c>
      <c r="D916" s="174">
        <v>45085</v>
      </c>
      <c r="E916" s="171">
        <v>2023</v>
      </c>
      <c r="F916" s="171">
        <v>6</v>
      </c>
      <c r="G916" s="171">
        <v>8</v>
      </c>
      <c r="H916" s="131"/>
      <c r="I916" s="176"/>
      <c r="J916" s="176"/>
      <c r="K916" s="171" t="s">
        <v>199</v>
      </c>
      <c r="L916" s="171" t="s">
        <v>56</v>
      </c>
      <c r="M916" s="171">
        <v>681</v>
      </c>
      <c r="N916" s="175">
        <v>1</v>
      </c>
      <c r="O916" s="171">
        <v>0</v>
      </c>
      <c r="P916" s="171">
        <v>0</v>
      </c>
      <c r="Q916" s="175">
        <v>1</v>
      </c>
      <c r="R916" s="6" t="s">
        <v>160</v>
      </c>
      <c r="S916" s="6" t="s">
        <v>256</v>
      </c>
      <c r="T916" s="6" t="s">
        <v>314</v>
      </c>
      <c r="U916" s="6" t="s">
        <v>240</v>
      </c>
      <c r="V916" s="6"/>
      <c r="W916" s="6" t="s">
        <v>269</v>
      </c>
      <c r="X916" s="6" t="s">
        <v>383</v>
      </c>
      <c r="Y916" s="6" t="s">
        <v>378</v>
      </c>
    </row>
    <row r="917" spans="1:25">
      <c r="A917" s="171">
        <v>24</v>
      </c>
      <c r="B917" s="174">
        <v>45078</v>
      </c>
      <c r="C917" s="174">
        <v>45090</v>
      </c>
      <c r="D917" s="174">
        <v>45085</v>
      </c>
      <c r="E917" s="171">
        <v>2023</v>
      </c>
      <c r="F917" s="171">
        <v>6</v>
      </c>
      <c r="G917" s="171">
        <v>8</v>
      </c>
      <c r="H917" s="131"/>
      <c r="I917" s="176"/>
      <c r="J917" s="176"/>
      <c r="K917" s="171" t="s">
        <v>199</v>
      </c>
      <c r="L917" s="171" t="s">
        <v>56</v>
      </c>
      <c r="M917" s="171"/>
      <c r="N917" s="175">
        <v>0</v>
      </c>
      <c r="O917" s="171">
        <v>1</v>
      </c>
      <c r="P917" s="171">
        <v>0</v>
      </c>
      <c r="Q917" s="175">
        <v>0</v>
      </c>
      <c r="R917" s="6" t="s">
        <v>160</v>
      </c>
      <c r="S917" s="6" t="s">
        <v>162</v>
      </c>
      <c r="T917" s="6"/>
      <c r="U917" s="6" t="s">
        <v>162</v>
      </c>
      <c r="V917" s="6" t="s">
        <v>361</v>
      </c>
      <c r="W917" s="6"/>
      <c r="X917" s="6" t="s">
        <v>383</v>
      </c>
      <c r="Y917" s="6" t="s">
        <v>378</v>
      </c>
    </row>
    <row r="918" spans="1:25">
      <c r="A918" s="171">
        <v>24</v>
      </c>
      <c r="B918" s="174">
        <v>45078</v>
      </c>
      <c r="C918" s="174">
        <v>45090</v>
      </c>
      <c r="D918" s="174">
        <v>45085</v>
      </c>
      <c r="E918" s="171">
        <v>2023</v>
      </c>
      <c r="F918" s="171">
        <v>6</v>
      </c>
      <c r="G918" s="171">
        <v>8</v>
      </c>
      <c r="H918" s="131"/>
      <c r="I918" s="176"/>
      <c r="J918" s="176"/>
      <c r="K918" s="171" t="s">
        <v>199</v>
      </c>
      <c r="L918" s="171" t="s">
        <v>56</v>
      </c>
      <c r="M918" s="171">
        <v>661</v>
      </c>
      <c r="N918" s="175">
        <v>1</v>
      </c>
      <c r="O918" s="171">
        <v>0</v>
      </c>
      <c r="P918" s="171">
        <v>1</v>
      </c>
      <c r="Q918" s="175">
        <v>0</v>
      </c>
      <c r="R918" s="6" t="s">
        <v>160</v>
      </c>
      <c r="S918" s="6" t="s">
        <v>256</v>
      </c>
      <c r="T918" s="6" t="s">
        <v>314</v>
      </c>
      <c r="U918" s="6" t="s">
        <v>240</v>
      </c>
      <c r="V918" s="6"/>
      <c r="W918" s="6" t="s">
        <v>269</v>
      </c>
      <c r="X918" s="6" t="s">
        <v>383</v>
      </c>
      <c r="Y918" s="6" t="s">
        <v>378</v>
      </c>
    </row>
    <row r="919" spans="1:25">
      <c r="A919" s="171">
        <v>24</v>
      </c>
      <c r="B919" s="174">
        <v>45078</v>
      </c>
      <c r="C919" s="174">
        <v>45090</v>
      </c>
      <c r="D919" s="174">
        <v>45085</v>
      </c>
      <c r="E919" s="171">
        <v>2023</v>
      </c>
      <c r="F919" s="171">
        <v>6</v>
      </c>
      <c r="G919" s="171">
        <v>8</v>
      </c>
      <c r="H919" s="131"/>
      <c r="I919" s="176"/>
      <c r="J919" s="176"/>
      <c r="K919" s="171" t="s">
        <v>199</v>
      </c>
      <c r="L919" s="171" t="s">
        <v>56</v>
      </c>
      <c r="M919" s="171"/>
      <c r="N919" s="175">
        <v>0</v>
      </c>
      <c r="O919" s="171">
        <v>1</v>
      </c>
      <c r="P919" s="171">
        <v>0</v>
      </c>
      <c r="Q919" s="175">
        <v>0</v>
      </c>
      <c r="R919" s="6" t="s">
        <v>157</v>
      </c>
      <c r="S919" s="6" t="s">
        <v>205</v>
      </c>
      <c r="T919" s="6" t="s">
        <v>166</v>
      </c>
      <c r="U919" s="6" t="s">
        <v>169</v>
      </c>
      <c r="V919" s="6"/>
      <c r="W919" s="6"/>
      <c r="X919" s="6" t="s">
        <v>383</v>
      </c>
      <c r="Y919" s="6" t="s">
        <v>378</v>
      </c>
    </row>
    <row r="920" spans="1:25">
      <c r="A920" s="171">
        <v>24</v>
      </c>
      <c r="B920" s="174">
        <v>45078</v>
      </c>
      <c r="C920" s="174">
        <v>45090</v>
      </c>
      <c r="D920" s="174">
        <v>45082</v>
      </c>
      <c r="E920" s="171">
        <v>2023</v>
      </c>
      <c r="F920" s="171">
        <v>6</v>
      </c>
      <c r="G920" s="171">
        <v>5</v>
      </c>
      <c r="H920" s="131"/>
      <c r="I920" s="176"/>
      <c r="J920" s="176"/>
      <c r="K920" s="171"/>
      <c r="L920" s="171" t="s">
        <v>56</v>
      </c>
      <c r="M920" s="171">
        <v>300</v>
      </c>
      <c r="N920" s="175">
        <v>0</v>
      </c>
      <c r="O920" s="171">
        <v>0</v>
      </c>
      <c r="P920" s="171">
        <v>0</v>
      </c>
      <c r="Q920" s="175">
        <v>0</v>
      </c>
      <c r="R920" s="6"/>
      <c r="S920" s="6"/>
      <c r="T920" s="6"/>
      <c r="U920" s="6"/>
      <c r="V920" s="6"/>
      <c r="W920" s="6"/>
      <c r="X920" s="6" t="s">
        <v>383</v>
      </c>
      <c r="Y920" s="6" t="s">
        <v>378</v>
      </c>
    </row>
    <row r="921" spans="1:25">
      <c r="A921" s="171">
        <v>24</v>
      </c>
      <c r="B921" s="174">
        <v>45078</v>
      </c>
      <c r="C921" s="174">
        <v>45090</v>
      </c>
      <c r="D921" s="174">
        <v>45083</v>
      </c>
      <c r="E921" s="171">
        <v>2023</v>
      </c>
      <c r="F921" s="171">
        <v>6</v>
      </c>
      <c r="G921" s="171">
        <v>6</v>
      </c>
      <c r="H921" s="131"/>
      <c r="I921" s="176"/>
      <c r="J921" s="176"/>
      <c r="K921" s="171"/>
      <c r="L921" s="171" t="s">
        <v>56</v>
      </c>
      <c r="M921" s="171">
        <v>301</v>
      </c>
      <c r="N921" s="175">
        <v>1</v>
      </c>
      <c r="O921" s="171">
        <v>1</v>
      </c>
      <c r="P921" s="171">
        <v>0</v>
      </c>
      <c r="Q921" s="175">
        <v>1</v>
      </c>
      <c r="R921" s="6" t="s">
        <v>160</v>
      </c>
      <c r="S921" s="6" t="s">
        <v>205</v>
      </c>
      <c r="T921" s="6" t="s">
        <v>314</v>
      </c>
      <c r="U921" s="6" t="s">
        <v>322</v>
      </c>
      <c r="V921" s="6"/>
      <c r="W921" s="6"/>
      <c r="X921" s="6" t="s">
        <v>383</v>
      </c>
      <c r="Y921" s="6" t="s">
        <v>378</v>
      </c>
    </row>
    <row r="922" spans="1:25">
      <c r="A922" s="171">
        <v>24</v>
      </c>
      <c r="B922" s="174">
        <v>45078</v>
      </c>
      <c r="C922" s="174">
        <v>45089</v>
      </c>
      <c r="D922" s="174">
        <v>45086</v>
      </c>
      <c r="E922" s="171">
        <v>2023</v>
      </c>
      <c r="F922" s="171">
        <v>6</v>
      </c>
      <c r="G922" s="171">
        <v>9</v>
      </c>
      <c r="H922" s="131"/>
      <c r="I922" s="176"/>
      <c r="J922" s="176"/>
      <c r="K922" s="171"/>
      <c r="L922" s="171" t="s">
        <v>56</v>
      </c>
      <c r="M922" s="171">
        <v>300</v>
      </c>
      <c r="N922" s="175">
        <v>0</v>
      </c>
      <c r="O922" s="171">
        <v>0</v>
      </c>
      <c r="P922" s="171">
        <v>0</v>
      </c>
      <c r="Q922" s="175">
        <v>0</v>
      </c>
      <c r="R922" s="6"/>
      <c r="S922" s="6"/>
      <c r="T922" s="6"/>
      <c r="U922" s="6"/>
      <c r="V922" s="6"/>
      <c r="W922" s="6"/>
      <c r="X922" s="6" t="s">
        <v>383</v>
      </c>
      <c r="Y922" s="6" t="s">
        <v>378</v>
      </c>
    </row>
    <row r="923" spans="1:25">
      <c r="A923" s="171">
        <v>24</v>
      </c>
      <c r="B923" s="174">
        <v>45078</v>
      </c>
      <c r="C923" s="174">
        <v>45090</v>
      </c>
      <c r="D923" s="174">
        <v>45082</v>
      </c>
      <c r="E923" s="171">
        <v>2023</v>
      </c>
      <c r="F923" s="171">
        <v>6</v>
      </c>
      <c r="G923" s="171">
        <v>5</v>
      </c>
      <c r="H923" s="131"/>
      <c r="I923" s="176"/>
      <c r="J923" s="176"/>
      <c r="K923" s="171"/>
      <c r="L923" s="171" t="s">
        <v>56</v>
      </c>
      <c r="M923" s="171">
        <v>745</v>
      </c>
      <c r="N923" s="175">
        <v>6</v>
      </c>
      <c r="O923" s="171">
        <v>6</v>
      </c>
      <c r="P923" s="171">
        <v>0</v>
      </c>
      <c r="Q923" s="175">
        <v>6</v>
      </c>
      <c r="R923" s="6" t="s">
        <v>160</v>
      </c>
      <c r="S923" s="6" t="s">
        <v>161</v>
      </c>
      <c r="T923" s="6" t="s">
        <v>314</v>
      </c>
      <c r="U923" s="6" t="s">
        <v>236</v>
      </c>
      <c r="V923" s="6" t="s">
        <v>389</v>
      </c>
      <c r="W923" s="6"/>
      <c r="X923" s="6" t="s">
        <v>383</v>
      </c>
      <c r="Y923" s="6" t="s">
        <v>378</v>
      </c>
    </row>
    <row r="924" spans="1:25">
      <c r="A924" s="171">
        <v>24</v>
      </c>
      <c r="B924" s="174">
        <v>45078</v>
      </c>
      <c r="C924" s="174">
        <v>45090</v>
      </c>
      <c r="D924" s="174">
        <v>45084</v>
      </c>
      <c r="E924" s="171">
        <v>2023</v>
      </c>
      <c r="F924" s="171">
        <v>6</v>
      </c>
      <c r="G924" s="171">
        <v>7</v>
      </c>
      <c r="H924" s="131"/>
      <c r="I924" s="176"/>
      <c r="J924" s="176"/>
      <c r="K924" s="171"/>
      <c r="L924" s="171" t="s">
        <v>56</v>
      </c>
      <c r="M924" s="171">
        <v>5000</v>
      </c>
      <c r="N924" s="175">
        <v>0</v>
      </c>
      <c r="O924" s="171">
        <v>0</v>
      </c>
      <c r="P924" s="171">
        <v>0</v>
      </c>
      <c r="Q924" s="175">
        <v>0</v>
      </c>
      <c r="R924" s="6"/>
      <c r="S924" s="6"/>
      <c r="T924" s="6"/>
      <c r="U924" s="6"/>
      <c r="V924" s="6"/>
      <c r="W924" s="6"/>
      <c r="X924" s="6" t="s">
        <v>383</v>
      </c>
      <c r="Y924" s="6" t="s">
        <v>378</v>
      </c>
    </row>
    <row r="925" spans="1:25">
      <c r="A925" s="171">
        <v>24</v>
      </c>
      <c r="B925" s="174">
        <v>45078</v>
      </c>
      <c r="C925" s="174">
        <v>45090</v>
      </c>
      <c r="D925" s="174">
        <v>45085</v>
      </c>
      <c r="E925" s="171">
        <v>2023</v>
      </c>
      <c r="F925" s="171">
        <v>6</v>
      </c>
      <c r="G925" s="171">
        <v>8</v>
      </c>
      <c r="H925" s="131"/>
      <c r="I925" s="176"/>
      <c r="J925" s="176"/>
      <c r="K925" s="171"/>
      <c r="L925" s="171" t="s">
        <v>56</v>
      </c>
      <c r="M925" s="171">
        <v>3022</v>
      </c>
      <c r="N925" s="175">
        <v>32</v>
      </c>
      <c r="O925" s="171">
        <v>32</v>
      </c>
      <c r="P925" s="171">
        <v>32</v>
      </c>
      <c r="Q925" s="175">
        <v>0</v>
      </c>
      <c r="R925" s="6" t="s">
        <v>157</v>
      </c>
      <c r="S925" s="6" t="s">
        <v>205</v>
      </c>
      <c r="T925" s="6" t="s">
        <v>166</v>
      </c>
      <c r="U925" s="6" t="s">
        <v>169</v>
      </c>
      <c r="V925" s="6"/>
      <c r="W925" s="6"/>
      <c r="X925" s="6" t="s">
        <v>383</v>
      </c>
      <c r="Y925" s="6" t="s">
        <v>378</v>
      </c>
    </row>
    <row r="926" spans="1:25">
      <c r="A926" s="171">
        <v>24</v>
      </c>
      <c r="B926" s="174">
        <v>45078</v>
      </c>
      <c r="C926" s="174">
        <v>45090</v>
      </c>
      <c r="D926" s="174">
        <v>45084</v>
      </c>
      <c r="E926" s="171">
        <v>2023</v>
      </c>
      <c r="F926" s="171">
        <v>6</v>
      </c>
      <c r="G926" s="171">
        <v>7</v>
      </c>
      <c r="H926" s="131"/>
      <c r="I926" s="176"/>
      <c r="J926" s="176"/>
      <c r="K926" s="171"/>
      <c r="L926" s="171" t="s">
        <v>56</v>
      </c>
      <c r="M926" s="171">
        <v>1000</v>
      </c>
      <c r="N926" s="175">
        <v>0</v>
      </c>
      <c r="O926" s="171">
        <v>0</v>
      </c>
      <c r="P926" s="171">
        <v>0</v>
      </c>
      <c r="Q926" s="175">
        <v>0</v>
      </c>
      <c r="R926" s="6"/>
      <c r="S926" s="6"/>
      <c r="T926" s="6"/>
      <c r="U926" s="6"/>
      <c r="V926" s="6"/>
      <c r="W926" s="6"/>
      <c r="X926" s="6" t="s">
        <v>383</v>
      </c>
      <c r="Y926" s="6" t="s">
        <v>378</v>
      </c>
    </row>
    <row r="927" spans="1:25">
      <c r="A927" s="171">
        <v>24</v>
      </c>
      <c r="B927" s="174">
        <v>45078</v>
      </c>
      <c r="C927" s="174">
        <v>45090</v>
      </c>
      <c r="D927" s="174">
        <v>45083</v>
      </c>
      <c r="E927" s="171">
        <v>2023</v>
      </c>
      <c r="F927" s="171">
        <v>6</v>
      </c>
      <c r="G927" s="171">
        <v>6</v>
      </c>
      <c r="H927" s="131"/>
      <c r="I927" s="176"/>
      <c r="J927" s="176"/>
      <c r="K927" s="171"/>
      <c r="L927" s="171" t="s">
        <v>56</v>
      </c>
      <c r="M927" s="171">
        <v>3000</v>
      </c>
      <c r="N927" s="175">
        <v>0</v>
      </c>
      <c r="O927" s="171">
        <v>0</v>
      </c>
      <c r="P927" s="171">
        <v>0</v>
      </c>
      <c r="Q927" s="175">
        <v>0</v>
      </c>
      <c r="R927" s="6"/>
      <c r="S927" s="6"/>
      <c r="T927" s="6"/>
      <c r="U927" s="6"/>
      <c r="V927" s="6"/>
      <c r="W927" s="6"/>
      <c r="X927" s="6" t="s">
        <v>383</v>
      </c>
      <c r="Y927" s="6" t="s">
        <v>378</v>
      </c>
    </row>
    <row r="928" spans="1:25">
      <c r="A928" s="171">
        <v>24</v>
      </c>
      <c r="B928" s="174">
        <v>45078</v>
      </c>
      <c r="C928" s="174">
        <v>45090</v>
      </c>
      <c r="D928" s="174">
        <v>45082</v>
      </c>
      <c r="E928" s="171">
        <v>2023</v>
      </c>
      <c r="F928" s="171">
        <v>6</v>
      </c>
      <c r="G928" s="171">
        <v>5</v>
      </c>
      <c r="H928" s="131"/>
      <c r="I928" s="176"/>
      <c r="J928" s="176"/>
      <c r="K928" s="171"/>
      <c r="L928" s="171" t="s">
        <v>56</v>
      </c>
      <c r="M928" s="171">
        <v>1200</v>
      </c>
      <c r="N928" s="175">
        <v>0</v>
      </c>
      <c r="O928" s="171">
        <v>0</v>
      </c>
      <c r="P928" s="171">
        <v>0</v>
      </c>
      <c r="Q928" s="175">
        <v>0</v>
      </c>
      <c r="R928" s="6"/>
      <c r="S928" s="6"/>
      <c r="T928" s="6"/>
      <c r="U928" s="6"/>
      <c r="V928" s="6"/>
      <c r="W928" s="6"/>
      <c r="X928" s="6" t="s">
        <v>383</v>
      </c>
      <c r="Y928" s="6" t="s">
        <v>378</v>
      </c>
    </row>
    <row r="929" spans="1:25">
      <c r="A929" s="171">
        <v>24</v>
      </c>
      <c r="B929" s="174">
        <v>45078</v>
      </c>
      <c r="C929" s="174">
        <v>45090</v>
      </c>
      <c r="D929" s="174">
        <v>45082</v>
      </c>
      <c r="E929" s="171">
        <v>2023</v>
      </c>
      <c r="F929" s="171">
        <v>6</v>
      </c>
      <c r="G929" s="171">
        <v>5</v>
      </c>
      <c r="H929" s="131"/>
      <c r="I929" s="176"/>
      <c r="J929" s="176"/>
      <c r="K929" s="171"/>
      <c r="L929" s="171" t="s">
        <v>56</v>
      </c>
      <c r="M929" s="171">
        <v>3800</v>
      </c>
      <c r="N929" s="175">
        <v>0</v>
      </c>
      <c r="O929" s="171">
        <v>0</v>
      </c>
      <c r="P929" s="171">
        <v>0</v>
      </c>
      <c r="Q929" s="175">
        <v>0</v>
      </c>
      <c r="R929" s="6"/>
      <c r="S929" s="6"/>
      <c r="T929" s="6"/>
      <c r="U929" s="6"/>
      <c r="V929" s="6"/>
      <c r="W929" s="6"/>
      <c r="X929" s="6" t="s">
        <v>383</v>
      </c>
      <c r="Y929" s="6" t="s">
        <v>378</v>
      </c>
    </row>
    <row r="930" spans="1:25">
      <c r="A930" s="171">
        <v>24</v>
      </c>
      <c r="B930" s="174">
        <v>45078</v>
      </c>
      <c r="C930" s="174">
        <v>45090</v>
      </c>
      <c r="D930" s="174">
        <v>45085</v>
      </c>
      <c r="E930" s="171">
        <v>2023</v>
      </c>
      <c r="F930" s="171">
        <v>6</v>
      </c>
      <c r="G930" s="171">
        <v>8</v>
      </c>
      <c r="H930" s="131"/>
      <c r="I930" s="176"/>
      <c r="J930" s="176"/>
      <c r="K930" s="171"/>
      <c r="L930" s="171" t="s">
        <v>56</v>
      </c>
      <c r="M930" s="171">
        <v>850</v>
      </c>
      <c r="N930" s="175">
        <v>0</v>
      </c>
      <c r="O930" s="171">
        <v>0</v>
      </c>
      <c r="P930" s="171">
        <v>0</v>
      </c>
      <c r="Q930" s="175">
        <v>0</v>
      </c>
      <c r="R930" s="6"/>
      <c r="S930" s="6"/>
      <c r="T930" s="6"/>
      <c r="U930" s="6"/>
      <c r="V930" s="6"/>
      <c r="W930" s="6"/>
      <c r="X930" s="6" t="s">
        <v>383</v>
      </c>
      <c r="Y930" s="6" t="s">
        <v>378</v>
      </c>
    </row>
    <row r="931" spans="1:25">
      <c r="A931" s="171">
        <v>24</v>
      </c>
      <c r="B931" s="174">
        <v>45078</v>
      </c>
      <c r="C931" s="174">
        <v>45090</v>
      </c>
      <c r="D931" s="174">
        <v>45082</v>
      </c>
      <c r="E931" s="171">
        <v>2023</v>
      </c>
      <c r="F931" s="171">
        <v>6</v>
      </c>
      <c r="G931" s="171">
        <v>5</v>
      </c>
      <c r="H931" s="131"/>
      <c r="I931" s="176"/>
      <c r="J931" s="176"/>
      <c r="K931" s="171"/>
      <c r="L931" s="171" t="s">
        <v>56</v>
      </c>
      <c r="M931" s="171">
        <v>1200</v>
      </c>
      <c r="N931" s="175">
        <v>0</v>
      </c>
      <c r="O931" s="171">
        <v>0</v>
      </c>
      <c r="P931" s="171">
        <v>0</v>
      </c>
      <c r="Q931" s="175">
        <v>0</v>
      </c>
      <c r="R931" s="6"/>
      <c r="S931" s="6"/>
      <c r="T931" s="6"/>
      <c r="U931" s="6"/>
      <c r="V931" s="6"/>
      <c r="W931" s="6"/>
      <c r="X931" s="6" t="s">
        <v>383</v>
      </c>
      <c r="Y931" s="6" t="s">
        <v>378</v>
      </c>
    </row>
    <row r="932" spans="1:25">
      <c r="A932" s="171">
        <v>24</v>
      </c>
      <c r="B932" s="174">
        <v>45078</v>
      </c>
      <c r="C932" s="174">
        <v>45090</v>
      </c>
      <c r="D932" s="174">
        <v>45085</v>
      </c>
      <c r="E932" s="171">
        <v>2023</v>
      </c>
      <c r="F932" s="171">
        <v>6</v>
      </c>
      <c r="G932" s="171">
        <v>8</v>
      </c>
      <c r="H932" s="131"/>
      <c r="I932" s="176"/>
      <c r="J932" s="176"/>
      <c r="K932" s="171"/>
      <c r="L932" s="171" t="s">
        <v>56</v>
      </c>
      <c r="M932" s="171">
        <v>1480</v>
      </c>
      <c r="N932" s="175">
        <v>0</v>
      </c>
      <c r="O932" s="171">
        <v>0</v>
      </c>
      <c r="P932" s="171">
        <v>0</v>
      </c>
      <c r="Q932" s="175">
        <v>0</v>
      </c>
      <c r="R932" s="6"/>
      <c r="S932" s="6"/>
      <c r="T932" s="6"/>
      <c r="U932" s="6"/>
      <c r="V932" s="6"/>
      <c r="W932" s="6"/>
      <c r="X932" s="6" t="s">
        <v>383</v>
      </c>
      <c r="Y932" s="6" t="s">
        <v>378</v>
      </c>
    </row>
    <row r="933" spans="1:25">
      <c r="A933" s="171">
        <v>24</v>
      </c>
      <c r="B933" s="174">
        <v>45078</v>
      </c>
      <c r="C933" s="174">
        <v>45089</v>
      </c>
      <c r="D933" s="174">
        <v>45082</v>
      </c>
      <c r="E933" s="171">
        <v>2023</v>
      </c>
      <c r="F933" s="171">
        <v>6</v>
      </c>
      <c r="G933" s="171">
        <v>5</v>
      </c>
      <c r="H933" s="131"/>
      <c r="I933" s="176"/>
      <c r="J933" s="176"/>
      <c r="K933" s="171"/>
      <c r="L933" s="171" t="s">
        <v>52</v>
      </c>
      <c r="M933" s="171">
        <v>4001</v>
      </c>
      <c r="N933" s="175">
        <v>1</v>
      </c>
      <c r="O933" s="171">
        <v>1</v>
      </c>
      <c r="P933" s="171">
        <v>1</v>
      </c>
      <c r="Q933" s="175">
        <v>0</v>
      </c>
      <c r="R933" s="6" t="s">
        <v>157</v>
      </c>
      <c r="S933" s="6" t="s">
        <v>161</v>
      </c>
      <c r="T933" s="6" t="s">
        <v>166</v>
      </c>
      <c r="U933" s="6" t="s">
        <v>170</v>
      </c>
      <c r="V933" s="6" t="s">
        <v>365</v>
      </c>
      <c r="W933" s="6"/>
      <c r="X933" s="6" t="s">
        <v>385</v>
      </c>
      <c r="Y933" s="6" t="s">
        <v>380</v>
      </c>
    </row>
    <row r="934" spans="1:25">
      <c r="A934" s="171">
        <v>24</v>
      </c>
      <c r="B934" s="174">
        <v>45078</v>
      </c>
      <c r="C934" s="174">
        <v>45089</v>
      </c>
      <c r="D934" s="174">
        <v>45082</v>
      </c>
      <c r="E934" s="171">
        <v>2023</v>
      </c>
      <c r="F934" s="171">
        <v>6</v>
      </c>
      <c r="G934" s="171">
        <v>5</v>
      </c>
      <c r="H934" s="131"/>
      <c r="I934" s="176"/>
      <c r="J934" s="176"/>
      <c r="K934" s="171"/>
      <c r="L934" s="171" t="s">
        <v>52</v>
      </c>
      <c r="M934" s="171">
        <v>4006</v>
      </c>
      <c r="N934" s="175">
        <v>1</v>
      </c>
      <c r="O934" s="171">
        <v>1</v>
      </c>
      <c r="P934" s="171">
        <v>0</v>
      </c>
      <c r="Q934" s="175">
        <v>1</v>
      </c>
      <c r="R934" s="6" t="s">
        <v>160</v>
      </c>
      <c r="S934" s="6" t="s">
        <v>161</v>
      </c>
      <c r="T934" s="6" t="s">
        <v>253</v>
      </c>
      <c r="U934" s="6" t="s">
        <v>233</v>
      </c>
      <c r="V934" s="6" t="s">
        <v>390</v>
      </c>
      <c r="W934" s="6"/>
      <c r="X934" s="6" t="s">
        <v>385</v>
      </c>
      <c r="Y934" s="6" t="s">
        <v>380</v>
      </c>
    </row>
    <row r="935" spans="1:25">
      <c r="A935" s="171">
        <v>24</v>
      </c>
      <c r="B935" s="174">
        <v>45078</v>
      </c>
      <c r="C935" s="174">
        <v>45089</v>
      </c>
      <c r="D935" s="174">
        <v>45083</v>
      </c>
      <c r="E935" s="171">
        <v>2023</v>
      </c>
      <c r="F935" s="171">
        <v>6</v>
      </c>
      <c r="G935" s="171">
        <v>6</v>
      </c>
      <c r="H935" s="131"/>
      <c r="I935" s="176"/>
      <c r="J935" s="176"/>
      <c r="K935" s="171"/>
      <c r="L935" s="171" t="s">
        <v>52</v>
      </c>
      <c r="M935" s="171">
        <v>1200</v>
      </c>
      <c r="N935" s="175">
        <v>0</v>
      </c>
      <c r="O935" s="171">
        <v>0</v>
      </c>
      <c r="P935" s="171">
        <v>0</v>
      </c>
      <c r="Q935" s="175">
        <v>0</v>
      </c>
      <c r="R935" s="6"/>
      <c r="S935" s="6"/>
      <c r="T935" s="6"/>
      <c r="U935" s="6"/>
      <c r="V935" s="6"/>
      <c r="W935" s="6"/>
      <c r="X935" s="6" t="s">
        <v>385</v>
      </c>
      <c r="Y935" s="6" t="s">
        <v>380</v>
      </c>
    </row>
    <row r="936" spans="1:25">
      <c r="A936" s="171">
        <v>24</v>
      </c>
      <c r="B936" s="174">
        <v>45078</v>
      </c>
      <c r="C936" s="174">
        <v>45089</v>
      </c>
      <c r="D936" s="174">
        <v>45082</v>
      </c>
      <c r="E936" s="171">
        <v>2023</v>
      </c>
      <c r="F936" s="171">
        <v>6</v>
      </c>
      <c r="G936" s="171">
        <v>5</v>
      </c>
      <c r="H936" s="131"/>
      <c r="I936" s="176"/>
      <c r="J936" s="176"/>
      <c r="K936" s="171"/>
      <c r="L936" s="171" t="s">
        <v>52</v>
      </c>
      <c r="M936" s="171">
        <v>691</v>
      </c>
      <c r="N936" s="175">
        <v>1</v>
      </c>
      <c r="O936" s="171">
        <v>1</v>
      </c>
      <c r="P936" s="171">
        <v>1</v>
      </c>
      <c r="Q936" s="175">
        <v>0</v>
      </c>
      <c r="R936" s="6" t="s">
        <v>157</v>
      </c>
      <c r="S936" s="6" t="s">
        <v>161</v>
      </c>
      <c r="T936" s="6" t="s">
        <v>166</v>
      </c>
      <c r="U936" s="6" t="s">
        <v>170</v>
      </c>
      <c r="V936" s="6" t="s">
        <v>391</v>
      </c>
      <c r="W936" s="6"/>
      <c r="X936" s="6" t="s">
        <v>385</v>
      </c>
      <c r="Y936" s="6" t="s">
        <v>380</v>
      </c>
    </row>
    <row r="937" spans="1:25">
      <c r="A937" s="171">
        <v>24</v>
      </c>
      <c r="B937" s="174">
        <v>45078</v>
      </c>
      <c r="C937" s="174">
        <v>45090</v>
      </c>
      <c r="D937" s="174">
        <v>45084</v>
      </c>
      <c r="E937" s="171">
        <v>2023</v>
      </c>
      <c r="F937" s="171">
        <v>6</v>
      </c>
      <c r="G937" s="171">
        <v>7</v>
      </c>
      <c r="H937" s="131"/>
      <c r="I937" s="176"/>
      <c r="J937" s="176"/>
      <c r="K937" s="171"/>
      <c r="L937" s="171" t="s">
        <v>56</v>
      </c>
      <c r="M937" s="171">
        <v>1500</v>
      </c>
      <c r="N937" s="175">
        <v>0</v>
      </c>
      <c r="O937" s="171">
        <v>0</v>
      </c>
      <c r="P937" s="171">
        <v>0</v>
      </c>
      <c r="Q937" s="175">
        <v>0</v>
      </c>
      <c r="R937" s="6"/>
      <c r="S937" s="6"/>
      <c r="T937" s="6"/>
      <c r="U937" s="6"/>
      <c r="V937" s="6"/>
      <c r="W937" s="6"/>
      <c r="X937" s="6" t="s">
        <v>383</v>
      </c>
      <c r="Y937" s="6" t="s">
        <v>378</v>
      </c>
    </row>
    <row r="938" spans="1:25">
      <c r="A938" s="171">
        <v>24</v>
      </c>
      <c r="B938" s="174">
        <v>45078</v>
      </c>
      <c r="C938" s="174">
        <v>45090</v>
      </c>
      <c r="D938" s="174">
        <v>45084</v>
      </c>
      <c r="E938" s="171">
        <v>2023</v>
      </c>
      <c r="F938" s="171">
        <v>6</v>
      </c>
      <c r="G938" s="171">
        <v>7</v>
      </c>
      <c r="H938" s="131"/>
      <c r="I938" s="176"/>
      <c r="J938" s="176"/>
      <c r="K938" s="171"/>
      <c r="L938" s="171" t="s">
        <v>56</v>
      </c>
      <c r="M938" s="171">
        <v>1000</v>
      </c>
      <c r="N938" s="175">
        <v>0</v>
      </c>
      <c r="O938" s="171">
        <v>0</v>
      </c>
      <c r="P938" s="171">
        <v>0</v>
      </c>
      <c r="Q938" s="175">
        <v>0</v>
      </c>
      <c r="R938" s="6"/>
      <c r="S938" s="6"/>
      <c r="T938" s="6"/>
      <c r="U938" s="6"/>
      <c r="V938" s="6"/>
      <c r="W938" s="6"/>
      <c r="X938" s="6" t="s">
        <v>383</v>
      </c>
      <c r="Y938" s="6" t="s">
        <v>378</v>
      </c>
    </row>
    <row r="939" spans="1:25">
      <c r="A939" s="171">
        <v>24</v>
      </c>
      <c r="B939" s="174">
        <v>45078</v>
      </c>
      <c r="C939" s="174">
        <v>45090</v>
      </c>
      <c r="D939" s="174">
        <v>45083</v>
      </c>
      <c r="E939" s="171">
        <v>2023</v>
      </c>
      <c r="F939" s="171">
        <v>6</v>
      </c>
      <c r="G939" s="171">
        <v>6</v>
      </c>
      <c r="H939" s="131"/>
      <c r="I939" s="176"/>
      <c r="J939" s="176"/>
      <c r="K939" s="171"/>
      <c r="L939" s="171" t="s">
        <v>56</v>
      </c>
      <c r="M939" s="171">
        <v>800</v>
      </c>
      <c r="N939" s="175">
        <v>0</v>
      </c>
      <c r="O939" s="171">
        <v>0</v>
      </c>
      <c r="P939" s="171">
        <v>0</v>
      </c>
      <c r="Q939" s="175">
        <v>0</v>
      </c>
      <c r="R939" s="6"/>
      <c r="S939" s="6"/>
      <c r="T939" s="6"/>
      <c r="U939" s="6"/>
      <c r="V939" s="6"/>
      <c r="W939" s="6"/>
      <c r="X939" s="6" t="s">
        <v>383</v>
      </c>
      <c r="Y939" s="6" t="s">
        <v>378</v>
      </c>
    </row>
    <row r="940" spans="1:25">
      <c r="A940" s="171">
        <v>24</v>
      </c>
      <c r="B940" s="174">
        <v>45078</v>
      </c>
      <c r="C940" s="174">
        <v>45090</v>
      </c>
      <c r="D940" s="174">
        <v>45084</v>
      </c>
      <c r="E940" s="171">
        <v>2023</v>
      </c>
      <c r="F940" s="171">
        <v>6</v>
      </c>
      <c r="G940" s="171">
        <v>7</v>
      </c>
      <c r="H940" s="131"/>
      <c r="I940" s="176"/>
      <c r="J940" s="176"/>
      <c r="K940" s="171"/>
      <c r="L940" s="171" t="s">
        <v>56</v>
      </c>
      <c r="M940" s="171">
        <v>850</v>
      </c>
      <c r="N940" s="175">
        <v>0</v>
      </c>
      <c r="O940" s="171">
        <v>0</v>
      </c>
      <c r="P940" s="171">
        <v>0</v>
      </c>
      <c r="Q940" s="175">
        <v>0</v>
      </c>
      <c r="R940" s="6"/>
      <c r="S940" s="6"/>
      <c r="T940" s="6"/>
      <c r="U940" s="6"/>
      <c r="V940" s="6"/>
      <c r="W940" s="6"/>
      <c r="X940" s="6" t="s">
        <v>383</v>
      </c>
      <c r="Y940" s="6" t="s">
        <v>378</v>
      </c>
    </row>
    <row r="941" spans="1:25">
      <c r="A941" s="171">
        <v>24</v>
      </c>
      <c r="B941" s="174">
        <v>45078</v>
      </c>
      <c r="C941" s="174">
        <v>45090</v>
      </c>
      <c r="D941" s="174">
        <v>45083</v>
      </c>
      <c r="E941" s="171">
        <v>2023</v>
      </c>
      <c r="F941" s="171">
        <v>6</v>
      </c>
      <c r="G941" s="171">
        <v>6</v>
      </c>
      <c r="H941" s="131"/>
      <c r="I941" s="176"/>
      <c r="J941" s="176"/>
      <c r="K941" s="171"/>
      <c r="L941" s="171" t="s">
        <v>56</v>
      </c>
      <c r="M941" s="171">
        <v>1000</v>
      </c>
      <c r="N941" s="175">
        <v>0</v>
      </c>
      <c r="O941" s="171">
        <v>0</v>
      </c>
      <c r="P941" s="171">
        <v>0</v>
      </c>
      <c r="Q941" s="175">
        <v>0</v>
      </c>
      <c r="R941" s="6"/>
      <c r="S941" s="6"/>
      <c r="T941" s="6"/>
      <c r="U941" s="6"/>
      <c r="V941" s="6"/>
      <c r="W941" s="6"/>
      <c r="X941" s="6" t="s">
        <v>383</v>
      </c>
      <c r="Y941" s="6" t="s">
        <v>378</v>
      </c>
    </row>
    <row r="942" spans="1:25">
      <c r="A942" s="171">
        <v>24</v>
      </c>
      <c r="B942" s="174">
        <v>45078</v>
      </c>
      <c r="C942" s="174">
        <v>45090</v>
      </c>
      <c r="D942" s="174">
        <v>45083</v>
      </c>
      <c r="E942" s="171">
        <v>2023</v>
      </c>
      <c r="F942" s="171">
        <v>6</v>
      </c>
      <c r="G942" s="171">
        <v>6</v>
      </c>
      <c r="H942" s="131"/>
      <c r="I942" s="176"/>
      <c r="J942" s="176"/>
      <c r="K942" s="171"/>
      <c r="L942" s="171" t="s">
        <v>56</v>
      </c>
      <c r="M942" s="171">
        <v>3000</v>
      </c>
      <c r="N942" s="175">
        <v>0</v>
      </c>
      <c r="O942" s="171">
        <v>0</v>
      </c>
      <c r="P942" s="171">
        <v>0</v>
      </c>
      <c r="Q942" s="175">
        <v>0</v>
      </c>
      <c r="R942" s="6"/>
      <c r="S942" s="6"/>
      <c r="T942" s="6"/>
      <c r="U942" s="6"/>
      <c r="V942" s="6"/>
      <c r="W942" s="6"/>
      <c r="X942" s="6" t="s">
        <v>383</v>
      </c>
      <c r="Y942" s="6" t="s">
        <v>378</v>
      </c>
    </row>
    <row r="943" spans="1:25">
      <c r="A943" s="171">
        <v>24</v>
      </c>
      <c r="B943" s="174">
        <v>45078</v>
      </c>
      <c r="C943" s="174">
        <v>45090</v>
      </c>
      <c r="D943" s="174">
        <v>45085</v>
      </c>
      <c r="E943" s="171">
        <v>2023</v>
      </c>
      <c r="F943" s="171">
        <v>6</v>
      </c>
      <c r="G943" s="171">
        <v>8</v>
      </c>
      <c r="H943" s="131"/>
      <c r="I943" s="176"/>
      <c r="J943" s="176"/>
      <c r="K943" s="171"/>
      <c r="L943" s="171" t="s">
        <v>56</v>
      </c>
      <c r="M943" s="171">
        <v>800</v>
      </c>
      <c r="N943" s="175">
        <v>0</v>
      </c>
      <c r="O943" s="171">
        <v>0</v>
      </c>
      <c r="P943" s="171">
        <v>0</v>
      </c>
      <c r="Q943" s="175">
        <v>0</v>
      </c>
      <c r="R943" s="6"/>
      <c r="S943" s="6"/>
      <c r="T943" s="6"/>
      <c r="U943" s="6"/>
      <c r="V943" s="6"/>
      <c r="W943" s="6"/>
      <c r="X943" s="6" t="s">
        <v>383</v>
      </c>
      <c r="Y943" s="6" t="s">
        <v>378</v>
      </c>
    </row>
    <row r="944" spans="1:25">
      <c r="A944" s="171">
        <v>24</v>
      </c>
      <c r="B944" s="174">
        <v>45078</v>
      </c>
      <c r="C944" s="174">
        <v>45090</v>
      </c>
      <c r="D944" s="174">
        <v>45083</v>
      </c>
      <c r="E944" s="171">
        <v>2023</v>
      </c>
      <c r="F944" s="171">
        <v>6</v>
      </c>
      <c r="G944" s="171">
        <v>6</v>
      </c>
      <c r="H944" s="131"/>
      <c r="I944" s="176"/>
      <c r="J944" s="176"/>
      <c r="K944" s="171"/>
      <c r="L944" s="171" t="s">
        <v>56</v>
      </c>
      <c r="M944" s="171">
        <v>400</v>
      </c>
      <c r="N944" s="175">
        <v>0</v>
      </c>
      <c r="O944" s="171">
        <v>0</v>
      </c>
      <c r="P944" s="171">
        <v>0</v>
      </c>
      <c r="Q944" s="175">
        <v>0</v>
      </c>
      <c r="R944" s="6"/>
      <c r="S944" s="6"/>
      <c r="T944" s="6"/>
      <c r="U944" s="6"/>
      <c r="V944" s="6"/>
      <c r="W944" s="6"/>
      <c r="X944" s="6" t="s">
        <v>383</v>
      </c>
      <c r="Y944" s="6" t="s">
        <v>378</v>
      </c>
    </row>
    <row r="945" spans="1:25">
      <c r="A945" s="171">
        <v>24</v>
      </c>
      <c r="B945" s="174">
        <v>45078</v>
      </c>
      <c r="C945" s="174">
        <v>45090</v>
      </c>
      <c r="D945" s="174">
        <v>45084</v>
      </c>
      <c r="E945" s="171">
        <v>2023</v>
      </c>
      <c r="F945" s="171">
        <v>6</v>
      </c>
      <c r="G945" s="171">
        <v>7</v>
      </c>
      <c r="H945" s="131"/>
      <c r="I945" s="176"/>
      <c r="J945" s="176"/>
      <c r="K945" s="171"/>
      <c r="L945" s="171" t="s">
        <v>56</v>
      </c>
      <c r="M945" s="171">
        <v>6500</v>
      </c>
      <c r="N945" s="175">
        <v>0</v>
      </c>
      <c r="O945" s="171">
        <v>0</v>
      </c>
      <c r="P945" s="171">
        <v>0</v>
      </c>
      <c r="Q945" s="175">
        <v>0</v>
      </c>
      <c r="R945" s="6"/>
      <c r="S945" s="6"/>
      <c r="T945" s="6"/>
      <c r="U945" s="6"/>
      <c r="V945" s="6"/>
      <c r="W945" s="6"/>
      <c r="X945" s="6" t="s">
        <v>383</v>
      </c>
      <c r="Y945" s="6" t="s">
        <v>378</v>
      </c>
    </row>
    <row r="946" spans="1:25">
      <c r="A946" s="171">
        <v>24</v>
      </c>
      <c r="B946" s="174">
        <v>45078</v>
      </c>
      <c r="C946" s="174">
        <v>45090</v>
      </c>
      <c r="D946" s="174">
        <v>45083</v>
      </c>
      <c r="E946" s="171">
        <v>2023</v>
      </c>
      <c r="F946" s="171">
        <v>6</v>
      </c>
      <c r="G946" s="171">
        <v>6</v>
      </c>
      <c r="H946" s="131"/>
      <c r="I946" s="176"/>
      <c r="J946" s="176"/>
      <c r="K946" s="171"/>
      <c r="L946" s="171" t="s">
        <v>56</v>
      </c>
      <c r="M946" s="171">
        <v>3500</v>
      </c>
      <c r="N946" s="175">
        <v>0</v>
      </c>
      <c r="O946" s="171">
        <v>0</v>
      </c>
      <c r="P946" s="171">
        <v>0</v>
      </c>
      <c r="Q946" s="175">
        <v>0</v>
      </c>
      <c r="R946" s="6"/>
      <c r="S946" s="6"/>
      <c r="T946" s="6"/>
      <c r="U946" s="6"/>
      <c r="V946" s="6"/>
      <c r="W946" s="6"/>
      <c r="X946" s="6" t="s">
        <v>383</v>
      </c>
      <c r="Y946" s="6" t="s">
        <v>378</v>
      </c>
    </row>
    <row r="947" spans="1:25">
      <c r="A947" s="171">
        <v>24</v>
      </c>
      <c r="B947" s="174">
        <v>45078</v>
      </c>
      <c r="C947" s="174">
        <v>45090</v>
      </c>
      <c r="D947" s="174">
        <v>45083</v>
      </c>
      <c r="E947" s="171">
        <v>2023</v>
      </c>
      <c r="F947" s="171">
        <v>6</v>
      </c>
      <c r="G947" s="171">
        <v>6</v>
      </c>
      <c r="H947" s="131"/>
      <c r="I947" s="176"/>
      <c r="J947" s="176"/>
      <c r="K947" s="171"/>
      <c r="L947" s="171" t="s">
        <v>56</v>
      </c>
      <c r="M947" s="171">
        <v>1000</v>
      </c>
      <c r="N947" s="175">
        <v>0</v>
      </c>
      <c r="O947" s="171">
        <v>0</v>
      </c>
      <c r="P947" s="171">
        <v>0</v>
      </c>
      <c r="Q947" s="175">
        <v>0</v>
      </c>
      <c r="R947" s="6"/>
      <c r="S947" s="6"/>
      <c r="T947" s="6"/>
      <c r="U947" s="6"/>
      <c r="V947" s="6"/>
      <c r="W947" s="6"/>
      <c r="X947" s="6" t="s">
        <v>383</v>
      </c>
      <c r="Y947" s="6" t="s">
        <v>378</v>
      </c>
    </row>
    <row r="948" spans="1:25">
      <c r="A948" s="171">
        <v>24</v>
      </c>
      <c r="B948" s="174">
        <v>45078</v>
      </c>
      <c r="C948" s="174">
        <v>45089</v>
      </c>
      <c r="D948" s="174">
        <v>45086</v>
      </c>
      <c r="E948" s="171">
        <v>2023</v>
      </c>
      <c r="F948" s="171">
        <v>6</v>
      </c>
      <c r="G948" s="171">
        <v>9</v>
      </c>
      <c r="H948" s="131"/>
      <c r="I948" s="176"/>
      <c r="J948" s="176"/>
      <c r="K948" s="171"/>
      <c r="L948" s="171" t="s">
        <v>56</v>
      </c>
      <c r="M948" s="171">
        <v>2000</v>
      </c>
      <c r="N948" s="175">
        <v>0</v>
      </c>
      <c r="O948" s="171">
        <v>0</v>
      </c>
      <c r="P948" s="171">
        <v>0</v>
      </c>
      <c r="Q948" s="175">
        <v>0</v>
      </c>
      <c r="R948" s="6"/>
      <c r="S948" s="6"/>
      <c r="T948" s="6"/>
      <c r="U948" s="6"/>
      <c r="V948" s="6"/>
      <c r="W948" s="6"/>
      <c r="X948" s="6" t="s">
        <v>383</v>
      </c>
      <c r="Y948" s="6" t="s">
        <v>378</v>
      </c>
    </row>
    <row r="949" spans="1:25">
      <c r="A949" s="171">
        <v>24</v>
      </c>
      <c r="B949" s="174">
        <v>45078</v>
      </c>
      <c r="C949" s="174">
        <v>45090</v>
      </c>
      <c r="D949" s="174">
        <v>45085</v>
      </c>
      <c r="E949" s="171">
        <v>2023</v>
      </c>
      <c r="F949" s="171">
        <v>6</v>
      </c>
      <c r="G949" s="171">
        <v>8</v>
      </c>
      <c r="H949" s="131"/>
      <c r="I949" s="176"/>
      <c r="J949" s="176"/>
      <c r="K949" s="171"/>
      <c r="L949" s="171" t="s">
        <v>56</v>
      </c>
      <c r="M949" s="171">
        <v>2500</v>
      </c>
      <c r="N949" s="175">
        <v>0</v>
      </c>
      <c r="O949" s="171">
        <v>0</v>
      </c>
      <c r="P949" s="171">
        <v>0</v>
      </c>
      <c r="Q949" s="175">
        <v>0</v>
      </c>
      <c r="R949" s="6"/>
      <c r="S949" s="6"/>
      <c r="T949" s="6"/>
      <c r="U949" s="6"/>
      <c r="V949" s="6"/>
      <c r="W949" s="6"/>
      <c r="X949" s="6" t="s">
        <v>383</v>
      </c>
      <c r="Y949" s="6" t="s">
        <v>378</v>
      </c>
    </row>
    <row r="950" spans="1:25">
      <c r="A950" s="171">
        <v>24</v>
      </c>
      <c r="B950" s="174">
        <v>45078</v>
      </c>
      <c r="C950" s="174">
        <v>45090</v>
      </c>
      <c r="D950" s="174">
        <v>45083</v>
      </c>
      <c r="E950" s="171">
        <v>2023</v>
      </c>
      <c r="F950" s="171">
        <v>6</v>
      </c>
      <c r="G950" s="171">
        <v>6</v>
      </c>
      <c r="H950" s="131"/>
      <c r="I950" s="176"/>
      <c r="J950" s="176"/>
      <c r="K950" s="171"/>
      <c r="L950" s="171" t="s">
        <v>56</v>
      </c>
      <c r="M950" s="171">
        <v>1800</v>
      </c>
      <c r="N950" s="175">
        <v>0</v>
      </c>
      <c r="O950" s="171">
        <v>0</v>
      </c>
      <c r="P950" s="171">
        <v>0</v>
      </c>
      <c r="Q950" s="175">
        <v>0</v>
      </c>
      <c r="R950" s="6"/>
      <c r="S950" s="6"/>
      <c r="T950" s="6"/>
      <c r="U950" s="6"/>
      <c r="V950" s="6"/>
      <c r="W950" s="6"/>
      <c r="X950" s="6" t="s">
        <v>383</v>
      </c>
      <c r="Y950" s="6" t="s">
        <v>378</v>
      </c>
    </row>
    <row r="951" spans="1:25">
      <c r="A951" s="171">
        <v>24</v>
      </c>
      <c r="B951" s="174">
        <v>45078</v>
      </c>
      <c r="C951" s="174">
        <v>45090</v>
      </c>
      <c r="D951" s="174">
        <v>45084</v>
      </c>
      <c r="E951" s="171">
        <v>2023</v>
      </c>
      <c r="F951" s="171">
        <v>6</v>
      </c>
      <c r="G951" s="171">
        <v>7</v>
      </c>
      <c r="H951" s="131"/>
      <c r="I951" s="176"/>
      <c r="J951" s="176"/>
      <c r="K951" s="171"/>
      <c r="L951" s="171" t="s">
        <v>56</v>
      </c>
      <c r="M951" s="171">
        <v>600</v>
      </c>
      <c r="N951" s="175">
        <v>0</v>
      </c>
      <c r="O951" s="171">
        <v>0</v>
      </c>
      <c r="P951" s="171">
        <v>0</v>
      </c>
      <c r="Q951" s="175">
        <v>0</v>
      </c>
      <c r="R951" s="6"/>
      <c r="S951" s="6"/>
      <c r="T951" s="6"/>
      <c r="U951" s="6"/>
      <c r="V951" s="6"/>
      <c r="W951" s="6"/>
      <c r="X951" s="6" t="s">
        <v>383</v>
      </c>
      <c r="Y951" s="6" t="s">
        <v>378</v>
      </c>
    </row>
    <row r="952" spans="1:25">
      <c r="A952" s="171">
        <v>24</v>
      </c>
      <c r="B952" s="174">
        <v>45078</v>
      </c>
      <c r="C952" s="174">
        <v>45090</v>
      </c>
      <c r="D952" s="174">
        <v>45083</v>
      </c>
      <c r="E952" s="171">
        <v>2023</v>
      </c>
      <c r="F952" s="171">
        <v>6</v>
      </c>
      <c r="G952" s="171">
        <v>6</v>
      </c>
      <c r="H952" s="131"/>
      <c r="I952" s="176"/>
      <c r="J952" s="176"/>
      <c r="K952" s="171"/>
      <c r="L952" s="171" t="s">
        <v>56</v>
      </c>
      <c r="M952" s="171">
        <v>2800</v>
      </c>
      <c r="N952" s="175">
        <v>0</v>
      </c>
      <c r="O952" s="171">
        <v>0</v>
      </c>
      <c r="P952" s="171">
        <v>0</v>
      </c>
      <c r="Q952" s="175">
        <v>0</v>
      </c>
      <c r="R952" s="6"/>
      <c r="S952" s="6"/>
      <c r="T952" s="6"/>
      <c r="U952" s="6"/>
      <c r="V952" s="6"/>
      <c r="W952" s="6"/>
      <c r="X952" s="6" t="s">
        <v>383</v>
      </c>
      <c r="Y952" s="6" t="s">
        <v>378</v>
      </c>
    </row>
    <row r="953" spans="1:25">
      <c r="A953" s="171">
        <v>24</v>
      </c>
      <c r="B953" s="174">
        <v>45078</v>
      </c>
      <c r="C953" s="174">
        <v>45090</v>
      </c>
      <c r="D953" s="174">
        <v>45083</v>
      </c>
      <c r="E953" s="171">
        <v>2023</v>
      </c>
      <c r="F953" s="171">
        <v>6</v>
      </c>
      <c r="G953" s="171">
        <v>6</v>
      </c>
      <c r="H953" s="131"/>
      <c r="I953" s="176"/>
      <c r="J953" s="176"/>
      <c r="K953" s="171"/>
      <c r="L953" s="171" t="s">
        <v>56</v>
      </c>
      <c r="M953" s="171">
        <v>3656</v>
      </c>
      <c r="N953" s="175">
        <v>0</v>
      </c>
      <c r="O953" s="171">
        <v>0</v>
      </c>
      <c r="P953" s="171">
        <v>0</v>
      </c>
      <c r="Q953" s="175">
        <v>0</v>
      </c>
      <c r="R953" s="6"/>
      <c r="S953" s="6"/>
      <c r="T953" s="6"/>
      <c r="U953" s="6"/>
      <c r="V953" s="6"/>
      <c r="W953" s="6"/>
      <c r="X953" s="6" t="s">
        <v>383</v>
      </c>
      <c r="Y953" s="6" t="s">
        <v>378</v>
      </c>
    </row>
    <row r="954" spans="1:25">
      <c r="A954" s="171">
        <v>24</v>
      </c>
      <c r="B954" s="174">
        <v>45078</v>
      </c>
      <c r="C954" s="174">
        <v>45090</v>
      </c>
      <c r="D954" s="174">
        <v>45085</v>
      </c>
      <c r="E954" s="171">
        <v>2023</v>
      </c>
      <c r="F954" s="171">
        <v>6</v>
      </c>
      <c r="G954" s="171">
        <v>8</v>
      </c>
      <c r="H954" s="131"/>
      <c r="I954" s="176"/>
      <c r="J954" s="176"/>
      <c r="K954" s="171"/>
      <c r="L954" s="171" t="s">
        <v>56</v>
      </c>
      <c r="M954" s="171">
        <v>790</v>
      </c>
      <c r="N954" s="175">
        <v>0</v>
      </c>
      <c r="O954" s="171">
        <v>0</v>
      </c>
      <c r="P954" s="171">
        <v>0</v>
      </c>
      <c r="Q954" s="175">
        <v>0</v>
      </c>
      <c r="R954" s="6"/>
      <c r="S954" s="6"/>
      <c r="T954" s="6"/>
      <c r="U954" s="6"/>
      <c r="V954" s="6"/>
      <c r="W954" s="6"/>
      <c r="X954" s="6" t="s">
        <v>383</v>
      </c>
      <c r="Y954" s="6" t="s">
        <v>378</v>
      </c>
    </row>
    <row r="955" spans="1:25">
      <c r="A955" s="171">
        <v>24</v>
      </c>
      <c r="B955" s="174">
        <v>45078</v>
      </c>
      <c r="C955" s="174">
        <v>45090</v>
      </c>
      <c r="D955" s="174">
        <v>45084</v>
      </c>
      <c r="E955" s="171">
        <v>2023</v>
      </c>
      <c r="F955" s="171">
        <v>6</v>
      </c>
      <c r="G955" s="171">
        <v>7</v>
      </c>
      <c r="H955" s="131"/>
      <c r="I955" s="176"/>
      <c r="J955" s="176"/>
      <c r="K955" s="171"/>
      <c r="L955" s="171" t="s">
        <v>56</v>
      </c>
      <c r="M955" s="171">
        <v>2500</v>
      </c>
      <c r="N955" s="175">
        <v>0</v>
      </c>
      <c r="O955" s="171">
        <v>0</v>
      </c>
      <c r="P955" s="171">
        <v>0</v>
      </c>
      <c r="Q955" s="175">
        <v>0</v>
      </c>
      <c r="R955" s="6"/>
      <c r="S955" s="6"/>
      <c r="T955" s="6"/>
      <c r="U955" s="6"/>
      <c r="V955" s="6"/>
      <c r="W955" s="6"/>
      <c r="X955" s="6" t="s">
        <v>383</v>
      </c>
      <c r="Y955" s="6" t="s">
        <v>378</v>
      </c>
    </row>
    <row r="956" spans="1:25">
      <c r="A956" s="171">
        <v>24</v>
      </c>
      <c r="B956" s="174">
        <v>45078</v>
      </c>
      <c r="C956" s="174">
        <v>45090</v>
      </c>
      <c r="D956" s="174">
        <v>45084</v>
      </c>
      <c r="E956" s="171">
        <v>2023</v>
      </c>
      <c r="F956" s="171">
        <v>6</v>
      </c>
      <c r="G956" s="171">
        <v>7</v>
      </c>
      <c r="H956" s="131"/>
      <c r="I956" s="176"/>
      <c r="J956" s="176"/>
      <c r="K956" s="171"/>
      <c r="L956" s="171" t="s">
        <v>56</v>
      </c>
      <c r="M956" s="171">
        <v>1920</v>
      </c>
      <c r="N956" s="175">
        <v>0</v>
      </c>
      <c r="O956" s="171">
        <v>0</v>
      </c>
      <c r="P956" s="171">
        <v>0</v>
      </c>
      <c r="Q956" s="175">
        <v>0</v>
      </c>
      <c r="R956" s="6"/>
      <c r="S956" s="6"/>
      <c r="T956" s="6"/>
      <c r="U956" s="6"/>
      <c r="V956" s="6"/>
      <c r="W956" s="6"/>
      <c r="X956" s="6" t="s">
        <v>383</v>
      </c>
      <c r="Y956" s="6" t="s">
        <v>378</v>
      </c>
    </row>
    <row r="957" spans="1:25">
      <c r="A957" s="171">
        <v>24</v>
      </c>
      <c r="B957" s="174">
        <v>45078</v>
      </c>
      <c r="C957" s="174">
        <v>45090</v>
      </c>
      <c r="D957" s="174">
        <v>45084</v>
      </c>
      <c r="E957" s="171">
        <v>2023</v>
      </c>
      <c r="F957" s="171">
        <v>6</v>
      </c>
      <c r="G957" s="171">
        <v>7</v>
      </c>
      <c r="H957" s="131"/>
      <c r="I957" s="176"/>
      <c r="J957" s="176"/>
      <c r="K957" s="171"/>
      <c r="L957" s="171" t="s">
        <v>56</v>
      </c>
      <c r="M957" s="171">
        <v>6000</v>
      </c>
      <c r="N957" s="175">
        <v>0</v>
      </c>
      <c r="O957" s="171">
        <v>0</v>
      </c>
      <c r="P957" s="171">
        <v>0</v>
      </c>
      <c r="Q957" s="175">
        <v>0</v>
      </c>
      <c r="R957" s="6"/>
      <c r="S957" s="6"/>
      <c r="T957" s="6"/>
      <c r="U957" s="6"/>
      <c r="V957" s="6"/>
      <c r="W957" s="6"/>
      <c r="X957" s="6" t="s">
        <v>383</v>
      </c>
      <c r="Y957" s="6" t="s">
        <v>378</v>
      </c>
    </row>
    <row r="958" spans="1:25">
      <c r="A958" s="171">
        <v>24</v>
      </c>
      <c r="B958" s="174">
        <v>45078</v>
      </c>
      <c r="C958" s="174">
        <v>45089</v>
      </c>
      <c r="D958" s="174">
        <v>45083</v>
      </c>
      <c r="E958" s="171">
        <v>2023</v>
      </c>
      <c r="F958" s="171">
        <v>6</v>
      </c>
      <c r="G958" s="171">
        <v>6</v>
      </c>
      <c r="H958" s="131"/>
      <c r="I958" s="176"/>
      <c r="J958" s="176"/>
      <c r="K958" s="171"/>
      <c r="L958" s="171" t="s">
        <v>52</v>
      </c>
      <c r="M958" s="171">
        <v>8201</v>
      </c>
      <c r="N958" s="175">
        <v>1</v>
      </c>
      <c r="O958" s="171">
        <v>1</v>
      </c>
      <c r="P958" s="171">
        <v>1</v>
      </c>
      <c r="Q958" s="175">
        <v>0</v>
      </c>
      <c r="R958" s="6" t="s">
        <v>157</v>
      </c>
      <c r="S958" s="6" t="s">
        <v>161</v>
      </c>
      <c r="T958" s="6" t="s">
        <v>166</v>
      </c>
      <c r="U958" s="6" t="s">
        <v>170</v>
      </c>
      <c r="V958" s="6" t="s">
        <v>392</v>
      </c>
      <c r="W958" s="6"/>
      <c r="X958" s="6" t="s">
        <v>385</v>
      </c>
      <c r="Y958" s="6" t="s">
        <v>380</v>
      </c>
    </row>
    <row r="959" spans="1:25">
      <c r="A959" s="171">
        <v>24</v>
      </c>
      <c r="B959" s="174">
        <v>45078</v>
      </c>
      <c r="C959" s="174">
        <v>45090</v>
      </c>
      <c r="D959" s="174">
        <v>45083</v>
      </c>
      <c r="E959" s="171">
        <v>2023</v>
      </c>
      <c r="F959" s="171">
        <v>6</v>
      </c>
      <c r="G959" s="171">
        <v>6</v>
      </c>
      <c r="H959" s="131"/>
      <c r="I959" s="176"/>
      <c r="J959" s="176"/>
      <c r="K959" s="171"/>
      <c r="L959" s="171" t="s">
        <v>56</v>
      </c>
      <c r="M959" s="171">
        <v>192</v>
      </c>
      <c r="N959" s="175">
        <v>0</v>
      </c>
      <c r="O959" s="171">
        <v>0</v>
      </c>
      <c r="P959" s="171">
        <v>0</v>
      </c>
      <c r="Q959" s="175">
        <v>0</v>
      </c>
      <c r="R959" s="6"/>
      <c r="S959" s="6"/>
      <c r="T959" s="6"/>
      <c r="U959" s="6"/>
      <c r="V959" s="6"/>
      <c r="W959" s="6"/>
      <c r="X959" s="6" t="s">
        <v>383</v>
      </c>
      <c r="Y959" s="6" t="s">
        <v>378</v>
      </c>
    </row>
    <row r="960" spans="1:25">
      <c r="A960" s="171">
        <v>24</v>
      </c>
      <c r="B960" s="174">
        <v>45078</v>
      </c>
      <c r="C960" s="174">
        <v>45090</v>
      </c>
      <c r="D960" s="174">
        <v>45084</v>
      </c>
      <c r="E960" s="171">
        <v>2023</v>
      </c>
      <c r="F960" s="171">
        <v>6</v>
      </c>
      <c r="G960" s="171">
        <v>7</v>
      </c>
      <c r="H960" s="131"/>
      <c r="I960" s="176"/>
      <c r="J960" s="176"/>
      <c r="K960" s="171"/>
      <c r="L960" s="171" t="s">
        <v>56</v>
      </c>
      <c r="M960" s="171">
        <v>192</v>
      </c>
      <c r="N960" s="175">
        <v>0</v>
      </c>
      <c r="O960" s="171">
        <v>0</v>
      </c>
      <c r="P960" s="171">
        <v>0</v>
      </c>
      <c r="Q960" s="175">
        <v>0</v>
      </c>
      <c r="R960" s="6"/>
      <c r="S960" s="6"/>
      <c r="T960" s="6"/>
      <c r="U960" s="6"/>
      <c r="V960" s="6"/>
      <c r="W960" s="6"/>
      <c r="X960" s="6" t="s">
        <v>383</v>
      </c>
      <c r="Y960" s="6" t="s">
        <v>378</v>
      </c>
    </row>
    <row r="961" spans="1:25">
      <c r="A961" s="171">
        <v>24</v>
      </c>
      <c r="B961" s="174">
        <v>45078</v>
      </c>
      <c r="C961" s="174">
        <v>45090</v>
      </c>
      <c r="D961" s="174">
        <v>45083</v>
      </c>
      <c r="E961" s="171">
        <v>2023</v>
      </c>
      <c r="F961" s="171">
        <v>6</v>
      </c>
      <c r="G961" s="171">
        <v>6</v>
      </c>
      <c r="H961" s="131"/>
      <c r="I961" s="176"/>
      <c r="J961" s="176"/>
      <c r="K961" s="171"/>
      <c r="L961" s="171" t="s">
        <v>56</v>
      </c>
      <c r="M961" s="171">
        <v>18</v>
      </c>
      <c r="N961" s="175">
        <v>0</v>
      </c>
      <c r="O961" s="171">
        <v>0</v>
      </c>
      <c r="P961" s="171">
        <v>0</v>
      </c>
      <c r="Q961" s="175">
        <v>0</v>
      </c>
      <c r="R961" s="6"/>
      <c r="S961" s="6"/>
      <c r="T961" s="6"/>
      <c r="U961" s="6"/>
      <c r="V961" s="6"/>
      <c r="W961" s="6"/>
      <c r="X961" s="6" t="s">
        <v>383</v>
      </c>
      <c r="Y961" s="6" t="s">
        <v>378</v>
      </c>
    </row>
    <row r="962" spans="1:25">
      <c r="A962" s="171">
        <v>24</v>
      </c>
      <c r="B962" s="174">
        <v>45078</v>
      </c>
      <c r="C962" s="174">
        <v>45090</v>
      </c>
      <c r="D962" s="174">
        <v>45083</v>
      </c>
      <c r="E962" s="171">
        <v>2023</v>
      </c>
      <c r="F962" s="171">
        <v>6</v>
      </c>
      <c r="G962" s="171">
        <v>6</v>
      </c>
      <c r="H962" s="131"/>
      <c r="I962" s="176"/>
      <c r="J962" s="176"/>
      <c r="K962" s="171"/>
      <c r="L962" s="171" t="s">
        <v>56</v>
      </c>
      <c r="M962" s="171">
        <v>18</v>
      </c>
      <c r="N962" s="175">
        <v>0</v>
      </c>
      <c r="O962" s="171">
        <v>0</v>
      </c>
      <c r="P962" s="171">
        <v>0</v>
      </c>
      <c r="Q962" s="175">
        <v>0</v>
      </c>
      <c r="R962" s="6"/>
      <c r="S962" s="6"/>
      <c r="T962" s="6"/>
      <c r="U962" s="6"/>
      <c r="V962" s="6"/>
      <c r="W962" s="6"/>
      <c r="X962" s="6" t="s">
        <v>383</v>
      </c>
      <c r="Y962" s="6" t="s">
        <v>378</v>
      </c>
    </row>
    <row r="963" spans="1:25">
      <c r="A963" s="171">
        <v>24</v>
      </c>
      <c r="B963" s="174">
        <v>45078</v>
      </c>
      <c r="C963" s="174">
        <v>45090</v>
      </c>
      <c r="D963" s="174">
        <v>45084</v>
      </c>
      <c r="E963" s="171">
        <v>2023</v>
      </c>
      <c r="F963" s="171">
        <v>6</v>
      </c>
      <c r="G963" s="171">
        <v>7</v>
      </c>
      <c r="H963" s="131"/>
      <c r="I963" s="176"/>
      <c r="J963" s="176"/>
      <c r="K963" s="171"/>
      <c r="L963" s="171" t="s">
        <v>56</v>
      </c>
      <c r="M963" s="171">
        <v>17</v>
      </c>
      <c r="N963" s="175">
        <v>0</v>
      </c>
      <c r="O963" s="171">
        <v>0</v>
      </c>
      <c r="P963" s="171">
        <v>0</v>
      </c>
      <c r="Q963" s="175">
        <v>0</v>
      </c>
      <c r="R963" s="6"/>
      <c r="S963" s="6"/>
      <c r="T963" s="6"/>
      <c r="U963" s="6"/>
      <c r="V963" s="6"/>
      <c r="W963" s="6"/>
      <c r="X963" s="6" t="s">
        <v>383</v>
      </c>
      <c r="Y963" s="6" t="s">
        <v>378</v>
      </c>
    </row>
    <row r="964" spans="1:25">
      <c r="A964" s="171">
        <v>24</v>
      </c>
      <c r="B964" s="174">
        <v>45078</v>
      </c>
      <c r="C964" s="174">
        <v>45090</v>
      </c>
      <c r="D964" s="174">
        <v>45084</v>
      </c>
      <c r="E964" s="171">
        <v>2023</v>
      </c>
      <c r="F964" s="171">
        <v>6</v>
      </c>
      <c r="G964" s="171">
        <v>7</v>
      </c>
      <c r="H964" s="131"/>
      <c r="I964" s="176"/>
      <c r="J964" s="176"/>
      <c r="K964" s="171"/>
      <c r="L964" s="171" t="s">
        <v>56</v>
      </c>
      <c r="M964" s="171">
        <v>17</v>
      </c>
      <c r="N964" s="175">
        <v>0</v>
      </c>
      <c r="O964" s="171">
        <v>0</v>
      </c>
      <c r="P964" s="171">
        <v>0</v>
      </c>
      <c r="Q964" s="175">
        <v>0</v>
      </c>
      <c r="R964" s="6"/>
      <c r="S964" s="6"/>
      <c r="T964" s="6"/>
      <c r="U964" s="6"/>
      <c r="V964" s="6"/>
      <c r="W964" s="6"/>
      <c r="X964" s="6" t="s">
        <v>383</v>
      </c>
      <c r="Y964" s="6" t="s">
        <v>378</v>
      </c>
    </row>
    <row r="965" spans="1:25">
      <c r="A965" s="171">
        <v>24</v>
      </c>
      <c r="B965" s="174">
        <v>45078</v>
      </c>
      <c r="C965" s="174">
        <v>45090</v>
      </c>
      <c r="D965" s="174">
        <v>45084</v>
      </c>
      <c r="E965" s="171">
        <v>2023</v>
      </c>
      <c r="F965" s="171">
        <v>6</v>
      </c>
      <c r="G965" s="171">
        <v>7</v>
      </c>
      <c r="H965" s="131"/>
      <c r="I965" s="176"/>
      <c r="J965" s="176"/>
      <c r="K965" s="171"/>
      <c r="L965" s="171" t="s">
        <v>56</v>
      </c>
      <c r="M965" s="171">
        <v>6</v>
      </c>
      <c r="N965" s="175">
        <v>0</v>
      </c>
      <c r="O965" s="171">
        <v>0</v>
      </c>
      <c r="P965" s="171">
        <v>0</v>
      </c>
      <c r="Q965" s="175">
        <v>0</v>
      </c>
      <c r="R965" s="6"/>
      <c r="S965" s="6"/>
      <c r="T965" s="6"/>
      <c r="U965" s="6"/>
      <c r="V965" s="6"/>
      <c r="W965" s="6"/>
      <c r="X965" s="6" t="s">
        <v>383</v>
      </c>
      <c r="Y965" s="6" t="s">
        <v>378</v>
      </c>
    </row>
    <row r="966" spans="1:25">
      <c r="A966" s="171">
        <v>24</v>
      </c>
      <c r="B966" s="174">
        <v>45078</v>
      </c>
      <c r="C966" s="174">
        <v>45090</v>
      </c>
      <c r="D966" s="174">
        <v>45084</v>
      </c>
      <c r="E966" s="171">
        <v>2023</v>
      </c>
      <c r="F966" s="171">
        <v>6</v>
      </c>
      <c r="G966" s="171">
        <v>7</v>
      </c>
      <c r="H966" s="131"/>
      <c r="I966" s="176"/>
      <c r="J966" s="176"/>
      <c r="K966" s="171"/>
      <c r="L966" s="171" t="s">
        <v>56</v>
      </c>
      <c r="M966" s="171">
        <v>30</v>
      </c>
      <c r="N966" s="175">
        <v>0</v>
      </c>
      <c r="O966" s="171">
        <v>0</v>
      </c>
      <c r="P966" s="171">
        <v>0</v>
      </c>
      <c r="Q966" s="175">
        <v>0</v>
      </c>
      <c r="R966" s="6"/>
      <c r="S966" s="6"/>
      <c r="T966" s="6"/>
      <c r="U966" s="6"/>
      <c r="V966" s="6"/>
      <c r="W966" s="6"/>
      <c r="X966" s="6" t="s">
        <v>383</v>
      </c>
      <c r="Y966" s="6" t="s">
        <v>378</v>
      </c>
    </row>
    <row r="967" spans="1:25">
      <c r="A967" s="171">
        <v>24</v>
      </c>
      <c r="B967" s="174">
        <v>45078</v>
      </c>
      <c r="C967" s="174">
        <v>45090</v>
      </c>
      <c r="D967" s="174">
        <v>45082</v>
      </c>
      <c r="E967" s="171">
        <v>2023</v>
      </c>
      <c r="F967" s="171">
        <v>6</v>
      </c>
      <c r="G967" s="171">
        <v>5</v>
      </c>
      <c r="H967" s="131"/>
      <c r="I967" s="176"/>
      <c r="J967" s="176"/>
      <c r="K967" s="171"/>
      <c r="L967" s="171" t="s">
        <v>56</v>
      </c>
      <c r="M967" s="171">
        <v>3100</v>
      </c>
      <c r="N967" s="175">
        <v>0</v>
      </c>
      <c r="O967" s="171">
        <v>0</v>
      </c>
      <c r="P967" s="171">
        <v>0</v>
      </c>
      <c r="Q967" s="175">
        <v>0</v>
      </c>
      <c r="R967" s="6"/>
      <c r="S967" s="6"/>
      <c r="T967" s="6"/>
      <c r="U967" s="6"/>
      <c r="V967" s="6"/>
      <c r="W967" s="6"/>
      <c r="X967" s="6" t="s">
        <v>383</v>
      </c>
      <c r="Y967" s="6" t="s">
        <v>378</v>
      </c>
    </row>
    <row r="968" spans="1:25">
      <c r="A968" s="171">
        <v>24</v>
      </c>
      <c r="B968" s="174">
        <v>45078</v>
      </c>
      <c r="C968" s="174">
        <v>45089</v>
      </c>
      <c r="D968" s="174">
        <v>45086</v>
      </c>
      <c r="E968" s="171">
        <v>2023</v>
      </c>
      <c r="F968" s="171">
        <v>6</v>
      </c>
      <c r="G968" s="171">
        <v>9</v>
      </c>
      <c r="H968" s="131"/>
      <c r="I968" s="176"/>
      <c r="J968" s="176"/>
      <c r="K968" s="171"/>
      <c r="L968" s="171" t="s">
        <v>56</v>
      </c>
      <c r="M968" s="171">
        <v>2700</v>
      </c>
      <c r="N968" s="175">
        <v>0</v>
      </c>
      <c r="O968" s="171">
        <v>0</v>
      </c>
      <c r="P968" s="171">
        <v>0</v>
      </c>
      <c r="Q968" s="175">
        <v>0</v>
      </c>
      <c r="R968" s="6"/>
      <c r="S968" s="6"/>
      <c r="T968" s="6"/>
      <c r="U968" s="6"/>
      <c r="V968" s="6"/>
      <c r="W968" s="6"/>
      <c r="X968" s="6" t="s">
        <v>383</v>
      </c>
      <c r="Y968" s="6" t="s">
        <v>378</v>
      </c>
    </row>
    <row r="969" spans="1:25">
      <c r="A969" s="171">
        <v>24</v>
      </c>
      <c r="B969" s="174">
        <v>45078</v>
      </c>
      <c r="C969" s="174">
        <v>45089</v>
      </c>
      <c r="D969" s="174">
        <v>45086</v>
      </c>
      <c r="E969" s="171">
        <v>2023</v>
      </c>
      <c r="F969" s="171">
        <v>6</v>
      </c>
      <c r="G969" s="171">
        <v>9</v>
      </c>
      <c r="H969" s="131"/>
      <c r="I969" s="176"/>
      <c r="J969" s="176"/>
      <c r="K969" s="171"/>
      <c r="L969" s="171" t="s">
        <v>56</v>
      </c>
      <c r="M969" s="171">
        <v>1320</v>
      </c>
      <c r="N969" s="175">
        <v>0</v>
      </c>
      <c r="O969" s="171">
        <v>0</v>
      </c>
      <c r="P969" s="171">
        <v>0</v>
      </c>
      <c r="Q969" s="175">
        <v>0</v>
      </c>
      <c r="R969" s="6"/>
      <c r="S969" s="6"/>
      <c r="T969" s="6"/>
      <c r="U969" s="6"/>
      <c r="V969" s="6"/>
      <c r="W969" s="6"/>
      <c r="X969" s="6" t="s">
        <v>383</v>
      </c>
      <c r="Y969" s="6" t="s">
        <v>378</v>
      </c>
    </row>
    <row r="970" spans="1:25">
      <c r="A970" s="171">
        <v>24</v>
      </c>
      <c r="B970" s="174">
        <v>45078</v>
      </c>
      <c r="C970" s="174">
        <v>45089</v>
      </c>
      <c r="D970" s="174">
        <v>45086</v>
      </c>
      <c r="E970" s="171">
        <v>2023</v>
      </c>
      <c r="F970" s="171">
        <v>6</v>
      </c>
      <c r="G970" s="171">
        <v>9</v>
      </c>
      <c r="H970" s="131"/>
      <c r="I970" s="176"/>
      <c r="J970" s="176"/>
      <c r="K970" s="171"/>
      <c r="L970" s="171" t="s">
        <v>56</v>
      </c>
      <c r="M970" s="171">
        <v>1000</v>
      </c>
      <c r="N970" s="175">
        <v>0</v>
      </c>
      <c r="O970" s="171">
        <v>0</v>
      </c>
      <c r="P970" s="171">
        <v>0</v>
      </c>
      <c r="Q970" s="175">
        <v>0</v>
      </c>
      <c r="R970" s="6"/>
      <c r="S970" s="6"/>
      <c r="T970" s="6"/>
      <c r="U970" s="6"/>
      <c r="V970" s="6"/>
      <c r="W970" s="6"/>
      <c r="X970" s="6" t="s">
        <v>383</v>
      </c>
      <c r="Y970" s="6" t="s">
        <v>378</v>
      </c>
    </row>
    <row r="971" spans="1:25">
      <c r="A971" s="171">
        <v>24</v>
      </c>
      <c r="B971" s="174">
        <v>45078</v>
      </c>
      <c r="C971" s="174">
        <v>45089</v>
      </c>
      <c r="D971" s="174">
        <v>45086</v>
      </c>
      <c r="E971" s="171">
        <v>2023</v>
      </c>
      <c r="F971" s="171">
        <v>6</v>
      </c>
      <c r="G971" s="171">
        <v>9</v>
      </c>
      <c r="H971" s="131"/>
      <c r="I971" s="176"/>
      <c r="J971" s="176"/>
      <c r="K971" s="171"/>
      <c r="L971" s="171" t="s">
        <v>56</v>
      </c>
      <c r="M971" s="171">
        <v>4650</v>
      </c>
      <c r="N971" s="175">
        <v>0</v>
      </c>
      <c r="O971" s="171">
        <v>0</v>
      </c>
      <c r="P971" s="171">
        <v>0</v>
      </c>
      <c r="Q971" s="175">
        <v>0</v>
      </c>
      <c r="R971" s="6"/>
      <c r="S971" s="6"/>
      <c r="T971" s="6"/>
      <c r="U971" s="6"/>
      <c r="V971" s="6"/>
      <c r="W971" s="6"/>
      <c r="X971" s="6" t="s">
        <v>383</v>
      </c>
      <c r="Y971" s="6" t="s">
        <v>378</v>
      </c>
    </row>
    <row r="972" spans="1:25">
      <c r="A972" s="171">
        <v>24</v>
      </c>
      <c r="B972" s="174">
        <v>45078</v>
      </c>
      <c r="C972" s="174">
        <v>45090</v>
      </c>
      <c r="D972" s="174">
        <v>45083</v>
      </c>
      <c r="E972" s="171">
        <v>2023</v>
      </c>
      <c r="F972" s="171">
        <v>6</v>
      </c>
      <c r="G972" s="171">
        <v>6</v>
      </c>
      <c r="H972" s="131"/>
      <c r="I972" s="176"/>
      <c r="J972" s="176"/>
      <c r="K972" s="171"/>
      <c r="L972" s="171" t="s">
        <v>56</v>
      </c>
      <c r="M972" s="171">
        <v>3500</v>
      </c>
      <c r="N972" s="175">
        <v>0</v>
      </c>
      <c r="O972" s="171">
        <v>0</v>
      </c>
      <c r="P972" s="171">
        <v>0</v>
      </c>
      <c r="Q972" s="175">
        <v>0</v>
      </c>
      <c r="R972" s="6"/>
      <c r="S972" s="6"/>
      <c r="T972" s="6"/>
      <c r="U972" s="6"/>
      <c r="V972" s="6"/>
      <c r="W972" s="6"/>
      <c r="X972" s="6" t="s">
        <v>383</v>
      </c>
      <c r="Y972" s="6" t="s">
        <v>378</v>
      </c>
    </row>
    <row r="973" spans="1:25">
      <c r="A973" s="171">
        <v>24</v>
      </c>
      <c r="B973" s="174">
        <v>45078</v>
      </c>
      <c r="C973" s="174">
        <v>45090</v>
      </c>
      <c r="D973" s="174">
        <v>45082</v>
      </c>
      <c r="E973" s="171">
        <v>2023</v>
      </c>
      <c r="F973" s="171">
        <v>6</v>
      </c>
      <c r="G973" s="171">
        <v>5</v>
      </c>
      <c r="H973" s="131"/>
      <c r="I973" s="176"/>
      <c r="J973" s="176"/>
      <c r="K973" s="171"/>
      <c r="L973" s="171" t="s">
        <v>56</v>
      </c>
      <c r="M973" s="171">
        <v>950</v>
      </c>
      <c r="N973" s="175">
        <v>0</v>
      </c>
      <c r="O973" s="171">
        <v>0</v>
      </c>
      <c r="P973" s="171">
        <v>0</v>
      </c>
      <c r="Q973" s="175">
        <v>0</v>
      </c>
      <c r="R973" s="6"/>
      <c r="S973" s="6"/>
      <c r="T973" s="6"/>
      <c r="U973" s="6"/>
      <c r="V973" s="6"/>
      <c r="W973" s="6"/>
      <c r="X973" s="6" t="s">
        <v>383</v>
      </c>
      <c r="Y973" s="6" t="s">
        <v>378</v>
      </c>
    </row>
    <row r="974" spans="1:25">
      <c r="A974" s="171">
        <v>24</v>
      </c>
      <c r="B974" s="174">
        <v>45078</v>
      </c>
      <c r="C974" s="174">
        <v>45090</v>
      </c>
      <c r="D974" s="174">
        <v>45082</v>
      </c>
      <c r="E974" s="171">
        <v>2023</v>
      </c>
      <c r="F974" s="171">
        <v>6</v>
      </c>
      <c r="G974" s="171">
        <v>5</v>
      </c>
      <c r="H974" s="131"/>
      <c r="I974" s="176"/>
      <c r="J974" s="176"/>
      <c r="K974" s="171"/>
      <c r="L974" s="171" t="s">
        <v>56</v>
      </c>
      <c r="M974" s="171">
        <v>34</v>
      </c>
      <c r="N974" s="175">
        <v>0</v>
      </c>
      <c r="O974" s="171">
        <v>0</v>
      </c>
      <c r="P974" s="171">
        <v>0</v>
      </c>
      <c r="Q974" s="175">
        <v>0</v>
      </c>
      <c r="R974" s="6"/>
      <c r="S974" s="6"/>
      <c r="T974" s="6"/>
      <c r="U974" s="6"/>
      <c r="V974" s="6"/>
      <c r="W974" s="6"/>
      <c r="X974" s="6" t="s">
        <v>383</v>
      </c>
      <c r="Y974" s="6" t="s">
        <v>378</v>
      </c>
    </row>
    <row r="975" spans="1:25">
      <c r="A975" s="171">
        <v>24</v>
      </c>
      <c r="B975" s="174">
        <v>45078</v>
      </c>
      <c r="C975" s="174">
        <v>45090</v>
      </c>
      <c r="D975" s="174">
        <v>45083</v>
      </c>
      <c r="E975" s="171">
        <v>2023</v>
      </c>
      <c r="F975" s="171">
        <v>6</v>
      </c>
      <c r="G975" s="171">
        <v>6</v>
      </c>
      <c r="H975" s="131"/>
      <c r="I975" s="176"/>
      <c r="J975" s="176"/>
      <c r="K975" s="171"/>
      <c r="L975" s="171" t="s">
        <v>56</v>
      </c>
      <c r="M975" s="171">
        <v>18</v>
      </c>
      <c r="N975" s="175">
        <v>0</v>
      </c>
      <c r="O975" s="171">
        <v>0</v>
      </c>
      <c r="P975" s="171">
        <v>0</v>
      </c>
      <c r="Q975" s="175">
        <v>0</v>
      </c>
      <c r="R975" s="6"/>
      <c r="S975" s="6"/>
      <c r="T975" s="6"/>
      <c r="U975" s="6"/>
      <c r="V975" s="6"/>
      <c r="W975" s="6"/>
      <c r="X975" s="6" t="s">
        <v>383</v>
      </c>
      <c r="Y975" s="6" t="s">
        <v>378</v>
      </c>
    </row>
    <row r="976" spans="1:25">
      <c r="A976" s="171">
        <v>24</v>
      </c>
      <c r="B976" s="174">
        <v>45078</v>
      </c>
      <c r="C976" s="174">
        <v>45090</v>
      </c>
      <c r="D976" s="174">
        <v>45084</v>
      </c>
      <c r="E976" s="171">
        <v>2023</v>
      </c>
      <c r="F976" s="171">
        <v>6</v>
      </c>
      <c r="G976" s="171">
        <v>7</v>
      </c>
      <c r="H976" s="131"/>
      <c r="I976" s="176"/>
      <c r="J976" s="176"/>
      <c r="K976" s="171"/>
      <c r="L976" s="171" t="s">
        <v>56</v>
      </c>
      <c r="M976" s="171">
        <v>600</v>
      </c>
      <c r="N976" s="175">
        <v>0</v>
      </c>
      <c r="O976" s="171">
        <v>0</v>
      </c>
      <c r="P976" s="171">
        <v>0</v>
      </c>
      <c r="Q976" s="175">
        <v>0</v>
      </c>
      <c r="R976" s="6"/>
      <c r="S976" s="6"/>
      <c r="T976" s="6"/>
      <c r="U976" s="6"/>
      <c r="V976" s="6"/>
      <c r="W976" s="6"/>
      <c r="X976" s="6" t="s">
        <v>383</v>
      </c>
      <c r="Y976" s="6" t="s">
        <v>378</v>
      </c>
    </row>
    <row r="977" spans="1:25">
      <c r="A977" s="171">
        <v>24</v>
      </c>
      <c r="B977" s="174">
        <v>45078</v>
      </c>
      <c r="C977" s="174">
        <v>45089</v>
      </c>
      <c r="D977" s="174">
        <v>45085</v>
      </c>
      <c r="E977" s="171">
        <v>2023</v>
      </c>
      <c r="F977" s="171">
        <v>6</v>
      </c>
      <c r="G977" s="171">
        <v>8</v>
      </c>
      <c r="H977" s="131"/>
      <c r="I977" s="176"/>
      <c r="J977" s="176"/>
      <c r="K977" s="171"/>
      <c r="L977" s="171" t="s">
        <v>52</v>
      </c>
      <c r="M977" s="171">
        <v>1401</v>
      </c>
      <c r="N977" s="175">
        <v>1</v>
      </c>
      <c r="O977" s="171">
        <v>1</v>
      </c>
      <c r="P977" s="171">
        <v>0</v>
      </c>
      <c r="Q977" s="175">
        <v>1</v>
      </c>
      <c r="R977" s="6" t="s">
        <v>160</v>
      </c>
      <c r="S977" s="6" t="s">
        <v>161</v>
      </c>
      <c r="T977" s="6" t="s">
        <v>253</v>
      </c>
      <c r="U977" s="6" t="s">
        <v>233</v>
      </c>
      <c r="V977" s="6" t="s">
        <v>393</v>
      </c>
      <c r="W977" s="6"/>
      <c r="X977" s="6" t="s">
        <v>385</v>
      </c>
      <c r="Y977" s="6" t="s">
        <v>380</v>
      </c>
    </row>
    <row r="978" spans="1:25">
      <c r="A978" s="171">
        <v>24</v>
      </c>
      <c r="B978" s="174">
        <v>45078</v>
      </c>
      <c r="C978" s="174">
        <v>45090</v>
      </c>
      <c r="D978" s="174">
        <v>45083</v>
      </c>
      <c r="E978" s="171">
        <v>2023</v>
      </c>
      <c r="F978" s="171">
        <v>6</v>
      </c>
      <c r="G978" s="171">
        <v>6</v>
      </c>
      <c r="H978" s="131"/>
      <c r="I978" s="176"/>
      <c r="J978" s="176"/>
      <c r="K978" s="171"/>
      <c r="L978" s="171" t="s">
        <v>56</v>
      </c>
      <c r="M978" s="171">
        <v>2700</v>
      </c>
      <c r="N978" s="175">
        <v>0</v>
      </c>
      <c r="O978" s="171">
        <v>0</v>
      </c>
      <c r="P978" s="171">
        <v>0</v>
      </c>
      <c r="Q978" s="175">
        <v>0</v>
      </c>
      <c r="R978" s="6"/>
      <c r="S978" s="6"/>
      <c r="T978" s="6"/>
      <c r="U978" s="6"/>
      <c r="V978" s="6"/>
      <c r="W978" s="6"/>
      <c r="X978" s="6" t="s">
        <v>383</v>
      </c>
      <c r="Y978" s="6" t="s">
        <v>378</v>
      </c>
    </row>
    <row r="979" spans="1:25">
      <c r="A979" s="171">
        <v>24</v>
      </c>
      <c r="B979" s="174">
        <v>45078</v>
      </c>
      <c r="C979" s="174">
        <v>45090</v>
      </c>
      <c r="D979" s="174">
        <v>45084</v>
      </c>
      <c r="E979" s="171">
        <v>2023</v>
      </c>
      <c r="F979" s="171">
        <v>6</v>
      </c>
      <c r="G979" s="171">
        <v>7</v>
      </c>
      <c r="H979" s="131"/>
      <c r="I979" s="176"/>
      <c r="J979" s="176"/>
      <c r="K979" s="171"/>
      <c r="L979" s="171" t="s">
        <v>56</v>
      </c>
      <c r="M979" s="171">
        <v>1000</v>
      </c>
      <c r="N979" s="175">
        <v>0</v>
      </c>
      <c r="O979" s="171">
        <v>0</v>
      </c>
      <c r="P979" s="171">
        <v>0</v>
      </c>
      <c r="Q979" s="175">
        <v>0</v>
      </c>
      <c r="R979" s="6"/>
      <c r="S979" s="6"/>
      <c r="T979" s="6"/>
      <c r="U979" s="6"/>
      <c r="V979" s="6"/>
      <c r="W979" s="6"/>
      <c r="X979" s="6" t="s">
        <v>383</v>
      </c>
      <c r="Y979" s="6" t="s">
        <v>378</v>
      </c>
    </row>
    <row r="980" spans="1:25">
      <c r="A980" s="171">
        <v>24</v>
      </c>
      <c r="B980" s="174">
        <v>45078</v>
      </c>
      <c r="C980" s="174">
        <v>45089</v>
      </c>
      <c r="D980" s="174">
        <v>45083</v>
      </c>
      <c r="E980" s="171">
        <v>2023</v>
      </c>
      <c r="F980" s="171">
        <v>6</v>
      </c>
      <c r="G980" s="171">
        <v>6</v>
      </c>
      <c r="H980" s="131"/>
      <c r="I980" s="176"/>
      <c r="J980" s="176"/>
      <c r="K980" s="171"/>
      <c r="L980" s="171" t="s">
        <v>52</v>
      </c>
      <c r="M980" s="171">
        <v>512</v>
      </c>
      <c r="N980" s="175">
        <v>2</v>
      </c>
      <c r="O980" s="171">
        <v>2</v>
      </c>
      <c r="P980" s="171">
        <v>2</v>
      </c>
      <c r="Q980" s="175">
        <v>0</v>
      </c>
      <c r="R980" s="6" t="s">
        <v>157</v>
      </c>
      <c r="S980" s="6" t="s">
        <v>161</v>
      </c>
      <c r="T980" s="6" t="s">
        <v>166</v>
      </c>
      <c r="U980" s="6" t="s">
        <v>170</v>
      </c>
      <c r="V980" s="6" t="s">
        <v>394</v>
      </c>
      <c r="W980" s="6"/>
      <c r="X980" s="6" t="s">
        <v>385</v>
      </c>
      <c r="Y980" s="6" t="s">
        <v>380</v>
      </c>
    </row>
    <row r="981" spans="1:25">
      <c r="A981" s="171">
        <v>24</v>
      </c>
      <c r="B981" s="174">
        <v>45078</v>
      </c>
      <c r="C981" s="174">
        <v>45089</v>
      </c>
      <c r="D981" s="174">
        <v>45083</v>
      </c>
      <c r="E981" s="171">
        <v>2023</v>
      </c>
      <c r="F981" s="171">
        <v>6</v>
      </c>
      <c r="G981" s="171">
        <v>6</v>
      </c>
      <c r="H981" s="131"/>
      <c r="I981" s="176"/>
      <c r="J981" s="176"/>
      <c r="K981" s="171"/>
      <c r="L981" s="171" t="s">
        <v>52</v>
      </c>
      <c r="M981" s="171">
        <v>210</v>
      </c>
      <c r="N981" s="175">
        <v>0</v>
      </c>
      <c r="O981" s="171">
        <v>0</v>
      </c>
      <c r="P981" s="171">
        <v>0</v>
      </c>
      <c r="Q981" s="175">
        <v>0</v>
      </c>
      <c r="R981" s="6"/>
      <c r="S981" s="6"/>
      <c r="T981" s="6"/>
      <c r="U981" s="6"/>
      <c r="V981" s="6"/>
      <c r="W981" s="6"/>
      <c r="X981" s="6" t="s">
        <v>385</v>
      </c>
      <c r="Y981" s="6" t="s">
        <v>380</v>
      </c>
    </row>
    <row r="982" spans="1:25">
      <c r="A982" s="171">
        <v>24</v>
      </c>
      <c r="B982" s="174">
        <v>45078</v>
      </c>
      <c r="C982" s="174">
        <v>45089</v>
      </c>
      <c r="D982" s="174">
        <v>45084</v>
      </c>
      <c r="E982" s="171">
        <v>2023</v>
      </c>
      <c r="F982" s="171">
        <v>6</v>
      </c>
      <c r="G982" s="171">
        <v>7</v>
      </c>
      <c r="H982" s="131"/>
      <c r="I982" s="176"/>
      <c r="J982" s="176"/>
      <c r="K982" s="171"/>
      <c r="L982" s="171" t="s">
        <v>52</v>
      </c>
      <c r="M982" s="171">
        <v>1601</v>
      </c>
      <c r="N982" s="175">
        <v>1</v>
      </c>
      <c r="O982" s="171">
        <v>1</v>
      </c>
      <c r="P982" s="171">
        <v>1</v>
      </c>
      <c r="Q982" s="175">
        <v>0</v>
      </c>
      <c r="R982" s="6" t="s">
        <v>157</v>
      </c>
      <c r="S982" s="6" t="s">
        <v>161</v>
      </c>
      <c r="T982" s="6" t="s">
        <v>166</v>
      </c>
      <c r="U982" s="6" t="s">
        <v>170</v>
      </c>
      <c r="V982" s="6" t="s">
        <v>365</v>
      </c>
      <c r="W982" s="6"/>
      <c r="X982" s="6" t="s">
        <v>385</v>
      </c>
      <c r="Y982" s="6" t="s">
        <v>380</v>
      </c>
    </row>
    <row r="983" spans="1:25">
      <c r="A983" s="171">
        <v>24</v>
      </c>
      <c r="B983" s="174">
        <v>45078</v>
      </c>
      <c r="C983" s="174">
        <v>45089</v>
      </c>
      <c r="D983" s="174">
        <v>45084</v>
      </c>
      <c r="E983" s="171">
        <v>2023</v>
      </c>
      <c r="F983" s="171">
        <v>6</v>
      </c>
      <c r="G983" s="171">
        <v>7</v>
      </c>
      <c r="H983" s="131"/>
      <c r="I983" s="176"/>
      <c r="J983" s="176"/>
      <c r="K983" s="171"/>
      <c r="L983" s="171" t="s">
        <v>52</v>
      </c>
      <c r="M983" s="171">
        <v>4252</v>
      </c>
      <c r="N983" s="175">
        <v>2</v>
      </c>
      <c r="O983" s="171">
        <v>2</v>
      </c>
      <c r="P983" s="171">
        <v>2</v>
      </c>
      <c r="Q983" s="175">
        <v>0</v>
      </c>
      <c r="R983" s="6" t="s">
        <v>157</v>
      </c>
      <c r="S983" s="6" t="s">
        <v>162</v>
      </c>
      <c r="T983" s="6" t="s">
        <v>166</v>
      </c>
      <c r="U983" s="6" t="s">
        <v>162</v>
      </c>
      <c r="V983" s="6" t="s">
        <v>395</v>
      </c>
      <c r="W983" s="6"/>
      <c r="X983" s="6" t="s">
        <v>385</v>
      </c>
      <c r="Y983" s="6" t="s">
        <v>380</v>
      </c>
    </row>
    <row r="984" spans="1:25">
      <c r="A984" s="171">
        <v>24</v>
      </c>
      <c r="B984" s="174">
        <v>45078</v>
      </c>
      <c r="C984" s="174">
        <v>45090</v>
      </c>
      <c r="D984" s="174">
        <v>45082</v>
      </c>
      <c r="E984" s="171">
        <v>2023</v>
      </c>
      <c r="F984" s="171">
        <v>6</v>
      </c>
      <c r="G984" s="171">
        <v>5</v>
      </c>
      <c r="H984" s="131"/>
      <c r="I984" s="176"/>
      <c r="J984" s="176"/>
      <c r="K984" s="171"/>
      <c r="L984" s="171" t="s">
        <v>56</v>
      </c>
      <c r="M984" s="171">
        <v>2500</v>
      </c>
      <c r="N984" s="175">
        <v>0</v>
      </c>
      <c r="O984" s="171">
        <v>0</v>
      </c>
      <c r="P984" s="171">
        <v>0</v>
      </c>
      <c r="Q984" s="175">
        <v>0</v>
      </c>
      <c r="R984" s="6"/>
      <c r="S984" s="6"/>
      <c r="T984" s="6"/>
      <c r="U984" s="6"/>
      <c r="V984" s="6"/>
      <c r="W984" s="6"/>
      <c r="X984" s="6" t="s">
        <v>383</v>
      </c>
      <c r="Y984" s="6" t="s">
        <v>378</v>
      </c>
    </row>
    <row r="985" spans="1:25">
      <c r="A985" s="171">
        <v>24</v>
      </c>
      <c r="B985" s="174">
        <v>45078</v>
      </c>
      <c r="C985" s="174">
        <v>45090</v>
      </c>
      <c r="D985" s="174">
        <v>45085</v>
      </c>
      <c r="E985" s="171">
        <v>2023</v>
      </c>
      <c r="F985" s="171">
        <v>6</v>
      </c>
      <c r="G985" s="171">
        <v>8</v>
      </c>
      <c r="H985" s="131"/>
      <c r="I985" s="176"/>
      <c r="J985" s="176"/>
      <c r="K985" s="171"/>
      <c r="L985" s="171" t="s">
        <v>56</v>
      </c>
      <c r="M985" s="171">
        <v>3200</v>
      </c>
      <c r="N985" s="175">
        <v>0</v>
      </c>
      <c r="O985" s="171">
        <v>0</v>
      </c>
      <c r="P985" s="171">
        <v>0</v>
      </c>
      <c r="Q985" s="175">
        <v>0</v>
      </c>
      <c r="R985" s="6"/>
      <c r="S985" s="6"/>
      <c r="T985" s="6"/>
      <c r="U985" s="6"/>
      <c r="V985" s="6"/>
      <c r="W985" s="6"/>
      <c r="X985" s="6" t="s">
        <v>383</v>
      </c>
      <c r="Y985" s="6" t="s">
        <v>378</v>
      </c>
    </row>
    <row r="986" spans="1:25">
      <c r="A986" s="171">
        <v>24</v>
      </c>
      <c r="B986" s="174">
        <v>45078</v>
      </c>
      <c r="C986" s="174">
        <v>45090</v>
      </c>
      <c r="D986" s="174">
        <v>45084</v>
      </c>
      <c r="E986" s="171">
        <v>2023</v>
      </c>
      <c r="F986" s="171">
        <v>6</v>
      </c>
      <c r="G986" s="171">
        <v>7</v>
      </c>
      <c r="H986" s="131"/>
      <c r="I986" s="176"/>
      <c r="J986" s="176"/>
      <c r="K986" s="171"/>
      <c r="L986" s="171" t="s">
        <v>56</v>
      </c>
      <c r="M986" s="171">
        <v>800</v>
      </c>
      <c r="N986" s="175">
        <v>0</v>
      </c>
      <c r="O986" s="171">
        <v>0</v>
      </c>
      <c r="P986" s="171">
        <v>0</v>
      </c>
      <c r="Q986" s="175">
        <v>0</v>
      </c>
      <c r="R986" s="6"/>
      <c r="S986" s="6"/>
      <c r="T986" s="6"/>
      <c r="U986" s="6"/>
      <c r="V986" s="6"/>
      <c r="W986" s="6"/>
      <c r="X986" s="6" t="s">
        <v>383</v>
      </c>
      <c r="Y986" s="6" t="s">
        <v>378</v>
      </c>
    </row>
    <row r="987" spans="1:25">
      <c r="A987" s="171">
        <v>24</v>
      </c>
      <c r="B987" s="174">
        <v>45078</v>
      </c>
      <c r="C987" s="174">
        <v>45090</v>
      </c>
      <c r="D987" s="174">
        <v>45084</v>
      </c>
      <c r="E987" s="171">
        <v>2023</v>
      </c>
      <c r="F987" s="171">
        <v>6</v>
      </c>
      <c r="G987" s="171">
        <v>7</v>
      </c>
      <c r="H987" s="131"/>
      <c r="I987" s="176"/>
      <c r="J987" s="176"/>
      <c r="K987" s="171"/>
      <c r="L987" s="171" t="s">
        <v>56</v>
      </c>
      <c r="M987" s="171">
        <v>17</v>
      </c>
      <c r="N987" s="175">
        <v>0</v>
      </c>
      <c r="O987" s="171">
        <v>0</v>
      </c>
      <c r="P987" s="171">
        <v>0</v>
      </c>
      <c r="Q987" s="175">
        <v>0</v>
      </c>
      <c r="R987" s="6"/>
      <c r="S987" s="6"/>
      <c r="T987" s="6"/>
      <c r="U987" s="6"/>
      <c r="V987" s="6"/>
      <c r="W987" s="6"/>
      <c r="X987" s="6" t="s">
        <v>383</v>
      </c>
      <c r="Y987" s="6" t="s">
        <v>378</v>
      </c>
    </row>
    <row r="988" spans="1:25">
      <c r="A988" s="171">
        <v>24</v>
      </c>
      <c r="B988" s="174">
        <v>45078</v>
      </c>
      <c r="C988" s="174">
        <v>45090</v>
      </c>
      <c r="D988" s="174">
        <v>45085</v>
      </c>
      <c r="E988" s="171">
        <v>2023</v>
      </c>
      <c r="F988" s="171">
        <v>6</v>
      </c>
      <c r="G988" s="171">
        <v>8</v>
      </c>
      <c r="H988" s="131"/>
      <c r="I988" s="176"/>
      <c r="J988" s="176"/>
      <c r="K988" s="171"/>
      <c r="L988" s="171" t="s">
        <v>56</v>
      </c>
      <c r="M988" s="171">
        <v>34</v>
      </c>
      <c r="N988" s="175">
        <v>0</v>
      </c>
      <c r="O988" s="171">
        <v>0</v>
      </c>
      <c r="P988" s="171">
        <v>0</v>
      </c>
      <c r="Q988" s="175">
        <v>0</v>
      </c>
      <c r="R988" s="6"/>
      <c r="S988" s="6"/>
      <c r="T988" s="6"/>
      <c r="U988" s="6"/>
      <c r="V988" s="6"/>
      <c r="W988" s="6"/>
      <c r="X988" s="6" t="s">
        <v>383</v>
      </c>
      <c r="Y988" s="6" t="s">
        <v>378</v>
      </c>
    </row>
    <row r="989" spans="1:25">
      <c r="A989" s="171">
        <v>24</v>
      </c>
      <c r="B989" s="174">
        <v>45078</v>
      </c>
      <c r="C989" s="174">
        <v>45089</v>
      </c>
      <c r="D989" s="174">
        <v>45086</v>
      </c>
      <c r="E989" s="171">
        <v>2023</v>
      </c>
      <c r="F989" s="171">
        <v>6</v>
      </c>
      <c r="G989" s="171">
        <v>9</v>
      </c>
      <c r="H989" s="131"/>
      <c r="I989" s="176"/>
      <c r="J989" s="176"/>
      <c r="K989" s="171"/>
      <c r="L989" s="171" t="s">
        <v>52</v>
      </c>
      <c r="M989" s="171">
        <v>3601</v>
      </c>
      <c r="N989" s="175">
        <v>1</v>
      </c>
      <c r="O989" s="171">
        <v>1</v>
      </c>
      <c r="P989" s="171">
        <v>0</v>
      </c>
      <c r="Q989" s="175">
        <v>1</v>
      </c>
      <c r="R989" s="6" t="s">
        <v>160</v>
      </c>
      <c r="S989" s="6" t="s">
        <v>161</v>
      </c>
      <c r="T989" s="6" t="s">
        <v>253</v>
      </c>
      <c r="U989" s="6" t="s">
        <v>233</v>
      </c>
      <c r="V989" s="6" t="s">
        <v>396</v>
      </c>
      <c r="W989" s="6"/>
      <c r="X989" s="6" t="s">
        <v>385</v>
      </c>
      <c r="Y989" s="6" t="s">
        <v>380</v>
      </c>
    </row>
    <row r="990" spans="1:25">
      <c r="A990" s="171">
        <v>24</v>
      </c>
      <c r="B990" s="174">
        <v>45078</v>
      </c>
      <c r="C990" s="174">
        <v>45089</v>
      </c>
      <c r="D990" s="174">
        <v>45085</v>
      </c>
      <c r="E990" s="171">
        <v>2023</v>
      </c>
      <c r="F990" s="171">
        <v>6</v>
      </c>
      <c r="G990" s="171">
        <v>8</v>
      </c>
      <c r="H990" s="131"/>
      <c r="I990" s="176"/>
      <c r="J990" s="176"/>
      <c r="K990" s="171"/>
      <c r="L990" s="171" t="s">
        <v>52</v>
      </c>
      <c r="M990" s="171">
        <v>3501</v>
      </c>
      <c r="N990" s="175">
        <v>1</v>
      </c>
      <c r="O990" s="171">
        <v>1</v>
      </c>
      <c r="P990" s="171">
        <v>0</v>
      </c>
      <c r="Q990" s="175">
        <v>1</v>
      </c>
      <c r="R990" s="6" t="s">
        <v>160</v>
      </c>
      <c r="S990" s="6" t="s">
        <v>161</v>
      </c>
      <c r="T990" s="6" t="s">
        <v>253</v>
      </c>
      <c r="U990" s="6" t="s">
        <v>233</v>
      </c>
      <c r="V990" s="6" t="s">
        <v>397</v>
      </c>
      <c r="W990" s="6"/>
      <c r="X990" s="6" t="s">
        <v>385</v>
      </c>
      <c r="Y990" s="6" t="s">
        <v>380</v>
      </c>
    </row>
    <row r="991" spans="1:25">
      <c r="A991" s="171">
        <v>24</v>
      </c>
      <c r="B991" s="174">
        <v>45078</v>
      </c>
      <c r="C991" s="174">
        <v>45089</v>
      </c>
      <c r="D991" s="174">
        <v>45086</v>
      </c>
      <c r="E991" s="171">
        <v>2023</v>
      </c>
      <c r="F991" s="171">
        <v>6</v>
      </c>
      <c r="G991" s="171">
        <v>9</v>
      </c>
      <c r="H991" s="131"/>
      <c r="I991" s="176"/>
      <c r="J991" s="176"/>
      <c r="K991" s="171"/>
      <c r="L991" s="171" t="s">
        <v>52</v>
      </c>
      <c r="M991" s="171">
        <v>6000</v>
      </c>
      <c r="N991" s="175">
        <v>0</v>
      </c>
      <c r="O991" s="171">
        <v>0</v>
      </c>
      <c r="P991" s="171">
        <v>0</v>
      </c>
      <c r="Q991" s="175">
        <v>0</v>
      </c>
      <c r="R991" s="6"/>
      <c r="S991" s="6"/>
      <c r="T991" s="6"/>
      <c r="U991" s="6"/>
      <c r="V991" s="6"/>
      <c r="W991" s="6"/>
      <c r="X991" s="6" t="s">
        <v>385</v>
      </c>
      <c r="Y991" s="6" t="s">
        <v>380</v>
      </c>
    </row>
    <row r="992" spans="1:25">
      <c r="A992" s="171">
        <v>24</v>
      </c>
      <c r="B992" s="174">
        <v>45078</v>
      </c>
      <c r="C992" s="174">
        <v>45089</v>
      </c>
      <c r="D992" s="174">
        <v>45085</v>
      </c>
      <c r="E992" s="171">
        <v>2023</v>
      </c>
      <c r="F992" s="171">
        <v>6</v>
      </c>
      <c r="G992" s="171">
        <v>8</v>
      </c>
      <c r="H992" s="131"/>
      <c r="I992" s="176"/>
      <c r="J992" s="176"/>
      <c r="K992" s="171"/>
      <c r="L992" s="171" t="s">
        <v>52</v>
      </c>
      <c r="M992" s="171">
        <v>6040</v>
      </c>
      <c r="N992" s="175">
        <v>4</v>
      </c>
      <c r="O992" s="171">
        <v>4</v>
      </c>
      <c r="P992" s="171">
        <v>0</v>
      </c>
      <c r="Q992" s="175">
        <v>4</v>
      </c>
      <c r="R992" s="6" t="s">
        <v>160</v>
      </c>
      <c r="S992" s="6" t="s">
        <v>161</v>
      </c>
      <c r="T992" s="6" t="s">
        <v>253</v>
      </c>
      <c r="U992" s="6" t="s">
        <v>233</v>
      </c>
      <c r="V992" s="6" t="s">
        <v>398</v>
      </c>
      <c r="W992" s="6"/>
      <c r="X992" s="6" t="s">
        <v>385</v>
      </c>
      <c r="Y992" s="6" t="s">
        <v>380</v>
      </c>
    </row>
    <row r="993" spans="1:25">
      <c r="A993" s="171">
        <v>24</v>
      </c>
      <c r="B993" s="174">
        <v>45078</v>
      </c>
      <c r="C993" s="174">
        <v>45090</v>
      </c>
      <c r="D993" s="174">
        <v>45082</v>
      </c>
      <c r="E993" s="171">
        <v>2023</v>
      </c>
      <c r="F993" s="171">
        <v>6</v>
      </c>
      <c r="G993" s="171">
        <v>5</v>
      </c>
      <c r="H993" s="131"/>
      <c r="I993" s="176"/>
      <c r="J993" s="176"/>
      <c r="K993" s="171"/>
      <c r="L993" s="171" t="s">
        <v>56</v>
      </c>
      <c r="M993" s="171">
        <v>1000</v>
      </c>
      <c r="N993" s="175">
        <v>0</v>
      </c>
      <c r="O993" s="171">
        <v>0</v>
      </c>
      <c r="P993" s="171">
        <v>0</v>
      </c>
      <c r="Q993" s="175">
        <v>0</v>
      </c>
      <c r="R993" s="6"/>
      <c r="S993" s="6"/>
      <c r="T993" s="6"/>
      <c r="U993" s="6"/>
      <c r="V993" s="6"/>
      <c r="W993" s="6"/>
      <c r="X993" s="6" t="s">
        <v>383</v>
      </c>
      <c r="Y993" s="6" t="s">
        <v>378</v>
      </c>
    </row>
    <row r="994" spans="1:25">
      <c r="A994" s="171">
        <v>24</v>
      </c>
      <c r="B994" s="174">
        <v>45078</v>
      </c>
      <c r="C994" s="174">
        <v>45090</v>
      </c>
      <c r="D994" s="174">
        <v>45084</v>
      </c>
      <c r="E994" s="171">
        <v>2023</v>
      </c>
      <c r="F994" s="171">
        <v>6</v>
      </c>
      <c r="G994" s="171">
        <v>7</v>
      </c>
      <c r="H994" s="131"/>
      <c r="I994" s="176"/>
      <c r="J994" s="176"/>
      <c r="K994" s="171"/>
      <c r="L994" s="171" t="s">
        <v>56</v>
      </c>
      <c r="M994" s="171">
        <v>2</v>
      </c>
      <c r="N994" s="175">
        <v>0</v>
      </c>
      <c r="O994" s="171">
        <v>0</v>
      </c>
      <c r="P994" s="171">
        <v>0</v>
      </c>
      <c r="Q994" s="175">
        <v>0</v>
      </c>
      <c r="R994" s="6"/>
      <c r="S994" s="6"/>
      <c r="T994" s="6"/>
      <c r="U994" s="6"/>
      <c r="V994" s="6"/>
      <c r="W994" s="6"/>
      <c r="X994" s="6" t="s">
        <v>383</v>
      </c>
      <c r="Y994" s="6" t="s">
        <v>378</v>
      </c>
    </row>
    <row r="995" spans="1:25">
      <c r="A995" s="171">
        <v>24</v>
      </c>
      <c r="B995" s="174">
        <v>45078</v>
      </c>
      <c r="C995" s="174">
        <v>45090</v>
      </c>
      <c r="D995" s="174">
        <v>45084</v>
      </c>
      <c r="E995" s="171">
        <v>2023</v>
      </c>
      <c r="F995" s="171">
        <v>6</v>
      </c>
      <c r="G995" s="171">
        <v>7</v>
      </c>
      <c r="H995" s="131"/>
      <c r="I995" s="176"/>
      <c r="J995" s="176"/>
      <c r="K995" s="171"/>
      <c r="L995" s="171" t="s">
        <v>56</v>
      </c>
      <c r="M995" s="171">
        <v>10</v>
      </c>
      <c r="N995" s="175">
        <v>0</v>
      </c>
      <c r="O995" s="171">
        <v>0</v>
      </c>
      <c r="P995" s="171">
        <v>0</v>
      </c>
      <c r="Q995" s="175">
        <v>0</v>
      </c>
      <c r="R995" s="6"/>
      <c r="S995" s="6"/>
      <c r="T995" s="6"/>
      <c r="U995" s="6"/>
      <c r="V995" s="6"/>
      <c r="W995" s="6"/>
      <c r="X995" s="6" t="s">
        <v>383</v>
      </c>
      <c r="Y995" s="6" t="s">
        <v>378</v>
      </c>
    </row>
    <row r="996" spans="1:25">
      <c r="A996" s="171">
        <v>24</v>
      </c>
      <c r="B996" s="174">
        <v>45078</v>
      </c>
      <c r="C996" s="174">
        <v>45090</v>
      </c>
      <c r="D996" s="174">
        <v>45082</v>
      </c>
      <c r="E996" s="171">
        <v>2023</v>
      </c>
      <c r="F996" s="171">
        <v>6</v>
      </c>
      <c r="G996" s="171">
        <v>5</v>
      </c>
      <c r="H996" s="131"/>
      <c r="I996" s="176"/>
      <c r="J996" s="176"/>
      <c r="K996" s="171"/>
      <c r="L996" s="171" t="s">
        <v>56</v>
      </c>
      <c r="M996" s="171">
        <v>15</v>
      </c>
      <c r="N996" s="175">
        <v>0</v>
      </c>
      <c r="O996" s="171">
        <v>0</v>
      </c>
      <c r="P996" s="171">
        <v>0</v>
      </c>
      <c r="Q996" s="175">
        <v>0</v>
      </c>
      <c r="R996" s="6"/>
      <c r="S996" s="6"/>
      <c r="T996" s="6"/>
      <c r="U996" s="6"/>
      <c r="V996" s="6"/>
      <c r="W996" s="6"/>
      <c r="X996" s="6" t="s">
        <v>383</v>
      </c>
      <c r="Y996" s="6" t="s">
        <v>378</v>
      </c>
    </row>
    <row r="997" spans="1:25">
      <c r="A997" s="171">
        <v>24</v>
      </c>
      <c r="B997" s="174">
        <v>45078</v>
      </c>
      <c r="C997" s="174">
        <v>45090</v>
      </c>
      <c r="D997" s="174">
        <v>45083</v>
      </c>
      <c r="E997" s="171">
        <v>2023</v>
      </c>
      <c r="F997" s="171">
        <v>6</v>
      </c>
      <c r="G997" s="171">
        <v>6</v>
      </c>
      <c r="H997" s="131"/>
      <c r="I997" s="176"/>
      <c r="J997" s="176"/>
      <c r="K997" s="171"/>
      <c r="L997" s="171" t="s">
        <v>56</v>
      </c>
      <c r="M997" s="171">
        <v>97</v>
      </c>
      <c r="N997" s="175">
        <v>0</v>
      </c>
      <c r="O997" s="171">
        <v>0</v>
      </c>
      <c r="P997" s="171">
        <v>0</v>
      </c>
      <c r="Q997" s="175">
        <v>0</v>
      </c>
      <c r="R997" s="6"/>
      <c r="S997" s="6"/>
      <c r="T997" s="6"/>
      <c r="U997" s="6"/>
      <c r="V997" s="6"/>
      <c r="W997" s="6"/>
      <c r="X997" s="6" t="s">
        <v>383</v>
      </c>
      <c r="Y997" s="6" t="s">
        <v>378</v>
      </c>
    </row>
    <row r="998" spans="1:25">
      <c r="A998" s="171">
        <v>24</v>
      </c>
      <c r="B998" s="174">
        <v>45078</v>
      </c>
      <c r="C998" s="174">
        <v>45090</v>
      </c>
      <c r="D998" s="174">
        <v>45083</v>
      </c>
      <c r="E998" s="171">
        <v>2023</v>
      </c>
      <c r="F998" s="171">
        <v>6</v>
      </c>
      <c r="G998" s="171">
        <v>6</v>
      </c>
      <c r="H998" s="131"/>
      <c r="I998" s="176"/>
      <c r="J998" s="176"/>
      <c r="K998" s="171"/>
      <c r="L998" s="171" t="s">
        <v>56</v>
      </c>
      <c r="M998" s="171">
        <v>1706</v>
      </c>
      <c r="N998" s="175">
        <v>6</v>
      </c>
      <c r="O998" s="171">
        <v>2</v>
      </c>
      <c r="P998" s="171">
        <v>0</v>
      </c>
      <c r="Q998" s="175">
        <v>6</v>
      </c>
      <c r="R998" s="6" t="s">
        <v>160</v>
      </c>
      <c r="S998" s="6" t="s">
        <v>158</v>
      </c>
      <c r="T998" s="6" t="s">
        <v>314</v>
      </c>
      <c r="U998" s="6" t="s">
        <v>188</v>
      </c>
      <c r="V998" s="6" t="s">
        <v>399</v>
      </c>
      <c r="W998" s="6"/>
      <c r="X998" s="6" t="s">
        <v>383</v>
      </c>
      <c r="Y998" s="6" t="s">
        <v>378</v>
      </c>
    </row>
    <row r="999" spans="1:25">
      <c r="A999" s="171">
        <v>24</v>
      </c>
      <c r="B999" s="174">
        <v>45078</v>
      </c>
      <c r="C999" s="174">
        <v>45090</v>
      </c>
      <c r="D999" s="174">
        <v>45083</v>
      </c>
      <c r="E999" s="171">
        <v>2023</v>
      </c>
      <c r="F999" s="171">
        <v>6</v>
      </c>
      <c r="G999" s="171">
        <v>6</v>
      </c>
      <c r="H999" s="131"/>
      <c r="I999" s="176"/>
      <c r="J999" s="176"/>
      <c r="K999" s="171"/>
      <c r="L999" s="171" t="s">
        <v>56</v>
      </c>
      <c r="M999" s="171"/>
      <c r="N999" s="175">
        <v>0</v>
      </c>
      <c r="O999" s="171">
        <v>3</v>
      </c>
      <c r="P999" s="171">
        <v>0</v>
      </c>
      <c r="Q999" s="175">
        <v>0</v>
      </c>
      <c r="R999" s="6" t="s">
        <v>160</v>
      </c>
      <c r="S999" s="6" t="s">
        <v>205</v>
      </c>
      <c r="T999" s="6" t="s">
        <v>314</v>
      </c>
      <c r="U999" s="6" t="s">
        <v>322</v>
      </c>
      <c r="V999" s="6" t="s">
        <v>400</v>
      </c>
      <c r="W999" s="6"/>
      <c r="X999" s="6" t="s">
        <v>383</v>
      </c>
      <c r="Y999" s="6" t="s">
        <v>378</v>
      </c>
    </row>
    <row r="1000" spans="1:25">
      <c r="A1000" s="171">
        <v>24</v>
      </c>
      <c r="B1000" s="174">
        <v>45078</v>
      </c>
      <c r="C1000" s="174">
        <v>45090</v>
      </c>
      <c r="D1000" s="174">
        <v>45083</v>
      </c>
      <c r="E1000" s="171">
        <v>2023</v>
      </c>
      <c r="F1000" s="171">
        <v>6</v>
      </c>
      <c r="G1000" s="171">
        <v>6</v>
      </c>
      <c r="H1000" s="131"/>
      <c r="I1000" s="176"/>
      <c r="J1000" s="176"/>
      <c r="K1000" s="171"/>
      <c r="L1000" s="171" t="s">
        <v>56</v>
      </c>
      <c r="M1000" s="171"/>
      <c r="N1000" s="175">
        <v>0</v>
      </c>
      <c r="O1000" s="171">
        <v>1</v>
      </c>
      <c r="P1000" s="171">
        <v>0</v>
      </c>
      <c r="Q1000" s="175">
        <v>0</v>
      </c>
      <c r="R1000" s="6" t="s">
        <v>160</v>
      </c>
      <c r="S1000" s="6" t="s">
        <v>161</v>
      </c>
      <c r="T1000" s="6" t="s">
        <v>198</v>
      </c>
      <c r="U1000" s="6" t="s">
        <v>172</v>
      </c>
      <c r="V1000" s="6" t="s">
        <v>401</v>
      </c>
      <c r="W1000" s="6"/>
      <c r="X1000" s="6" t="s">
        <v>383</v>
      </c>
      <c r="Y1000" s="6" t="s">
        <v>378</v>
      </c>
    </row>
    <row r="1001" spans="1:25">
      <c r="A1001" s="171">
        <v>24</v>
      </c>
      <c r="B1001" s="174">
        <v>45078</v>
      </c>
      <c r="C1001" s="174">
        <v>45090</v>
      </c>
      <c r="D1001" s="174">
        <v>45085</v>
      </c>
      <c r="E1001" s="171">
        <v>2023</v>
      </c>
      <c r="F1001" s="171">
        <v>6</v>
      </c>
      <c r="G1001" s="171">
        <v>8</v>
      </c>
      <c r="H1001" s="131"/>
      <c r="I1001" s="176"/>
      <c r="J1001" s="176"/>
      <c r="K1001" s="171"/>
      <c r="L1001" s="171" t="s">
        <v>56</v>
      </c>
      <c r="M1001" s="171">
        <v>4000</v>
      </c>
      <c r="N1001" s="175">
        <v>0</v>
      </c>
      <c r="O1001" s="171">
        <v>0</v>
      </c>
      <c r="P1001" s="171">
        <v>0</v>
      </c>
      <c r="Q1001" s="175">
        <v>0</v>
      </c>
      <c r="R1001" s="6"/>
      <c r="S1001" s="6"/>
      <c r="T1001" s="6"/>
      <c r="U1001" s="6"/>
      <c r="V1001" s="6"/>
      <c r="W1001" s="6"/>
      <c r="X1001" s="6" t="s">
        <v>383</v>
      </c>
      <c r="Y1001" s="6" t="s">
        <v>378</v>
      </c>
    </row>
    <row r="1002" spans="1:25">
      <c r="A1002" s="171">
        <v>24</v>
      </c>
      <c r="B1002" s="174">
        <v>45078</v>
      </c>
      <c r="C1002" s="174">
        <v>45090</v>
      </c>
      <c r="D1002" s="174">
        <v>45085</v>
      </c>
      <c r="E1002" s="171">
        <v>2023</v>
      </c>
      <c r="F1002" s="171">
        <v>6</v>
      </c>
      <c r="G1002" s="171">
        <v>8</v>
      </c>
      <c r="H1002" s="131"/>
      <c r="I1002" s="176"/>
      <c r="J1002" s="176"/>
      <c r="K1002" s="171"/>
      <c r="L1002" s="171" t="s">
        <v>56</v>
      </c>
      <c r="M1002" s="171">
        <v>2003</v>
      </c>
      <c r="N1002" s="175">
        <v>3</v>
      </c>
      <c r="O1002" s="171">
        <v>3</v>
      </c>
      <c r="P1002" s="171">
        <v>0</v>
      </c>
      <c r="Q1002" s="175">
        <v>3</v>
      </c>
      <c r="R1002" s="6" t="s">
        <v>160</v>
      </c>
      <c r="S1002" s="6" t="s">
        <v>205</v>
      </c>
      <c r="T1002" s="6" t="s">
        <v>314</v>
      </c>
      <c r="U1002" s="6" t="s">
        <v>322</v>
      </c>
      <c r="V1002" s="6"/>
      <c r="W1002" s="6"/>
      <c r="X1002" s="6" t="s">
        <v>383</v>
      </c>
      <c r="Y1002" s="6" t="s">
        <v>378</v>
      </c>
    </row>
    <row r="1003" spans="1:25">
      <c r="A1003" s="171">
        <v>24</v>
      </c>
      <c r="B1003" s="174">
        <v>45078</v>
      </c>
      <c r="C1003" s="174">
        <v>45090</v>
      </c>
      <c r="D1003" s="174">
        <v>45084</v>
      </c>
      <c r="E1003" s="171">
        <v>2023</v>
      </c>
      <c r="F1003" s="171">
        <v>6</v>
      </c>
      <c r="G1003" s="171">
        <v>7</v>
      </c>
      <c r="H1003" s="131"/>
      <c r="I1003" s="176"/>
      <c r="J1003" s="176"/>
      <c r="K1003" s="171"/>
      <c r="L1003" s="171" t="s">
        <v>56</v>
      </c>
      <c r="M1003" s="171">
        <v>1500</v>
      </c>
      <c r="N1003" s="175">
        <v>0</v>
      </c>
      <c r="O1003" s="171">
        <v>0</v>
      </c>
      <c r="P1003" s="171">
        <v>0</v>
      </c>
      <c r="Q1003" s="175">
        <v>0</v>
      </c>
      <c r="R1003" s="6"/>
      <c r="S1003" s="6"/>
      <c r="T1003" s="6"/>
      <c r="U1003" s="6"/>
      <c r="V1003" s="6"/>
      <c r="W1003" s="6"/>
      <c r="X1003" s="6" t="s">
        <v>383</v>
      </c>
      <c r="Y1003" s="6" t="s">
        <v>378</v>
      </c>
    </row>
    <row r="1004" spans="1:25">
      <c r="A1004" s="171">
        <v>24</v>
      </c>
      <c r="B1004" s="174">
        <v>45078</v>
      </c>
      <c r="C1004" s="174">
        <v>45090</v>
      </c>
      <c r="D1004" s="174">
        <v>45085</v>
      </c>
      <c r="E1004" s="171">
        <v>2023</v>
      </c>
      <c r="F1004" s="171">
        <v>6</v>
      </c>
      <c r="G1004" s="171">
        <v>8</v>
      </c>
      <c r="H1004" s="131"/>
      <c r="I1004" s="176"/>
      <c r="J1004" s="176"/>
      <c r="K1004" s="171"/>
      <c r="L1004" s="171" t="s">
        <v>56</v>
      </c>
      <c r="M1004" s="171">
        <v>607</v>
      </c>
      <c r="N1004" s="175">
        <v>7</v>
      </c>
      <c r="O1004" s="171">
        <v>5</v>
      </c>
      <c r="P1004" s="171">
        <v>2</v>
      </c>
      <c r="Q1004" s="175">
        <v>5</v>
      </c>
      <c r="R1004" s="6" t="s">
        <v>160</v>
      </c>
      <c r="S1004" s="6" t="s">
        <v>161</v>
      </c>
      <c r="T1004" s="6"/>
      <c r="U1004" s="6" t="s">
        <v>162</v>
      </c>
      <c r="V1004" s="6" t="s">
        <v>402</v>
      </c>
      <c r="W1004" s="6"/>
      <c r="X1004" s="6" t="s">
        <v>383</v>
      </c>
      <c r="Y1004" s="6" t="s">
        <v>378</v>
      </c>
    </row>
    <row r="1005" spans="1:25">
      <c r="A1005" s="171">
        <v>24</v>
      </c>
      <c r="B1005" s="174">
        <v>45078</v>
      </c>
      <c r="C1005" s="174">
        <v>45090</v>
      </c>
      <c r="D1005" s="174">
        <v>45085</v>
      </c>
      <c r="E1005" s="171">
        <v>2023</v>
      </c>
      <c r="F1005" s="171">
        <v>6</v>
      </c>
      <c r="G1005" s="171">
        <v>8</v>
      </c>
      <c r="H1005" s="131"/>
      <c r="I1005" s="176"/>
      <c r="J1005" s="176"/>
      <c r="K1005" s="171"/>
      <c r="L1005" s="171" t="s">
        <v>56</v>
      </c>
      <c r="M1005" s="171"/>
      <c r="N1005" s="175">
        <v>0</v>
      </c>
      <c r="O1005" s="171">
        <v>2</v>
      </c>
      <c r="P1005" s="171">
        <v>0</v>
      </c>
      <c r="Q1005" s="175">
        <v>0</v>
      </c>
      <c r="R1005" s="6" t="s">
        <v>157</v>
      </c>
      <c r="S1005" s="6" t="s">
        <v>158</v>
      </c>
      <c r="T1005" s="6" t="s">
        <v>166</v>
      </c>
      <c r="U1005" s="6" t="s">
        <v>239</v>
      </c>
      <c r="V1005" s="6"/>
      <c r="W1005" s="6"/>
      <c r="X1005" s="6" t="s">
        <v>383</v>
      </c>
      <c r="Y1005" s="6" t="s">
        <v>378</v>
      </c>
    </row>
    <row r="1006" spans="1:25">
      <c r="A1006" s="171">
        <v>24</v>
      </c>
      <c r="B1006" s="174">
        <v>45078</v>
      </c>
      <c r="C1006" s="174">
        <v>45090</v>
      </c>
      <c r="D1006" s="174">
        <v>45084</v>
      </c>
      <c r="E1006" s="171">
        <v>2023</v>
      </c>
      <c r="F1006" s="171">
        <v>6</v>
      </c>
      <c r="G1006" s="171">
        <v>7</v>
      </c>
      <c r="H1006" s="131"/>
      <c r="I1006" s="176"/>
      <c r="J1006" s="176"/>
      <c r="K1006" s="171"/>
      <c r="L1006" s="171" t="s">
        <v>56</v>
      </c>
      <c r="M1006" s="171">
        <v>4000</v>
      </c>
      <c r="N1006" s="175">
        <v>0</v>
      </c>
      <c r="O1006" s="171">
        <v>0</v>
      </c>
      <c r="P1006" s="171">
        <v>0</v>
      </c>
      <c r="Q1006" s="175">
        <v>0</v>
      </c>
      <c r="R1006" s="6"/>
      <c r="S1006" s="6"/>
      <c r="T1006" s="6"/>
      <c r="U1006" s="6"/>
      <c r="V1006" s="6"/>
      <c r="W1006" s="6"/>
      <c r="X1006" s="6" t="s">
        <v>383</v>
      </c>
      <c r="Y1006" s="6" t="s">
        <v>378</v>
      </c>
    </row>
    <row r="1007" spans="1:25">
      <c r="A1007" s="171">
        <v>24</v>
      </c>
      <c r="B1007" s="174">
        <v>45078</v>
      </c>
      <c r="C1007" s="174">
        <v>45090</v>
      </c>
      <c r="D1007" s="174">
        <v>45083</v>
      </c>
      <c r="E1007" s="171">
        <v>2023</v>
      </c>
      <c r="F1007" s="171">
        <v>6</v>
      </c>
      <c r="G1007" s="171">
        <v>6</v>
      </c>
      <c r="H1007" s="131"/>
      <c r="I1007" s="176"/>
      <c r="J1007" s="176"/>
      <c r="K1007" s="171"/>
      <c r="L1007" s="171" t="s">
        <v>56</v>
      </c>
      <c r="M1007" s="171">
        <v>1001</v>
      </c>
      <c r="N1007" s="175">
        <v>1</v>
      </c>
      <c r="O1007" s="171">
        <v>1</v>
      </c>
      <c r="P1007" s="171">
        <v>0</v>
      </c>
      <c r="Q1007" s="175">
        <v>1</v>
      </c>
      <c r="R1007" s="6" t="s">
        <v>160</v>
      </c>
      <c r="S1007" s="6" t="s">
        <v>205</v>
      </c>
      <c r="T1007" s="6"/>
      <c r="U1007" s="6" t="s">
        <v>162</v>
      </c>
      <c r="V1007" s="6" t="s">
        <v>403</v>
      </c>
      <c r="W1007" s="6"/>
      <c r="X1007" s="6" t="s">
        <v>383</v>
      </c>
      <c r="Y1007" s="6" t="s">
        <v>378</v>
      </c>
    </row>
    <row r="1008" spans="1:25">
      <c r="A1008" s="171">
        <v>24</v>
      </c>
      <c r="B1008" s="174">
        <v>45078</v>
      </c>
      <c r="C1008" s="174">
        <v>45090</v>
      </c>
      <c r="D1008" s="174">
        <v>45084</v>
      </c>
      <c r="E1008" s="171">
        <v>2023</v>
      </c>
      <c r="F1008" s="171">
        <v>6</v>
      </c>
      <c r="G1008" s="171">
        <v>7</v>
      </c>
      <c r="H1008" s="131"/>
      <c r="I1008" s="176"/>
      <c r="J1008" s="176"/>
      <c r="K1008" s="171"/>
      <c r="L1008" s="171" t="s">
        <v>56</v>
      </c>
      <c r="M1008" s="171">
        <v>920</v>
      </c>
      <c r="N1008" s="175">
        <v>0</v>
      </c>
      <c r="O1008" s="171">
        <v>0</v>
      </c>
      <c r="P1008" s="171">
        <v>0</v>
      </c>
      <c r="Q1008" s="175">
        <v>0</v>
      </c>
      <c r="R1008" s="6"/>
      <c r="S1008" s="6"/>
      <c r="T1008" s="6"/>
      <c r="U1008" s="6"/>
      <c r="V1008" s="6"/>
      <c r="W1008" s="6"/>
      <c r="X1008" s="6" t="s">
        <v>383</v>
      </c>
      <c r="Y1008" s="6" t="s">
        <v>378</v>
      </c>
    </row>
    <row r="1009" spans="1:25">
      <c r="A1009" s="171">
        <v>24</v>
      </c>
      <c r="B1009" s="174">
        <v>45078</v>
      </c>
      <c r="C1009" s="174">
        <v>45090</v>
      </c>
      <c r="D1009" s="174">
        <v>45083</v>
      </c>
      <c r="E1009" s="171">
        <v>2023</v>
      </c>
      <c r="F1009" s="171">
        <v>6</v>
      </c>
      <c r="G1009" s="171">
        <v>6</v>
      </c>
      <c r="H1009" s="131"/>
      <c r="I1009" s="176"/>
      <c r="J1009" s="176"/>
      <c r="K1009" s="171"/>
      <c r="L1009" s="171" t="s">
        <v>56</v>
      </c>
      <c r="M1009" s="171">
        <v>704</v>
      </c>
      <c r="N1009" s="175">
        <v>4</v>
      </c>
      <c r="O1009" s="171">
        <v>4</v>
      </c>
      <c r="P1009" s="171">
        <v>0</v>
      </c>
      <c r="Q1009" s="175">
        <v>4</v>
      </c>
      <c r="R1009" s="6" t="s">
        <v>160</v>
      </c>
      <c r="S1009" s="6" t="s">
        <v>158</v>
      </c>
      <c r="T1009" s="6" t="s">
        <v>314</v>
      </c>
      <c r="U1009" s="6" t="s">
        <v>190</v>
      </c>
      <c r="V1009" s="6" t="s">
        <v>404</v>
      </c>
      <c r="W1009" s="6"/>
      <c r="X1009" s="6" t="s">
        <v>383</v>
      </c>
      <c r="Y1009" s="6" t="s">
        <v>378</v>
      </c>
    </row>
    <row r="1010" spans="1:25">
      <c r="A1010" s="171">
        <v>24</v>
      </c>
      <c r="B1010" s="174">
        <v>45078</v>
      </c>
      <c r="C1010" s="174">
        <v>45090</v>
      </c>
      <c r="D1010" s="174">
        <v>45083</v>
      </c>
      <c r="E1010" s="171">
        <v>2023</v>
      </c>
      <c r="F1010" s="171">
        <v>6</v>
      </c>
      <c r="G1010" s="171">
        <v>6</v>
      </c>
      <c r="H1010" s="131"/>
      <c r="I1010" s="176"/>
      <c r="J1010" s="176"/>
      <c r="K1010" s="171"/>
      <c r="L1010" s="171" t="s">
        <v>52</v>
      </c>
      <c r="M1010" s="171">
        <v>3000</v>
      </c>
      <c r="N1010" s="175">
        <v>0</v>
      </c>
      <c r="O1010" s="171">
        <v>0</v>
      </c>
      <c r="P1010" s="171">
        <v>0</v>
      </c>
      <c r="Q1010" s="175">
        <v>0</v>
      </c>
      <c r="R1010" s="6"/>
      <c r="S1010" s="6"/>
      <c r="T1010" s="6"/>
      <c r="U1010" s="6"/>
      <c r="V1010" s="6"/>
      <c r="W1010" s="6"/>
      <c r="X1010" s="6" t="s">
        <v>385</v>
      </c>
      <c r="Y1010" s="6" t="s">
        <v>380</v>
      </c>
    </row>
    <row r="1011" spans="1:25">
      <c r="A1011" s="171">
        <v>24</v>
      </c>
      <c r="B1011" s="174">
        <v>45078</v>
      </c>
      <c r="C1011" s="174">
        <v>45090</v>
      </c>
      <c r="D1011" s="174">
        <v>45084</v>
      </c>
      <c r="E1011" s="171">
        <v>2023</v>
      </c>
      <c r="F1011" s="171">
        <v>6</v>
      </c>
      <c r="G1011" s="171">
        <v>7</v>
      </c>
      <c r="H1011" s="131"/>
      <c r="I1011" s="176"/>
      <c r="J1011" s="176"/>
      <c r="K1011" s="171"/>
      <c r="L1011" s="171" t="s">
        <v>52</v>
      </c>
      <c r="M1011" s="171">
        <v>50027</v>
      </c>
      <c r="N1011" s="175">
        <v>27</v>
      </c>
      <c r="O1011" s="171">
        <v>4</v>
      </c>
      <c r="P1011" s="171">
        <v>0</v>
      </c>
      <c r="Q1011" s="175">
        <v>27</v>
      </c>
      <c r="R1011" s="6" t="s">
        <v>160</v>
      </c>
      <c r="S1011" s="6" t="s">
        <v>161</v>
      </c>
      <c r="T1011" s="6" t="s">
        <v>314</v>
      </c>
      <c r="U1011" s="6" t="s">
        <v>237</v>
      </c>
      <c r="V1011" s="6"/>
      <c r="W1011" s="6"/>
      <c r="X1011" s="6" t="s">
        <v>385</v>
      </c>
      <c r="Y1011" s="6" t="s">
        <v>380</v>
      </c>
    </row>
    <row r="1012" spans="1:25">
      <c r="A1012" s="171">
        <v>24</v>
      </c>
      <c r="B1012" s="174">
        <v>45078</v>
      </c>
      <c r="C1012" s="174">
        <v>45090</v>
      </c>
      <c r="D1012" s="174">
        <v>45084</v>
      </c>
      <c r="E1012" s="171">
        <v>2023</v>
      </c>
      <c r="F1012" s="171">
        <v>6</v>
      </c>
      <c r="G1012" s="171">
        <v>7</v>
      </c>
      <c r="H1012" s="131"/>
      <c r="I1012" s="176"/>
      <c r="J1012" s="176"/>
      <c r="K1012" s="171"/>
      <c r="L1012" s="171" t="s">
        <v>52</v>
      </c>
      <c r="M1012" s="171"/>
      <c r="N1012" s="175">
        <v>0</v>
      </c>
      <c r="O1012" s="171">
        <v>23</v>
      </c>
      <c r="P1012" s="171">
        <v>0</v>
      </c>
      <c r="Q1012" s="175">
        <v>0</v>
      </c>
      <c r="R1012" s="6" t="s">
        <v>160</v>
      </c>
      <c r="S1012" s="6" t="s">
        <v>161</v>
      </c>
      <c r="T1012" s="6" t="s">
        <v>314</v>
      </c>
      <c r="U1012" s="6" t="s">
        <v>168</v>
      </c>
      <c r="V1012" s="6"/>
      <c r="W1012" s="6"/>
      <c r="X1012" s="6" t="s">
        <v>385</v>
      </c>
      <c r="Y1012" s="6" t="s">
        <v>380</v>
      </c>
    </row>
    <row r="1013" spans="1:25">
      <c r="A1013" s="171">
        <v>24</v>
      </c>
      <c r="B1013" s="174">
        <v>45078</v>
      </c>
      <c r="C1013" s="174">
        <v>45090</v>
      </c>
      <c r="D1013" s="174">
        <v>45083</v>
      </c>
      <c r="E1013" s="171">
        <v>2023</v>
      </c>
      <c r="F1013" s="171">
        <v>6</v>
      </c>
      <c r="G1013" s="171">
        <v>6</v>
      </c>
      <c r="H1013" s="131"/>
      <c r="I1013" s="176"/>
      <c r="J1013" s="176"/>
      <c r="K1013" s="171"/>
      <c r="L1013" s="171" t="s">
        <v>52</v>
      </c>
      <c r="M1013" s="171">
        <v>50000</v>
      </c>
      <c r="N1013" s="175">
        <v>0</v>
      </c>
      <c r="O1013" s="171">
        <v>0</v>
      </c>
      <c r="P1013" s="171">
        <v>0</v>
      </c>
      <c r="Q1013" s="175">
        <v>0</v>
      </c>
      <c r="R1013" s="6"/>
      <c r="S1013" s="6"/>
      <c r="T1013" s="6"/>
      <c r="U1013" s="6"/>
      <c r="V1013" s="6"/>
      <c r="W1013" s="6"/>
      <c r="X1013" s="6" t="s">
        <v>385</v>
      </c>
      <c r="Y1013" s="6" t="s">
        <v>380</v>
      </c>
    </row>
    <row r="1014" spans="1:25">
      <c r="A1014" s="171">
        <v>24</v>
      </c>
      <c r="B1014" s="174">
        <v>45078</v>
      </c>
      <c r="C1014" s="174">
        <v>45089</v>
      </c>
      <c r="D1014" s="174">
        <v>45086</v>
      </c>
      <c r="E1014" s="171">
        <v>2023</v>
      </c>
      <c r="F1014" s="171">
        <v>6</v>
      </c>
      <c r="G1014" s="171">
        <v>9</v>
      </c>
      <c r="H1014" s="131"/>
      <c r="I1014" s="176"/>
      <c r="J1014" s="176"/>
      <c r="K1014" s="171"/>
      <c r="L1014" s="171" t="s">
        <v>52</v>
      </c>
      <c r="M1014" s="171">
        <v>40000</v>
      </c>
      <c r="N1014" s="175">
        <v>0</v>
      </c>
      <c r="O1014" s="171">
        <v>0</v>
      </c>
      <c r="P1014" s="171">
        <v>0</v>
      </c>
      <c r="Q1014" s="175">
        <v>0</v>
      </c>
      <c r="R1014" s="6"/>
      <c r="S1014" s="6"/>
      <c r="T1014" s="6"/>
      <c r="U1014" s="6"/>
      <c r="V1014" s="6"/>
      <c r="W1014" s="6"/>
      <c r="X1014" s="6" t="s">
        <v>385</v>
      </c>
      <c r="Y1014" s="6" t="s">
        <v>380</v>
      </c>
    </row>
    <row r="1015" spans="1:25">
      <c r="A1015" s="171">
        <v>24</v>
      </c>
      <c r="B1015" s="174">
        <v>45078</v>
      </c>
      <c r="C1015" s="174">
        <v>45090</v>
      </c>
      <c r="D1015" s="174">
        <v>45082</v>
      </c>
      <c r="E1015" s="171">
        <v>2023</v>
      </c>
      <c r="F1015" s="171">
        <v>6</v>
      </c>
      <c r="G1015" s="171">
        <v>5</v>
      </c>
      <c r="H1015" s="131"/>
      <c r="I1015" s="176"/>
      <c r="J1015" s="176"/>
      <c r="K1015" s="171"/>
      <c r="L1015" s="171" t="s">
        <v>52</v>
      </c>
      <c r="M1015" s="171">
        <v>20000</v>
      </c>
      <c r="N1015" s="175">
        <v>0</v>
      </c>
      <c r="O1015" s="171">
        <v>0</v>
      </c>
      <c r="P1015" s="171">
        <v>0</v>
      </c>
      <c r="Q1015" s="175">
        <v>0</v>
      </c>
      <c r="R1015" s="6"/>
      <c r="S1015" s="6"/>
      <c r="T1015" s="6"/>
      <c r="U1015" s="6"/>
      <c r="V1015" s="6"/>
      <c r="W1015" s="6"/>
      <c r="X1015" s="6" t="s">
        <v>385</v>
      </c>
      <c r="Y1015" s="6" t="s">
        <v>380</v>
      </c>
    </row>
    <row r="1016" spans="1:25">
      <c r="A1016" s="171">
        <v>24</v>
      </c>
      <c r="B1016" s="174">
        <v>45078</v>
      </c>
      <c r="C1016" s="174">
        <v>45090</v>
      </c>
      <c r="D1016" s="174">
        <v>45082</v>
      </c>
      <c r="E1016" s="171">
        <v>2023</v>
      </c>
      <c r="F1016" s="171">
        <v>6</v>
      </c>
      <c r="G1016" s="171">
        <v>5</v>
      </c>
      <c r="H1016" s="131"/>
      <c r="I1016" s="176"/>
      <c r="J1016" s="176"/>
      <c r="K1016" s="171"/>
      <c r="L1016" s="171" t="s">
        <v>52</v>
      </c>
      <c r="M1016" s="171">
        <v>6000</v>
      </c>
      <c r="N1016" s="175">
        <v>0</v>
      </c>
      <c r="O1016" s="171">
        <v>0</v>
      </c>
      <c r="P1016" s="171">
        <v>0</v>
      </c>
      <c r="Q1016" s="175">
        <v>0</v>
      </c>
      <c r="R1016" s="6"/>
      <c r="S1016" s="6"/>
      <c r="T1016" s="6"/>
      <c r="U1016" s="6"/>
      <c r="V1016" s="6"/>
      <c r="W1016" s="6"/>
      <c r="X1016" s="6" t="s">
        <v>385</v>
      </c>
      <c r="Y1016" s="6" t="s">
        <v>380</v>
      </c>
    </row>
    <row r="1017" spans="1:25">
      <c r="A1017" s="171">
        <v>24</v>
      </c>
      <c r="B1017" s="174">
        <v>45078</v>
      </c>
      <c r="C1017" s="174">
        <v>45090</v>
      </c>
      <c r="D1017" s="174">
        <v>45085</v>
      </c>
      <c r="E1017" s="171">
        <v>2023</v>
      </c>
      <c r="F1017" s="171">
        <v>6</v>
      </c>
      <c r="G1017" s="171">
        <v>8</v>
      </c>
      <c r="H1017" s="131"/>
      <c r="I1017" s="176"/>
      <c r="J1017" s="176"/>
      <c r="K1017" s="171"/>
      <c r="L1017" s="171" t="s">
        <v>52</v>
      </c>
      <c r="M1017" s="171">
        <v>40000</v>
      </c>
      <c r="N1017" s="175">
        <v>0</v>
      </c>
      <c r="O1017" s="171">
        <v>0</v>
      </c>
      <c r="P1017" s="171">
        <v>0</v>
      </c>
      <c r="Q1017" s="175">
        <v>0</v>
      </c>
      <c r="R1017" s="6"/>
      <c r="S1017" s="6"/>
      <c r="T1017" s="6"/>
      <c r="U1017" s="6"/>
      <c r="V1017" s="6"/>
      <c r="W1017" s="6"/>
      <c r="X1017" s="6" t="s">
        <v>385</v>
      </c>
      <c r="Y1017" s="6" t="s">
        <v>380</v>
      </c>
    </row>
    <row r="1018" spans="1:25">
      <c r="A1018" s="171">
        <v>24</v>
      </c>
      <c r="B1018" s="174">
        <v>45078</v>
      </c>
      <c r="C1018" s="174">
        <v>45090</v>
      </c>
      <c r="D1018" s="174">
        <v>45084</v>
      </c>
      <c r="E1018" s="171">
        <v>2023</v>
      </c>
      <c r="F1018" s="171">
        <v>6</v>
      </c>
      <c r="G1018" s="171">
        <v>7</v>
      </c>
      <c r="H1018" s="131"/>
      <c r="I1018" s="176"/>
      <c r="J1018" s="176"/>
      <c r="K1018" s="171"/>
      <c r="L1018" s="171" t="s">
        <v>56</v>
      </c>
      <c r="M1018" s="171">
        <v>170</v>
      </c>
      <c r="N1018" s="175">
        <v>0</v>
      </c>
      <c r="O1018" s="171">
        <v>0</v>
      </c>
      <c r="P1018" s="171">
        <v>0</v>
      </c>
      <c r="Q1018" s="175">
        <v>0</v>
      </c>
      <c r="R1018" s="6"/>
      <c r="S1018" s="6"/>
      <c r="T1018" s="6"/>
      <c r="U1018" s="6"/>
      <c r="V1018" s="6"/>
      <c r="W1018" s="6"/>
      <c r="X1018" s="6" t="s">
        <v>383</v>
      </c>
      <c r="Y1018" s="6" t="s">
        <v>378</v>
      </c>
    </row>
    <row r="1019" spans="1:25">
      <c r="A1019" s="171">
        <v>24</v>
      </c>
      <c r="B1019" s="174">
        <v>45078</v>
      </c>
      <c r="C1019" s="174">
        <v>45090</v>
      </c>
      <c r="D1019" s="174">
        <v>45083</v>
      </c>
      <c r="E1019" s="171">
        <v>2023</v>
      </c>
      <c r="F1019" s="171">
        <v>6</v>
      </c>
      <c r="G1019" s="171">
        <v>6</v>
      </c>
      <c r="H1019" s="131"/>
      <c r="I1019" s="176"/>
      <c r="J1019" s="176"/>
      <c r="K1019" s="171"/>
      <c r="L1019" s="171" t="s">
        <v>56</v>
      </c>
      <c r="M1019" s="171">
        <v>600</v>
      </c>
      <c r="N1019" s="175">
        <v>0</v>
      </c>
      <c r="O1019" s="171">
        <v>0</v>
      </c>
      <c r="P1019" s="171">
        <v>0</v>
      </c>
      <c r="Q1019" s="175">
        <v>0</v>
      </c>
      <c r="R1019" s="6"/>
      <c r="S1019" s="6"/>
      <c r="T1019" s="6"/>
      <c r="U1019" s="6"/>
      <c r="V1019" s="6"/>
      <c r="W1019" s="6"/>
      <c r="X1019" s="6" t="s">
        <v>383</v>
      </c>
      <c r="Y1019" s="6" t="s">
        <v>378</v>
      </c>
    </row>
    <row r="1020" spans="1:25">
      <c r="A1020" s="171">
        <v>24</v>
      </c>
      <c r="B1020" s="174">
        <v>45078</v>
      </c>
      <c r="C1020" s="174">
        <v>45090</v>
      </c>
      <c r="D1020" s="174">
        <v>45082</v>
      </c>
      <c r="E1020" s="171">
        <v>2023</v>
      </c>
      <c r="F1020" s="171">
        <v>6</v>
      </c>
      <c r="G1020" s="171">
        <v>5</v>
      </c>
      <c r="H1020" s="131"/>
      <c r="I1020" s="176"/>
      <c r="J1020" s="176"/>
      <c r="K1020" s="171"/>
      <c r="L1020" s="171" t="s">
        <v>56</v>
      </c>
      <c r="M1020" s="171">
        <v>430</v>
      </c>
      <c r="N1020" s="175">
        <v>0</v>
      </c>
      <c r="O1020" s="171">
        <v>0</v>
      </c>
      <c r="P1020" s="171">
        <v>0</v>
      </c>
      <c r="Q1020" s="175">
        <v>0</v>
      </c>
      <c r="R1020" s="6"/>
      <c r="S1020" s="6"/>
      <c r="T1020" s="6"/>
      <c r="U1020" s="6"/>
      <c r="V1020" s="6"/>
      <c r="W1020" s="6"/>
      <c r="X1020" s="6" t="s">
        <v>383</v>
      </c>
      <c r="Y1020" s="6" t="s">
        <v>378</v>
      </c>
    </row>
    <row r="1021" spans="1:25">
      <c r="A1021" s="171">
        <v>24</v>
      </c>
      <c r="B1021" s="174">
        <v>45078</v>
      </c>
      <c r="C1021" s="174">
        <v>45090</v>
      </c>
      <c r="D1021" s="174">
        <v>45083</v>
      </c>
      <c r="E1021" s="171">
        <v>2023</v>
      </c>
      <c r="F1021" s="171">
        <v>6</v>
      </c>
      <c r="G1021" s="171">
        <v>6</v>
      </c>
      <c r="H1021" s="131"/>
      <c r="I1021" s="176"/>
      <c r="J1021" s="176"/>
      <c r="K1021" s="171"/>
      <c r="L1021" s="171" t="s">
        <v>56</v>
      </c>
      <c r="M1021" s="171">
        <v>501</v>
      </c>
      <c r="N1021" s="175">
        <v>1</v>
      </c>
      <c r="O1021" s="171">
        <v>1</v>
      </c>
      <c r="P1021" s="171">
        <v>1</v>
      </c>
      <c r="Q1021" s="175">
        <v>0</v>
      </c>
      <c r="R1021" s="6" t="s">
        <v>157</v>
      </c>
      <c r="S1021" s="6" t="s">
        <v>158</v>
      </c>
      <c r="T1021" s="6" t="s">
        <v>166</v>
      </c>
      <c r="U1021" s="6" t="s">
        <v>229</v>
      </c>
      <c r="V1021" s="6" t="s">
        <v>405</v>
      </c>
      <c r="W1021" s="6"/>
      <c r="X1021" s="6" t="s">
        <v>383</v>
      </c>
      <c r="Y1021" s="6" t="s">
        <v>378</v>
      </c>
    </row>
    <row r="1022" spans="1:25">
      <c r="A1022" s="171">
        <v>24</v>
      </c>
      <c r="B1022" s="174">
        <v>45078</v>
      </c>
      <c r="C1022" s="174">
        <v>45089</v>
      </c>
      <c r="D1022" s="174">
        <v>45086</v>
      </c>
      <c r="E1022" s="171">
        <v>2023</v>
      </c>
      <c r="F1022" s="171">
        <v>6</v>
      </c>
      <c r="G1022" s="171">
        <v>9</v>
      </c>
      <c r="H1022" s="131"/>
      <c r="I1022" s="176"/>
      <c r="J1022" s="176"/>
      <c r="K1022" s="171"/>
      <c r="L1022" s="171" t="s">
        <v>56</v>
      </c>
      <c r="M1022" s="171">
        <v>640</v>
      </c>
      <c r="N1022" s="175">
        <v>0</v>
      </c>
      <c r="O1022" s="171">
        <v>0</v>
      </c>
      <c r="P1022" s="171">
        <v>0</v>
      </c>
      <c r="Q1022" s="175">
        <v>0</v>
      </c>
      <c r="R1022" s="6"/>
      <c r="S1022" s="6"/>
      <c r="T1022" s="6"/>
      <c r="U1022" s="6"/>
      <c r="V1022" s="6"/>
      <c r="W1022" s="6"/>
      <c r="X1022" s="6" t="s">
        <v>383</v>
      </c>
      <c r="Y1022" s="6" t="s">
        <v>378</v>
      </c>
    </row>
    <row r="1023" spans="1:25">
      <c r="A1023" s="171">
        <v>24</v>
      </c>
      <c r="B1023" s="174">
        <v>45078</v>
      </c>
      <c r="C1023" s="174">
        <v>45090</v>
      </c>
      <c r="D1023" s="174">
        <v>45082</v>
      </c>
      <c r="E1023" s="171">
        <v>2023</v>
      </c>
      <c r="F1023" s="171">
        <v>6</v>
      </c>
      <c r="G1023" s="171">
        <v>5</v>
      </c>
      <c r="H1023" s="131"/>
      <c r="I1023" s="176"/>
      <c r="J1023" s="176"/>
      <c r="K1023" s="171"/>
      <c r="L1023" s="171" t="s">
        <v>56</v>
      </c>
      <c r="M1023" s="171">
        <v>503</v>
      </c>
      <c r="N1023" s="175">
        <v>3</v>
      </c>
      <c r="O1023" s="171">
        <v>3</v>
      </c>
      <c r="P1023" s="171">
        <v>0</v>
      </c>
      <c r="Q1023" s="175">
        <v>3</v>
      </c>
      <c r="R1023" s="6" t="s">
        <v>160</v>
      </c>
      <c r="S1023" s="6" t="s">
        <v>161</v>
      </c>
      <c r="T1023" s="6" t="s">
        <v>198</v>
      </c>
      <c r="U1023" s="6" t="s">
        <v>172</v>
      </c>
      <c r="V1023" s="6"/>
      <c r="W1023" s="6"/>
      <c r="X1023" s="6" t="s">
        <v>383</v>
      </c>
      <c r="Y1023" s="6" t="s">
        <v>378</v>
      </c>
    </row>
    <row r="1024" spans="1:25">
      <c r="A1024" s="171">
        <v>24</v>
      </c>
      <c r="B1024" s="174">
        <v>45078</v>
      </c>
      <c r="C1024" s="174">
        <v>45090</v>
      </c>
      <c r="D1024" s="174">
        <v>45083</v>
      </c>
      <c r="E1024" s="171">
        <v>2023</v>
      </c>
      <c r="F1024" s="171">
        <v>6</v>
      </c>
      <c r="G1024" s="171">
        <v>6</v>
      </c>
      <c r="H1024" s="131"/>
      <c r="I1024" s="176"/>
      <c r="J1024" s="176"/>
      <c r="K1024" s="171"/>
      <c r="L1024" s="171" t="s">
        <v>56</v>
      </c>
      <c r="M1024" s="171">
        <v>795</v>
      </c>
      <c r="N1024" s="175">
        <v>3</v>
      </c>
      <c r="O1024" s="171">
        <v>3</v>
      </c>
      <c r="P1024" s="171">
        <v>0</v>
      </c>
      <c r="Q1024" s="175">
        <v>3</v>
      </c>
      <c r="R1024" s="6" t="s">
        <v>160</v>
      </c>
      <c r="S1024" s="6" t="s">
        <v>162</v>
      </c>
      <c r="T1024" s="6"/>
      <c r="U1024" s="6" t="s">
        <v>162</v>
      </c>
      <c r="V1024" s="6" t="s">
        <v>406</v>
      </c>
      <c r="W1024" s="6"/>
      <c r="X1024" s="6" t="s">
        <v>383</v>
      </c>
      <c r="Y1024" s="6" t="s">
        <v>378</v>
      </c>
    </row>
    <row r="1025" spans="1:25">
      <c r="A1025" s="171">
        <v>24</v>
      </c>
      <c r="B1025" s="174">
        <v>45078</v>
      </c>
      <c r="C1025" s="174">
        <v>45089</v>
      </c>
      <c r="D1025" s="174">
        <v>45086</v>
      </c>
      <c r="E1025" s="171">
        <v>2023</v>
      </c>
      <c r="F1025" s="171">
        <v>6</v>
      </c>
      <c r="G1025" s="171">
        <v>9</v>
      </c>
      <c r="H1025" s="131"/>
      <c r="I1025" s="176"/>
      <c r="J1025" s="176"/>
      <c r="K1025" s="171"/>
      <c r="L1025" s="171" t="s">
        <v>56</v>
      </c>
      <c r="M1025" s="171">
        <v>1700</v>
      </c>
      <c r="N1025" s="175">
        <v>0</v>
      </c>
      <c r="O1025" s="171">
        <v>0</v>
      </c>
      <c r="P1025" s="171">
        <v>0</v>
      </c>
      <c r="Q1025" s="175">
        <v>0</v>
      </c>
      <c r="R1025" s="6"/>
      <c r="S1025" s="6"/>
      <c r="T1025" s="6"/>
      <c r="U1025" s="6"/>
      <c r="V1025" s="6"/>
      <c r="W1025" s="6"/>
      <c r="X1025" s="6" t="s">
        <v>383</v>
      </c>
      <c r="Y1025" s="6" t="s">
        <v>378</v>
      </c>
    </row>
    <row r="1026" spans="1:25">
      <c r="A1026" s="171">
        <v>24</v>
      </c>
      <c r="B1026" s="174">
        <v>45078</v>
      </c>
      <c r="C1026" s="174">
        <v>45090</v>
      </c>
      <c r="D1026" s="174">
        <v>45082</v>
      </c>
      <c r="E1026" s="171">
        <v>2023</v>
      </c>
      <c r="F1026" s="171">
        <v>6</v>
      </c>
      <c r="G1026" s="171">
        <v>5</v>
      </c>
      <c r="H1026" s="131"/>
      <c r="I1026" s="176"/>
      <c r="J1026" s="176"/>
      <c r="K1026" s="171"/>
      <c r="L1026" s="171" t="s">
        <v>56</v>
      </c>
      <c r="M1026" s="171">
        <v>3000</v>
      </c>
      <c r="N1026" s="175">
        <v>0</v>
      </c>
      <c r="O1026" s="171">
        <v>0</v>
      </c>
      <c r="P1026" s="171">
        <v>0</v>
      </c>
      <c r="Q1026" s="175">
        <v>0</v>
      </c>
      <c r="R1026" s="6"/>
      <c r="S1026" s="6"/>
      <c r="T1026" s="6"/>
      <c r="U1026" s="6"/>
      <c r="V1026" s="6"/>
      <c r="W1026" s="6"/>
      <c r="X1026" s="6" t="s">
        <v>383</v>
      </c>
      <c r="Y1026" s="6" t="s">
        <v>378</v>
      </c>
    </row>
    <row r="1027" spans="1:25">
      <c r="A1027" s="171">
        <v>24</v>
      </c>
      <c r="B1027" s="174">
        <v>45078</v>
      </c>
      <c r="C1027" s="174">
        <v>45090</v>
      </c>
      <c r="D1027" s="174">
        <v>45085</v>
      </c>
      <c r="E1027" s="171">
        <v>2023</v>
      </c>
      <c r="F1027" s="171">
        <v>6</v>
      </c>
      <c r="G1027" s="171">
        <v>8</v>
      </c>
      <c r="H1027" s="131"/>
      <c r="I1027" s="176"/>
      <c r="J1027" s="176"/>
      <c r="K1027" s="171"/>
      <c r="L1027" s="171" t="s">
        <v>56</v>
      </c>
      <c r="M1027" s="171">
        <v>800</v>
      </c>
      <c r="N1027" s="175">
        <v>0</v>
      </c>
      <c r="O1027" s="171">
        <v>0</v>
      </c>
      <c r="P1027" s="171">
        <v>0</v>
      </c>
      <c r="Q1027" s="175">
        <v>0</v>
      </c>
      <c r="R1027" s="6"/>
      <c r="S1027" s="6"/>
      <c r="T1027" s="6"/>
      <c r="U1027" s="6"/>
      <c r="V1027" s="6"/>
      <c r="W1027" s="6"/>
      <c r="X1027" s="6" t="s">
        <v>383</v>
      </c>
      <c r="Y1027" s="6" t="s">
        <v>378</v>
      </c>
    </row>
    <row r="1028" spans="1:25">
      <c r="A1028" s="171">
        <v>24</v>
      </c>
      <c r="B1028" s="174">
        <v>45078</v>
      </c>
      <c r="C1028" s="174">
        <v>45090</v>
      </c>
      <c r="D1028" s="174">
        <v>45082</v>
      </c>
      <c r="E1028" s="171">
        <v>2023</v>
      </c>
      <c r="F1028" s="171">
        <v>6</v>
      </c>
      <c r="G1028" s="171">
        <v>5</v>
      </c>
      <c r="H1028" s="131"/>
      <c r="I1028" s="176"/>
      <c r="J1028" s="176"/>
      <c r="K1028" s="171"/>
      <c r="L1028" s="171" t="s">
        <v>56</v>
      </c>
      <c r="M1028" s="171">
        <v>2200</v>
      </c>
      <c r="N1028" s="175">
        <v>0</v>
      </c>
      <c r="O1028" s="171">
        <v>0</v>
      </c>
      <c r="P1028" s="171">
        <v>0</v>
      </c>
      <c r="Q1028" s="175">
        <v>0</v>
      </c>
      <c r="R1028" s="6"/>
      <c r="S1028" s="6"/>
      <c r="T1028" s="6"/>
      <c r="U1028" s="6"/>
      <c r="V1028" s="6"/>
      <c r="W1028" s="6"/>
      <c r="X1028" s="6" t="s">
        <v>383</v>
      </c>
      <c r="Y1028" s="6" t="s">
        <v>378</v>
      </c>
    </row>
    <row r="1029" spans="1:25">
      <c r="A1029" s="171">
        <v>24</v>
      </c>
      <c r="B1029" s="174">
        <v>45078</v>
      </c>
      <c r="C1029" s="174">
        <v>45090</v>
      </c>
      <c r="D1029" s="174">
        <v>45083</v>
      </c>
      <c r="E1029" s="171">
        <v>2023</v>
      </c>
      <c r="F1029" s="171">
        <v>6</v>
      </c>
      <c r="G1029" s="171">
        <v>6</v>
      </c>
      <c r="H1029" s="131"/>
      <c r="I1029" s="176"/>
      <c r="J1029" s="176"/>
      <c r="K1029" s="171"/>
      <c r="L1029" s="171" t="s">
        <v>56</v>
      </c>
      <c r="M1029" s="171">
        <v>1600</v>
      </c>
      <c r="N1029" s="175">
        <v>0</v>
      </c>
      <c r="O1029" s="171">
        <v>0</v>
      </c>
      <c r="P1029" s="171">
        <v>0</v>
      </c>
      <c r="Q1029" s="175">
        <v>0</v>
      </c>
      <c r="R1029" s="6"/>
      <c r="S1029" s="6"/>
      <c r="T1029" s="6"/>
      <c r="U1029" s="6"/>
      <c r="V1029" s="6"/>
      <c r="W1029" s="6"/>
      <c r="X1029" s="6" t="s">
        <v>383</v>
      </c>
      <c r="Y1029" s="6" t="s">
        <v>378</v>
      </c>
    </row>
    <row r="1030" spans="1:25">
      <c r="A1030" s="171">
        <v>24</v>
      </c>
      <c r="B1030" s="174">
        <v>45078</v>
      </c>
      <c r="C1030" s="174">
        <v>45090</v>
      </c>
      <c r="D1030" s="174">
        <v>45084</v>
      </c>
      <c r="E1030" s="171">
        <v>2023</v>
      </c>
      <c r="F1030" s="171">
        <v>6</v>
      </c>
      <c r="G1030" s="171">
        <v>7</v>
      </c>
      <c r="H1030" s="131"/>
      <c r="I1030" s="176"/>
      <c r="J1030" s="176"/>
      <c r="K1030" s="171"/>
      <c r="L1030" s="171" t="s">
        <v>56</v>
      </c>
      <c r="M1030" s="171">
        <v>800</v>
      </c>
      <c r="N1030" s="175">
        <v>0</v>
      </c>
      <c r="O1030" s="171">
        <v>0</v>
      </c>
      <c r="P1030" s="171">
        <v>0</v>
      </c>
      <c r="Q1030" s="175">
        <v>0</v>
      </c>
      <c r="R1030" s="6"/>
      <c r="S1030" s="6"/>
      <c r="T1030" s="6"/>
      <c r="U1030" s="6"/>
      <c r="V1030" s="6"/>
      <c r="W1030" s="6"/>
      <c r="X1030" s="6" t="s">
        <v>383</v>
      </c>
      <c r="Y1030" s="6" t="s">
        <v>378</v>
      </c>
    </row>
    <row r="1031" spans="1:25">
      <c r="A1031" s="171">
        <v>24</v>
      </c>
      <c r="B1031" s="174">
        <v>45078</v>
      </c>
      <c r="C1031" s="174">
        <v>45090</v>
      </c>
      <c r="D1031" s="174">
        <v>45084</v>
      </c>
      <c r="E1031" s="171">
        <v>2023</v>
      </c>
      <c r="F1031" s="171">
        <v>6</v>
      </c>
      <c r="G1031" s="171">
        <v>7</v>
      </c>
      <c r="H1031" s="131"/>
      <c r="I1031" s="176"/>
      <c r="J1031" s="176"/>
      <c r="K1031" s="171"/>
      <c r="L1031" s="171" t="s">
        <v>56</v>
      </c>
      <c r="M1031" s="171">
        <v>3400</v>
      </c>
      <c r="N1031" s="175">
        <v>0</v>
      </c>
      <c r="O1031" s="171">
        <v>0</v>
      </c>
      <c r="P1031" s="171">
        <v>0</v>
      </c>
      <c r="Q1031" s="175">
        <v>0</v>
      </c>
      <c r="R1031" s="6"/>
      <c r="S1031" s="6"/>
      <c r="T1031" s="6"/>
      <c r="U1031" s="6"/>
      <c r="V1031" s="6"/>
      <c r="W1031" s="6"/>
      <c r="X1031" s="6" t="s">
        <v>383</v>
      </c>
      <c r="Y1031" s="6" t="s">
        <v>378</v>
      </c>
    </row>
    <row r="1032" spans="1:25">
      <c r="A1032" s="171">
        <v>24</v>
      </c>
      <c r="B1032" s="174">
        <v>45078</v>
      </c>
      <c r="C1032" s="174">
        <v>45090</v>
      </c>
      <c r="D1032" s="174">
        <v>45083</v>
      </c>
      <c r="E1032" s="171">
        <v>2023</v>
      </c>
      <c r="F1032" s="171">
        <v>6</v>
      </c>
      <c r="G1032" s="171">
        <v>6</v>
      </c>
      <c r="H1032" s="131"/>
      <c r="I1032" s="176"/>
      <c r="J1032" s="176"/>
      <c r="K1032" s="171"/>
      <c r="L1032" s="171" t="s">
        <v>56</v>
      </c>
      <c r="M1032" s="171">
        <v>400</v>
      </c>
      <c r="N1032" s="175">
        <v>0</v>
      </c>
      <c r="O1032" s="171">
        <v>0</v>
      </c>
      <c r="P1032" s="171">
        <v>0</v>
      </c>
      <c r="Q1032" s="175">
        <v>0</v>
      </c>
      <c r="R1032" s="6"/>
      <c r="S1032" s="6"/>
      <c r="T1032" s="6"/>
      <c r="U1032" s="6"/>
      <c r="V1032" s="6"/>
      <c r="W1032" s="6"/>
      <c r="X1032" s="6" t="s">
        <v>383</v>
      </c>
      <c r="Y1032" s="6" t="s">
        <v>378</v>
      </c>
    </row>
    <row r="1033" spans="1:25">
      <c r="A1033" s="171">
        <v>24</v>
      </c>
      <c r="B1033" s="174">
        <v>45078</v>
      </c>
      <c r="C1033" s="174">
        <v>45090</v>
      </c>
      <c r="D1033" s="174">
        <v>45082</v>
      </c>
      <c r="E1033" s="171">
        <v>2023</v>
      </c>
      <c r="F1033" s="171">
        <v>6</v>
      </c>
      <c r="G1033" s="171">
        <v>5</v>
      </c>
      <c r="H1033" s="131"/>
      <c r="I1033" s="176"/>
      <c r="J1033" s="176"/>
      <c r="K1033" s="171"/>
      <c r="L1033" s="171" t="s">
        <v>56</v>
      </c>
      <c r="M1033" s="171">
        <v>3013</v>
      </c>
      <c r="N1033" s="175">
        <v>13</v>
      </c>
      <c r="O1033" s="171">
        <v>10</v>
      </c>
      <c r="P1033" s="171">
        <v>0</v>
      </c>
      <c r="Q1033" s="175">
        <v>13</v>
      </c>
      <c r="R1033" s="6" t="s">
        <v>160</v>
      </c>
      <c r="S1033" s="6" t="s">
        <v>205</v>
      </c>
      <c r="T1033" s="6" t="s">
        <v>314</v>
      </c>
      <c r="U1033" s="6" t="s">
        <v>322</v>
      </c>
      <c r="V1033" s="6" t="s">
        <v>407</v>
      </c>
      <c r="W1033" s="6"/>
      <c r="X1033" s="6" t="s">
        <v>383</v>
      </c>
      <c r="Y1033" s="6" t="s">
        <v>378</v>
      </c>
    </row>
    <row r="1034" spans="1:25">
      <c r="A1034" s="171">
        <v>24</v>
      </c>
      <c r="B1034" s="174">
        <v>45078</v>
      </c>
      <c r="C1034" s="174">
        <v>45090</v>
      </c>
      <c r="D1034" s="174">
        <v>45082</v>
      </c>
      <c r="E1034" s="171">
        <v>2023</v>
      </c>
      <c r="F1034" s="171">
        <v>6</v>
      </c>
      <c r="G1034" s="171">
        <v>5</v>
      </c>
      <c r="H1034" s="131"/>
      <c r="I1034" s="176"/>
      <c r="J1034" s="176"/>
      <c r="K1034" s="171"/>
      <c r="L1034" s="171" t="s">
        <v>56</v>
      </c>
      <c r="M1034" s="171"/>
      <c r="N1034" s="175">
        <v>0</v>
      </c>
      <c r="O1034" s="171">
        <v>3</v>
      </c>
      <c r="P1034" s="171">
        <v>0</v>
      </c>
      <c r="Q1034" s="175">
        <v>0</v>
      </c>
      <c r="R1034" s="6" t="s">
        <v>160</v>
      </c>
      <c r="S1034" s="6" t="s">
        <v>205</v>
      </c>
      <c r="T1034" s="6"/>
      <c r="U1034" s="6" t="s">
        <v>162</v>
      </c>
      <c r="V1034" s="6" t="s">
        <v>408</v>
      </c>
      <c r="W1034" s="6"/>
      <c r="X1034" s="6" t="s">
        <v>383</v>
      </c>
      <c r="Y1034" s="6" t="s">
        <v>378</v>
      </c>
    </row>
    <row r="1035" spans="1:25">
      <c r="A1035" s="171">
        <v>24</v>
      </c>
      <c r="B1035" s="174">
        <v>45078</v>
      </c>
      <c r="C1035" s="174">
        <v>45090</v>
      </c>
      <c r="D1035" s="174">
        <v>45085</v>
      </c>
      <c r="E1035" s="171">
        <v>2023</v>
      </c>
      <c r="F1035" s="171">
        <v>6</v>
      </c>
      <c r="G1035" s="171">
        <v>8</v>
      </c>
      <c r="H1035" s="131"/>
      <c r="I1035" s="176"/>
      <c r="J1035" s="176"/>
      <c r="K1035" s="171"/>
      <c r="L1035" s="171" t="s">
        <v>56</v>
      </c>
      <c r="M1035" s="171">
        <v>660</v>
      </c>
      <c r="N1035" s="175">
        <v>0</v>
      </c>
      <c r="O1035" s="171">
        <v>0</v>
      </c>
      <c r="P1035" s="171">
        <v>0</v>
      </c>
      <c r="Q1035" s="175">
        <v>0</v>
      </c>
      <c r="R1035" s="6"/>
      <c r="S1035" s="6"/>
      <c r="T1035" s="6"/>
      <c r="U1035" s="6"/>
      <c r="V1035" s="6"/>
      <c r="W1035" s="6"/>
      <c r="X1035" s="6" t="s">
        <v>383</v>
      </c>
      <c r="Y1035" s="6" t="s">
        <v>378</v>
      </c>
    </row>
    <row r="1036" spans="1:25">
      <c r="A1036" s="171">
        <v>24</v>
      </c>
      <c r="B1036" s="174">
        <v>45078</v>
      </c>
      <c r="C1036" s="174">
        <v>45090</v>
      </c>
      <c r="D1036" s="174">
        <v>45082</v>
      </c>
      <c r="E1036" s="171">
        <v>2023</v>
      </c>
      <c r="F1036" s="171">
        <v>6</v>
      </c>
      <c r="G1036" s="171">
        <v>5</v>
      </c>
      <c r="H1036" s="131"/>
      <c r="I1036" s="176"/>
      <c r="J1036" s="176"/>
      <c r="K1036" s="171"/>
      <c r="L1036" s="171" t="s">
        <v>56</v>
      </c>
      <c r="M1036" s="171">
        <v>1570</v>
      </c>
      <c r="N1036" s="175">
        <v>0</v>
      </c>
      <c r="O1036" s="171">
        <v>0</v>
      </c>
      <c r="P1036" s="171">
        <v>0</v>
      </c>
      <c r="Q1036" s="175">
        <v>0</v>
      </c>
      <c r="R1036" s="6"/>
      <c r="S1036" s="6"/>
      <c r="T1036" s="6"/>
      <c r="U1036" s="6"/>
      <c r="V1036" s="6"/>
      <c r="W1036" s="6"/>
      <c r="X1036" s="6" t="s">
        <v>383</v>
      </c>
      <c r="Y1036" s="6" t="s">
        <v>378</v>
      </c>
    </row>
    <row r="1037" spans="1:25">
      <c r="A1037" s="171">
        <v>24</v>
      </c>
      <c r="B1037" s="174">
        <v>45078</v>
      </c>
      <c r="C1037" s="174">
        <v>45090</v>
      </c>
      <c r="D1037" s="174">
        <v>45085</v>
      </c>
      <c r="E1037" s="171">
        <v>2023</v>
      </c>
      <c r="F1037" s="171">
        <v>6</v>
      </c>
      <c r="G1037" s="171">
        <v>8</v>
      </c>
      <c r="H1037" s="131"/>
      <c r="I1037" s="176"/>
      <c r="J1037" s="176"/>
      <c r="K1037" s="171"/>
      <c r="L1037" s="171" t="s">
        <v>56</v>
      </c>
      <c r="M1037" s="171">
        <v>2800</v>
      </c>
      <c r="N1037" s="175">
        <v>0</v>
      </c>
      <c r="O1037" s="171">
        <v>0</v>
      </c>
      <c r="P1037" s="171">
        <v>0</v>
      </c>
      <c r="Q1037" s="175">
        <v>0</v>
      </c>
      <c r="R1037" s="6"/>
      <c r="S1037" s="6"/>
      <c r="T1037" s="6"/>
      <c r="U1037" s="6"/>
      <c r="V1037" s="6"/>
      <c r="W1037" s="6"/>
      <c r="X1037" s="6" t="s">
        <v>383</v>
      </c>
      <c r="Y1037" s="6" t="s">
        <v>378</v>
      </c>
    </row>
    <row r="1038" spans="1:25">
      <c r="A1038" s="171">
        <v>24</v>
      </c>
      <c r="B1038" s="174">
        <v>45078</v>
      </c>
      <c r="C1038" s="174">
        <v>45090</v>
      </c>
      <c r="D1038" s="174">
        <v>45085</v>
      </c>
      <c r="E1038" s="171">
        <v>2023</v>
      </c>
      <c r="F1038" s="171">
        <v>6</v>
      </c>
      <c r="G1038" s="171">
        <v>8</v>
      </c>
      <c r="H1038" s="131"/>
      <c r="I1038" s="176"/>
      <c r="J1038" s="176"/>
      <c r="K1038" s="171"/>
      <c r="L1038" s="171" t="s">
        <v>56</v>
      </c>
      <c r="M1038" s="171">
        <v>460</v>
      </c>
      <c r="N1038" s="175">
        <v>0</v>
      </c>
      <c r="O1038" s="171">
        <v>0</v>
      </c>
      <c r="P1038" s="171">
        <v>0</v>
      </c>
      <c r="Q1038" s="175">
        <v>0</v>
      </c>
      <c r="R1038" s="6"/>
      <c r="S1038" s="6"/>
      <c r="T1038" s="6"/>
      <c r="U1038" s="6"/>
      <c r="V1038" s="6"/>
      <c r="W1038" s="6"/>
      <c r="X1038" s="6" t="s">
        <v>383</v>
      </c>
      <c r="Y1038" s="6" t="s">
        <v>378</v>
      </c>
    </row>
    <row r="1039" spans="1:25">
      <c r="A1039" s="171">
        <v>24</v>
      </c>
      <c r="B1039" s="174">
        <v>45078</v>
      </c>
      <c r="C1039" s="174">
        <v>45090</v>
      </c>
      <c r="D1039" s="174">
        <v>45082</v>
      </c>
      <c r="E1039" s="171">
        <v>2023</v>
      </c>
      <c r="F1039" s="171">
        <v>6</v>
      </c>
      <c r="G1039" s="171">
        <v>5</v>
      </c>
      <c r="H1039" s="131"/>
      <c r="I1039" s="176"/>
      <c r="J1039" s="176"/>
      <c r="K1039" s="171"/>
      <c r="L1039" s="171" t="s">
        <v>56</v>
      </c>
      <c r="M1039" s="171">
        <v>500</v>
      </c>
      <c r="N1039" s="175">
        <v>2</v>
      </c>
      <c r="O1039" s="171">
        <v>2</v>
      </c>
      <c r="P1039" s="171">
        <v>0</v>
      </c>
      <c r="Q1039" s="175">
        <v>2</v>
      </c>
      <c r="R1039" s="6" t="s">
        <v>160</v>
      </c>
      <c r="S1039" s="6" t="s">
        <v>161</v>
      </c>
      <c r="T1039" s="6"/>
      <c r="U1039" s="6" t="s">
        <v>162</v>
      </c>
      <c r="V1039" s="6" t="s">
        <v>409</v>
      </c>
      <c r="W1039" s="6"/>
      <c r="X1039" s="6" t="s">
        <v>383</v>
      </c>
      <c r="Y1039" s="6" t="s">
        <v>378</v>
      </c>
    </row>
    <row r="1040" spans="1:25">
      <c r="A1040" s="171">
        <v>24</v>
      </c>
      <c r="B1040" s="174">
        <v>45078</v>
      </c>
      <c r="C1040" s="174">
        <v>45090</v>
      </c>
      <c r="D1040" s="174">
        <v>45082</v>
      </c>
      <c r="E1040" s="171">
        <v>2023</v>
      </c>
      <c r="F1040" s="171">
        <v>6</v>
      </c>
      <c r="G1040" s="171">
        <v>5</v>
      </c>
      <c r="H1040" s="131"/>
      <c r="I1040" s="176"/>
      <c r="J1040" s="176"/>
      <c r="K1040" s="171"/>
      <c r="L1040" s="171" t="s">
        <v>56</v>
      </c>
      <c r="M1040" s="171">
        <v>3500</v>
      </c>
      <c r="N1040" s="175">
        <v>0</v>
      </c>
      <c r="O1040" s="171">
        <v>0</v>
      </c>
      <c r="P1040" s="171">
        <v>0</v>
      </c>
      <c r="Q1040" s="175">
        <v>0</v>
      </c>
      <c r="R1040" s="6"/>
      <c r="S1040" s="6"/>
      <c r="T1040" s="6"/>
      <c r="U1040" s="6"/>
      <c r="V1040" s="6"/>
      <c r="W1040" s="6"/>
      <c r="X1040" s="6" t="s">
        <v>383</v>
      </c>
      <c r="Y1040" s="6" t="s">
        <v>378</v>
      </c>
    </row>
    <row r="1041" spans="1:25">
      <c r="A1041" s="171">
        <v>24</v>
      </c>
      <c r="B1041" s="174">
        <v>45078</v>
      </c>
      <c r="C1041" s="174">
        <v>45090</v>
      </c>
      <c r="D1041" s="174">
        <v>45082</v>
      </c>
      <c r="E1041" s="171">
        <v>2023</v>
      </c>
      <c r="F1041" s="171">
        <v>6</v>
      </c>
      <c r="G1041" s="171">
        <v>5</v>
      </c>
      <c r="H1041" s="131"/>
      <c r="I1041" s="176"/>
      <c r="J1041" s="176"/>
      <c r="K1041" s="171"/>
      <c r="L1041" s="171" t="s">
        <v>56</v>
      </c>
      <c r="M1041" s="171">
        <v>3700</v>
      </c>
      <c r="N1041" s="175">
        <v>0</v>
      </c>
      <c r="O1041" s="171">
        <v>0</v>
      </c>
      <c r="P1041" s="171">
        <v>0</v>
      </c>
      <c r="Q1041" s="175">
        <v>0</v>
      </c>
      <c r="R1041" s="6"/>
      <c r="S1041" s="6"/>
      <c r="T1041" s="6"/>
      <c r="U1041" s="6"/>
      <c r="V1041" s="6"/>
      <c r="W1041" s="6"/>
      <c r="X1041" s="6" t="s">
        <v>383</v>
      </c>
      <c r="Y1041" s="6" t="s">
        <v>378</v>
      </c>
    </row>
    <row r="1042" spans="1:25">
      <c r="A1042" s="171">
        <v>24</v>
      </c>
      <c r="B1042" s="174">
        <v>45078</v>
      </c>
      <c r="C1042" s="174">
        <v>45089</v>
      </c>
      <c r="D1042" s="174">
        <v>45086</v>
      </c>
      <c r="E1042" s="171">
        <v>2023</v>
      </c>
      <c r="F1042" s="171">
        <v>6</v>
      </c>
      <c r="G1042" s="171">
        <v>9</v>
      </c>
      <c r="H1042" s="131"/>
      <c r="I1042" s="176"/>
      <c r="J1042" s="176"/>
      <c r="K1042" s="171"/>
      <c r="L1042" s="171" t="s">
        <v>56</v>
      </c>
      <c r="M1042" s="171">
        <v>450</v>
      </c>
      <c r="N1042" s="175">
        <v>0</v>
      </c>
      <c r="O1042" s="171">
        <v>0</v>
      </c>
      <c r="P1042" s="171">
        <v>0</v>
      </c>
      <c r="Q1042" s="175">
        <v>0</v>
      </c>
      <c r="R1042" s="6"/>
      <c r="S1042" s="6"/>
      <c r="T1042" s="6"/>
      <c r="U1042" s="6"/>
      <c r="V1042" s="6"/>
      <c r="W1042" s="6"/>
      <c r="X1042" s="6" t="s">
        <v>383</v>
      </c>
      <c r="Y1042" s="6" t="s">
        <v>378</v>
      </c>
    </row>
    <row r="1043" spans="1:25">
      <c r="A1043" s="171">
        <v>24</v>
      </c>
      <c r="B1043" s="174">
        <v>45078</v>
      </c>
      <c r="C1043" s="174">
        <v>45090</v>
      </c>
      <c r="D1043" s="174">
        <v>45083</v>
      </c>
      <c r="E1043" s="171">
        <v>2023</v>
      </c>
      <c r="F1043" s="171">
        <v>6</v>
      </c>
      <c r="G1043" s="171">
        <v>6</v>
      </c>
      <c r="H1043" s="131"/>
      <c r="I1043" s="176"/>
      <c r="J1043" s="176"/>
      <c r="K1043" s="171"/>
      <c r="L1043" s="171" t="s">
        <v>56</v>
      </c>
      <c r="M1043" s="171">
        <v>3200</v>
      </c>
      <c r="N1043" s="175">
        <v>0</v>
      </c>
      <c r="O1043" s="171">
        <v>0</v>
      </c>
      <c r="P1043" s="171">
        <v>0</v>
      </c>
      <c r="Q1043" s="175">
        <v>0</v>
      </c>
      <c r="R1043" s="6"/>
      <c r="S1043" s="6"/>
      <c r="T1043" s="6"/>
      <c r="U1043" s="6"/>
      <c r="V1043" s="6"/>
      <c r="W1043" s="6"/>
      <c r="X1043" s="6" t="s">
        <v>383</v>
      </c>
      <c r="Y1043" s="6" t="s">
        <v>378</v>
      </c>
    </row>
    <row r="1044" spans="1:25">
      <c r="A1044" s="171">
        <v>24</v>
      </c>
      <c r="B1044" s="174">
        <v>45078</v>
      </c>
      <c r="C1044" s="174">
        <v>45089</v>
      </c>
      <c r="D1044" s="174">
        <v>45086</v>
      </c>
      <c r="E1044" s="171">
        <v>2023</v>
      </c>
      <c r="F1044" s="171">
        <v>6</v>
      </c>
      <c r="G1044" s="171">
        <v>9</v>
      </c>
      <c r="H1044" s="131"/>
      <c r="I1044" s="176"/>
      <c r="J1044" s="176"/>
      <c r="K1044" s="171"/>
      <c r="L1044" s="171" t="s">
        <v>56</v>
      </c>
      <c r="M1044" s="171">
        <v>1540</v>
      </c>
      <c r="N1044" s="175">
        <v>0</v>
      </c>
      <c r="O1044" s="171">
        <v>0</v>
      </c>
      <c r="P1044" s="171">
        <v>0</v>
      </c>
      <c r="Q1044" s="175">
        <v>0</v>
      </c>
      <c r="R1044" s="6"/>
      <c r="S1044" s="6"/>
      <c r="T1044" s="6"/>
      <c r="U1044" s="6"/>
      <c r="V1044" s="6"/>
      <c r="W1044" s="6"/>
      <c r="X1044" s="6" t="s">
        <v>383</v>
      </c>
      <c r="Y1044" s="6" t="s">
        <v>378</v>
      </c>
    </row>
    <row r="1045" spans="1:25">
      <c r="A1045" s="171">
        <v>24</v>
      </c>
      <c r="B1045" s="174">
        <v>45078</v>
      </c>
      <c r="C1045" s="174">
        <v>45089</v>
      </c>
      <c r="D1045" s="174">
        <v>45086</v>
      </c>
      <c r="E1045" s="171">
        <v>2023</v>
      </c>
      <c r="F1045" s="171">
        <v>6</v>
      </c>
      <c r="G1045" s="171">
        <v>9</v>
      </c>
      <c r="H1045" s="131"/>
      <c r="I1045" s="176"/>
      <c r="J1045" s="176"/>
      <c r="K1045" s="171"/>
      <c r="L1045" s="171" t="s">
        <v>56</v>
      </c>
      <c r="M1045" s="171">
        <v>2600</v>
      </c>
      <c r="N1045" s="175">
        <v>0</v>
      </c>
      <c r="O1045" s="171">
        <v>0</v>
      </c>
      <c r="P1045" s="171">
        <v>0</v>
      </c>
      <c r="Q1045" s="175">
        <v>0</v>
      </c>
      <c r="R1045" s="6"/>
      <c r="S1045" s="6"/>
      <c r="T1045" s="6"/>
      <c r="U1045" s="6"/>
      <c r="V1045" s="6"/>
      <c r="W1045" s="6"/>
      <c r="X1045" s="6" t="s">
        <v>383</v>
      </c>
      <c r="Y1045" s="6" t="s">
        <v>378</v>
      </c>
    </row>
    <row r="1046" spans="1:25">
      <c r="A1046" s="171">
        <v>24</v>
      </c>
      <c r="B1046" s="174">
        <v>45078</v>
      </c>
      <c r="C1046" s="174">
        <v>45089</v>
      </c>
      <c r="D1046" s="174">
        <v>45086</v>
      </c>
      <c r="E1046" s="171">
        <v>2023</v>
      </c>
      <c r="F1046" s="171">
        <v>6</v>
      </c>
      <c r="G1046" s="171">
        <v>9</v>
      </c>
      <c r="H1046" s="131"/>
      <c r="I1046" s="176"/>
      <c r="J1046" s="176"/>
      <c r="K1046" s="171"/>
      <c r="L1046" s="171" t="s">
        <v>56</v>
      </c>
      <c r="M1046" s="171">
        <v>1080</v>
      </c>
      <c r="N1046" s="175">
        <v>0</v>
      </c>
      <c r="O1046" s="171">
        <v>0</v>
      </c>
      <c r="P1046" s="171">
        <v>0</v>
      </c>
      <c r="Q1046" s="175">
        <v>0</v>
      </c>
      <c r="R1046" s="6"/>
      <c r="S1046" s="6"/>
      <c r="T1046" s="6"/>
      <c r="U1046" s="6"/>
      <c r="V1046" s="6"/>
      <c r="W1046" s="6"/>
      <c r="X1046" s="6" t="s">
        <v>383</v>
      </c>
      <c r="Y1046" s="6" t="s">
        <v>378</v>
      </c>
    </row>
    <row r="1047" spans="1:25">
      <c r="A1047" s="171">
        <v>24</v>
      </c>
      <c r="B1047" s="174">
        <v>45078</v>
      </c>
      <c r="C1047" s="174">
        <v>45090</v>
      </c>
      <c r="D1047" s="174">
        <v>45083</v>
      </c>
      <c r="E1047" s="171">
        <v>2023</v>
      </c>
      <c r="F1047" s="171">
        <v>6</v>
      </c>
      <c r="G1047" s="171">
        <v>6</v>
      </c>
      <c r="H1047" s="131"/>
      <c r="I1047" s="176"/>
      <c r="J1047" s="176"/>
      <c r="K1047" s="171"/>
      <c r="L1047" s="171" t="s">
        <v>56</v>
      </c>
      <c r="M1047" s="171">
        <v>1500</v>
      </c>
      <c r="N1047" s="175">
        <v>0</v>
      </c>
      <c r="O1047" s="171">
        <v>0</v>
      </c>
      <c r="P1047" s="171">
        <v>0</v>
      </c>
      <c r="Q1047" s="175">
        <v>0</v>
      </c>
      <c r="R1047" s="6"/>
      <c r="S1047" s="6"/>
      <c r="T1047" s="6"/>
      <c r="U1047" s="6"/>
      <c r="V1047" s="6"/>
      <c r="W1047" s="6"/>
      <c r="X1047" s="6" t="s">
        <v>383</v>
      </c>
      <c r="Y1047" s="6" t="s">
        <v>378</v>
      </c>
    </row>
    <row r="1048" spans="1:25">
      <c r="A1048" s="171">
        <v>24</v>
      </c>
      <c r="B1048" s="174">
        <v>45078</v>
      </c>
      <c r="C1048" s="174">
        <v>45090</v>
      </c>
      <c r="D1048" s="174">
        <v>45083</v>
      </c>
      <c r="E1048" s="171">
        <v>2023</v>
      </c>
      <c r="F1048" s="171">
        <v>6</v>
      </c>
      <c r="G1048" s="171">
        <v>6</v>
      </c>
      <c r="H1048" s="131"/>
      <c r="I1048" s="176"/>
      <c r="J1048" s="176"/>
      <c r="K1048" s="171"/>
      <c r="L1048" s="171" t="s">
        <v>56</v>
      </c>
      <c r="M1048" s="171">
        <v>1700</v>
      </c>
      <c r="N1048" s="175">
        <v>0</v>
      </c>
      <c r="O1048" s="171">
        <v>0</v>
      </c>
      <c r="P1048" s="171">
        <v>0</v>
      </c>
      <c r="Q1048" s="175">
        <v>0</v>
      </c>
      <c r="R1048" s="6"/>
      <c r="S1048" s="6"/>
      <c r="T1048" s="6"/>
      <c r="U1048" s="6"/>
      <c r="V1048" s="6"/>
      <c r="W1048" s="6"/>
      <c r="X1048" s="6" t="s">
        <v>383</v>
      </c>
      <c r="Y1048" s="6" t="s">
        <v>378</v>
      </c>
    </row>
    <row r="1049" spans="1:25">
      <c r="A1049" s="171">
        <v>24</v>
      </c>
      <c r="B1049" s="174">
        <v>45078</v>
      </c>
      <c r="C1049" s="174">
        <v>45089</v>
      </c>
      <c r="D1049" s="174">
        <v>45086</v>
      </c>
      <c r="E1049" s="171">
        <v>2023</v>
      </c>
      <c r="F1049" s="171">
        <v>6</v>
      </c>
      <c r="G1049" s="171">
        <v>9</v>
      </c>
      <c r="H1049" s="131"/>
      <c r="I1049" s="176"/>
      <c r="J1049" s="176"/>
      <c r="K1049" s="171"/>
      <c r="L1049" s="171" t="s">
        <v>52</v>
      </c>
      <c r="M1049" s="171">
        <v>4800</v>
      </c>
      <c r="N1049" s="175">
        <v>0</v>
      </c>
      <c r="O1049" s="171">
        <v>0</v>
      </c>
      <c r="P1049" s="171">
        <v>0</v>
      </c>
      <c r="Q1049" s="175">
        <v>0</v>
      </c>
      <c r="R1049" s="6"/>
      <c r="S1049" s="6"/>
      <c r="T1049" s="6"/>
      <c r="U1049" s="6"/>
      <c r="V1049" s="6"/>
      <c r="W1049" s="6"/>
      <c r="X1049" s="6" t="s">
        <v>385</v>
      </c>
      <c r="Y1049" s="6" t="s">
        <v>380</v>
      </c>
    </row>
    <row r="1050" spans="1:25">
      <c r="A1050" s="171">
        <v>24</v>
      </c>
      <c r="B1050" s="174">
        <v>45078</v>
      </c>
      <c r="C1050" s="174">
        <v>45089</v>
      </c>
      <c r="D1050" s="174">
        <v>45086</v>
      </c>
      <c r="E1050" s="171">
        <v>2023</v>
      </c>
      <c r="F1050" s="171">
        <v>6</v>
      </c>
      <c r="G1050" s="171">
        <v>9</v>
      </c>
      <c r="H1050" s="131"/>
      <c r="I1050" s="176"/>
      <c r="J1050" s="176"/>
      <c r="K1050" s="171"/>
      <c r="L1050" s="171" t="s">
        <v>56</v>
      </c>
      <c r="M1050" s="171">
        <v>4000</v>
      </c>
      <c r="N1050" s="175">
        <v>0</v>
      </c>
      <c r="O1050" s="171">
        <v>0</v>
      </c>
      <c r="P1050" s="171">
        <v>0</v>
      </c>
      <c r="Q1050" s="175">
        <v>0</v>
      </c>
      <c r="R1050" s="6"/>
      <c r="S1050" s="6"/>
      <c r="T1050" s="6"/>
      <c r="U1050" s="6"/>
      <c r="V1050" s="6"/>
      <c r="W1050" s="6"/>
      <c r="X1050" s="6" t="s">
        <v>383</v>
      </c>
      <c r="Y1050" s="6" t="s">
        <v>378</v>
      </c>
    </row>
    <row r="1051" spans="1:25">
      <c r="A1051" s="171">
        <v>24</v>
      </c>
      <c r="B1051" s="174">
        <v>45078</v>
      </c>
      <c r="C1051" s="174">
        <v>45090</v>
      </c>
      <c r="D1051" s="174">
        <v>45085</v>
      </c>
      <c r="E1051" s="171">
        <v>2023</v>
      </c>
      <c r="F1051" s="171">
        <v>6</v>
      </c>
      <c r="G1051" s="171">
        <v>8</v>
      </c>
      <c r="H1051" s="131"/>
      <c r="I1051" s="176"/>
      <c r="J1051" s="176"/>
      <c r="K1051" s="171"/>
      <c r="L1051" s="171" t="s">
        <v>52</v>
      </c>
      <c r="M1051" s="171">
        <v>3001</v>
      </c>
      <c r="N1051" s="175">
        <v>1</v>
      </c>
      <c r="O1051" s="171">
        <v>1</v>
      </c>
      <c r="P1051" s="171">
        <v>0</v>
      </c>
      <c r="Q1051" s="175">
        <v>1</v>
      </c>
      <c r="R1051" s="6" t="s">
        <v>160</v>
      </c>
      <c r="S1051" s="6" t="s">
        <v>410</v>
      </c>
      <c r="T1051" s="6" t="s">
        <v>314</v>
      </c>
      <c r="U1051" s="6" t="s">
        <v>180</v>
      </c>
      <c r="V1051" s="6"/>
      <c r="W1051" s="6"/>
      <c r="X1051" s="6" t="s">
        <v>385</v>
      </c>
      <c r="Y1051" s="6" t="s">
        <v>380</v>
      </c>
    </row>
    <row r="1052" spans="1:25">
      <c r="A1052" s="171">
        <v>25</v>
      </c>
      <c r="B1052" s="174">
        <v>45078</v>
      </c>
      <c r="C1052" s="174">
        <v>45091</v>
      </c>
      <c r="D1052" s="174">
        <v>45090</v>
      </c>
      <c r="E1052" s="171">
        <v>2023</v>
      </c>
      <c r="F1052" s="171">
        <v>6</v>
      </c>
      <c r="G1052" s="171">
        <v>13</v>
      </c>
      <c r="H1052" s="131"/>
      <c r="I1052" s="176"/>
      <c r="J1052" s="176"/>
      <c r="K1052" s="171"/>
      <c r="L1052" s="171" t="s">
        <v>56</v>
      </c>
      <c r="M1052" s="171">
        <v>586</v>
      </c>
      <c r="N1052" s="175">
        <v>0</v>
      </c>
      <c r="O1052" s="171">
        <v>0</v>
      </c>
      <c r="P1052" s="171">
        <v>0</v>
      </c>
      <c r="Q1052" s="175">
        <v>0</v>
      </c>
      <c r="R1052" s="6"/>
      <c r="S1052" s="6"/>
      <c r="T1052" s="6"/>
      <c r="U1052" s="6"/>
      <c r="V1052" s="6"/>
      <c r="W1052" s="6"/>
      <c r="X1052" s="6" t="s">
        <v>411</v>
      </c>
      <c r="Y1052" s="6" t="s">
        <v>378</v>
      </c>
    </row>
    <row r="1053" spans="1:25">
      <c r="A1053" s="171">
        <v>25</v>
      </c>
      <c r="B1053" s="174">
        <v>45078</v>
      </c>
      <c r="C1053" s="174">
        <v>45090</v>
      </c>
      <c r="D1053" s="174">
        <v>45089</v>
      </c>
      <c r="E1053" s="171">
        <v>2023</v>
      </c>
      <c r="F1053" s="171">
        <v>6</v>
      </c>
      <c r="G1053" s="171">
        <v>12</v>
      </c>
      <c r="H1053" s="131"/>
      <c r="I1053" s="176"/>
      <c r="J1053" s="176"/>
      <c r="K1053" s="171"/>
      <c r="L1053" s="171" t="s">
        <v>52</v>
      </c>
      <c r="M1053" s="171">
        <v>5533</v>
      </c>
      <c r="N1053" s="175">
        <v>33</v>
      </c>
      <c r="O1053" s="171">
        <v>33</v>
      </c>
      <c r="P1053" s="171">
        <v>0</v>
      </c>
      <c r="Q1053" s="175">
        <v>33</v>
      </c>
      <c r="R1053" s="6" t="s">
        <v>160</v>
      </c>
      <c r="S1053" s="6" t="s">
        <v>161</v>
      </c>
      <c r="T1053" s="6" t="s">
        <v>314</v>
      </c>
      <c r="U1053" s="6" t="s">
        <v>168</v>
      </c>
      <c r="V1053" s="6"/>
      <c r="W1053" s="6"/>
      <c r="X1053" s="6" t="s">
        <v>412</v>
      </c>
      <c r="Y1053" s="6" t="s">
        <v>380</v>
      </c>
    </row>
    <row r="1054" spans="1:25">
      <c r="A1054" s="171">
        <v>25</v>
      </c>
      <c r="B1054" s="174">
        <v>45078</v>
      </c>
      <c r="C1054" s="174">
        <v>45091</v>
      </c>
      <c r="D1054" s="174">
        <v>45090</v>
      </c>
      <c r="E1054" s="171">
        <v>2023</v>
      </c>
      <c r="F1054" s="171">
        <v>6</v>
      </c>
      <c r="G1054" s="171">
        <v>13</v>
      </c>
      <c r="H1054" s="131"/>
      <c r="I1054" s="176"/>
      <c r="J1054" s="176"/>
      <c r="K1054" s="171"/>
      <c r="L1054" s="171" t="s">
        <v>56</v>
      </c>
      <c r="M1054" s="171">
        <v>300</v>
      </c>
      <c r="N1054" s="175">
        <v>0</v>
      </c>
      <c r="O1054" s="171">
        <v>0</v>
      </c>
      <c r="P1054" s="171">
        <v>0</v>
      </c>
      <c r="Q1054" s="175">
        <v>0</v>
      </c>
      <c r="R1054" s="6"/>
      <c r="S1054" s="6"/>
      <c r="T1054" s="6"/>
      <c r="U1054" s="6"/>
      <c r="V1054" s="6"/>
      <c r="W1054" s="6"/>
      <c r="X1054" s="6" t="s">
        <v>411</v>
      </c>
      <c r="Y1054" s="6" t="s">
        <v>378</v>
      </c>
    </row>
    <row r="1055" spans="1:25">
      <c r="A1055" s="171">
        <v>25</v>
      </c>
      <c r="B1055" s="174">
        <v>45078</v>
      </c>
      <c r="C1055" s="174">
        <v>45090</v>
      </c>
      <c r="D1055" s="174">
        <v>45089</v>
      </c>
      <c r="E1055" s="171">
        <v>2023</v>
      </c>
      <c r="F1055" s="171">
        <v>6</v>
      </c>
      <c r="G1055" s="171">
        <v>12</v>
      </c>
      <c r="H1055" s="131"/>
      <c r="I1055" s="176"/>
      <c r="J1055" s="176"/>
      <c r="K1055" s="171"/>
      <c r="L1055" s="171" t="s">
        <v>56</v>
      </c>
      <c r="M1055" s="171">
        <v>1000</v>
      </c>
      <c r="N1055" s="175">
        <v>0</v>
      </c>
      <c r="O1055" s="171">
        <v>0</v>
      </c>
      <c r="P1055" s="171">
        <v>0</v>
      </c>
      <c r="Q1055" s="175">
        <v>0</v>
      </c>
      <c r="R1055" s="6"/>
      <c r="S1055" s="6"/>
      <c r="T1055" s="6"/>
      <c r="U1055" s="6"/>
      <c r="V1055" s="6"/>
      <c r="W1055" s="6"/>
      <c r="X1055" s="6" t="s">
        <v>411</v>
      </c>
      <c r="Y1055" s="6" t="s">
        <v>378</v>
      </c>
    </row>
    <row r="1056" spans="1:25">
      <c r="A1056" s="171">
        <v>25</v>
      </c>
      <c r="B1056" s="174">
        <v>45078</v>
      </c>
      <c r="C1056" s="174">
        <v>45091</v>
      </c>
      <c r="D1056" s="174">
        <v>45090</v>
      </c>
      <c r="E1056" s="171">
        <v>2023</v>
      </c>
      <c r="F1056" s="171">
        <v>6</v>
      </c>
      <c r="G1056" s="171">
        <v>13</v>
      </c>
      <c r="H1056" s="131"/>
      <c r="I1056" s="176"/>
      <c r="J1056" s="176"/>
      <c r="K1056" s="171"/>
      <c r="L1056" s="171" t="s">
        <v>52</v>
      </c>
      <c r="M1056" s="171">
        <v>50000</v>
      </c>
      <c r="N1056" s="175">
        <v>0</v>
      </c>
      <c r="O1056" s="171">
        <v>0</v>
      </c>
      <c r="P1056" s="171">
        <v>0</v>
      </c>
      <c r="Q1056" s="175">
        <v>0</v>
      </c>
      <c r="R1056" s="6"/>
      <c r="S1056" s="6"/>
      <c r="T1056" s="6"/>
      <c r="U1056" s="6"/>
      <c r="V1056" s="6"/>
      <c r="W1056" s="6"/>
      <c r="X1056" s="6" t="s">
        <v>412</v>
      </c>
      <c r="Y1056" s="6" t="s">
        <v>380</v>
      </c>
    </row>
    <row r="1057" spans="1:25">
      <c r="A1057" s="171">
        <v>25</v>
      </c>
      <c r="B1057" s="174">
        <v>45078</v>
      </c>
      <c r="C1057" s="174">
        <v>45090</v>
      </c>
      <c r="D1057" s="174">
        <v>45089</v>
      </c>
      <c r="E1057" s="171">
        <v>2023</v>
      </c>
      <c r="F1057" s="171">
        <v>6</v>
      </c>
      <c r="G1057" s="171">
        <v>12</v>
      </c>
      <c r="H1057" s="131"/>
      <c r="I1057" s="176"/>
      <c r="J1057" s="176"/>
      <c r="K1057" s="171"/>
      <c r="L1057" s="171" t="s">
        <v>56</v>
      </c>
      <c r="M1057" s="171">
        <v>300</v>
      </c>
      <c r="N1057" s="175">
        <v>0</v>
      </c>
      <c r="O1057" s="171">
        <v>0</v>
      </c>
      <c r="P1057" s="171">
        <v>0</v>
      </c>
      <c r="Q1057" s="175">
        <v>0</v>
      </c>
      <c r="R1057" s="6"/>
      <c r="S1057" s="6"/>
      <c r="T1057" s="6"/>
      <c r="U1057" s="6"/>
      <c r="V1057" s="6"/>
      <c r="W1057" s="6"/>
      <c r="X1057" s="6" t="s">
        <v>411</v>
      </c>
      <c r="Y1057" s="6" t="s">
        <v>378</v>
      </c>
    </row>
    <row r="1058" spans="1:25">
      <c r="A1058" s="171">
        <v>25</v>
      </c>
      <c r="B1058" s="174">
        <v>45078</v>
      </c>
      <c r="C1058" s="174">
        <v>45091</v>
      </c>
      <c r="D1058" s="174">
        <v>45090</v>
      </c>
      <c r="E1058" s="171">
        <v>2023</v>
      </c>
      <c r="F1058" s="171">
        <v>6</v>
      </c>
      <c r="G1058" s="171">
        <v>13</v>
      </c>
      <c r="H1058" s="131"/>
      <c r="I1058" s="176"/>
      <c r="J1058" s="176"/>
      <c r="K1058" s="171"/>
      <c r="L1058" s="171" t="s">
        <v>56</v>
      </c>
      <c r="M1058" s="171">
        <v>500</v>
      </c>
      <c r="N1058" s="175">
        <v>0</v>
      </c>
      <c r="O1058" s="171">
        <v>0</v>
      </c>
      <c r="P1058" s="171">
        <v>0</v>
      </c>
      <c r="Q1058" s="175">
        <v>0</v>
      </c>
      <c r="R1058" s="6"/>
      <c r="S1058" s="6"/>
      <c r="T1058" s="6"/>
      <c r="U1058" s="6"/>
      <c r="V1058" s="6"/>
      <c r="W1058" s="6"/>
      <c r="X1058" s="6" t="s">
        <v>411</v>
      </c>
      <c r="Y1058" s="6" t="s">
        <v>378</v>
      </c>
    </row>
    <row r="1059" spans="1:25">
      <c r="A1059" s="171">
        <v>25</v>
      </c>
      <c r="B1059" s="174">
        <v>45078</v>
      </c>
      <c r="C1059" s="174">
        <v>45091</v>
      </c>
      <c r="D1059" s="174">
        <v>45090</v>
      </c>
      <c r="E1059" s="171">
        <v>2023</v>
      </c>
      <c r="F1059" s="171">
        <v>6</v>
      </c>
      <c r="G1059" s="171">
        <v>13</v>
      </c>
      <c r="H1059" s="131"/>
      <c r="I1059" s="176"/>
      <c r="J1059" s="176"/>
      <c r="K1059" s="171"/>
      <c r="L1059" s="171" t="s">
        <v>56</v>
      </c>
      <c r="M1059" s="171">
        <v>5000</v>
      </c>
      <c r="N1059" s="175">
        <v>0</v>
      </c>
      <c r="O1059" s="171">
        <v>0</v>
      </c>
      <c r="P1059" s="171">
        <v>0</v>
      </c>
      <c r="Q1059" s="175">
        <v>0</v>
      </c>
      <c r="R1059" s="6"/>
      <c r="S1059" s="6"/>
      <c r="T1059" s="6"/>
      <c r="U1059" s="6"/>
      <c r="V1059" s="6"/>
      <c r="W1059" s="6"/>
      <c r="X1059" s="6" t="s">
        <v>411</v>
      </c>
      <c r="Y1059" s="6" t="s">
        <v>378</v>
      </c>
    </row>
    <row r="1060" spans="1:25">
      <c r="A1060" s="171">
        <v>25</v>
      </c>
      <c r="B1060" s="174">
        <v>45078</v>
      </c>
      <c r="C1060" s="174">
        <v>45091</v>
      </c>
      <c r="D1060" s="174">
        <v>45090</v>
      </c>
      <c r="E1060" s="171">
        <v>2023</v>
      </c>
      <c r="F1060" s="171">
        <v>6</v>
      </c>
      <c r="G1060" s="171">
        <v>13</v>
      </c>
      <c r="H1060" s="131"/>
      <c r="I1060" s="176"/>
      <c r="J1060" s="176"/>
      <c r="K1060" s="171"/>
      <c r="L1060" s="171" t="s">
        <v>56</v>
      </c>
      <c r="M1060" s="171">
        <v>6000</v>
      </c>
      <c r="N1060" s="175">
        <v>0</v>
      </c>
      <c r="O1060" s="171">
        <v>0</v>
      </c>
      <c r="P1060" s="171">
        <v>0</v>
      </c>
      <c r="Q1060" s="175">
        <v>0</v>
      </c>
      <c r="R1060" s="6"/>
      <c r="S1060" s="6"/>
      <c r="T1060" s="6"/>
      <c r="U1060" s="6"/>
      <c r="V1060" s="6"/>
      <c r="W1060" s="6"/>
      <c r="X1060" s="6" t="s">
        <v>411</v>
      </c>
      <c r="Y1060" s="6" t="s">
        <v>378</v>
      </c>
    </row>
    <row r="1061" spans="1:25">
      <c r="A1061" s="171">
        <v>25</v>
      </c>
      <c r="B1061" s="174">
        <v>45078</v>
      </c>
      <c r="C1061" s="174">
        <v>45090</v>
      </c>
      <c r="D1061" s="174">
        <v>45089</v>
      </c>
      <c r="E1061" s="171">
        <v>2023</v>
      </c>
      <c r="F1061" s="171">
        <v>6</v>
      </c>
      <c r="G1061" s="171">
        <v>12</v>
      </c>
      <c r="H1061" s="131"/>
      <c r="I1061" s="176"/>
      <c r="J1061" s="176"/>
      <c r="K1061" s="171"/>
      <c r="L1061" s="171" t="s">
        <v>52</v>
      </c>
      <c r="M1061" s="171">
        <v>50000</v>
      </c>
      <c r="N1061" s="175">
        <v>0</v>
      </c>
      <c r="O1061" s="171">
        <v>0</v>
      </c>
      <c r="P1061" s="171">
        <v>0</v>
      </c>
      <c r="Q1061" s="175">
        <v>0</v>
      </c>
      <c r="R1061" s="6"/>
      <c r="S1061" s="6"/>
      <c r="T1061" s="6"/>
      <c r="U1061" s="6"/>
      <c r="V1061" s="6"/>
      <c r="W1061" s="6"/>
      <c r="X1061" s="6" t="s">
        <v>412</v>
      </c>
      <c r="Y1061" s="6" t="s">
        <v>380</v>
      </c>
    </row>
    <row r="1062" spans="1:25">
      <c r="A1062" s="171">
        <v>25</v>
      </c>
      <c r="B1062" s="174">
        <v>45078</v>
      </c>
      <c r="C1062" s="174">
        <v>45091</v>
      </c>
      <c r="D1062" s="174">
        <v>45090</v>
      </c>
      <c r="E1062" s="171">
        <v>2023</v>
      </c>
      <c r="F1062" s="171">
        <v>6</v>
      </c>
      <c r="G1062" s="171">
        <v>13</v>
      </c>
      <c r="H1062" s="131"/>
      <c r="I1062" s="176"/>
      <c r="J1062" s="176"/>
      <c r="K1062" s="171"/>
      <c r="L1062" s="171" t="s">
        <v>52</v>
      </c>
      <c r="M1062" s="171">
        <v>1202</v>
      </c>
      <c r="N1062" s="175">
        <v>2</v>
      </c>
      <c r="O1062" s="171">
        <v>1</v>
      </c>
      <c r="P1062" s="171">
        <v>0</v>
      </c>
      <c r="Q1062" s="175">
        <v>2</v>
      </c>
      <c r="R1062" s="6" t="s">
        <v>160</v>
      </c>
      <c r="S1062" s="6" t="s">
        <v>410</v>
      </c>
      <c r="T1062" s="6"/>
      <c r="U1062" s="6" t="s">
        <v>162</v>
      </c>
      <c r="V1062" s="6" t="s">
        <v>413</v>
      </c>
      <c r="W1062" s="6"/>
      <c r="X1062" s="6" t="s">
        <v>412</v>
      </c>
      <c r="Y1062" s="6" t="s">
        <v>380</v>
      </c>
    </row>
    <row r="1063" spans="1:25">
      <c r="A1063" s="171">
        <v>25</v>
      </c>
      <c r="B1063" s="174">
        <v>45078</v>
      </c>
      <c r="C1063" s="174">
        <v>45091</v>
      </c>
      <c r="D1063" s="174">
        <v>45090</v>
      </c>
      <c r="E1063" s="171">
        <v>2023</v>
      </c>
      <c r="F1063" s="171">
        <v>6</v>
      </c>
      <c r="G1063" s="171">
        <v>13</v>
      </c>
      <c r="H1063" s="131"/>
      <c r="I1063" s="176"/>
      <c r="J1063" s="176"/>
      <c r="K1063" s="171"/>
      <c r="L1063" s="171" t="s">
        <v>52</v>
      </c>
      <c r="M1063" s="171"/>
      <c r="N1063" s="175">
        <v>0</v>
      </c>
      <c r="O1063" s="171">
        <v>1</v>
      </c>
      <c r="P1063" s="171">
        <v>0</v>
      </c>
      <c r="Q1063" s="175">
        <v>0</v>
      </c>
      <c r="R1063" s="6" t="s">
        <v>160</v>
      </c>
      <c r="S1063" s="6" t="s">
        <v>161</v>
      </c>
      <c r="T1063" s="6"/>
      <c r="U1063" s="6" t="s">
        <v>162</v>
      </c>
      <c r="V1063" s="6" t="s">
        <v>414</v>
      </c>
      <c r="W1063" s="6"/>
      <c r="X1063" s="6" t="s">
        <v>412</v>
      </c>
      <c r="Y1063" s="6" t="s">
        <v>380</v>
      </c>
    </row>
    <row r="1064" spans="1:25">
      <c r="A1064" s="171">
        <v>25</v>
      </c>
      <c r="B1064" s="174">
        <v>45078</v>
      </c>
      <c r="C1064" s="174">
        <v>45091</v>
      </c>
      <c r="D1064" s="174">
        <v>45090</v>
      </c>
      <c r="E1064" s="171">
        <v>2023</v>
      </c>
      <c r="F1064" s="171">
        <v>6</v>
      </c>
      <c r="G1064" s="171">
        <v>13</v>
      </c>
      <c r="H1064" s="131"/>
      <c r="I1064" s="176"/>
      <c r="J1064" s="176"/>
      <c r="K1064" s="171" t="s">
        <v>199</v>
      </c>
      <c r="L1064" s="171" t="s">
        <v>56</v>
      </c>
      <c r="M1064" s="171">
        <v>680</v>
      </c>
      <c r="N1064" s="175">
        <v>0</v>
      </c>
      <c r="O1064" s="171">
        <v>0</v>
      </c>
      <c r="P1064" s="171">
        <v>0</v>
      </c>
      <c r="Q1064" s="175">
        <v>0</v>
      </c>
      <c r="R1064" s="6" t="s">
        <v>160</v>
      </c>
      <c r="S1064" s="6" t="s">
        <v>256</v>
      </c>
      <c r="T1064" s="6" t="s">
        <v>314</v>
      </c>
      <c r="U1064" s="6" t="s">
        <v>240</v>
      </c>
      <c r="V1064" s="6"/>
      <c r="W1064" s="6" t="s">
        <v>415</v>
      </c>
      <c r="X1064" s="6" t="s">
        <v>411</v>
      </c>
      <c r="Y1064" s="6" t="s">
        <v>378</v>
      </c>
    </row>
    <row r="1065" spans="1:25">
      <c r="A1065" s="171">
        <v>25</v>
      </c>
      <c r="B1065" s="174">
        <v>45078</v>
      </c>
      <c r="C1065" s="174">
        <v>45091</v>
      </c>
      <c r="D1065" s="174">
        <v>45090</v>
      </c>
      <c r="E1065" s="171">
        <v>2023</v>
      </c>
      <c r="F1065" s="171">
        <v>6</v>
      </c>
      <c r="G1065" s="171">
        <v>13</v>
      </c>
      <c r="H1065" s="131"/>
      <c r="I1065" s="176"/>
      <c r="J1065" s="176"/>
      <c r="K1065" s="171" t="s">
        <v>199</v>
      </c>
      <c r="L1065" s="171" t="s">
        <v>56</v>
      </c>
      <c r="M1065" s="171">
        <v>680</v>
      </c>
      <c r="N1065" s="175">
        <v>1</v>
      </c>
      <c r="O1065" s="171">
        <v>0</v>
      </c>
      <c r="P1065" s="171">
        <v>0</v>
      </c>
      <c r="Q1065" s="175">
        <v>1</v>
      </c>
      <c r="R1065" s="6" t="s">
        <v>160</v>
      </c>
      <c r="S1065" s="6" t="s">
        <v>256</v>
      </c>
      <c r="T1065" s="6" t="s">
        <v>314</v>
      </c>
      <c r="U1065" s="6" t="s">
        <v>240</v>
      </c>
      <c r="V1065" s="6"/>
      <c r="W1065" s="6" t="s">
        <v>415</v>
      </c>
      <c r="X1065" s="6" t="s">
        <v>411</v>
      </c>
      <c r="Y1065" s="6" t="s">
        <v>378</v>
      </c>
    </row>
    <row r="1066" spans="1:25">
      <c r="A1066" s="171">
        <v>25</v>
      </c>
      <c r="B1066" s="174">
        <v>45078</v>
      </c>
      <c r="C1066" s="174">
        <v>45091</v>
      </c>
      <c r="D1066" s="174">
        <v>45090</v>
      </c>
      <c r="E1066" s="171">
        <v>2023</v>
      </c>
      <c r="F1066" s="171">
        <v>6</v>
      </c>
      <c r="G1066" s="171">
        <v>13</v>
      </c>
      <c r="H1066" s="131"/>
      <c r="I1066" s="176"/>
      <c r="J1066" s="176"/>
      <c r="K1066" s="171" t="s">
        <v>199</v>
      </c>
      <c r="L1066" s="171" t="s">
        <v>56</v>
      </c>
      <c r="M1066" s="171"/>
      <c r="N1066" s="175">
        <v>0</v>
      </c>
      <c r="O1066" s="171">
        <v>1</v>
      </c>
      <c r="P1066" s="171">
        <v>0</v>
      </c>
      <c r="Q1066" s="175">
        <v>0</v>
      </c>
      <c r="R1066" s="6" t="s">
        <v>160</v>
      </c>
      <c r="S1066" s="6" t="s">
        <v>161</v>
      </c>
      <c r="T1066" s="6" t="s">
        <v>318</v>
      </c>
      <c r="U1066" s="6" t="s">
        <v>174</v>
      </c>
      <c r="V1066" s="6"/>
      <c r="W1066" s="6"/>
      <c r="X1066" s="6" t="s">
        <v>411</v>
      </c>
      <c r="Y1066" s="6" t="s">
        <v>378</v>
      </c>
    </row>
    <row r="1067" spans="1:25">
      <c r="A1067" s="171">
        <v>25</v>
      </c>
      <c r="B1067" s="174">
        <v>45078</v>
      </c>
      <c r="C1067" s="174">
        <v>45090</v>
      </c>
      <c r="D1067" s="174">
        <v>45089</v>
      </c>
      <c r="E1067" s="171">
        <v>2023</v>
      </c>
      <c r="F1067" s="171">
        <v>6</v>
      </c>
      <c r="G1067" s="171">
        <v>12</v>
      </c>
      <c r="H1067" s="131"/>
      <c r="I1067" s="176"/>
      <c r="J1067" s="176"/>
      <c r="K1067" s="171"/>
      <c r="L1067" s="171" t="s">
        <v>56</v>
      </c>
      <c r="M1067" s="171">
        <v>201</v>
      </c>
      <c r="N1067" s="175">
        <v>1</v>
      </c>
      <c r="O1067" s="171">
        <v>1</v>
      </c>
      <c r="P1067" s="171">
        <v>0</v>
      </c>
      <c r="Q1067" s="175">
        <v>1</v>
      </c>
      <c r="R1067" s="6" t="s">
        <v>160</v>
      </c>
      <c r="S1067" s="6" t="s">
        <v>161</v>
      </c>
      <c r="T1067" s="6" t="s">
        <v>253</v>
      </c>
      <c r="U1067" s="6" t="s">
        <v>233</v>
      </c>
      <c r="V1067" s="6" t="s">
        <v>416</v>
      </c>
      <c r="W1067" s="6"/>
      <c r="X1067" s="6" t="s">
        <v>411</v>
      </c>
      <c r="Y1067" s="6" t="s">
        <v>378</v>
      </c>
    </row>
    <row r="1068" spans="1:25">
      <c r="A1068" s="171">
        <v>25</v>
      </c>
      <c r="B1068" s="174">
        <v>45078</v>
      </c>
      <c r="C1068" s="174">
        <v>45091</v>
      </c>
      <c r="D1068" s="174">
        <v>45090</v>
      </c>
      <c r="E1068" s="171">
        <v>2023</v>
      </c>
      <c r="F1068" s="171">
        <v>6</v>
      </c>
      <c r="G1068" s="171">
        <v>13</v>
      </c>
      <c r="H1068" s="131"/>
      <c r="I1068" s="176"/>
      <c r="J1068" s="176"/>
      <c r="K1068" s="171"/>
      <c r="L1068" s="171" t="s">
        <v>56</v>
      </c>
      <c r="M1068" s="171">
        <v>2603</v>
      </c>
      <c r="N1068" s="175">
        <v>3</v>
      </c>
      <c r="O1068" s="171">
        <v>3</v>
      </c>
      <c r="P1068" s="171">
        <v>0</v>
      </c>
      <c r="Q1068" s="175">
        <v>3</v>
      </c>
      <c r="R1068" s="6" t="s">
        <v>160</v>
      </c>
      <c r="S1068" s="6" t="s">
        <v>162</v>
      </c>
      <c r="T1068" s="6"/>
      <c r="U1068" s="6" t="s">
        <v>162</v>
      </c>
      <c r="V1068" s="6" t="s">
        <v>417</v>
      </c>
      <c r="W1068" s="6"/>
      <c r="X1068" s="6" t="s">
        <v>411</v>
      </c>
      <c r="Y1068" s="6" t="s">
        <v>378</v>
      </c>
    </row>
    <row r="1069" spans="1:25">
      <c r="A1069" s="171">
        <v>25</v>
      </c>
      <c r="B1069" s="174">
        <v>45078</v>
      </c>
      <c r="C1069" s="174">
        <v>45091</v>
      </c>
      <c r="D1069" s="174">
        <v>45090</v>
      </c>
      <c r="E1069" s="171">
        <v>2023</v>
      </c>
      <c r="F1069" s="171">
        <v>6</v>
      </c>
      <c r="G1069" s="171">
        <v>13</v>
      </c>
      <c r="H1069" s="131"/>
      <c r="I1069" s="176"/>
      <c r="J1069" s="176"/>
      <c r="K1069" s="171"/>
      <c r="L1069" s="171" t="s">
        <v>56</v>
      </c>
      <c r="M1069" s="171">
        <v>1540</v>
      </c>
      <c r="N1069" s="175">
        <v>0</v>
      </c>
      <c r="O1069" s="171">
        <v>0</v>
      </c>
      <c r="P1069" s="171">
        <v>0</v>
      </c>
      <c r="Q1069" s="175">
        <v>0</v>
      </c>
      <c r="R1069" s="6"/>
      <c r="S1069" s="6"/>
      <c r="T1069" s="6"/>
      <c r="U1069" s="6"/>
      <c r="V1069" s="6"/>
      <c r="W1069" s="6"/>
      <c r="X1069" s="6" t="s">
        <v>411</v>
      </c>
      <c r="Y1069" s="6" t="s">
        <v>378</v>
      </c>
    </row>
    <row r="1070" spans="1:25">
      <c r="A1070" s="171">
        <v>25</v>
      </c>
      <c r="B1070" s="174">
        <v>45078</v>
      </c>
      <c r="C1070" s="174">
        <v>45090</v>
      </c>
      <c r="D1070" s="174">
        <v>45089</v>
      </c>
      <c r="E1070" s="171">
        <v>2023</v>
      </c>
      <c r="F1070" s="171">
        <v>6</v>
      </c>
      <c r="G1070" s="171">
        <v>12</v>
      </c>
      <c r="H1070" s="131"/>
      <c r="I1070" s="176"/>
      <c r="J1070" s="176"/>
      <c r="K1070" s="171" t="s">
        <v>199</v>
      </c>
      <c r="L1070" s="171" t="s">
        <v>56</v>
      </c>
      <c r="M1070" s="171">
        <v>680</v>
      </c>
      <c r="N1070" s="175">
        <v>0</v>
      </c>
      <c r="O1070" s="171">
        <v>0</v>
      </c>
      <c r="P1070" s="171">
        <v>0</v>
      </c>
      <c r="Q1070" s="175">
        <v>0</v>
      </c>
      <c r="R1070" s="6" t="s">
        <v>160</v>
      </c>
      <c r="S1070" s="6" t="s">
        <v>256</v>
      </c>
      <c r="T1070" s="6" t="s">
        <v>314</v>
      </c>
      <c r="U1070" s="6" t="s">
        <v>240</v>
      </c>
      <c r="V1070" s="6"/>
      <c r="W1070" s="6" t="s">
        <v>309</v>
      </c>
      <c r="X1070" s="6" t="s">
        <v>411</v>
      </c>
      <c r="Y1070" s="6" t="s">
        <v>378</v>
      </c>
    </row>
    <row r="1071" spans="1:25">
      <c r="A1071" s="171">
        <v>25</v>
      </c>
      <c r="B1071" s="174">
        <v>45078</v>
      </c>
      <c r="C1071" s="174">
        <v>45091</v>
      </c>
      <c r="D1071" s="174">
        <v>45090</v>
      </c>
      <c r="E1071" s="171">
        <v>2023</v>
      </c>
      <c r="F1071" s="171">
        <v>6</v>
      </c>
      <c r="G1071" s="171">
        <v>13</v>
      </c>
      <c r="H1071" s="131"/>
      <c r="I1071" s="176"/>
      <c r="J1071" s="176"/>
      <c r="K1071" s="171"/>
      <c r="L1071" s="171" t="s">
        <v>56</v>
      </c>
      <c r="M1071" s="171">
        <v>2001</v>
      </c>
      <c r="N1071" s="175">
        <v>1</v>
      </c>
      <c r="O1071" s="171">
        <v>1</v>
      </c>
      <c r="P1071" s="171">
        <v>1</v>
      </c>
      <c r="Q1071" s="175">
        <v>0</v>
      </c>
      <c r="R1071" s="6" t="s">
        <v>157</v>
      </c>
      <c r="S1071" s="6" t="s">
        <v>205</v>
      </c>
      <c r="T1071" s="6" t="s">
        <v>166</v>
      </c>
      <c r="U1071" s="6" t="s">
        <v>169</v>
      </c>
      <c r="V1071" s="6"/>
      <c r="W1071" s="6"/>
      <c r="X1071" s="6" t="s">
        <v>411</v>
      </c>
      <c r="Y1071" s="6" t="s">
        <v>378</v>
      </c>
    </row>
    <row r="1072" spans="1:25">
      <c r="A1072" s="171">
        <v>25</v>
      </c>
      <c r="B1072" s="174">
        <v>45078</v>
      </c>
      <c r="C1072" s="174">
        <v>45091</v>
      </c>
      <c r="D1072" s="174">
        <v>45090</v>
      </c>
      <c r="E1072" s="171">
        <v>2023</v>
      </c>
      <c r="F1072" s="171">
        <v>6</v>
      </c>
      <c r="G1072" s="171">
        <v>13</v>
      </c>
      <c r="H1072" s="131"/>
      <c r="I1072" s="176"/>
      <c r="J1072" s="176"/>
      <c r="K1072" s="171"/>
      <c r="L1072" s="171" t="s">
        <v>56</v>
      </c>
      <c r="M1072" s="171">
        <v>2060</v>
      </c>
      <c r="N1072" s="175">
        <v>0</v>
      </c>
      <c r="O1072" s="171">
        <v>0</v>
      </c>
      <c r="P1072" s="171">
        <v>0</v>
      </c>
      <c r="Q1072" s="175">
        <v>0</v>
      </c>
      <c r="R1072" s="6"/>
      <c r="S1072" s="6"/>
      <c r="T1072" s="6"/>
      <c r="U1072" s="6"/>
      <c r="V1072" s="6"/>
      <c r="W1072" s="6"/>
      <c r="X1072" s="6" t="s">
        <v>411</v>
      </c>
      <c r="Y1072" s="6" t="s">
        <v>378</v>
      </c>
    </row>
    <row r="1073" spans="1:25">
      <c r="A1073" s="171">
        <v>25</v>
      </c>
      <c r="B1073" s="174">
        <v>45078</v>
      </c>
      <c r="C1073" s="174">
        <v>45091</v>
      </c>
      <c r="D1073" s="174">
        <v>45090</v>
      </c>
      <c r="E1073" s="171">
        <v>2023</v>
      </c>
      <c r="F1073" s="171">
        <v>6</v>
      </c>
      <c r="G1073" s="171">
        <v>13</v>
      </c>
      <c r="H1073" s="131"/>
      <c r="I1073" s="176"/>
      <c r="J1073" s="176"/>
      <c r="K1073" s="171" t="s">
        <v>199</v>
      </c>
      <c r="L1073" s="171" t="s">
        <v>56</v>
      </c>
      <c r="M1073" s="171">
        <v>243</v>
      </c>
      <c r="N1073" s="175">
        <v>3</v>
      </c>
      <c r="O1073" s="171">
        <v>3</v>
      </c>
      <c r="P1073" s="171">
        <v>0</v>
      </c>
      <c r="Q1073" s="175">
        <v>3</v>
      </c>
      <c r="R1073" s="6" t="s">
        <v>160</v>
      </c>
      <c r="S1073" s="6" t="s">
        <v>205</v>
      </c>
      <c r="T1073" s="6" t="s">
        <v>314</v>
      </c>
      <c r="U1073" s="6" t="s">
        <v>322</v>
      </c>
      <c r="V1073" s="6"/>
      <c r="W1073" s="6"/>
      <c r="X1073" s="6" t="s">
        <v>411</v>
      </c>
      <c r="Y1073" s="6" t="s">
        <v>378</v>
      </c>
    </row>
    <row r="1074" spans="1:25">
      <c r="A1074" s="171">
        <v>25</v>
      </c>
      <c r="B1074" s="174">
        <v>45078</v>
      </c>
      <c r="C1074" s="174">
        <v>45090</v>
      </c>
      <c r="D1074" s="174">
        <v>45089</v>
      </c>
      <c r="E1074" s="171">
        <v>2023</v>
      </c>
      <c r="F1074" s="171">
        <v>6</v>
      </c>
      <c r="G1074" s="171">
        <v>12</v>
      </c>
      <c r="H1074" s="131"/>
      <c r="I1074" s="176"/>
      <c r="J1074" s="176"/>
      <c r="K1074" s="171" t="s">
        <v>199</v>
      </c>
      <c r="L1074" s="171" t="s">
        <v>56</v>
      </c>
      <c r="M1074" s="171">
        <v>420</v>
      </c>
      <c r="N1074" s="175">
        <v>0</v>
      </c>
      <c r="O1074" s="171">
        <v>0</v>
      </c>
      <c r="P1074" s="171">
        <v>0</v>
      </c>
      <c r="Q1074" s="175">
        <v>0</v>
      </c>
      <c r="R1074" s="6" t="s">
        <v>160</v>
      </c>
      <c r="S1074" s="6" t="s">
        <v>256</v>
      </c>
      <c r="T1074" s="6" t="s">
        <v>314</v>
      </c>
      <c r="U1074" s="6" t="s">
        <v>240</v>
      </c>
      <c r="V1074" s="6"/>
      <c r="W1074" s="6" t="s">
        <v>328</v>
      </c>
      <c r="X1074" s="6" t="s">
        <v>411</v>
      </c>
      <c r="Y1074" s="6" t="s">
        <v>378</v>
      </c>
    </row>
    <row r="1075" spans="1:25">
      <c r="A1075" s="171">
        <v>25</v>
      </c>
      <c r="B1075" s="174">
        <v>45078</v>
      </c>
      <c r="C1075" s="174">
        <v>45090</v>
      </c>
      <c r="D1075" s="174">
        <v>45089</v>
      </c>
      <c r="E1075" s="171">
        <v>2023</v>
      </c>
      <c r="F1075" s="171">
        <v>6</v>
      </c>
      <c r="G1075" s="171">
        <v>12</v>
      </c>
      <c r="H1075" s="131"/>
      <c r="I1075" s="176"/>
      <c r="J1075" s="176"/>
      <c r="K1075" s="171" t="s">
        <v>199</v>
      </c>
      <c r="L1075" s="171" t="s">
        <v>56</v>
      </c>
      <c r="M1075" s="171">
        <v>680</v>
      </c>
      <c r="N1075" s="175">
        <v>0</v>
      </c>
      <c r="O1075" s="171">
        <v>0</v>
      </c>
      <c r="P1075" s="171">
        <v>0</v>
      </c>
      <c r="Q1075" s="175">
        <v>0</v>
      </c>
      <c r="R1075" s="6" t="s">
        <v>160</v>
      </c>
      <c r="S1075" s="6" t="s">
        <v>256</v>
      </c>
      <c r="T1075" s="6" t="s">
        <v>314</v>
      </c>
      <c r="U1075" s="6" t="s">
        <v>240</v>
      </c>
      <c r="V1075" s="6"/>
      <c r="W1075" s="6" t="s">
        <v>309</v>
      </c>
      <c r="X1075" s="6" t="s">
        <v>411</v>
      </c>
      <c r="Y1075" s="6" t="s">
        <v>378</v>
      </c>
    </row>
    <row r="1076" spans="1:25">
      <c r="A1076" s="171">
        <v>25</v>
      </c>
      <c r="B1076" s="174">
        <v>45078</v>
      </c>
      <c r="C1076" s="174">
        <v>45091</v>
      </c>
      <c r="D1076" s="174">
        <v>45090</v>
      </c>
      <c r="E1076" s="171">
        <v>2023</v>
      </c>
      <c r="F1076" s="171">
        <v>6</v>
      </c>
      <c r="G1076" s="171">
        <v>13</v>
      </c>
      <c r="H1076" s="131"/>
      <c r="I1076" s="176"/>
      <c r="J1076" s="176"/>
      <c r="K1076" s="171"/>
      <c r="L1076" s="171" t="s">
        <v>56</v>
      </c>
      <c r="M1076" s="171">
        <v>1300</v>
      </c>
      <c r="N1076" s="175">
        <v>0</v>
      </c>
      <c r="O1076" s="171">
        <v>0</v>
      </c>
      <c r="P1076" s="171">
        <v>0</v>
      </c>
      <c r="Q1076" s="175">
        <v>0</v>
      </c>
      <c r="R1076" s="6"/>
      <c r="S1076" s="6"/>
      <c r="T1076" s="6"/>
      <c r="U1076" s="6"/>
      <c r="V1076" s="6"/>
      <c r="W1076" s="6"/>
      <c r="X1076" s="6" t="s">
        <v>411</v>
      </c>
      <c r="Y1076" s="6" t="s">
        <v>378</v>
      </c>
    </row>
    <row r="1077" spans="1:25">
      <c r="A1077" s="171">
        <v>25</v>
      </c>
      <c r="B1077" s="174">
        <v>45078</v>
      </c>
      <c r="C1077" s="174">
        <v>45091</v>
      </c>
      <c r="D1077" s="174">
        <v>45090</v>
      </c>
      <c r="E1077" s="171">
        <v>2023</v>
      </c>
      <c r="F1077" s="171">
        <v>6</v>
      </c>
      <c r="G1077" s="171">
        <v>13</v>
      </c>
      <c r="H1077" s="131"/>
      <c r="I1077" s="176"/>
      <c r="J1077" s="176"/>
      <c r="K1077" s="171"/>
      <c r="L1077" s="171" t="s">
        <v>56</v>
      </c>
      <c r="M1077" s="171">
        <v>4800</v>
      </c>
      <c r="N1077" s="175">
        <v>0</v>
      </c>
      <c r="O1077" s="171">
        <v>0</v>
      </c>
      <c r="P1077" s="171">
        <v>0</v>
      </c>
      <c r="Q1077" s="175">
        <v>0</v>
      </c>
      <c r="R1077" s="6"/>
      <c r="S1077" s="6"/>
      <c r="T1077" s="6"/>
      <c r="U1077" s="6"/>
      <c r="V1077" s="6"/>
      <c r="W1077" s="6"/>
      <c r="X1077" s="6" t="s">
        <v>411</v>
      </c>
      <c r="Y1077" s="6" t="s">
        <v>378</v>
      </c>
    </row>
    <row r="1078" spans="1:25">
      <c r="A1078" s="171">
        <v>25</v>
      </c>
      <c r="B1078" s="174">
        <v>45078</v>
      </c>
      <c r="C1078" s="174">
        <v>45091</v>
      </c>
      <c r="D1078" s="174">
        <v>45090</v>
      </c>
      <c r="E1078" s="171">
        <v>2023</v>
      </c>
      <c r="F1078" s="171">
        <v>6</v>
      </c>
      <c r="G1078" s="171">
        <v>13</v>
      </c>
      <c r="H1078" s="131"/>
      <c r="I1078" s="176"/>
      <c r="J1078" s="176"/>
      <c r="K1078" s="171"/>
      <c r="L1078" s="171" t="s">
        <v>56</v>
      </c>
      <c r="M1078" s="171">
        <v>900</v>
      </c>
      <c r="N1078" s="175">
        <v>0</v>
      </c>
      <c r="O1078" s="171">
        <v>0</v>
      </c>
      <c r="P1078" s="171">
        <v>0</v>
      </c>
      <c r="Q1078" s="175">
        <v>0</v>
      </c>
      <c r="R1078" s="6"/>
      <c r="S1078" s="6"/>
      <c r="T1078" s="6"/>
      <c r="U1078" s="6"/>
      <c r="V1078" s="6"/>
      <c r="W1078" s="6"/>
      <c r="X1078" s="6" t="s">
        <v>411</v>
      </c>
      <c r="Y1078" s="6" t="s">
        <v>378</v>
      </c>
    </row>
    <row r="1079" spans="1:25">
      <c r="A1079" s="171">
        <v>25</v>
      </c>
      <c r="B1079" s="174">
        <v>45078</v>
      </c>
      <c r="C1079" s="174">
        <v>45091</v>
      </c>
      <c r="D1079" s="174">
        <v>45090</v>
      </c>
      <c r="E1079" s="171">
        <v>2023</v>
      </c>
      <c r="F1079" s="171">
        <v>6</v>
      </c>
      <c r="G1079" s="171">
        <v>13</v>
      </c>
      <c r="H1079" s="131"/>
      <c r="I1079" s="176"/>
      <c r="J1079" s="176"/>
      <c r="K1079" s="171"/>
      <c r="L1079" s="171" t="s">
        <v>56</v>
      </c>
      <c r="M1079" s="171">
        <v>3500</v>
      </c>
      <c r="N1079" s="175">
        <v>0</v>
      </c>
      <c r="O1079" s="171">
        <v>0</v>
      </c>
      <c r="P1079" s="171">
        <v>0</v>
      </c>
      <c r="Q1079" s="175">
        <v>0</v>
      </c>
      <c r="R1079" s="6"/>
      <c r="S1079" s="6"/>
      <c r="T1079" s="6"/>
      <c r="U1079" s="6"/>
      <c r="V1079" s="6"/>
      <c r="W1079" s="6"/>
      <c r="X1079" s="6" t="s">
        <v>411</v>
      </c>
      <c r="Y1079" s="6" t="s">
        <v>378</v>
      </c>
    </row>
    <row r="1080" spans="1:25">
      <c r="A1080" s="171">
        <v>25</v>
      </c>
      <c r="B1080" s="174">
        <v>45078</v>
      </c>
      <c r="C1080" s="174">
        <v>45091</v>
      </c>
      <c r="D1080" s="174">
        <v>45090</v>
      </c>
      <c r="E1080" s="171">
        <v>2023</v>
      </c>
      <c r="F1080" s="171">
        <v>6</v>
      </c>
      <c r="G1080" s="171">
        <v>13</v>
      </c>
      <c r="H1080" s="131"/>
      <c r="I1080" s="176"/>
      <c r="J1080" s="176"/>
      <c r="K1080" s="171"/>
      <c r="L1080" s="171" t="s">
        <v>56</v>
      </c>
      <c r="M1080" s="171">
        <v>1300</v>
      </c>
      <c r="N1080" s="175">
        <v>0</v>
      </c>
      <c r="O1080" s="171">
        <v>0</v>
      </c>
      <c r="P1080" s="171">
        <v>0</v>
      </c>
      <c r="Q1080" s="175">
        <v>0</v>
      </c>
      <c r="R1080" s="6"/>
      <c r="S1080" s="6"/>
      <c r="T1080" s="6"/>
      <c r="U1080" s="6"/>
      <c r="V1080" s="6"/>
      <c r="W1080" s="6"/>
      <c r="X1080" s="6" t="s">
        <v>411</v>
      </c>
      <c r="Y1080" s="6" t="s">
        <v>378</v>
      </c>
    </row>
    <row r="1081" spans="1:25">
      <c r="A1081" s="171">
        <v>25</v>
      </c>
      <c r="B1081" s="174">
        <v>45078</v>
      </c>
      <c r="C1081" s="174">
        <v>45091</v>
      </c>
      <c r="D1081" s="174">
        <v>45090</v>
      </c>
      <c r="E1081" s="171">
        <v>2023</v>
      </c>
      <c r="F1081" s="171">
        <v>6</v>
      </c>
      <c r="G1081" s="171">
        <v>13</v>
      </c>
      <c r="H1081" s="131"/>
      <c r="I1081" s="176"/>
      <c r="J1081" s="176"/>
      <c r="K1081" s="171"/>
      <c r="L1081" s="171" t="s">
        <v>56</v>
      </c>
      <c r="M1081" s="171">
        <v>4200</v>
      </c>
      <c r="N1081" s="175">
        <v>0</v>
      </c>
      <c r="O1081" s="171">
        <v>0</v>
      </c>
      <c r="P1081" s="171">
        <v>0</v>
      </c>
      <c r="Q1081" s="175">
        <v>0</v>
      </c>
      <c r="R1081" s="6"/>
      <c r="S1081" s="6"/>
      <c r="T1081" s="6"/>
      <c r="U1081" s="6"/>
      <c r="V1081" s="6"/>
      <c r="W1081" s="6"/>
      <c r="X1081" s="6" t="s">
        <v>411</v>
      </c>
      <c r="Y1081" s="6" t="s">
        <v>378</v>
      </c>
    </row>
    <row r="1082" spans="1:25">
      <c r="A1082" s="171">
        <v>25</v>
      </c>
      <c r="B1082" s="174">
        <v>45078</v>
      </c>
      <c r="C1082" s="174">
        <v>45090</v>
      </c>
      <c r="D1082" s="174">
        <v>45089</v>
      </c>
      <c r="E1082" s="171">
        <v>2023</v>
      </c>
      <c r="F1082" s="171">
        <v>6</v>
      </c>
      <c r="G1082" s="171">
        <v>12</v>
      </c>
      <c r="H1082" s="131"/>
      <c r="I1082" s="176"/>
      <c r="J1082" s="176"/>
      <c r="K1082" s="171"/>
      <c r="L1082" s="171" t="s">
        <v>56</v>
      </c>
      <c r="M1082" s="171">
        <v>500</v>
      </c>
      <c r="N1082" s="175">
        <v>0</v>
      </c>
      <c r="O1082" s="171">
        <v>0</v>
      </c>
      <c r="P1082" s="171">
        <v>0</v>
      </c>
      <c r="Q1082" s="175">
        <v>0</v>
      </c>
      <c r="R1082" s="6"/>
      <c r="S1082" s="6"/>
      <c r="T1082" s="6"/>
      <c r="U1082" s="6"/>
      <c r="V1082" s="6"/>
      <c r="W1082" s="6"/>
      <c r="X1082" s="6" t="s">
        <v>411</v>
      </c>
      <c r="Y1082" s="6" t="s">
        <v>378</v>
      </c>
    </row>
    <row r="1083" spans="1:25">
      <c r="A1083" s="171">
        <v>25</v>
      </c>
      <c r="B1083" s="174">
        <v>45078</v>
      </c>
      <c r="C1083" s="174">
        <v>45090</v>
      </c>
      <c r="D1083" s="174">
        <v>45089</v>
      </c>
      <c r="E1083" s="171">
        <v>2023</v>
      </c>
      <c r="F1083" s="171">
        <v>6</v>
      </c>
      <c r="G1083" s="171">
        <v>12</v>
      </c>
      <c r="H1083" s="131"/>
      <c r="I1083" s="176"/>
      <c r="J1083" s="176"/>
      <c r="K1083" s="171"/>
      <c r="L1083" s="171" t="s">
        <v>56</v>
      </c>
      <c r="M1083" s="171">
        <v>310</v>
      </c>
      <c r="N1083" s="175">
        <v>0</v>
      </c>
      <c r="O1083" s="171">
        <v>0</v>
      </c>
      <c r="P1083" s="171">
        <v>0</v>
      </c>
      <c r="Q1083" s="175">
        <v>0</v>
      </c>
      <c r="R1083" s="6"/>
      <c r="S1083" s="6"/>
      <c r="T1083" s="6"/>
      <c r="U1083" s="6"/>
      <c r="V1083" s="6"/>
      <c r="W1083" s="6"/>
      <c r="X1083" s="6" t="s">
        <v>411</v>
      </c>
      <c r="Y1083" s="6" t="s">
        <v>378</v>
      </c>
    </row>
    <row r="1084" spans="1:25">
      <c r="A1084" s="171">
        <v>25</v>
      </c>
      <c r="B1084" s="174">
        <v>45078</v>
      </c>
      <c r="C1084" s="174">
        <v>45090</v>
      </c>
      <c r="D1084" s="174">
        <v>45089</v>
      </c>
      <c r="E1084" s="171">
        <v>2023</v>
      </c>
      <c r="F1084" s="171">
        <v>6</v>
      </c>
      <c r="G1084" s="171">
        <v>12</v>
      </c>
      <c r="H1084" s="131"/>
      <c r="I1084" s="176"/>
      <c r="J1084" s="176"/>
      <c r="K1084" s="171"/>
      <c r="L1084" s="171" t="s">
        <v>56</v>
      </c>
      <c r="M1084" s="171">
        <v>50</v>
      </c>
      <c r="N1084" s="175">
        <v>0</v>
      </c>
      <c r="O1084" s="171">
        <v>0</v>
      </c>
      <c r="P1084" s="171">
        <v>0</v>
      </c>
      <c r="Q1084" s="175">
        <v>0</v>
      </c>
      <c r="R1084" s="6"/>
      <c r="S1084" s="6"/>
      <c r="T1084" s="6"/>
      <c r="U1084" s="6"/>
      <c r="V1084" s="6"/>
      <c r="W1084" s="6"/>
      <c r="X1084" s="6" t="s">
        <v>411</v>
      </c>
      <c r="Y1084" s="6" t="s">
        <v>378</v>
      </c>
    </row>
    <row r="1085" spans="1:25">
      <c r="A1085" s="171">
        <v>25</v>
      </c>
      <c r="B1085" s="174">
        <v>45078</v>
      </c>
      <c r="C1085" s="174">
        <v>45091</v>
      </c>
      <c r="D1085" s="174">
        <v>45090</v>
      </c>
      <c r="E1085" s="171">
        <v>2023</v>
      </c>
      <c r="F1085" s="171">
        <v>6</v>
      </c>
      <c r="G1085" s="171">
        <v>13</v>
      </c>
      <c r="H1085" s="131"/>
      <c r="I1085" s="176"/>
      <c r="J1085" s="176"/>
      <c r="K1085" s="171"/>
      <c r="L1085" s="171" t="s">
        <v>56</v>
      </c>
      <c r="M1085" s="171">
        <v>3000</v>
      </c>
      <c r="N1085" s="175">
        <v>0</v>
      </c>
      <c r="O1085" s="171">
        <v>0</v>
      </c>
      <c r="P1085" s="171">
        <v>0</v>
      </c>
      <c r="Q1085" s="175">
        <v>0</v>
      </c>
      <c r="R1085" s="6"/>
      <c r="S1085" s="6"/>
      <c r="T1085" s="6"/>
      <c r="U1085" s="6"/>
      <c r="V1085" s="6"/>
      <c r="W1085" s="6"/>
      <c r="X1085" s="6" t="s">
        <v>411</v>
      </c>
      <c r="Y1085" s="6" t="s">
        <v>378</v>
      </c>
    </row>
    <row r="1086" spans="1:25">
      <c r="A1086" s="171">
        <v>25</v>
      </c>
      <c r="B1086" s="174">
        <v>45078</v>
      </c>
      <c r="C1086" s="174">
        <v>45091</v>
      </c>
      <c r="D1086" s="174">
        <v>45090</v>
      </c>
      <c r="E1086" s="171">
        <v>2023</v>
      </c>
      <c r="F1086" s="171">
        <v>6</v>
      </c>
      <c r="G1086" s="171">
        <v>13</v>
      </c>
      <c r="H1086" s="131"/>
      <c r="I1086" s="176"/>
      <c r="J1086" s="176"/>
      <c r="K1086" s="171"/>
      <c r="L1086" s="171" t="s">
        <v>56</v>
      </c>
      <c r="M1086" s="171">
        <v>200</v>
      </c>
      <c r="N1086" s="175">
        <v>0</v>
      </c>
      <c r="O1086" s="171">
        <v>0</v>
      </c>
      <c r="P1086" s="171">
        <v>0</v>
      </c>
      <c r="Q1086" s="175">
        <v>0</v>
      </c>
      <c r="R1086" s="6"/>
      <c r="S1086" s="6"/>
      <c r="T1086" s="6"/>
      <c r="U1086" s="6"/>
      <c r="V1086" s="6"/>
      <c r="W1086" s="6"/>
      <c r="X1086" s="6" t="s">
        <v>411</v>
      </c>
      <c r="Y1086" s="6" t="s">
        <v>378</v>
      </c>
    </row>
    <row r="1087" spans="1:25">
      <c r="A1087" s="171">
        <v>25</v>
      </c>
      <c r="B1087" s="174">
        <v>45078</v>
      </c>
      <c r="C1087" s="174">
        <v>45090</v>
      </c>
      <c r="D1087" s="174">
        <v>45089</v>
      </c>
      <c r="E1087" s="171">
        <v>2023</v>
      </c>
      <c r="F1087" s="171">
        <v>6</v>
      </c>
      <c r="G1087" s="171">
        <v>12</v>
      </c>
      <c r="H1087" s="131"/>
      <c r="I1087" s="176"/>
      <c r="J1087" s="176"/>
      <c r="K1087" s="171"/>
      <c r="L1087" s="171" t="s">
        <v>56</v>
      </c>
      <c r="M1087" s="171">
        <v>2800</v>
      </c>
      <c r="N1087" s="175">
        <v>0</v>
      </c>
      <c r="O1087" s="171">
        <v>0</v>
      </c>
      <c r="P1087" s="171">
        <v>0</v>
      </c>
      <c r="Q1087" s="175">
        <v>0</v>
      </c>
      <c r="R1087" s="6"/>
      <c r="S1087" s="6"/>
      <c r="T1087" s="6"/>
      <c r="U1087" s="6"/>
      <c r="V1087" s="6"/>
      <c r="W1087" s="6"/>
      <c r="X1087" s="6" t="s">
        <v>411</v>
      </c>
      <c r="Y1087" s="6" t="s">
        <v>378</v>
      </c>
    </row>
    <row r="1088" spans="1:25">
      <c r="A1088" s="171">
        <v>25</v>
      </c>
      <c r="B1088" s="174">
        <v>45078</v>
      </c>
      <c r="C1088" s="174">
        <v>45090</v>
      </c>
      <c r="D1088" s="174">
        <v>45089</v>
      </c>
      <c r="E1088" s="171">
        <v>2023</v>
      </c>
      <c r="F1088" s="171">
        <v>6</v>
      </c>
      <c r="G1088" s="171">
        <v>12</v>
      </c>
      <c r="H1088" s="131"/>
      <c r="I1088" s="176"/>
      <c r="J1088" s="176"/>
      <c r="K1088" s="171"/>
      <c r="L1088" s="171" t="s">
        <v>56</v>
      </c>
      <c r="M1088" s="171">
        <v>60</v>
      </c>
      <c r="N1088" s="175">
        <v>0</v>
      </c>
      <c r="O1088" s="171">
        <v>0</v>
      </c>
      <c r="P1088" s="171">
        <v>0</v>
      </c>
      <c r="Q1088" s="175">
        <v>0</v>
      </c>
      <c r="R1088" s="6"/>
      <c r="S1088" s="6"/>
      <c r="T1088" s="6"/>
      <c r="U1088" s="6"/>
      <c r="V1088" s="6"/>
      <c r="W1088" s="6"/>
      <c r="X1088" s="6" t="s">
        <v>411</v>
      </c>
      <c r="Y1088" s="6" t="s">
        <v>378</v>
      </c>
    </row>
    <row r="1089" spans="1:25">
      <c r="A1089" s="171">
        <v>25</v>
      </c>
      <c r="B1089" s="174">
        <v>45078</v>
      </c>
      <c r="C1089" s="174">
        <v>45091</v>
      </c>
      <c r="D1089" s="174">
        <v>45090</v>
      </c>
      <c r="E1089" s="171">
        <v>2023</v>
      </c>
      <c r="F1089" s="171">
        <v>6</v>
      </c>
      <c r="G1089" s="171">
        <v>13</v>
      </c>
      <c r="H1089" s="131"/>
      <c r="I1089" s="176"/>
      <c r="J1089" s="176"/>
      <c r="K1089" s="171"/>
      <c r="L1089" s="171" t="s">
        <v>56</v>
      </c>
      <c r="M1089" s="171">
        <v>2000</v>
      </c>
      <c r="N1089" s="175">
        <v>0</v>
      </c>
      <c r="O1089" s="171">
        <v>0</v>
      </c>
      <c r="P1089" s="171">
        <v>0</v>
      </c>
      <c r="Q1089" s="175">
        <v>0</v>
      </c>
      <c r="R1089" s="6"/>
      <c r="S1089" s="6"/>
      <c r="T1089" s="6"/>
      <c r="U1089" s="6"/>
      <c r="V1089" s="6"/>
      <c r="W1089" s="6"/>
      <c r="X1089" s="6" t="s">
        <v>411</v>
      </c>
      <c r="Y1089" s="6" t="s">
        <v>378</v>
      </c>
    </row>
    <row r="1090" spans="1:25">
      <c r="A1090" s="171">
        <v>25</v>
      </c>
      <c r="B1090" s="174">
        <v>45078</v>
      </c>
      <c r="C1090" s="174">
        <v>45091</v>
      </c>
      <c r="D1090" s="174">
        <v>45090</v>
      </c>
      <c r="E1090" s="171">
        <v>2023</v>
      </c>
      <c r="F1090" s="171">
        <v>6</v>
      </c>
      <c r="G1090" s="171">
        <v>13</v>
      </c>
      <c r="H1090" s="131"/>
      <c r="I1090" s="176"/>
      <c r="J1090" s="176"/>
      <c r="K1090" s="171"/>
      <c r="L1090" s="171" t="s">
        <v>56</v>
      </c>
      <c r="M1090" s="171">
        <v>5000</v>
      </c>
      <c r="N1090" s="175">
        <v>0</v>
      </c>
      <c r="O1090" s="171">
        <v>0</v>
      </c>
      <c r="P1090" s="171">
        <v>0</v>
      </c>
      <c r="Q1090" s="175">
        <v>0</v>
      </c>
      <c r="R1090" s="6"/>
      <c r="S1090" s="6"/>
      <c r="T1090" s="6"/>
      <c r="U1090" s="6"/>
      <c r="V1090" s="6"/>
      <c r="W1090" s="6"/>
      <c r="X1090" s="6" t="s">
        <v>411</v>
      </c>
      <c r="Y1090" s="6" t="s">
        <v>378</v>
      </c>
    </row>
    <row r="1091" spans="1:25">
      <c r="A1091" s="171">
        <v>25</v>
      </c>
      <c r="B1091" s="174">
        <v>45078</v>
      </c>
      <c r="C1091" s="174">
        <v>45090</v>
      </c>
      <c r="D1091" s="174">
        <v>45089</v>
      </c>
      <c r="E1091" s="171">
        <v>2023</v>
      </c>
      <c r="F1091" s="171">
        <v>6</v>
      </c>
      <c r="G1091" s="171">
        <v>12</v>
      </c>
      <c r="H1091" s="131"/>
      <c r="I1091" s="176"/>
      <c r="J1091" s="176"/>
      <c r="K1091" s="171"/>
      <c r="L1091" s="171" t="s">
        <v>56</v>
      </c>
      <c r="M1091" s="171">
        <v>1100</v>
      </c>
      <c r="N1091" s="175">
        <v>0</v>
      </c>
      <c r="O1091" s="171">
        <v>0</v>
      </c>
      <c r="P1091" s="171">
        <v>0</v>
      </c>
      <c r="Q1091" s="175">
        <v>0</v>
      </c>
      <c r="R1091" s="6"/>
      <c r="S1091" s="6"/>
      <c r="T1091" s="6"/>
      <c r="U1091" s="6"/>
      <c r="V1091" s="6"/>
      <c r="W1091" s="6"/>
      <c r="X1091" s="6" t="s">
        <v>411</v>
      </c>
      <c r="Y1091" s="6" t="s">
        <v>378</v>
      </c>
    </row>
    <row r="1092" spans="1:25">
      <c r="A1092" s="171">
        <v>25</v>
      </c>
      <c r="B1092" s="174">
        <v>45078</v>
      </c>
      <c r="C1092" s="174">
        <v>45090</v>
      </c>
      <c r="D1092" s="174">
        <v>45089</v>
      </c>
      <c r="E1092" s="171">
        <v>2023</v>
      </c>
      <c r="F1092" s="171">
        <v>6</v>
      </c>
      <c r="G1092" s="171">
        <v>12</v>
      </c>
      <c r="H1092" s="131"/>
      <c r="I1092" s="176"/>
      <c r="J1092" s="176"/>
      <c r="K1092" s="171"/>
      <c r="L1092" s="171" t="s">
        <v>56</v>
      </c>
      <c r="M1092" s="171">
        <v>3800</v>
      </c>
      <c r="N1092" s="175">
        <v>0</v>
      </c>
      <c r="O1092" s="171">
        <v>0</v>
      </c>
      <c r="P1092" s="171">
        <v>0</v>
      </c>
      <c r="Q1092" s="175">
        <v>0</v>
      </c>
      <c r="R1092" s="6"/>
      <c r="S1092" s="6"/>
      <c r="T1092" s="6"/>
      <c r="U1092" s="6"/>
      <c r="V1092" s="6"/>
      <c r="W1092" s="6"/>
      <c r="X1092" s="6" t="s">
        <v>411</v>
      </c>
      <c r="Y1092" s="6" t="s">
        <v>378</v>
      </c>
    </row>
    <row r="1093" spans="1:25">
      <c r="A1093" s="171">
        <v>25</v>
      </c>
      <c r="B1093" s="174">
        <v>45078</v>
      </c>
      <c r="C1093" s="174">
        <v>45090</v>
      </c>
      <c r="D1093" s="174">
        <v>45089</v>
      </c>
      <c r="E1093" s="171">
        <v>2023</v>
      </c>
      <c r="F1093" s="171">
        <v>6</v>
      </c>
      <c r="G1093" s="171">
        <v>12</v>
      </c>
      <c r="H1093" s="131"/>
      <c r="I1093" s="176"/>
      <c r="J1093" s="176"/>
      <c r="K1093" s="171"/>
      <c r="L1093" s="171" t="s">
        <v>56</v>
      </c>
      <c r="M1093" s="171">
        <v>2624</v>
      </c>
      <c r="N1093" s="175">
        <v>0</v>
      </c>
      <c r="O1093" s="171">
        <v>0</v>
      </c>
      <c r="P1093" s="171">
        <v>0</v>
      </c>
      <c r="Q1093" s="175">
        <v>0</v>
      </c>
      <c r="R1093" s="6"/>
      <c r="S1093" s="6"/>
      <c r="T1093" s="6"/>
      <c r="U1093" s="6"/>
      <c r="V1093" s="6"/>
      <c r="W1093" s="6"/>
      <c r="X1093" s="6" t="s">
        <v>411</v>
      </c>
      <c r="Y1093" s="6" t="s">
        <v>378</v>
      </c>
    </row>
    <row r="1094" spans="1:25">
      <c r="A1094" s="171">
        <v>25</v>
      </c>
      <c r="B1094" s="174">
        <v>45078</v>
      </c>
      <c r="C1094" s="174">
        <v>45090</v>
      </c>
      <c r="D1094" s="174">
        <v>45089</v>
      </c>
      <c r="E1094" s="171">
        <v>2023</v>
      </c>
      <c r="F1094" s="171">
        <v>6</v>
      </c>
      <c r="G1094" s="171">
        <v>12</v>
      </c>
      <c r="H1094" s="131"/>
      <c r="I1094" s="176"/>
      <c r="J1094" s="176"/>
      <c r="K1094" s="171"/>
      <c r="L1094" s="171" t="s">
        <v>56</v>
      </c>
      <c r="M1094" s="171">
        <v>200</v>
      </c>
      <c r="N1094" s="175">
        <v>0</v>
      </c>
      <c r="O1094" s="171">
        <v>0</v>
      </c>
      <c r="P1094" s="171">
        <v>0</v>
      </c>
      <c r="Q1094" s="175">
        <v>0</v>
      </c>
      <c r="R1094" s="6"/>
      <c r="S1094" s="6"/>
      <c r="T1094" s="6"/>
      <c r="U1094" s="6"/>
      <c r="V1094" s="6"/>
      <c r="W1094" s="6"/>
      <c r="X1094" s="6" t="s">
        <v>411</v>
      </c>
      <c r="Y1094" s="6" t="s">
        <v>378</v>
      </c>
    </row>
    <row r="1095" spans="1:25">
      <c r="A1095" s="171">
        <v>25</v>
      </c>
      <c r="B1095" s="174">
        <v>45078</v>
      </c>
      <c r="C1095" s="174">
        <v>45091</v>
      </c>
      <c r="D1095" s="174">
        <v>45090</v>
      </c>
      <c r="E1095" s="171">
        <v>2023</v>
      </c>
      <c r="F1095" s="171">
        <v>6</v>
      </c>
      <c r="G1095" s="171">
        <v>13</v>
      </c>
      <c r="H1095" s="131"/>
      <c r="I1095" s="176"/>
      <c r="J1095" s="176"/>
      <c r="K1095" s="171"/>
      <c r="L1095" s="171" t="s">
        <v>56</v>
      </c>
      <c r="M1095" s="171">
        <v>421</v>
      </c>
      <c r="N1095" s="175">
        <v>1</v>
      </c>
      <c r="O1095" s="171">
        <v>1</v>
      </c>
      <c r="P1095" s="171">
        <v>0</v>
      </c>
      <c r="Q1095" s="175">
        <v>1</v>
      </c>
      <c r="R1095" s="6" t="s">
        <v>160</v>
      </c>
      <c r="S1095" s="6" t="s">
        <v>205</v>
      </c>
      <c r="T1095" s="6" t="s">
        <v>314</v>
      </c>
      <c r="U1095" s="6" t="s">
        <v>184</v>
      </c>
      <c r="V1095" s="6"/>
      <c r="W1095" s="6"/>
      <c r="X1095" s="6" t="s">
        <v>411</v>
      </c>
      <c r="Y1095" s="6" t="s">
        <v>378</v>
      </c>
    </row>
    <row r="1096" spans="1:25">
      <c r="A1096" s="171">
        <v>25</v>
      </c>
      <c r="B1096" s="174">
        <v>45078</v>
      </c>
      <c r="C1096" s="174">
        <v>45090</v>
      </c>
      <c r="D1096" s="174">
        <v>45089</v>
      </c>
      <c r="E1096" s="171">
        <v>2023</v>
      </c>
      <c r="F1096" s="171">
        <v>6</v>
      </c>
      <c r="G1096" s="171">
        <v>12</v>
      </c>
      <c r="H1096" s="131"/>
      <c r="I1096" s="176"/>
      <c r="J1096" s="176"/>
      <c r="K1096" s="171"/>
      <c r="L1096" s="171" t="s">
        <v>52</v>
      </c>
      <c r="M1096" s="171">
        <v>3704</v>
      </c>
      <c r="N1096" s="175">
        <v>4</v>
      </c>
      <c r="O1096" s="171">
        <v>4</v>
      </c>
      <c r="P1096" s="171">
        <v>0</v>
      </c>
      <c r="Q1096" s="175">
        <v>4</v>
      </c>
      <c r="R1096" s="6" t="s">
        <v>160</v>
      </c>
      <c r="S1096" s="6" t="s">
        <v>161</v>
      </c>
      <c r="T1096" s="6" t="s">
        <v>253</v>
      </c>
      <c r="U1096" s="6" t="s">
        <v>233</v>
      </c>
      <c r="V1096" s="6" t="s">
        <v>418</v>
      </c>
      <c r="W1096" s="6"/>
      <c r="X1096" s="6" t="s">
        <v>412</v>
      </c>
      <c r="Y1096" s="6" t="s">
        <v>380</v>
      </c>
    </row>
    <row r="1097" spans="1:25">
      <c r="A1097" s="171">
        <v>25</v>
      </c>
      <c r="B1097" s="174">
        <v>45078</v>
      </c>
      <c r="C1097" s="174">
        <v>45090</v>
      </c>
      <c r="D1097" s="174">
        <v>45089</v>
      </c>
      <c r="E1097" s="171">
        <v>2023</v>
      </c>
      <c r="F1097" s="171">
        <v>6</v>
      </c>
      <c r="G1097" s="171">
        <v>12</v>
      </c>
      <c r="H1097" s="131"/>
      <c r="I1097" s="176"/>
      <c r="J1097" s="176"/>
      <c r="K1097" s="171"/>
      <c r="L1097" s="171" t="s">
        <v>52</v>
      </c>
      <c r="M1097" s="171">
        <v>7408</v>
      </c>
      <c r="N1097" s="175">
        <v>2</v>
      </c>
      <c r="O1097" s="171">
        <v>1</v>
      </c>
      <c r="P1097" s="171">
        <v>1</v>
      </c>
      <c r="Q1097" s="175">
        <v>1</v>
      </c>
      <c r="R1097" s="6" t="s">
        <v>157</v>
      </c>
      <c r="S1097" s="6" t="s">
        <v>161</v>
      </c>
      <c r="T1097" s="6" t="s">
        <v>166</v>
      </c>
      <c r="U1097" s="6" t="s">
        <v>170</v>
      </c>
      <c r="V1097" s="6" t="s">
        <v>419</v>
      </c>
      <c r="W1097" s="6"/>
      <c r="X1097" s="6" t="s">
        <v>412</v>
      </c>
      <c r="Y1097" s="6" t="s">
        <v>380</v>
      </c>
    </row>
    <row r="1098" spans="1:25">
      <c r="A1098" s="171">
        <v>25</v>
      </c>
      <c r="B1098" s="174">
        <v>45078</v>
      </c>
      <c r="C1098" s="174">
        <v>45090</v>
      </c>
      <c r="D1098" s="174">
        <v>45089</v>
      </c>
      <c r="E1098" s="171">
        <v>2023</v>
      </c>
      <c r="F1098" s="171">
        <v>6</v>
      </c>
      <c r="G1098" s="171">
        <v>12</v>
      </c>
      <c r="H1098" s="131"/>
      <c r="I1098" s="176"/>
      <c r="J1098" s="176"/>
      <c r="K1098" s="171"/>
      <c r="L1098" s="171" t="s">
        <v>52</v>
      </c>
      <c r="M1098" s="171"/>
      <c r="N1098" s="175">
        <v>0</v>
      </c>
      <c r="O1098" s="171">
        <v>1</v>
      </c>
      <c r="P1098" s="171">
        <v>0</v>
      </c>
      <c r="Q1098" s="175">
        <v>0</v>
      </c>
      <c r="R1098" s="6" t="s">
        <v>160</v>
      </c>
      <c r="S1098" s="6" t="s">
        <v>161</v>
      </c>
      <c r="T1098" s="6" t="s">
        <v>314</v>
      </c>
      <c r="U1098" s="6" t="s">
        <v>238</v>
      </c>
      <c r="V1098" s="6" t="s">
        <v>420</v>
      </c>
      <c r="W1098" s="6"/>
      <c r="X1098" s="6" t="s">
        <v>412</v>
      </c>
      <c r="Y1098" s="6" t="s">
        <v>380</v>
      </c>
    </row>
    <row r="1099" spans="1:25">
      <c r="A1099" s="171">
        <v>25</v>
      </c>
      <c r="B1099" s="174">
        <v>45078</v>
      </c>
      <c r="C1099" s="174">
        <v>45090</v>
      </c>
      <c r="D1099" s="174">
        <v>45089</v>
      </c>
      <c r="E1099" s="171">
        <v>2023</v>
      </c>
      <c r="F1099" s="171">
        <v>6</v>
      </c>
      <c r="G1099" s="171">
        <v>12</v>
      </c>
      <c r="H1099" s="131"/>
      <c r="I1099" s="176"/>
      <c r="J1099" s="176"/>
      <c r="K1099" s="171"/>
      <c r="L1099" s="171" t="s">
        <v>56</v>
      </c>
      <c r="M1099" s="171">
        <v>300</v>
      </c>
      <c r="N1099" s="175">
        <v>0</v>
      </c>
      <c r="O1099" s="171">
        <v>0</v>
      </c>
      <c r="P1099" s="171">
        <v>0</v>
      </c>
      <c r="Q1099" s="175">
        <v>0</v>
      </c>
      <c r="R1099" s="6"/>
      <c r="S1099" s="6"/>
      <c r="T1099" s="6"/>
      <c r="U1099" s="6"/>
      <c r="V1099" s="6"/>
      <c r="W1099" s="6"/>
      <c r="X1099" s="6" t="s">
        <v>411</v>
      </c>
      <c r="Y1099" s="6" t="s">
        <v>378</v>
      </c>
    </row>
    <row r="1100" spans="1:25">
      <c r="A1100" s="171">
        <v>25</v>
      </c>
      <c r="B1100" s="174">
        <v>45078</v>
      </c>
      <c r="C1100" s="174">
        <v>45090</v>
      </c>
      <c r="D1100" s="174">
        <v>45089</v>
      </c>
      <c r="E1100" s="171">
        <v>2023</v>
      </c>
      <c r="F1100" s="171">
        <v>6</v>
      </c>
      <c r="G1100" s="171">
        <v>12</v>
      </c>
      <c r="H1100" s="131"/>
      <c r="I1100" s="176"/>
      <c r="J1100" s="176"/>
      <c r="K1100" s="171"/>
      <c r="L1100" s="171" t="s">
        <v>56</v>
      </c>
      <c r="M1100" s="171">
        <v>1000</v>
      </c>
      <c r="N1100" s="175">
        <v>0</v>
      </c>
      <c r="O1100" s="171">
        <v>0</v>
      </c>
      <c r="P1100" s="171">
        <v>0</v>
      </c>
      <c r="Q1100" s="175">
        <v>0</v>
      </c>
      <c r="R1100" s="6"/>
      <c r="S1100" s="6"/>
      <c r="T1100" s="6"/>
      <c r="U1100" s="6"/>
      <c r="V1100" s="6"/>
      <c r="W1100" s="6"/>
      <c r="X1100" s="6" t="s">
        <v>411</v>
      </c>
      <c r="Y1100" s="6" t="s">
        <v>378</v>
      </c>
    </row>
    <row r="1101" spans="1:25">
      <c r="A1101" s="171">
        <v>25</v>
      </c>
      <c r="B1101" s="174">
        <v>45078</v>
      </c>
      <c r="C1101" s="174">
        <v>45090</v>
      </c>
      <c r="D1101" s="174">
        <v>45089</v>
      </c>
      <c r="E1101" s="171">
        <v>2023</v>
      </c>
      <c r="F1101" s="171">
        <v>6</v>
      </c>
      <c r="G1101" s="171">
        <v>12</v>
      </c>
      <c r="H1101" s="131"/>
      <c r="I1101" s="176"/>
      <c r="J1101" s="176"/>
      <c r="K1101" s="171"/>
      <c r="L1101" s="171" t="s">
        <v>56</v>
      </c>
      <c r="M1101" s="171">
        <v>597</v>
      </c>
      <c r="N1101" s="175">
        <v>0</v>
      </c>
      <c r="O1101" s="171">
        <v>0</v>
      </c>
      <c r="P1101" s="171">
        <v>0</v>
      </c>
      <c r="Q1101" s="175">
        <v>0</v>
      </c>
      <c r="R1101" s="6"/>
      <c r="S1101" s="6"/>
      <c r="T1101" s="6"/>
      <c r="U1101" s="6"/>
      <c r="V1101" s="6"/>
      <c r="W1101" s="6"/>
      <c r="X1101" s="6" t="s">
        <v>411</v>
      </c>
      <c r="Y1101" s="6" t="s">
        <v>378</v>
      </c>
    </row>
    <row r="1102" spans="1:25">
      <c r="A1102" s="171">
        <v>25</v>
      </c>
      <c r="B1102" s="174">
        <v>45078</v>
      </c>
      <c r="C1102" s="174">
        <v>45090</v>
      </c>
      <c r="D1102" s="174">
        <v>45089</v>
      </c>
      <c r="E1102" s="171">
        <v>2023</v>
      </c>
      <c r="F1102" s="171">
        <v>6</v>
      </c>
      <c r="G1102" s="171">
        <v>12</v>
      </c>
      <c r="H1102" s="131"/>
      <c r="I1102" s="176"/>
      <c r="J1102" s="176"/>
      <c r="K1102" s="171"/>
      <c r="L1102" s="171" t="s">
        <v>56</v>
      </c>
      <c r="M1102" s="171">
        <v>400</v>
      </c>
      <c r="N1102" s="175">
        <v>0</v>
      </c>
      <c r="O1102" s="171">
        <v>0</v>
      </c>
      <c r="P1102" s="171">
        <v>0</v>
      </c>
      <c r="Q1102" s="175">
        <v>0</v>
      </c>
      <c r="R1102" s="6"/>
      <c r="S1102" s="6"/>
      <c r="T1102" s="6"/>
      <c r="U1102" s="6"/>
      <c r="V1102" s="6"/>
      <c r="W1102" s="6"/>
      <c r="X1102" s="6" t="s">
        <v>411</v>
      </c>
      <c r="Y1102" s="6" t="s">
        <v>378</v>
      </c>
    </row>
    <row r="1103" spans="1:25">
      <c r="A1103" s="171">
        <v>25</v>
      </c>
      <c r="B1103" s="174">
        <v>45078</v>
      </c>
      <c r="C1103" s="174">
        <v>45091</v>
      </c>
      <c r="D1103" s="174">
        <v>45090</v>
      </c>
      <c r="E1103" s="171">
        <v>2023</v>
      </c>
      <c r="F1103" s="171">
        <v>6</v>
      </c>
      <c r="G1103" s="171">
        <v>13</v>
      </c>
      <c r="H1103" s="131"/>
      <c r="I1103" s="176"/>
      <c r="J1103" s="176"/>
      <c r="K1103" s="171"/>
      <c r="L1103" s="171" t="s">
        <v>56</v>
      </c>
      <c r="M1103" s="171">
        <v>709</v>
      </c>
      <c r="N1103" s="175">
        <v>0</v>
      </c>
      <c r="O1103" s="171">
        <v>0</v>
      </c>
      <c r="P1103" s="171">
        <v>0</v>
      </c>
      <c r="Q1103" s="175">
        <v>0</v>
      </c>
      <c r="R1103" s="6"/>
      <c r="S1103" s="6"/>
      <c r="T1103" s="6"/>
      <c r="U1103" s="6"/>
      <c r="V1103" s="6"/>
      <c r="W1103" s="6"/>
      <c r="X1103" s="6" t="s">
        <v>411</v>
      </c>
      <c r="Y1103" s="6" t="s">
        <v>378</v>
      </c>
    </row>
    <row r="1104" spans="1:25">
      <c r="A1104" s="171">
        <v>25</v>
      </c>
      <c r="B1104" s="174">
        <v>45078</v>
      </c>
      <c r="C1104" s="174">
        <v>45090</v>
      </c>
      <c r="D1104" s="174">
        <v>45089</v>
      </c>
      <c r="E1104" s="171">
        <v>2023</v>
      </c>
      <c r="F1104" s="171">
        <v>6</v>
      </c>
      <c r="G1104" s="171">
        <v>12</v>
      </c>
      <c r="H1104" s="131"/>
      <c r="I1104" s="176"/>
      <c r="J1104" s="176"/>
      <c r="K1104" s="171"/>
      <c r="L1104" s="171" t="s">
        <v>56</v>
      </c>
      <c r="M1104" s="171">
        <v>460</v>
      </c>
      <c r="N1104" s="175">
        <v>0</v>
      </c>
      <c r="O1104" s="171">
        <v>0</v>
      </c>
      <c r="P1104" s="171">
        <v>0</v>
      </c>
      <c r="Q1104" s="175">
        <v>0</v>
      </c>
      <c r="R1104" s="6"/>
      <c r="S1104" s="6"/>
      <c r="T1104" s="6"/>
      <c r="U1104" s="6"/>
      <c r="V1104" s="6"/>
      <c r="W1104" s="6"/>
      <c r="X1104" s="6" t="s">
        <v>411</v>
      </c>
      <c r="Y1104" s="6" t="s">
        <v>378</v>
      </c>
    </row>
    <row r="1105" spans="1:25">
      <c r="A1105" s="171">
        <v>25</v>
      </c>
      <c r="B1105" s="174">
        <v>45078</v>
      </c>
      <c r="C1105" s="174">
        <v>45090</v>
      </c>
      <c r="D1105" s="174">
        <v>45089</v>
      </c>
      <c r="E1105" s="171">
        <v>2023</v>
      </c>
      <c r="F1105" s="171">
        <v>6</v>
      </c>
      <c r="G1105" s="171">
        <v>12</v>
      </c>
      <c r="H1105" s="131"/>
      <c r="I1105" s="176"/>
      <c r="J1105" s="176"/>
      <c r="K1105" s="171"/>
      <c r="L1105" s="171" t="s">
        <v>56</v>
      </c>
      <c r="M1105" s="171">
        <v>448</v>
      </c>
      <c r="N1105" s="175">
        <v>0</v>
      </c>
      <c r="O1105" s="171">
        <v>0</v>
      </c>
      <c r="P1105" s="171">
        <v>0</v>
      </c>
      <c r="Q1105" s="175">
        <v>0</v>
      </c>
      <c r="R1105" s="6"/>
      <c r="S1105" s="6"/>
      <c r="T1105" s="6"/>
      <c r="U1105" s="6"/>
      <c r="V1105" s="6"/>
      <c r="W1105" s="6"/>
      <c r="X1105" s="6" t="s">
        <v>411</v>
      </c>
      <c r="Y1105" s="6" t="s">
        <v>378</v>
      </c>
    </row>
    <row r="1106" spans="1:25">
      <c r="A1106" s="171">
        <v>25</v>
      </c>
      <c r="B1106" s="174">
        <v>45078</v>
      </c>
      <c r="C1106" s="174">
        <v>45090</v>
      </c>
      <c r="D1106" s="174">
        <v>45089</v>
      </c>
      <c r="E1106" s="171">
        <v>2023</v>
      </c>
      <c r="F1106" s="171">
        <v>6</v>
      </c>
      <c r="G1106" s="171">
        <v>12</v>
      </c>
      <c r="H1106" s="131"/>
      <c r="I1106" s="176"/>
      <c r="J1106" s="176"/>
      <c r="K1106" s="171"/>
      <c r="L1106" s="171" t="s">
        <v>56</v>
      </c>
      <c r="M1106" s="171">
        <v>2650</v>
      </c>
      <c r="N1106" s="175">
        <v>0</v>
      </c>
      <c r="O1106" s="171">
        <v>0</v>
      </c>
      <c r="P1106" s="171">
        <v>0</v>
      </c>
      <c r="Q1106" s="175">
        <v>0</v>
      </c>
      <c r="R1106" s="6"/>
      <c r="S1106" s="6"/>
      <c r="T1106" s="6"/>
      <c r="U1106" s="6"/>
      <c r="V1106" s="6"/>
      <c r="W1106" s="6"/>
      <c r="X1106" s="6" t="s">
        <v>411</v>
      </c>
      <c r="Y1106" s="6" t="s">
        <v>378</v>
      </c>
    </row>
    <row r="1107" spans="1:25">
      <c r="A1107" s="171">
        <v>25</v>
      </c>
      <c r="B1107" s="174">
        <v>45078</v>
      </c>
      <c r="C1107" s="174">
        <v>45090</v>
      </c>
      <c r="D1107" s="174">
        <v>45089</v>
      </c>
      <c r="E1107" s="171">
        <v>2023</v>
      </c>
      <c r="F1107" s="171">
        <v>6</v>
      </c>
      <c r="G1107" s="171">
        <v>12</v>
      </c>
      <c r="H1107" s="131"/>
      <c r="I1107" s="176"/>
      <c r="J1107" s="176"/>
      <c r="K1107" s="171"/>
      <c r="L1107" s="171" t="s">
        <v>56</v>
      </c>
      <c r="M1107" s="171">
        <v>2000</v>
      </c>
      <c r="N1107" s="175">
        <v>0</v>
      </c>
      <c r="O1107" s="171">
        <v>0</v>
      </c>
      <c r="P1107" s="171">
        <v>0</v>
      </c>
      <c r="Q1107" s="175">
        <v>0</v>
      </c>
      <c r="R1107" s="6"/>
      <c r="S1107" s="6"/>
      <c r="T1107" s="6"/>
      <c r="U1107" s="6"/>
      <c r="V1107" s="6"/>
      <c r="W1107" s="6"/>
      <c r="X1107" s="6" t="s">
        <v>411</v>
      </c>
      <c r="Y1107" s="6" t="s">
        <v>378</v>
      </c>
    </row>
    <row r="1108" spans="1:25">
      <c r="A1108" s="171">
        <v>25</v>
      </c>
      <c r="B1108" s="174">
        <v>45078</v>
      </c>
      <c r="C1108" s="174">
        <v>45090</v>
      </c>
      <c r="D1108" s="174">
        <v>45089</v>
      </c>
      <c r="E1108" s="171">
        <v>2023</v>
      </c>
      <c r="F1108" s="171">
        <v>6</v>
      </c>
      <c r="G1108" s="171">
        <v>12</v>
      </c>
      <c r="H1108" s="131"/>
      <c r="I1108" s="176"/>
      <c r="J1108" s="176"/>
      <c r="K1108" s="171"/>
      <c r="L1108" s="171" t="s">
        <v>56</v>
      </c>
      <c r="M1108" s="171">
        <v>1500</v>
      </c>
      <c r="N1108" s="175">
        <v>0</v>
      </c>
      <c r="O1108" s="171">
        <v>0</v>
      </c>
      <c r="P1108" s="171">
        <v>0</v>
      </c>
      <c r="Q1108" s="175">
        <v>0</v>
      </c>
      <c r="R1108" s="6"/>
      <c r="S1108" s="6"/>
      <c r="T1108" s="6"/>
      <c r="U1108" s="6"/>
      <c r="V1108" s="6"/>
      <c r="W1108" s="6"/>
      <c r="X1108" s="6" t="s">
        <v>411</v>
      </c>
      <c r="Y1108" s="6" t="s">
        <v>378</v>
      </c>
    </row>
    <row r="1109" spans="1:25">
      <c r="A1109" s="171">
        <v>25</v>
      </c>
      <c r="B1109" s="174">
        <v>45078</v>
      </c>
      <c r="C1109" s="174">
        <v>45090</v>
      </c>
      <c r="D1109" s="174">
        <v>45089</v>
      </c>
      <c r="E1109" s="171">
        <v>2023</v>
      </c>
      <c r="F1109" s="171">
        <v>6</v>
      </c>
      <c r="G1109" s="171">
        <v>12</v>
      </c>
      <c r="H1109" s="131"/>
      <c r="I1109" s="176"/>
      <c r="J1109" s="176"/>
      <c r="K1109" s="171"/>
      <c r="L1109" s="171" t="s">
        <v>56</v>
      </c>
      <c r="M1109" s="171">
        <v>2100</v>
      </c>
      <c r="N1109" s="175">
        <v>0</v>
      </c>
      <c r="O1109" s="171">
        <v>0</v>
      </c>
      <c r="P1109" s="171">
        <v>0</v>
      </c>
      <c r="Q1109" s="175">
        <v>0</v>
      </c>
      <c r="R1109" s="6"/>
      <c r="S1109" s="6"/>
      <c r="T1109" s="6"/>
      <c r="U1109" s="6"/>
      <c r="V1109" s="6"/>
      <c r="W1109" s="6"/>
      <c r="X1109" s="6" t="s">
        <v>411</v>
      </c>
      <c r="Y1109" s="6" t="s">
        <v>378</v>
      </c>
    </row>
    <row r="1110" spans="1:25">
      <c r="A1110" s="171">
        <v>25</v>
      </c>
      <c r="B1110" s="174">
        <v>45078</v>
      </c>
      <c r="C1110" s="174">
        <v>45090</v>
      </c>
      <c r="D1110" s="174">
        <v>45089</v>
      </c>
      <c r="E1110" s="171">
        <v>2023</v>
      </c>
      <c r="F1110" s="171">
        <v>6</v>
      </c>
      <c r="G1110" s="171">
        <v>12</v>
      </c>
      <c r="H1110" s="131"/>
      <c r="I1110" s="176"/>
      <c r="J1110" s="176"/>
      <c r="K1110" s="171"/>
      <c r="L1110" s="171" t="s">
        <v>56</v>
      </c>
      <c r="M1110" s="171">
        <v>2500</v>
      </c>
      <c r="N1110" s="175">
        <v>0</v>
      </c>
      <c r="O1110" s="171">
        <v>0</v>
      </c>
      <c r="P1110" s="171">
        <v>0</v>
      </c>
      <c r="Q1110" s="175">
        <v>0</v>
      </c>
      <c r="R1110" s="6"/>
      <c r="S1110" s="6"/>
      <c r="T1110" s="6"/>
      <c r="U1110" s="6"/>
      <c r="V1110" s="6"/>
      <c r="W1110" s="6"/>
      <c r="X1110" s="6" t="s">
        <v>411</v>
      </c>
      <c r="Y1110" s="6" t="s">
        <v>378</v>
      </c>
    </row>
    <row r="1111" spans="1:25">
      <c r="A1111" s="171">
        <v>25</v>
      </c>
      <c r="B1111" s="174">
        <v>45078</v>
      </c>
      <c r="C1111" s="174">
        <v>45091</v>
      </c>
      <c r="D1111" s="174">
        <v>45090</v>
      </c>
      <c r="E1111" s="171">
        <v>2023</v>
      </c>
      <c r="F1111" s="171">
        <v>6</v>
      </c>
      <c r="G1111" s="171">
        <v>13</v>
      </c>
      <c r="H1111" s="131"/>
      <c r="I1111" s="176"/>
      <c r="J1111" s="176"/>
      <c r="K1111" s="171"/>
      <c r="L1111" s="171" t="s">
        <v>56</v>
      </c>
      <c r="M1111" s="171">
        <v>1000</v>
      </c>
      <c r="N1111" s="175">
        <v>0</v>
      </c>
      <c r="O1111" s="171">
        <v>0</v>
      </c>
      <c r="P1111" s="171">
        <v>0</v>
      </c>
      <c r="Q1111" s="175">
        <v>0</v>
      </c>
      <c r="R1111" s="6"/>
      <c r="S1111" s="6"/>
      <c r="T1111" s="6"/>
      <c r="U1111" s="6"/>
      <c r="V1111" s="6"/>
      <c r="W1111" s="6"/>
      <c r="X1111" s="6" t="s">
        <v>411</v>
      </c>
      <c r="Y1111" s="6" t="s">
        <v>378</v>
      </c>
    </row>
  </sheetData>
  <sheetProtection algorithmName="SHA-512" hashValue="g//vIIWgItDL0Ciw/5xiC4GlMlF7w1UGmU4Z7pNflFtVhymFu1IMM2PW+cY9pBeD4ebuiSB5DU3t2iq4e4vhtg==" saltValue="WsexmJHyFSImH9+B82fodA==" spinCount="100000" sheet="1" objects="1" scenarios="1"/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43EA-60BB-4C38-809A-9F8187040A7F}">
  <sheetPr codeName="Sheet7"/>
  <dimension ref="A1:AQ190"/>
  <sheetViews>
    <sheetView showGridLines="0" topLeftCell="A118" zoomScale="80" zoomScaleNormal="80" workbookViewId="0">
      <selection activeCell="H140" sqref="H140"/>
    </sheetView>
  </sheetViews>
  <sheetFormatPr defaultRowHeight="14.75"/>
  <cols>
    <col min="1" max="1" width="10.7265625" customWidth="1"/>
    <col min="2" max="2" width="11.26953125" bestFit="1" customWidth="1"/>
    <col min="3" max="3" width="3.7265625" customWidth="1"/>
    <col min="4" max="4" width="8.86328125" customWidth="1"/>
    <col min="5" max="5" width="40.7265625" bestFit="1" customWidth="1"/>
    <col min="6" max="9" width="12.7265625" customWidth="1"/>
    <col min="11" max="11" width="40.7265625" bestFit="1" customWidth="1"/>
    <col min="12" max="14" width="12.7265625" customWidth="1"/>
    <col min="15" max="16" width="9.1328125" customWidth="1"/>
    <col min="17" max="17" width="10.26953125" customWidth="1"/>
    <col min="18" max="18" width="8.86328125" customWidth="1"/>
    <col min="20" max="20" width="35.7265625" customWidth="1"/>
    <col min="24" max="24" width="8.86328125" customWidth="1"/>
    <col min="25" max="25" width="35.26953125" customWidth="1"/>
    <col min="29" max="29" width="8.86328125" customWidth="1"/>
    <col min="30" max="30" width="9.1328125" customWidth="1"/>
    <col min="31" max="31" width="10.26953125" customWidth="1"/>
    <col min="34" max="34" width="35.7265625" customWidth="1"/>
    <col min="39" max="39" width="8.86328125" customWidth="1"/>
    <col min="40" max="40" width="35.26953125" customWidth="1"/>
  </cols>
  <sheetData>
    <row r="1" spans="1:43" ht="18.5">
      <c r="A1" s="2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S1" s="2" t="s">
        <v>144</v>
      </c>
      <c r="T1" s="1"/>
      <c r="U1" s="1"/>
      <c r="V1" s="1"/>
      <c r="W1" s="1"/>
      <c r="X1" s="1"/>
      <c r="Y1" s="1"/>
      <c r="Z1" s="1"/>
      <c r="AA1" s="1"/>
      <c r="AB1" s="1"/>
      <c r="AG1" s="2" t="s">
        <v>146</v>
      </c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9.25" thickBo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43" ht="15.5" thickBot="1">
      <c r="A3" t="s">
        <v>83</v>
      </c>
      <c r="B3" t="s">
        <v>71</v>
      </c>
      <c r="D3" s="5"/>
      <c r="E3" s="11" t="s">
        <v>56</v>
      </c>
      <c r="F3" s="11"/>
      <c r="G3" s="11"/>
      <c r="H3" s="11"/>
      <c r="I3" s="5"/>
      <c r="J3" s="5"/>
      <c r="K3" s="11" t="s">
        <v>52</v>
      </c>
      <c r="L3" s="11"/>
      <c r="M3" s="11"/>
      <c r="N3" s="11"/>
      <c r="P3" s="77" t="s">
        <v>83</v>
      </c>
      <c r="Q3" s="29" t="s">
        <v>71</v>
      </c>
      <c r="T3" s="11" t="s">
        <v>56</v>
      </c>
      <c r="U3" s="11"/>
      <c r="V3" s="11"/>
      <c r="W3" s="11"/>
      <c r="X3" s="5"/>
      <c r="Y3" s="11" t="s">
        <v>52</v>
      </c>
      <c r="Z3" s="11"/>
      <c r="AA3" s="11"/>
      <c r="AB3" s="11"/>
      <c r="AC3" s="5"/>
      <c r="AD3" s="77" t="s">
        <v>83</v>
      </c>
      <c r="AE3" s="29" t="s">
        <v>71</v>
      </c>
      <c r="AH3" s="11" t="s">
        <v>56</v>
      </c>
      <c r="AI3" s="11"/>
      <c r="AJ3" s="11"/>
      <c r="AK3" s="11"/>
      <c r="AL3" s="5"/>
      <c r="AM3" s="5"/>
      <c r="AN3" s="11" t="s">
        <v>52</v>
      </c>
      <c r="AO3" s="11"/>
      <c r="AP3" s="11"/>
      <c r="AQ3" s="11"/>
    </row>
    <row r="4" spans="1:43" ht="15.5" thickBot="1">
      <c r="D4" s="5"/>
      <c r="E4" s="10" t="s">
        <v>107</v>
      </c>
      <c r="F4" s="10" t="s">
        <v>29</v>
      </c>
      <c r="G4" s="10" t="s">
        <v>108</v>
      </c>
      <c r="H4" s="10" t="s">
        <v>109</v>
      </c>
      <c r="I4" s="5"/>
      <c r="J4" s="5"/>
      <c r="K4" s="10" t="s">
        <v>107</v>
      </c>
      <c r="L4" s="10" t="s">
        <v>29</v>
      </c>
      <c r="M4" s="10" t="s">
        <v>108</v>
      </c>
      <c r="N4" s="10" t="s">
        <v>109</v>
      </c>
      <c r="P4" s="78"/>
      <c r="Q4" s="28"/>
      <c r="T4" s="10" t="s">
        <v>107</v>
      </c>
      <c r="U4" s="10" t="s">
        <v>29</v>
      </c>
      <c r="V4" s="10" t="s">
        <v>108</v>
      </c>
      <c r="W4" s="10" t="s">
        <v>109</v>
      </c>
      <c r="X4" s="5"/>
      <c r="Y4" s="10" t="s">
        <v>107</v>
      </c>
      <c r="Z4" s="10" t="s">
        <v>29</v>
      </c>
      <c r="AA4" s="10" t="s">
        <v>108</v>
      </c>
      <c r="AB4" s="10" t="s">
        <v>109</v>
      </c>
      <c r="AC4" s="5"/>
      <c r="AD4" s="78"/>
      <c r="AE4" s="28"/>
      <c r="AH4" s="10" t="s">
        <v>107</v>
      </c>
      <c r="AI4" s="10" t="s">
        <v>29</v>
      </c>
      <c r="AJ4" s="10" t="s">
        <v>108</v>
      </c>
      <c r="AK4" s="10" t="s">
        <v>109</v>
      </c>
      <c r="AL4" s="5"/>
      <c r="AM4" s="5"/>
      <c r="AN4" s="10" t="s">
        <v>107</v>
      </c>
      <c r="AO4" s="10" t="s">
        <v>29</v>
      </c>
      <c r="AP4" s="10" t="s">
        <v>108</v>
      </c>
      <c r="AQ4" s="10" t="s">
        <v>109</v>
      </c>
    </row>
    <row r="5" spans="1:43" ht="15.5" thickBot="1">
      <c r="A5" t="s">
        <v>25</v>
      </c>
      <c r="B5" t="s">
        <v>71</v>
      </c>
      <c r="D5" s="5">
        <f>_xlfn.RANK.EQ(F5,$F$5:$F$49,0)+COUNTIF($F$5:F5,F5)-1</f>
        <v>2</v>
      </c>
      <c r="E5" s="91" t="s">
        <v>169</v>
      </c>
      <c r="F5" s="92">
        <f>SUMIFS(Table_Assembly[Specific Amount],Table_Assembly[NG Type],$B$20,Table_Assembly[NG content],E5,Table_Assembly[Product type],$E$3,Table_Assembly[MFG Date],"&gt;="&amp;'Weekly Report'!$B$13,Table_Assembly[MFG Date],"&lt;="&amp;'Weekly Report'!$B$15)</f>
        <v>18</v>
      </c>
      <c r="G5" s="93">
        <f>IFERROR(F5/$F$50*100,"")</f>
        <v>16.216216216216218</v>
      </c>
      <c r="H5" s="7"/>
      <c r="I5" s="5"/>
      <c r="J5" s="5">
        <f>_xlfn.RANK.EQ(L5,$L$5:$L$49,0)+COUNTIF($L$5:L5,L5)-1</f>
        <v>4</v>
      </c>
      <c r="K5" s="91" t="s">
        <v>169</v>
      </c>
      <c r="L5" s="92">
        <f>SUMIFS(Table_Assembly[Specific Amount],Table_Assembly[NG Type],$B$20,Table_Assembly[NG content],K5,Table_Assembly[Product type],$K$3,Table_Assembly[MFG Date],"&gt;="&amp;'Weekly Report'!$B$13,Table_Assembly[MFG Date],"&lt;="&amp;'Weekly Report'!$B$15)</f>
        <v>7</v>
      </c>
      <c r="M5" s="93">
        <f t="shared" ref="M5:M11" si="0">IFERROR(L5/$L$50*100,"")</f>
        <v>5.0359712230215825</v>
      </c>
      <c r="N5" s="7"/>
      <c r="P5" s="77" t="s">
        <v>25</v>
      </c>
      <c r="Q5" s="29" t="s">
        <v>71</v>
      </c>
      <c r="S5">
        <f>_xlfn.RANK.EQ(U5,$U$5:$U$49,0)+COUNTIF($U$5:U5,U5)-1</f>
        <v>4</v>
      </c>
      <c r="T5" s="91" t="s">
        <v>169</v>
      </c>
      <c r="U5" s="92">
        <f>SUMIFS(Table_Assembly[Specific Amount],Table_Assembly[Product type],$T$3,Table_Assembly[NG Type],$R$18,Table_Assembly[NG content],T5,Table_Assembly[Month],INDEX($AE$14:$AE$25,MATCH($Q$9,$AD$14:$AD$25,0)))</f>
        <v>28</v>
      </c>
      <c r="V5" s="93">
        <f t="shared" ref="V5:V49" si="1">IFERROR(U5/$U$50*100,"")</f>
        <v>2.1505376344086025</v>
      </c>
      <c r="W5" s="7"/>
      <c r="X5" s="5">
        <f>_xlfn.RANK.EQ(Z5,$Z$5:$Z$49,0)+COUNTIF($Z$5:Z5,Z5)-1</f>
        <v>6</v>
      </c>
      <c r="Y5" s="91" t="s">
        <v>169</v>
      </c>
      <c r="Z5" s="92">
        <f>SUMIFS(Table_Assembly[Specific Amount],Table_Assembly[Product type],$Y$3,Table_Assembly[NG Type],$R$18,Table_Assembly[NG content],Y5,Table_Assembly[Month],INDEX($AE$14:$AE$25,MATCH($Q$9,$AD$14:$AD$25,0)))</f>
        <v>8</v>
      </c>
      <c r="AA5" s="93">
        <f>IFERROR(Z5/$Z$50*100,"")</f>
        <v>3.5242290748898681</v>
      </c>
      <c r="AB5" s="7"/>
      <c r="AC5" s="5"/>
      <c r="AD5" s="77" t="s">
        <v>25</v>
      </c>
      <c r="AE5" s="29" t="s">
        <v>71</v>
      </c>
      <c r="AG5">
        <f>_xlfn.RANK.EQ(AI5,$AI$5:$AI$49,0)+COUNTIF($AI$5:AI5,AI5)-1</f>
        <v>2</v>
      </c>
      <c r="AH5" s="91" t="s">
        <v>169</v>
      </c>
      <c r="AI5" s="92">
        <f>SUMIFS(Table_Assembly[Specific Amount],Table_Assembly[Product type],$AH$3,Table_Assembly[NG Type],$AF$11,Table_Assembly[NG content],AH5,Table_Assembly[Year],$AE$7)</f>
        <v>66</v>
      </c>
      <c r="AJ5" s="93">
        <f>AI5/$AI$50*100</f>
        <v>4.5961002785515319</v>
      </c>
      <c r="AK5" s="7"/>
      <c r="AL5" s="5"/>
      <c r="AM5" s="5">
        <f>_xlfn.RANK.EQ(AO5,$AO$5:$AO$49,0)+COUNTIF($AO$5:AO5,AO5)-1</f>
        <v>6</v>
      </c>
      <c r="AN5" s="91" t="s">
        <v>169</v>
      </c>
      <c r="AO5" s="92">
        <f>SUMIFS(Table_Assembly[Specific Amount],Table_Assembly[Product type],$AN$3,Table_Assembly[NG Type],$AF$11,Table_Assembly[NG content],AN5,Table_Assembly[Year],$AE$7)</f>
        <v>9</v>
      </c>
      <c r="AP5" s="93">
        <f>AO5/$AO$51*100</f>
        <v>2.8213166144200628</v>
      </c>
      <c r="AQ5" s="7"/>
    </row>
    <row r="6" spans="1:43" ht="15.5" thickBot="1">
      <c r="D6" s="5">
        <f>_xlfn.RANK.EQ(F6,$F$5:$F$49,0)+COUNTIF($F$5:F6,F6)-1</f>
        <v>11</v>
      </c>
      <c r="E6" s="73" t="s">
        <v>167</v>
      </c>
      <c r="F6" s="94">
        <f>SUMIFS(Table_Assembly[Specific Amount],Table_Assembly[NG Type],$B$20,Table_Assembly[NG content],E6,Table_Assembly[Product type],$E$3,Table_Assembly[MFG Date],"&gt;="&amp;'Weekly Report'!$B$13,Table_Assembly[MFG Date],"&lt;="&amp;'Weekly Report'!$B$15)</f>
        <v>1</v>
      </c>
      <c r="G6" s="95">
        <f t="shared" ref="G6:G49" si="2">IFERROR(F6/$F$50*100,"")</f>
        <v>0.90090090090090091</v>
      </c>
      <c r="H6" s="8"/>
      <c r="I6" s="5"/>
      <c r="J6" s="5">
        <f>_xlfn.RANK.EQ(L6,$L$5:$L$49,0)+COUNTIF($L$5:L6,L6)-1</f>
        <v>1</v>
      </c>
      <c r="K6" s="73" t="s">
        <v>167</v>
      </c>
      <c r="L6" s="94">
        <f>SUMIFS(Table_Assembly[Specific Amount],Table_Assembly[NG Type],$B$20,Table_Assembly[NG content],K6,Table_Assembly[Product type],$K$3,Table_Assembly[MFG Date],"&gt;="&amp;'Weekly Report'!$B$13,Table_Assembly[MFG Date],"&lt;="&amp;'Weekly Report'!$B$15)</f>
        <v>103</v>
      </c>
      <c r="M6" s="95">
        <f t="shared" si="0"/>
        <v>74.100719424460422</v>
      </c>
      <c r="N6" s="8"/>
      <c r="P6" s="78"/>
      <c r="Q6" s="28"/>
      <c r="S6">
        <f>_xlfn.RANK.EQ(U6,$U$5:$U$49,0)+COUNTIF($U$5:U6,U6)-1</f>
        <v>8</v>
      </c>
      <c r="T6" s="73" t="s">
        <v>167</v>
      </c>
      <c r="U6" s="94">
        <f>SUMIFS(Table_Assembly[Specific Amount],Table_Assembly[Product type],$T$3,Table_Assembly[NG Type],$R$18,Table_Assembly[NG content],T6,Table_Assembly[Month],INDEX($AE$14:$AE$25,MATCH($Q$9,$AD$14:$AD$25,0)))</f>
        <v>15</v>
      </c>
      <c r="V6" s="95">
        <f t="shared" si="1"/>
        <v>1.1520737327188941</v>
      </c>
      <c r="W6" s="8"/>
      <c r="X6" s="5">
        <f>_xlfn.RANK.EQ(Z6,$Z$5:$Z$49,0)+COUNTIF($Z$5:Z6,Z6)-1</f>
        <v>1</v>
      </c>
      <c r="Y6" s="73" t="s">
        <v>167</v>
      </c>
      <c r="Z6" s="94">
        <f>SUMIFS(Table_Assembly[Specific Amount],Table_Assembly[Product type],$Y$3,Table_Assembly[NG Type],$R$18,Table_Assembly[NG content],Y6,Table_Assembly[Month],INDEX($AE$14:$AE$25,MATCH($Q$9,$AD$14:$AD$25,0)))</f>
        <v>116</v>
      </c>
      <c r="AA6" s="95">
        <f t="shared" ref="AA6:AA49" si="3">IFERROR(Z6/$Z$50*100,"")</f>
        <v>51.101321585903079</v>
      </c>
      <c r="AB6" s="8"/>
      <c r="AC6" s="5"/>
      <c r="AD6" s="78"/>
      <c r="AE6" s="28"/>
      <c r="AG6">
        <f>_xlfn.RANK.EQ(AI6,$AI$5:$AI$49,0)+COUNTIF($AI$5:AI6,AI6)-1</f>
        <v>6</v>
      </c>
      <c r="AH6" s="73" t="s">
        <v>167</v>
      </c>
      <c r="AI6" s="94">
        <f>SUMIFS(Table_Assembly[Specific Amount],Table_Assembly[Product type],$AH$3,Table_Assembly[NG Type],$AF$11,Table_Assembly[NG content],AH6,Table_Assembly[Year],$AE$7)</f>
        <v>36</v>
      </c>
      <c r="AJ6" s="95">
        <f>AI6/$AI$50*100</f>
        <v>2.5069637883008355</v>
      </c>
      <c r="AK6" s="8"/>
      <c r="AL6" s="5"/>
      <c r="AM6" s="5">
        <f>_xlfn.RANK.EQ(AO6,$AO$5:$AO$49,0)+COUNTIF($AO$5:AO6,AO6)-1</f>
        <v>1</v>
      </c>
      <c r="AN6" s="73" t="s">
        <v>167</v>
      </c>
      <c r="AO6" s="94">
        <f>SUMIFS(Table_Assembly[Specific Amount],Table_Assembly[Product type],$AN$3,Table_Assembly[NG Type],$AF$11,Table_Assembly[NG content],AN6,Table_Assembly[Year],$AE$7)</f>
        <v>117</v>
      </c>
      <c r="AP6" s="95">
        <f t="shared" ref="AP6:AP49" si="4">AO6/$AO$51*100</f>
        <v>36.677115987460816</v>
      </c>
      <c r="AQ6" s="8"/>
    </row>
    <row r="7" spans="1:43" ht="15.5" thickBot="1">
      <c r="A7" t="s">
        <v>0</v>
      </c>
      <c r="B7">
        <v>2023</v>
      </c>
      <c r="D7" s="5">
        <f>_xlfn.RANK.EQ(F7,$F$5:$F$49,0)+COUNTIF($F$5:F7,F7)-1</f>
        <v>15</v>
      </c>
      <c r="E7" s="73" t="s">
        <v>170</v>
      </c>
      <c r="F7" s="94">
        <f>SUMIFS(Table_Assembly[Specific Amount],Table_Assembly[NG Type],$B$20,Table_Assembly[NG content],E7,Table_Assembly[Product type],$E$3,Table_Assembly[MFG Date],"&gt;="&amp;'Weekly Report'!$B$13,Table_Assembly[MFG Date],"&lt;="&amp;'Weekly Report'!$B$15)</f>
        <v>0</v>
      </c>
      <c r="G7" s="95">
        <f t="shared" si="2"/>
        <v>0</v>
      </c>
      <c r="H7" s="8"/>
      <c r="I7" s="5"/>
      <c r="J7" s="5">
        <f>_xlfn.RANK.EQ(L7,$L$5:$L$49,0)+COUNTIF($L$5:L7,L7)-1</f>
        <v>6</v>
      </c>
      <c r="K7" s="73" t="s">
        <v>170</v>
      </c>
      <c r="L7" s="94">
        <f>SUMIFS(Table_Assembly[Specific Amount],Table_Assembly[NG Type],$B$20,Table_Assembly[NG content],K7,Table_Assembly[Product type],$K$3,Table_Assembly[MFG Date],"&gt;="&amp;'Weekly Report'!$B$13,Table_Assembly[MFG Date],"&lt;="&amp;'Weekly Report'!$B$15)</f>
        <v>1</v>
      </c>
      <c r="M7" s="95">
        <f t="shared" si="0"/>
        <v>0.71942446043165476</v>
      </c>
      <c r="N7" s="8"/>
      <c r="P7" s="77" t="s">
        <v>0</v>
      </c>
      <c r="Q7" s="29">
        <v>2023</v>
      </c>
      <c r="S7">
        <f>_xlfn.RANK.EQ(U7,$U$5:$U$49,0)+COUNTIF($U$5:U7,U7)-1</f>
        <v>15</v>
      </c>
      <c r="T7" s="73" t="s">
        <v>170</v>
      </c>
      <c r="U7" s="94">
        <f>SUMIFS(Table_Assembly[Specific Amount],Table_Assembly[Product type],$T$3,Table_Assembly[NG Type],$R$18,Table_Assembly[NG content],T7,Table_Assembly[Month],INDEX($AE$14:$AE$25,MATCH($Q$9,$AD$14:$AD$25,0)))</f>
        <v>3</v>
      </c>
      <c r="V7" s="95">
        <f t="shared" si="1"/>
        <v>0.2304147465437788</v>
      </c>
      <c r="W7" s="8"/>
      <c r="X7" s="5">
        <f>_xlfn.RANK.EQ(Z7,$Z$5:$Z$49,0)+COUNTIF($Z$5:Z7,Z7)-1</f>
        <v>4</v>
      </c>
      <c r="Y7" s="73" t="s">
        <v>170</v>
      </c>
      <c r="Z7" s="94">
        <f>SUMIFS(Table_Assembly[Specific Amount],Table_Assembly[Product type],$Y$3,Table_Assembly[NG Type],$R$18,Table_Assembly[NG content],Y7,Table_Assembly[Month],INDEX($AE$14:$AE$25,MATCH($Q$9,$AD$14:$AD$25,0)))</f>
        <v>11</v>
      </c>
      <c r="AA7" s="95">
        <f t="shared" si="3"/>
        <v>4.8458149779735686</v>
      </c>
      <c r="AB7" s="8"/>
      <c r="AC7" s="5"/>
      <c r="AD7" s="77" t="s">
        <v>0</v>
      </c>
      <c r="AE7" s="29">
        <v>2023</v>
      </c>
      <c r="AG7">
        <f>_xlfn.RANK.EQ(AI7,$AI$5:$AI$49,0)+COUNTIF($AI$5:AI7,AI7)-1</f>
        <v>15</v>
      </c>
      <c r="AH7" s="73" t="s">
        <v>170</v>
      </c>
      <c r="AI7" s="94">
        <f>SUMIFS(Table_Assembly[Specific Amount],Table_Assembly[Product type],$AH$3,Table_Assembly[NG Type],$AF$11,Table_Assembly[NG content],AH7,Table_Assembly[Year],$AE$7)</f>
        <v>3</v>
      </c>
      <c r="AJ7" s="95">
        <f t="shared" ref="AJ7:AJ48" si="5">AI7/$AI$50*100</f>
        <v>0.20891364902506965</v>
      </c>
      <c r="AK7" s="8"/>
      <c r="AL7" s="5"/>
      <c r="AM7" s="5">
        <f>_xlfn.RANK.EQ(AO7,$AO$5:$AO$49,0)+COUNTIF($AO$5:AO7,AO7)-1</f>
        <v>4</v>
      </c>
      <c r="AN7" s="73" t="s">
        <v>170</v>
      </c>
      <c r="AO7" s="94">
        <f>SUMIFS(Table_Assembly[Specific Amount],Table_Assembly[Product type],$AN$3,Table_Assembly[NG Type],$AF$11,Table_Assembly[NG content],AN7,Table_Assembly[Year],$AE$7)</f>
        <v>18</v>
      </c>
      <c r="AP7" s="95">
        <f t="shared" si="4"/>
        <v>5.6426332288401255</v>
      </c>
      <c r="AQ7" s="8"/>
    </row>
    <row r="8" spans="1:43" ht="15.5" thickBot="1">
      <c r="D8" s="5">
        <f>_xlfn.RANK.EQ(F8,$F$5:$F$49,0)+COUNTIF($F$5:F8,F8)-1</f>
        <v>16</v>
      </c>
      <c r="E8" s="73" t="s">
        <v>171</v>
      </c>
      <c r="F8" s="94">
        <f>SUMIFS(Table_Assembly[Specific Amount],Table_Assembly[NG Type],$B$20,Table_Assembly[NG content],E8,Table_Assembly[Product type],$E$3,Table_Assembly[MFG Date],"&gt;="&amp;'Weekly Report'!$B$13,Table_Assembly[MFG Date],"&lt;="&amp;'Weekly Report'!$B$15)</f>
        <v>0</v>
      </c>
      <c r="G8" s="95">
        <f t="shared" si="2"/>
        <v>0</v>
      </c>
      <c r="H8" s="8"/>
      <c r="I8" s="5"/>
      <c r="J8" s="5">
        <f>_xlfn.RANK.EQ(L8,$L$5:$L$49,0)+COUNTIF($L$5:L8,L8)-1</f>
        <v>8</v>
      </c>
      <c r="K8" s="73" t="s">
        <v>171</v>
      </c>
      <c r="L8" s="94">
        <f>SUMIFS(Table_Assembly[Specific Amount],Table_Assembly[NG Type],$B$20,Table_Assembly[NG content],K8,Table_Assembly[Product type],$K$3,Table_Assembly[MFG Date],"&gt;="&amp;'Weekly Report'!$B$13,Table_Assembly[MFG Date],"&lt;="&amp;'Weekly Report'!$B$15)</f>
        <v>0</v>
      </c>
      <c r="M8" s="95">
        <f t="shared" si="0"/>
        <v>0</v>
      </c>
      <c r="N8" s="8"/>
      <c r="P8" s="78"/>
      <c r="Q8" s="28"/>
      <c r="S8">
        <f>_xlfn.RANK.EQ(U8,$U$5:$U$49,0)+COUNTIF($U$5:U8,U8)-1</f>
        <v>22</v>
      </c>
      <c r="T8" s="73" t="s">
        <v>171</v>
      </c>
      <c r="U8" s="94">
        <f>SUMIFS(Table_Assembly[Specific Amount],Table_Assembly[Product type],$T$3,Table_Assembly[NG Type],$R$18,Table_Assembly[NG content],T8,Table_Assembly[Month],INDEX($AE$14:$AE$25,MATCH($Q$9,$AD$14:$AD$25,0)))</f>
        <v>0</v>
      </c>
      <c r="V8" s="95">
        <f t="shared" si="1"/>
        <v>0</v>
      </c>
      <c r="W8" s="8"/>
      <c r="X8" s="5">
        <f>_xlfn.RANK.EQ(Z8,$Z$5:$Z$49,0)+COUNTIF($Z$5:Z8,Z8)-1</f>
        <v>9</v>
      </c>
      <c r="Y8" s="73" t="s">
        <v>171</v>
      </c>
      <c r="Z8" s="94">
        <f>SUMIFS(Table_Assembly[Specific Amount],Table_Assembly[Product type],$Y$3,Table_Assembly[NG Type],$R$18,Table_Assembly[NG content],Y8,Table_Assembly[Month],INDEX($AE$14:$AE$25,MATCH($Q$9,$AD$14:$AD$25,0)))</f>
        <v>0</v>
      </c>
      <c r="AA8" s="95">
        <f t="shared" si="3"/>
        <v>0</v>
      </c>
      <c r="AB8" s="8"/>
      <c r="AC8" s="5"/>
      <c r="AG8">
        <f>_xlfn.RANK.EQ(AI8,$AI$5:$AI$49,0)+COUNTIF($AI$5:AI8,AI8)-1</f>
        <v>24</v>
      </c>
      <c r="AH8" s="73" t="s">
        <v>171</v>
      </c>
      <c r="AI8" s="94">
        <f>SUMIFS(Table_Assembly[Specific Amount],Table_Assembly[Product type],$AH$3,Table_Assembly[NG Type],$AF$11,Table_Assembly[NG content],AH8,Table_Assembly[Year],$AE$7)</f>
        <v>0</v>
      </c>
      <c r="AJ8" s="95">
        <f t="shared" si="5"/>
        <v>0</v>
      </c>
      <c r="AK8" s="8"/>
      <c r="AL8" s="5"/>
      <c r="AM8" s="5">
        <f>_xlfn.RANK.EQ(AO8,$AO$5:$AO$49,0)+COUNTIF($AO$5:AO8,AO8)-1</f>
        <v>12</v>
      </c>
      <c r="AN8" s="73" t="s">
        <v>171</v>
      </c>
      <c r="AO8" s="94">
        <f>SUMIFS(Table_Assembly[Specific Amount],Table_Assembly[Product type],$AN$3,Table_Assembly[NG Type],$AF$11,Table_Assembly[NG content],AN8,Table_Assembly[Year],$AE$7)</f>
        <v>0</v>
      </c>
      <c r="AP8" s="95">
        <f t="shared" si="4"/>
        <v>0</v>
      </c>
      <c r="AQ8" s="8"/>
    </row>
    <row r="9" spans="1:43" ht="15.5" thickBot="1">
      <c r="A9" t="s">
        <v>1</v>
      </c>
      <c r="B9" t="s">
        <v>10</v>
      </c>
      <c r="D9" s="5">
        <f>_xlfn.RANK.EQ(F9,$F$5:$F$49,0)+COUNTIF($F$5:F9,F9)-1</f>
        <v>8</v>
      </c>
      <c r="E9" s="73" t="s">
        <v>229</v>
      </c>
      <c r="F9" s="94">
        <f>SUMIFS(Table_Assembly[Specific Amount],Table_Assembly[NG Type],$B$20,Table_Assembly[NG content],E9,Table_Assembly[Product type],$E$3,Table_Assembly[MFG Date],"&gt;="&amp;'Weekly Report'!$B$13,Table_Assembly[MFG Date],"&lt;="&amp;'Weekly Report'!$B$15)</f>
        <v>3</v>
      </c>
      <c r="G9" s="95">
        <f t="shared" si="2"/>
        <v>2.7027027027027026</v>
      </c>
      <c r="H9" s="8"/>
      <c r="I9" s="5"/>
      <c r="J9" s="5">
        <f>_xlfn.RANK.EQ(L9,$L$5:$L$49,0)+COUNTIF($L$5:L9,L9)-1</f>
        <v>9</v>
      </c>
      <c r="K9" s="73" t="s">
        <v>229</v>
      </c>
      <c r="L9" s="94">
        <f>SUMIFS(Table_Assembly[Specific Amount],Table_Assembly[NG Type],$B$20,Table_Assembly[NG content],K9,Table_Assembly[Product type],$K$3,Table_Assembly[MFG Date],"&gt;="&amp;'Weekly Report'!$B$13,Table_Assembly[MFG Date],"&lt;="&amp;'Weekly Report'!$B$15)</f>
        <v>0</v>
      </c>
      <c r="M9" s="95">
        <f t="shared" si="0"/>
        <v>0</v>
      </c>
      <c r="N9" s="8"/>
      <c r="P9" s="77" t="s">
        <v>1</v>
      </c>
      <c r="Q9" s="29" t="str">
        <f>'Monthly Report'!B9</f>
        <v>May</v>
      </c>
      <c r="S9">
        <f>_xlfn.RANK.EQ(U9,$U$5:$U$49,0)+COUNTIF($U$5:U9,U9)-1</f>
        <v>7</v>
      </c>
      <c r="T9" s="73" t="s">
        <v>229</v>
      </c>
      <c r="U9" s="94">
        <f>SUMIFS(Table_Assembly[Specific Amount],Table_Assembly[Product type],$T$3,Table_Assembly[NG Type],$R$18,Table_Assembly[NG content],T9,Table_Assembly[Month],INDEX($AE$14:$AE$25,MATCH($Q$9,$AD$14:$AD$25,0)))</f>
        <v>20</v>
      </c>
      <c r="V9" s="95">
        <f t="shared" si="1"/>
        <v>1.5360983102918586</v>
      </c>
      <c r="W9" s="8"/>
      <c r="X9" s="5">
        <f>_xlfn.RANK.EQ(Z9,$Z$5:$Z$49,0)+COUNTIF($Z$5:Z9,Z9)-1</f>
        <v>10</v>
      </c>
      <c r="Y9" s="73" t="s">
        <v>229</v>
      </c>
      <c r="Z9" s="94">
        <f>SUMIFS(Table_Assembly[Specific Amount],Table_Assembly[Product type],$Y$3,Table_Assembly[NG Type],$R$18,Table_Assembly[NG content],Y9,Table_Assembly[Month],INDEX($AE$14:$AE$25,MATCH($Q$9,$AD$14:$AD$25,0)))</f>
        <v>0</v>
      </c>
      <c r="AA9" s="95">
        <f t="shared" si="3"/>
        <v>0</v>
      </c>
      <c r="AB9" s="8"/>
      <c r="AC9" s="5"/>
      <c r="AG9">
        <f>_xlfn.RANK.EQ(AI9,$AI$5:$AI$49,0)+COUNTIF($AI$5:AI9,AI9)-1</f>
        <v>8</v>
      </c>
      <c r="AH9" s="73" t="s">
        <v>229</v>
      </c>
      <c r="AI9" s="94">
        <f>SUMIFS(Table_Assembly[Specific Amount],Table_Assembly[Product type],$AH$3,Table_Assembly[NG Type],$AF$11,Table_Assembly[NG content],AH9,Table_Assembly[Year],$AE$7)</f>
        <v>21</v>
      </c>
      <c r="AJ9" s="95">
        <f t="shared" si="5"/>
        <v>1.4623955431754874</v>
      </c>
      <c r="AK9" s="8"/>
      <c r="AL9" s="5"/>
      <c r="AM9" s="5">
        <f>_xlfn.RANK.EQ(AO9,$AO$5:$AO$49,0)+COUNTIF($AO$5:AO9,AO9)-1</f>
        <v>13</v>
      </c>
      <c r="AN9" s="73" t="s">
        <v>229</v>
      </c>
      <c r="AO9" s="94">
        <f>SUMIFS(Table_Assembly[Specific Amount],Table_Assembly[Product type],$AN$3,Table_Assembly[NG Type],$AF$11,Table_Assembly[NG content],AN9,Table_Assembly[Year],$AE$7)</f>
        <v>0</v>
      </c>
      <c r="AP9" s="95">
        <f t="shared" si="4"/>
        <v>0</v>
      </c>
      <c r="AQ9" s="8"/>
    </row>
    <row r="10" spans="1:43" ht="15.5" thickBot="1">
      <c r="D10" s="5">
        <f>_xlfn.RANK.EQ(F10,$F$5:$F$49,0)+COUNTIF($F$5:F10,F10)-1</f>
        <v>5</v>
      </c>
      <c r="E10" s="73" t="s">
        <v>239</v>
      </c>
      <c r="F10" s="94">
        <f>SUMIFS(Table_Assembly[Specific Amount],Table_Assembly[NG Type],$B$20,Table_Assembly[NG content],E10,Table_Assembly[Product type],$E$3,Table_Assembly[MFG Date],"&gt;="&amp;'Weekly Report'!$B$13,Table_Assembly[MFG Date],"&lt;="&amp;'Weekly Report'!$B$15)</f>
        <v>10</v>
      </c>
      <c r="G10" s="95">
        <f t="shared" si="2"/>
        <v>9.0090090090090094</v>
      </c>
      <c r="H10" s="8"/>
      <c r="I10" s="5"/>
      <c r="J10" s="5">
        <f>_xlfn.RANK.EQ(L10,$L$5:$L$49,0)+COUNTIF($L$5:L10,L10)-1</f>
        <v>10</v>
      </c>
      <c r="K10" s="73" t="s">
        <v>239</v>
      </c>
      <c r="L10" s="94">
        <f>SUMIFS(Table_Assembly[Specific Amount],Table_Assembly[NG Type],$B$20,Table_Assembly[NG content],K10,Table_Assembly[Product type],$K$3,Table_Assembly[MFG Date],"&gt;="&amp;'Weekly Report'!$B$13,Table_Assembly[MFG Date],"&lt;="&amp;'Weekly Report'!$B$15)</f>
        <v>0</v>
      </c>
      <c r="M10" s="95">
        <f t="shared" si="0"/>
        <v>0</v>
      </c>
      <c r="N10" s="8"/>
      <c r="P10" s="78"/>
      <c r="Q10" s="28"/>
      <c r="S10">
        <f>_xlfn.RANK.EQ(U10,$U$5:$U$49,0)+COUNTIF($U$5:U10,U10)-1</f>
        <v>3</v>
      </c>
      <c r="T10" s="73" t="s">
        <v>239</v>
      </c>
      <c r="U10" s="94">
        <f>SUMIFS(Table_Assembly[Specific Amount],Table_Assembly[Product type],$T$3,Table_Assembly[NG Type],$R$18,Table_Assembly[NG content],T10,Table_Assembly[Month],INDEX($AE$14:$AE$25,MATCH($Q$9,$AD$14:$AD$25,0)))</f>
        <v>47</v>
      </c>
      <c r="V10" s="95">
        <f t="shared" si="1"/>
        <v>3.6098310291858677</v>
      </c>
      <c r="W10" s="8"/>
      <c r="X10" s="5">
        <f>_xlfn.RANK.EQ(Z10,$Z$5:$Z$49,0)+COUNTIF($Z$5:Z10,Z10)-1</f>
        <v>11</v>
      </c>
      <c r="Y10" s="73" t="s">
        <v>239</v>
      </c>
      <c r="Z10" s="94">
        <f>SUMIFS(Table_Assembly[Specific Amount],Table_Assembly[Product type],$Y$3,Table_Assembly[NG Type],$R$18,Table_Assembly[NG content],Y10,Table_Assembly[Month],INDEX($AE$14:$AE$25,MATCH($Q$9,$AD$14:$AD$25,0)))</f>
        <v>0</v>
      </c>
      <c r="AA10" s="95">
        <f t="shared" si="3"/>
        <v>0</v>
      </c>
      <c r="AB10" s="8"/>
      <c r="AC10" s="5"/>
      <c r="AG10">
        <f>_xlfn.RANK.EQ(AI10,$AI$5:$AI$49,0)+COUNTIF($AI$5:AI10,AI10)-1</f>
        <v>5</v>
      </c>
      <c r="AH10" s="73" t="s">
        <v>239</v>
      </c>
      <c r="AI10" s="94">
        <f>SUMIFS(Table_Assembly[Specific Amount],Table_Assembly[Product type],$AH$3,Table_Assembly[NG Type],$AF$11,Table_Assembly[NG content],AH10,Table_Assembly[Year],$AE$7)</f>
        <v>49</v>
      </c>
      <c r="AJ10" s="95">
        <f t="shared" si="5"/>
        <v>3.4122562674094707</v>
      </c>
      <c r="AK10" s="8"/>
      <c r="AL10" s="5"/>
      <c r="AM10" s="5">
        <f>_xlfn.RANK.EQ(AO10,$AO$5:$AO$49,0)+COUNTIF($AO$5:AO10,AO10)-1</f>
        <v>14</v>
      </c>
      <c r="AN10" s="73" t="s">
        <v>239</v>
      </c>
      <c r="AO10" s="94">
        <f>SUMIFS(Table_Assembly[Specific Amount],Table_Assembly[Product type],$AN$3,Table_Assembly[NG Type],$AF$11,Table_Assembly[NG content],AN10,Table_Assembly[Year],$AE$7)</f>
        <v>0</v>
      </c>
      <c r="AP10" s="95">
        <f t="shared" si="4"/>
        <v>0</v>
      </c>
      <c r="AQ10" s="8"/>
    </row>
    <row r="11" spans="1:43" ht="15.5" thickBot="1">
      <c r="A11" t="s">
        <v>3</v>
      </c>
      <c r="B11" t="s">
        <v>105</v>
      </c>
      <c r="C11" t="e">
        <f>C13&amp;E3</f>
        <v>#REF!</v>
      </c>
      <c r="D11" s="5">
        <f>_xlfn.RANK.EQ(F11,$F$5:$F$49,0)+COUNTIF($F$5:F11,F11)-1</f>
        <v>17</v>
      </c>
      <c r="E11" s="73" t="s">
        <v>338</v>
      </c>
      <c r="F11" s="94">
        <f>SUMIFS(Table_Assembly[Specific Amount],Table_Assembly[NG Type],$B$20,Table_Assembly[NG content],E11,Table_Assembly[Product type],$E$3,Table_Assembly[MFG Date],"&gt;="&amp;'Weekly Report'!$B$13,Table_Assembly[MFG Date],"&lt;="&amp;'Weekly Report'!$B$15)</f>
        <v>0</v>
      </c>
      <c r="G11" s="95">
        <f t="shared" si="2"/>
        <v>0</v>
      </c>
      <c r="H11" s="8"/>
      <c r="I11" s="5"/>
      <c r="J11" s="5">
        <f>_xlfn.RANK.EQ(L11,$L$5:$L$49,0)+COUNTIF($L$5:L11,L11)-1</f>
        <v>11</v>
      </c>
      <c r="K11" s="73" t="s">
        <v>338</v>
      </c>
      <c r="L11" s="94">
        <f>SUMIFS(Table_Assembly[Specific Amount],Table_Assembly[NG Type],$B$20,Table_Assembly[NG content],K11,Table_Assembly[Product type],$K$3,Table_Assembly[MFG Date],"&gt;="&amp;'Weekly Report'!$B$13,Table_Assembly[MFG Date],"&lt;="&amp;'Weekly Report'!$B$15)</f>
        <v>0</v>
      </c>
      <c r="M11" s="95">
        <f t="shared" si="0"/>
        <v>0</v>
      </c>
      <c r="N11" s="8"/>
      <c r="P11" s="79" t="s">
        <v>3</v>
      </c>
      <c r="Q11" s="80"/>
      <c r="S11">
        <f>_xlfn.RANK.EQ(U11,$U$5:$U$49,0)+COUNTIF($U$5:U11,U11)-1</f>
        <v>17</v>
      </c>
      <c r="T11" s="73" t="s">
        <v>338</v>
      </c>
      <c r="U11" s="94">
        <f>SUMIFS(Table_Assembly[Specific Amount],Table_Assembly[Product type],$T$3,Table_Assembly[NG Type],$R$18,Table_Assembly[NG content],"Caused by preprocess",Table_Assembly[Month],INDEX($AE$14:$AE$25,MATCH($Q$9,$AD$14:$AD$25,0)))</f>
        <v>1</v>
      </c>
      <c r="V11" s="95">
        <f t="shared" si="1"/>
        <v>7.6804915514592939E-2</v>
      </c>
      <c r="W11" s="8"/>
      <c r="X11" s="5">
        <f>_xlfn.RANK.EQ(Z11,$Z$5:$Z$49,0)+COUNTIF($Z$5:Z11,Z11)-1</f>
        <v>12</v>
      </c>
      <c r="Y11" s="73" t="s">
        <v>338</v>
      </c>
      <c r="Z11" s="94">
        <f>SUMIFS(Table_Assembly[Specific Amount],Table_Assembly[Product type],$Y$3,Table_Assembly[NG Type],$R$18,Table_Assembly[NG content],"Caused by preprocess",Table_Assembly[Month],INDEX($AE$14:$AE$25,MATCH($Q$9,$AD$14:$AD$25,0)))</f>
        <v>0</v>
      </c>
      <c r="AA11" s="95">
        <f t="shared" si="3"/>
        <v>0</v>
      </c>
      <c r="AB11" s="8"/>
      <c r="AC11" s="5"/>
      <c r="AF11" t="s">
        <v>157</v>
      </c>
      <c r="AG11">
        <f>_xlfn.RANK.EQ(AI11,$AI$5:$AI$49,0)+COUNTIF($AI$5:AI11,AI11)-1</f>
        <v>18</v>
      </c>
      <c r="AH11" s="73" t="s">
        <v>338</v>
      </c>
      <c r="AI11" s="94">
        <f>SUMIFS(Table_Assembly[Specific Amount],Table_Assembly[Product type],$AH$3,Table_Assembly[NG Type],$AF$11,Table_Assembly[NG content],"Caused by preprocess",Table_Assembly[Year],$AE$7)</f>
        <v>1</v>
      </c>
      <c r="AJ11" s="95">
        <f t="shared" si="5"/>
        <v>6.9637883008356549E-2</v>
      </c>
      <c r="AK11" s="8"/>
      <c r="AL11" s="5"/>
      <c r="AM11" s="5">
        <f>_xlfn.RANK.EQ(AO11,$AO$5:$AO$49,0)+COUNTIF($AO$5:AO11,AO11)-1</f>
        <v>15</v>
      </c>
      <c r="AN11" s="73" t="s">
        <v>338</v>
      </c>
      <c r="AO11" s="94">
        <f>SUMIFS(Table_Assembly[Specific Amount],Table_Assembly[Product type],$AN$3,Table_Assembly[NG Type],$AF$11,Table_Assembly[NG content],"Caused by preprocess",Table_Assembly[Year],$AE$7)</f>
        <v>0</v>
      </c>
      <c r="AP11" s="95">
        <f t="shared" si="4"/>
        <v>0</v>
      </c>
      <c r="AQ11" s="8"/>
    </row>
    <row r="12" spans="1:43" ht="15.5" thickBot="1">
      <c r="D12" s="5">
        <f>_xlfn.RANK.EQ(F12,$F$5:$F$49,0)+COUNTIF($F$5:F12,F12)-1</f>
        <v>18</v>
      </c>
      <c r="E12" s="73" t="s">
        <v>122</v>
      </c>
      <c r="F12" s="94">
        <f>SUMIFS(Table_Assembly[Specific Amount],Table_Assembly[NG Type],$B$20,Table_Assembly[NG content],"Others",Table_Assembly[Product type],$E$3,Table_Assembly[MFG Date],"&gt;="&amp;'Weekly Report'!$B$13,Table_Assembly[MFG Date],"&lt;="&amp;'Weekly Report'!$B$15)</f>
        <v>0</v>
      </c>
      <c r="G12" s="95">
        <f t="shared" si="2"/>
        <v>0</v>
      </c>
      <c r="H12" s="8"/>
      <c r="I12" s="5"/>
      <c r="J12" s="5">
        <f>_xlfn.RANK.EQ(L12,$L$5:$L$49,0)+COUNTIF($L$5:L12,L12)-1</f>
        <v>7</v>
      </c>
      <c r="K12" s="73" t="s">
        <v>122</v>
      </c>
      <c r="L12" s="94">
        <f>SUMIFS(Table_Assembly[Specific Amount],Table_Assembly[NG Type],$B$20,Table_Assembly[NG content],"Others",Table_Assembly[Product type],$K$3,Table_Assembly[MFG Date],"&gt;="&amp;'Weekly Report'!$B$13,Table_Assembly[MFG Date],"&lt;="&amp;'Weekly Report'!$B$15)</f>
        <v>1</v>
      </c>
      <c r="M12" s="95">
        <f t="shared" ref="M12:M49" si="6">IFERROR(L12/$L$50*100,"")</f>
        <v>0.71942446043165476</v>
      </c>
      <c r="N12" s="8"/>
      <c r="P12" s="78"/>
      <c r="Q12" s="28"/>
      <c r="S12">
        <f>_xlfn.RANK.EQ(U12,$U$5:$U$49,0)+COUNTIF($U$5:U12,U12)-1</f>
        <v>9</v>
      </c>
      <c r="T12" s="73" t="s">
        <v>122</v>
      </c>
      <c r="U12" s="94">
        <f>SUMIFS(Table_Assembly[Specific Amount],Table_Assembly[Product type],$T$3,Table_Assembly[NG Type],$R$18,Table_Assembly[NG content],"Others",Table_Assembly[Month],INDEX($AE$14:$AE$25,MATCH($Q$9,$AD$14:$AD$25,0)))</f>
        <v>8</v>
      </c>
      <c r="V12" s="95">
        <f t="shared" si="1"/>
        <v>0.61443932411674351</v>
      </c>
      <c r="W12" s="8"/>
      <c r="X12" s="5">
        <f>_xlfn.RANK.EQ(Z12,$Z$5:$Z$49,0)+COUNTIF($Z$5:Z12,Z12)-1</f>
        <v>7</v>
      </c>
      <c r="Y12" s="73" t="s">
        <v>122</v>
      </c>
      <c r="Z12" s="94">
        <f>SUMIFS(Table_Assembly[Specific Amount],Table_Assembly[Product type],$Y$3,Table_Assembly[NG Type],$R$18,Table_Assembly[NG content],"Others",Table_Assembly[Month],INDEX($AE$14:$AE$25,MATCH($Q$9,$AD$14:$AD$25,0)))</f>
        <v>5</v>
      </c>
      <c r="AA12" s="95">
        <f t="shared" si="3"/>
        <v>2.2026431718061676</v>
      </c>
      <c r="AB12" s="8"/>
      <c r="AC12" s="5"/>
      <c r="AF12" t="s">
        <v>160</v>
      </c>
      <c r="AG12">
        <f>_xlfn.RANK.EQ(AI12,$AI$5:$AI$49,0)+COUNTIF($AI$5:AI12,AI12)-1</f>
        <v>11</v>
      </c>
      <c r="AH12" s="73" t="s">
        <v>122</v>
      </c>
      <c r="AI12" s="94">
        <f>SUMIFS(Table_Assembly[Specific Amount],Table_Assembly[Product type],$AH$3,Table_Assembly[NG Type],$AF$11,Table_Assembly[NG content],"Others",Table_Assembly[Year],$AE$7)</f>
        <v>10</v>
      </c>
      <c r="AJ12" s="95">
        <f t="shared" si="5"/>
        <v>0.69637883008356549</v>
      </c>
      <c r="AK12" s="8"/>
      <c r="AL12" s="5"/>
      <c r="AM12" s="5">
        <f>_xlfn.RANK.EQ(AO12,$AO$5:$AO$49,0)+COUNTIF($AO$5:AO12,AO12)-1</f>
        <v>7</v>
      </c>
      <c r="AN12" s="73" t="s">
        <v>122</v>
      </c>
      <c r="AO12" s="94">
        <f>SUMIFS(Table_Assembly[Specific Amount],Table_Assembly[Product type],$AN$3,Table_Assembly[NG Type],$AF$11,Table_Assembly[NG content],"Others",Table_Assembly[Year],$AE$7)</f>
        <v>8</v>
      </c>
      <c r="AP12" s="95">
        <f t="shared" si="4"/>
        <v>2.507836990595611</v>
      </c>
      <c r="AQ12" s="8"/>
    </row>
    <row r="13" spans="1:43" ht="15.5" thickBot="1">
      <c r="A13" t="s">
        <v>4</v>
      </c>
      <c r="B13" t="e">
        <f>IFERROR(INDEX(#REF!,MATCH(B11,#REF!,0)),#REF!)</f>
        <v>#REF!</v>
      </c>
      <c r="C13" t="e">
        <f>WEEKNUM(B13,2)</f>
        <v>#REF!</v>
      </c>
      <c r="D13" s="5">
        <f>_xlfn.RANK.EQ(F13,$F$5:$F$49,0)+COUNTIF($F$5:F13,F13)-1</f>
        <v>1</v>
      </c>
      <c r="E13" s="73" t="s">
        <v>172</v>
      </c>
      <c r="F13" s="94">
        <f>SUMIFS(Table_Assembly[Specific Amount],Table_Assembly[NG Type],$B$21,Table_Assembly[NG content],E13,Table_Assembly[Product type],$E$3,Table_Assembly[MFG Date],"&gt;="&amp;'Weekly Report'!$B$13,Table_Assembly[MFG Date],"&lt;="&amp;'Weekly Report'!$B$15)</f>
        <v>33</v>
      </c>
      <c r="G13" s="95">
        <f t="shared" si="2"/>
        <v>29.72972972972973</v>
      </c>
      <c r="H13" s="8"/>
      <c r="I13" s="5"/>
      <c r="J13" s="5">
        <f>_xlfn.RANK.EQ(L13,$L$5:$L$49,0)+COUNTIF($L$5:L13,L13)-1</f>
        <v>12</v>
      </c>
      <c r="K13" s="73" t="s">
        <v>172</v>
      </c>
      <c r="L13" s="94">
        <f>SUMIFS(Table_Assembly[Specific Amount],Table_Assembly[NG Type],$B$21,Table_Assembly[NG content],K13,Table_Assembly[Product type],$K$3,Table_Assembly[MFG Date],"&gt;="&amp;'Weekly Report'!$B$13,Table_Assembly[MFG Date],"&lt;="&amp;'Weekly Report'!$B$15)</f>
        <v>0</v>
      </c>
      <c r="M13" s="95">
        <f t="shared" si="6"/>
        <v>0</v>
      </c>
      <c r="N13" s="8"/>
      <c r="P13" s="77" t="s">
        <v>4</v>
      </c>
      <c r="Q13" s="30">
        <f>'Monthly Report'!B13</f>
        <v>45047</v>
      </c>
      <c r="S13">
        <f>_xlfn.RANK.EQ(U13,$U$5:$U$49,0)+COUNTIF($U$5:U13,U13)-1</f>
        <v>2</v>
      </c>
      <c r="T13" s="73" t="s">
        <v>172</v>
      </c>
      <c r="U13" s="94">
        <f>SUMIFS(Table_Assembly[Specific Amount],Table_Assembly[Product type],$T$3,Table_Assembly[NG Type],$R$19,Table_Assembly[NG content],T13,Table_Assembly[Month],INDEX($AE$14:$AE$25,MATCH($Q$9,$AD$14:$AD$25,0)))</f>
        <v>58</v>
      </c>
      <c r="V13" s="95">
        <f t="shared" si="1"/>
        <v>4.4546850998463903</v>
      </c>
      <c r="W13" s="8"/>
      <c r="X13" s="5">
        <f>_xlfn.RANK.EQ(Z13,$Z$5:$Z$49,0)+COUNTIF($Z$5:Z13,Z13)-1</f>
        <v>13</v>
      </c>
      <c r="Y13" s="73" t="s">
        <v>172</v>
      </c>
      <c r="Z13" s="94">
        <f>SUMIFS(Table_Assembly[Specific Amount],Table_Assembly[Product type],$Y$3,Table_Assembly[NG Type],$R$19,Table_Assembly[NG content],Y13,Table_Assembly[Month],INDEX($AE$14:$AE$25,MATCH($Q$9,$AD$14:$AD$25,0)))</f>
        <v>0</v>
      </c>
      <c r="AA13" s="95">
        <f t="shared" si="3"/>
        <v>0</v>
      </c>
      <c r="AB13" s="8"/>
      <c r="AC13" s="5"/>
      <c r="AG13">
        <f>_xlfn.RANK.EQ(AI13,$AI$5:$AI$49,0)+COUNTIF($AI$5:AI13,AI13)-1</f>
        <v>3</v>
      </c>
      <c r="AH13" s="73" t="s">
        <v>172</v>
      </c>
      <c r="AI13" s="94">
        <f>SUMIFS(Table_Assembly[Specific Amount],Table_Assembly[Product type],$AH$3,Table_Assembly[NG Type],$AF$12,Table_Assembly[NG content],AH13,Table_Assembly[Year],$AE$7)</f>
        <v>63</v>
      </c>
      <c r="AJ13" s="95">
        <f t="shared" si="5"/>
        <v>4.3871866295264619</v>
      </c>
      <c r="AK13" s="8"/>
      <c r="AL13" s="5"/>
      <c r="AM13" s="5">
        <f>_xlfn.RANK.EQ(AO13,$AO$5:$AO$49,0)+COUNTIF($AO$5:AO13,AO13)-1</f>
        <v>16</v>
      </c>
      <c r="AN13" s="73" t="s">
        <v>172</v>
      </c>
      <c r="AO13" s="94">
        <f>SUMIFS(Table_Assembly[Specific Amount],Table_Assembly[Product type],$AN$3,Table_Assembly[NG Type],$AF$12,Table_Assembly[NG content],AN13,Table_Assembly[Year],$AE$7)</f>
        <v>0</v>
      </c>
      <c r="AP13" s="95">
        <f t="shared" si="4"/>
        <v>0</v>
      </c>
      <c r="AQ13" s="8"/>
    </row>
    <row r="14" spans="1:43" ht="15.5" thickBot="1">
      <c r="D14" s="5">
        <f>_xlfn.RANK.EQ(F14,$F$5:$F$49,0)+COUNTIF($F$5:F14,F14)-1</f>
        <v>19</v>
      </c>
      <c r="E14" s="73" t="s">
        <v>173</v>
      </c>
      <c r="F14" s="94">
        <f>SUMIFS(Table_Assembly[Specific Amount],Table_Assembly[NG Type],$B$21,Table_Assembly[NG content],E14,Table_Assembly[Product type],$E$3,Table_Assembly[MFG Date],"&gt;="&amp;'Weekly Report'!$B$13,Table_Assembly[MFG Date],"&lt;="&amp;'Weekly Report'!$B$15)</f>
        <v>0</v>
      </c>
      <c r="G14" s="95">
        <f t="shared" si="2"/>
        <v>0</v>
      </c>
      <c r="H14" s="8"/>
      <c r="I14" s="5"/>
      <c r="J14" s="5">
        <f>_xlfn.RANK.EQ(L14,$L$5:$L$49,0)+COUNTIF($L$5:L14,L14)-1</f>
        <v>13</v>
      </c>
      <c r="K14" s="73" t="s">
        <v>173</v>
      </c>
      <c r="L14" s="94">
        <f>SUMIFS(Table_Assembly[Specific Amount],Table_Assembly[NG Type],$B$21,Table_Assembly[NG content],K14,Table_Assembly[Product type],$K$3,Table_Assembly[MFG Date],"&gt;="&amp;'Weekly Report'!$B$13,Table_Assembly[MFG Date],"&lt;="&amp;'Weekly Report'!$B$15)</f>
        <v>0</v>
      </c>
      <c r="M14" s="95">
        <f t="shared" si="6"/>
        <v>0</v>
      </c>
      <c r="N14" s="8"/>
      <c r="P14" s="78"/>
      <c r="Q14" s="28"/>
      <c r="S14">
        <f>_xlfn.RANK.EQ(U14,$U$5:$U$49,0)+COUNTIF($U$5:U14,U14)-1</f>
        <v>18</v>
      </c>
      <c r="T14" s="73" t="s">
        <v>173</v>
      </c>
      <c r="U14" s="94">
        <f>SUMIFS(Table_Assembly[Specific Amount],Table_Assembly[Product type],$T$3,Table_Assembly[NG Type],$R$19,Table_Assembly[NG content],T14,Table_Assembly[Month],INDEX($AE$14:$AE$25,MATCH($Q$9,$AD$14:$AD$25,0)))</f>
        <v>1</v>
      </c>
      <c r="V14" s="95">
        <f t="shared" si="1"/>
        <v>7.6804915514592939E-2</v>
      </c>
      <c r="W14" s="8"/>
      <c r="X14" s="5">
        <f>_xlfn.RANK.EQ(Z14,$Z$5:$Z$49,0)+COUNTIF($Z$5:Z14,Z14)-1</f>
        <v>14</v>
      </c>
      <c r="Y14" s="73" t="s">
        <v>173</v>
      </c>
      <c r="Z14" s="94">
        <f>SUMIFS(Table_Assembly[Specific Amount],Table_Assembly[Product type],$Y$3,Table_Assembly[NG Type],$R$19,Table_Assembly[NG content],Y14,Table_Assembly[Month],INDEX($AE$14:$AE$25,MATCH($Q$9,$AD$14:$AD$25,0)))</f>
        <v>0</v>
      </c>
      <c r="AA14" s="95">
        <f t="shared" si="3"/>
        <v>0</v>
      </c>
      <c r="AB14" s="8"/>
      <c r="AC14" s="5"/>
      <c r="AD14" t="s">
        <v>6</v>
      </c>
      <c r="AE14">
        <v>1</v>
      </c>
      <c r="AG14">
        <f>_xlfn.RANK.EQ(AI14,$AI$5:$AI$49,0)+COUNTIF($AI$5:AI14,AI14)-1</f>
        <v>19</v>
      </c>
      <c r="AH14" s="73" t="s">
        <v>173</v>
      </c>
      <c r="AI14" s="94">
        <f>SUMIFS(Table_Assembly[Specific Amount],Table_Assembly[Product type],$AH$3,Table_Assembly[NG Type],$AF$12,Table_Assembly[NG content],AH14,Table_Assembly[Year],$AE$7)</f>
        <v>1</v>
      </c>
      <c r="AJ14" s="95">
        <f t="shared" si="5"/>
        <v>6.9637883008356549E-2</v>
      </c>
      <c r="AK14" s="8"/>
      <c r="AL14" s="5"/>
      <c r="AM14" s="5">
        <f>_xlfn.RANK.EQ(AO14,$AO$5:$AO$49,0)+COUNTIF($AO$5:AO14,AO14)-1</f>
        <v>17</v>
      </c>
      <c r="AN14" s="73" t="s">
        <v>173</v>
      </c>
      <c r="AO14" s="94">
        <f>SUMIFS(Table_Assembly[Specific Amount],Table_Assembly[Product type],$AN$3,Table_Assembly[NG Type],$AF$12,Table_Assembly[NG content],AN14,Table_Assembly[Year],$AE$7)</f>
        <v>0</v>
      </c>
      <c r="AP14" s="95">
        <f t="shared" si="4"/>
        <v>0</v>
      </c>
      <c r="AQ14" s="8"/>
    </row>
    <row r="15" spans="1:43" ht="15.5" thickBot="1">
      <c r="A15" t="s">
        <v>5</v>
      </c>
      <c r="B15" t="e">
        <f>IFERROR(_xlfn.SINGLE(INDEX(#REF!-1,MATCH(RIGHT(B11,2)*1+1,#REF!,0))),#REF!)</f>
        <v>#REF!</v>
      </c>
      <c r="D15" s="5">
        <f>_xlfn.RANK.EQ(F15,$F$5:$F$49,0)+COUNTIF($F$5:F15,F15)-1</f>
        <v>20</v>
      </c>
      <c r="E15" s="73" t="s">
        <v>230</v>
      </c>
      <c r="F15" s="94">
        <f>SUMIFS(Table_Assembly[Specific Amount],Table_Assembly[NG Type],$B$21,Table_Assembly[NG content],E15,Table_Assembly[Product type],$E$3,Table_Assembly[MFG Date],"&gt;="&amp;'Weekly Report'!$B$13,Table_Assembly[MFG Date],"&lt;="&amp;'Weekly Report'!$B$15)</f>
        <v>0</v>
      </c>
      <c r="G15" s="95">
        <f t="shared" si="2"/>
        <v>0</v>
      </c>
      <c r="H15" s="8"/>
      <c r="I15" s="5"/>
      <c r="J15" s="5">
        <f>_xlfn.RANK.EQ(L15,$L$5:$L$49,0)+COUNTIF($L$5:L15,L15)-1</f>
        <v>14</v>
      </c>
      <c r="K15" s="73" t="s">
        <v>230</v>
      </c>
      <c r="L15" s="94">
        <f>SUMIFS(Table_Assembly[Specific Amount],Table_Assembly[NG Type],$B$21,Table_Assembly[NG content],K15,Table_Assembly[Product type],$K$3,Table_Assembly[MFG Date],"&gt;="&amp;'Weekly Report'!$B$13,Table_Assembly[MFG Date],"&lt;="&amp;'Weekly Report'!$B$15)</f>
        <v>0</v>
      </c>
      <c r="M15" s="95">
        <f t="shared" si="6"/>
        <v>0</v>
      </c>
      <c r="N15" s="8"/>
      <c r="P15" s="77" t="s">
        <v>5</v>
      </c>
      <c r="Q15" s="30">
        <f>'Monthly Report'!B15</f>
        <v>45077</v>
      </c>
      <c r="S15">
        <f>_xlfn.RANK.EQ(U15,$U$5:$U$49,0)+COUNTIF($U$5:U15,U15)-1</f>
        <v>23</v>
      </c>
      <c r="T15" s="73" t="s">
        <v>230</v>
      </c>
      <c r="U15" s="94">
        <f>SUMIFS(Table_Assembly[Specific Amount],Table_Assembly[Product type],$T$3,Table_Assembly[NG Type],$R$19,Table_Assembly[NG content],T15,Table_Assembly[Month],INDEX($AE$14:$AE$25,MATCH($Q$9,$AD$14:$AD$25,0)))</f>
        <v>0</v>
      </c>
      <c r="V15" s="95">
        <f t="shared" si="1"/>
        <v>0</v>
      </c>
      <c r="W15" s="8"/>
      <c r="X15" s="5">
        <f>_xlfn.RANK.EQ(Z15,$Z$5:$Z$49,0)+COUNTIF($Z$5:Z15,Z15)-1</f>
        <v>15</v>
      </c>
      <c r="Y15" s="73" t="s">
        <v>230</v>
      </c>
      <c r="Z15" s="94">
        <f>SUMIFS(Table_Assembly[Specific Amount],Table_Assembly[Product type],$Y$3,Table_Assembly[NG Type],$R$19,Table_Assembly[NG content],Y15,Table_Assembly[Month],INDEX($AE$14:$AE$25,MATCH($Q$9,$AD$14:$AD$25,0)))</f>
        <v>0</v>
      </c>
      <c r="AA15" s="95">
        <f t="shared" si="3"/>
        <v>0</v>
      </c>
      <c r="AB15" s="8"/>
      <c r="AC15" s="5"/>
      <c r="AD15" t="s">
        <v>7</v>
      </c>
      <c r="AE15">
        <v>2</v>
      </c>
      <c r="AG15">
        <f>_xlfn.RANK.EQ(AI15,$AI$5:$AI$49,0)+COUNTIF($AI$5:AI15,AI15)-1</f>
        <v>25</v>
      </c>
      <c r="AH15" s="73" t="s">
        <v>230</v>
      </c>
      <c r="AI15" s="94">
        <f>SUMIFS(Table_Assembly[Specific Amount],Table_Assembly[Product type],$AH$3,Table_Assembly[NG Type],$AF$12,Table_Assembly[NG content],AH15,Table_Assembly[Year],$AE$7)</f>
        <v>0</v>
      </c>
      <c r="AJ15" s="95">
        <f t="shared" si="5"/>
        <v>0</v>
      </c>
      <c r="AK15" s="8"/>
      <c r="AL15" s="5"/>
      <c r="AM15" s="5">
        <f>_xlfn.RANK.EQ(AO15,$AO$5:$AO$49,0)+COUNTIF($AO$5:AO15,AO15)-1</f>
        <v>18</v>
      </c>
      <c r="AN15" s="73" t="s">
        <v>230</v>
      </c>
      <c r="AO15" s="94">
        <f>SUMIFS(Table_Assembly[Specific Amount],Table_Assembly[Product type],$AN$3,Table_Assembly[NG Type],$AF$12,Table_Assembly[NG content],AN15,Table_Assembly[Year],$AE$7)</f>
        <v>0</v>
      </c>
      <c r="AP15" s="95">
        <f t="shared" si="4"/>
        <v>0</v>
      </c>
      <c r="AQ15" s="8"/>
    </row>
    <row r="16" spans="1:43">
      <c r="D16" s="5">
        <f>_xlfn.RANK.EQ(F16,$F$5:$F$49,0)+COUNTIF($F$5:F16,F16)-1</f>
        <v>21</v>
      </c>
      <c r="E16" s="73" t="s">
        <v>174</v>
      </c>
      <c r="F16" s="94">
        <f>SUMIFS(Table_Assembly[Specific Amount],Table_Assembly[NG Type],$B$21,Table_Assembly[NG content],E16,Table_Assembly[Product type],$E$3,Table_Assembly[MFG Date],"&gt;="&amp;'Weekly Report'!$B$13,Table_Assembly[MFG Date],"&lt;="&amp;'Weekly Report'!$B$15)</f>
        <v>0</v>
      </c>
      <c r="G16" s="95">
        <f t="shared" si="2"/>
        <v>0</v>
      </c>
      <c r="H16" s="8"/>
      <c r="I16" s="5"/>
      <c r="J16" s="5">
        <f>_xlfn.RANK.EQ(L16,$L$5:$L$49,0)+COUNTIF($L$5:L16,L16)-1</f>
        <v>15</v>
      </c>
      <c r="K16" s="73" t="s">
        <v>174</v>
      </c>
      <c r="L16" s="94">
        <f>SUMIFS(Table_Assembly[Specific Amount],Table_Assembly[NG Type],$B$21,Table_Assembly[NG content],K16,Table_Assembly[Product type],$K$3,Table_Assembly[MFG Date],"&gt;="&amp;'Weekly Report'!$B$13,Table_Assembly[MFG Date],"&lt;="&amp;'Weekly Report'!$B$15)</f>
        <v>0</v>
      </c>
      <c r="M16" s="95">
        <f t="shared" si="6"/>
        <v>0</v>
      </c>
      <c r="N16" s="8"/>
      <c r="S16">
        <f>_xlfn.RANK.EQ(U16,$U$5:$U$49,0)+COUNTIF($U$5:U16,U16)-1</f>
        <v>24</v>
      </c>
      <c r="T16" s="73" t="s">
        <v>174</v>
      </c>
      <c r="U16" s="94">
        <f>SUMIFS(Table_Assembly[Specific Amount],Table_Assembly[Product type],$T$3,Table_Assembly[NG Type],$R$19,Table_Assembly[NG content],T16,Table_Assembly[Month],INDEX($AE$14:$AE$25,MATCH($Q$9,$AD$14:$AD$25,0)))</f>
        <v>0</v>
      </c>
      <c r="V16" s="95">
        <f t="shared" si="1"/>
        <v>0</v>
      </c>
      <c r="W16" s="8"/>
      <c r="X16" s="5">
        <f>_xlfn.RANK.EQ(Z16,$Z$5:$Z$49,0)+COUNTIF($Z$5:Z16,Z16)-1</f>
        <v>16</v>
      </c>
      <c r="Y16" s="73" t="s">
        <v>174</v>
      </c>
      <c r="Z16" s="94">
        <f>SUMIFS(Table_Assembly[Specific Amount],Table_Assembly[Product type],$Y$3,Table_Assembly[NG Type],$R$19,Table_Assembly[NG content],Y16,Table_Assembly[Month],INDEX($AE$14:$AE$25,MATCH($Q$9,$AD$14:$AD$25,0)))</f>
        <v>0</v>
      </c>
      <c r="AA16" s="95">
        <f t="shared" si="3"/>
        <v>0</v>
      </c>
      <c r="AB16" s="8"/>
      <c r="AC16" s="5"/>
      <c r="AD16" t="s">
        <v>8</v>
      </c>
      <c r="AE16">
        <v>3</v>
      </c>
      <c r="AG16">
        <f>_xlfn.RANK.EQ(AI16,$AI$5:$AI$49,0)+COUNTIF($AI$5:AI16,AI16)-1</f>
        <v>20</v>
      </c>
      <c r="AH16" s="73" t="s">
        <v>174</v>
      </c>
      <c r="AI16" s="94">
        <f>SUMIFS(Table_Assembly[Specific Amount],Table_Assembly[Product type],$AH$3,Table_Assembly[NG Type],$AF$12,Table_Assembly[NG content],AH16,Table_Assembly[Year],$AE$7)</f>
        <v>1</v>
      </c>
      <c r="AJ16" s="95">
        <f t="shared" si="5"/>
        <v>6.9637883008356549E-2</v>
      </c>
      <c r="AK16" s="8"/>
      <c r="AL16" s="5"/>
      <c r="AM16" s="5">
        <f>_xlfn.RANK.EQ(AO16,$AO$5:$AO$49,0)+COUNTIF($AO$5:AO16,AO16)-1</f>
        <v>19</v>
      </c>
      <c r="AN16" s="73" t="s">
        <v>174</v>
      </c>
      <c r="AO16" s="94">
        <f>SUMIFS(Table_Assembly[Specific Amount],Table_Assembly[Product type],$AN$3,Table_Assembly[NG Type],$AF$12,Table_Assembly[NG content],AN16,Table_Assembly[Year],$AE$7)</f>
        <v>0</v>
      </c>
      <c r="AP16" s="95">
        <f t="shared" si="4"/>
        <v>0</v>
      </c>
      <c r="AQ16" s="8"/>
    </row>
    <row r="17" spans="2:43">
      <c r="D17" s="5">
        <f>_xlfn.RANK.EQ(F17,$F$5:$F$49,0)+COUNTIF($F$5:F17,F17)-1</f>
        <v>22</v>
      </c>
      <c r="E17" s="73" t="s">
        <v>231</v>
      </c>
      <c r="F17" s="94">
        <f>SUMIFS(Table_Assembly[Specific Amount],Table_Assembly[NG Type],$B$21,Table_Assembly[NG content],E17,Table_Assembly[Product type],$E$3,Table_Assembly[MFG Date],"&gt;="&amp;'Weekly Report'!$B$13,Table_Assembly[MFG Date],"&lt;="&amp;'Weekly Report'!$B$15)</f>
        <v>0</v>
      </c>
      <c r="G17" s="95">
        <f t="shared" si="2"/>
        <v>0</v>
      </c>
      <c r="H17" s="8"/>
      <c r="I17" s="5"/>
      <c r="J17" s="5">
        <f>_xlfn.RANK.EQ(L17,$L$5:$L$49,0)+COUNTIF($L$5:L17,L17)-1</f>
        <v>16</v>
      </c>
      <c r="K17" s="73" t="s">
        <v>231</v>
      </c>
      <c r="L17" s="94">
        <f>SUMIFS(Table_Assembly[Specific Amount],Table_Assembly[NG Type],$B$21,Table_Assembly[NG content],K17,Table_Assembly[Product type],$K$3,Table_Assembly[MFG Date],"&gt;="&amp;'Weekly Report'!$B$13,Table_Assembly[MFG Date],"&lt;="&amp;'Weekly Report'!$B$15)</f>
        <v>0</v>
      </c>
      <c r="M17" s="95">
        <f t="shared" si="6"/>
        <v>0</v>
      </c>
      <c r="N17" s="8"/>
      <c r="S17">
        <f>_xlfn.RANK.EQ(U17,$U$5:$U$49,0)+COUNTIF($U$5:U17,U17)-1</f>
        <v>25</v>
      </c>
      <c r="T17" s="73" t="s">
        <v>231</v>
      </c>
      <c r="U17" s="94">
        <f>SUMIFS(Table_Assembly[Specific Amount],Table_Assembly[Product type],$T$3,Table_Assembly[NG Type],$R$19,Table_Assembly[NG content],T17,Table_Assembly[Month],INDEX($AE$14:$AE$25,MATCH($Q$9,$AD$14:$AD$25,0)))</f>
        <v>0</v>
      </c>
      <c r="V17" s="95">
        <f t="shared" si="1"/>
        <v>0</v>
      </c>
      <c r="W17" s="8"/>
      <c r="X17" s="5">
        <f>_xlfn.RANK.EQ(Z17,$Z$5:$Z$49,0)+COUNTIF($Z$5:Z17,Z17)-1</f>
        <v>17</v>
      </c>
      <c r="Y17" s="73" t="s">
        <v>231</v>
      </c>
      <c r="Z17" s="94">
        <f>SUMIFS(Table_Assembly[Specific Amount],Table_Assembly[Product type],$Y$3,Table_Assembly[NG Type],$R$19,Table_Assembly[NG content],Y17,Table_Assembly[Month],INDEX($AE$14:$AE$25,MATCH($Q$9,$AD$14:$AD$25,0)))</f>
        <v>0</v>
      </c>
      <c r="AA17" s="95">
        <f t="shared" si="3"/>
        <v>0</v>
      </c>
      <c r="AB17" s="8"/>
      <c r="AC17" s="5"/>
      <c r="AD17" t="s">
        <v>9</v>
      </c>
      <c r="AE17">
        <v>4</v>
      </c>
      <c r="AG17">
        <f>_xlfn.RANK.EQ(AI17,$AI$5:$AI$49,0)+COUNTIF($AI$5:AI17,AI17)-1</f>
        <v>26</v>
      </c>
      <c r="AH17" s="73" t="s">
        <v>231</v>
      </c>
      <c r="AI17" s="94">
        <f>SUMIFS(Table_Assembly[Specific Amount],Table_Assembly[Product type],$AH$3,Table_Assembly[NG Type],$AF$12,Table_Assembly[NG content],AH17,Table_Assembly[Year],$AE$7)</f>
        <v>0</v>
      </c>
      <c r="AJ17" s="95">
        <f t="shared" si="5"/>
        <v>0</v>
      </c>
      <c r="AK17" s="8"/>
      <c r="AL17" s="5"/>
      <c r="AM17" s="5">
        <f>_xlfn.RANK.EQ(AO17,$AO$5:$AO$49,0)+COUNTIF($AO$5:AO17,AO17)-1</f>
        <v>20</v>
      </c>
      <c r="AN17" s="73" t="s">
        <v>231</v>
      </c>
      <c r="AO17" s="94">
        <f>SUMIFS(Table_Assembly[Specific Amount],Table_Assembly[Product type],$AN$3,Table_Assembly[NG Type],$AF$12,Table_Assembly[NG content],AN17,Table_Assembly[Year],$AE$7)</f>
        <v>0</v>
      </c>
      <c r="AP17" s="95">
        <f t="shared" si="4"/>
        <v>0</v>
      </c>
      <c r="AQ17" s="8"/>
    </row>
    <row r="18" spans="2:43">
      <c r="D18" s="5">
        <f>_xlfn.RANK.EQ(F18,$F$5:$F$49,0)+COUNTIF($F$5:F18,F18)-1</f>
        <v>12</v>
      </c>
      <c r="E18" s="73" t="s">
        <v>175</v>
      </c>
      <c r="F18" s="94">
        <f>SUMIFS(Table_Assembly[Specific Amount],Table_Assembly[NG Type],$B$21,Table_Assembly[NG content],E18,Table_Assembly[Product type],$E$3,Table_Assembly[MFG Date],"&gt;="&amp;'Weekly Report'!$B$13,Table_Assembly[MFG Date],"&lt;="&amp;'Weekly Report'!$B$15)</f>
        <v>1</v>
      </c>
      <c r="G18" s="95">
        <f t="shared" si="2"/>
        <v>0.90090090090090091</v>
      </c>
      <c r="H18" s="8"/>
      <c r="I18" s="5"/>
      <c r="J18" s="5">
        <f>_xlfn.RANK.EQ(L18,$L$5:$L$49,0)+COUNTIF($L$5:L18,L18)-1</f>
        <v>17</v>
      </c>
      <c r="K18" s="73" t="s">
        <v>175</v>
      </c>
      <c r="L18" s="94">
        <f>SUMIFS(Table_Assembly[Specific Amount],Table_Assembly[NG Type],$B$21,Table_Assembly[NG content],K18,Table_Assembly[Product type],$K$3,Table_Assembly[MFG Date],"&gt;="&amp;'Weekly Report'!$B$13,Table_Assembly[MFG Date],"&lt;="&amp;'Weekly Report'!$B$15)</f>
        <v>0</v>
      </c>
      <c r="M18" s="95">
        <f t="shared" si="6"/>
        <v>0</v>
      </c>
      <c r="N18" s="8"/>
      <c r="R18" t="s">
        <v>157</v>
      </c>
      <c r="S18">
        <f>_xlfn.RANK.EQ(U18,$U$5:$U$49,0)+COUNTIF($U$5:U18,U18)-1</f>
        <v>11</v>
      </c>
      <c r="T18" s="73" t="s">
        <v>175</v>
      </c>
      <c r="U18" s="94">
        <f>SUMIFS(Table_Assembly[Specific Amount],Table_Assembly[Product type],$T$3,Table_Assembly[NG Type],$R$19,Table_Assembly[NG content],T18,Table_Assembly[Month],INDEX($AE$14:$AE$25,MATCH($Q$9,$AD$14:$AD$25,0)))</f>
        <v>7</v>
      </c>
      <c r="V18" s="95">
        <f t="shared" si="1"/>
        <v>0.53763440860215062</v>
      </c>
      <c r="W18" s="8"/>
      <c r="X18" s="5">
        <f>_xlfn.RANK.EQ(Z18,$Z$5:$Z$49,0)+COUNTIF($Z$5:Z18,Z18)-1</f>
        <v>18</v>
      </c>
      <c r="Y18" s="73" t="s">
        <v>175</v>
      </c>
      <c r="Z18" s="94">
        <f>SUMIFS(Table_Assembly[Specific Amount],Table_Assembly[Product type],$Y$3,Table_Assembly[NG Type],$R$19,Table_Assembly[NG content],Y18,Table_Assembly[Month],INDEX($AE$14:$AE$25,MATCH($Q$9,$AD$14:$AD$25,0)))</f>
        <v>0</v>
      </c>
      <c r="AA18" s="95">
        <f t="shared" si="3"/>
        <v>0</v>
      </c>
      <c r="AB18" s="8"/>
      <c r="AC18" s="5"/>
      <c r="AD18" t="s">
        <v>10</v>
      </c>
      <c r="AE18">
        <v>5</v>
      </c>
      <c r="AG18">
        <f>_xlfn.RANK.EQ(AI18,$AI$5:$AI$49,0)+COUNTIF($AI$5:AI18,AI18)-1</f>
        <v>12</v>
      </c>
      <c r="AH18" s="73" t="s">
        <v>175</v>
      </c>
      <c r="AI18" s="94">
        <f>SUMIFS(Table_Assembly[Specific Amount],Table_Assembly[Product type],$AH$3,Table_Assembly[NG Type],$AF$12,Table_Assembly[NG content],AH18,Table_Assembly[Year],$AE$7)</f>
        <v>8</v>
      </c>
      <c r="AJ18" s="95">
        <f t="shared" si="5"/>
        <v>0.55710306406685239</v>
      </c>
      <c r="AK18" s="8"/>
      <c r="AL18" s="5"/>
      <c r="AM18" s="5">
        <f>_xlfn.RANK.EQ(AO18,$AO$5:$AO$49,0)+COUNTIF($AO$5:AO18,AO18)-1</f>
        <v>21</v>
      </c>
      <c r="AN18" s="73" t="s">
        <v>175</v>
      </c>
      <c r="AO18" s="94">
        <f>SUMIFS(Table_Assembly[Specific Amount],Table_Assembly[Product type],$AN$3,Table_Assembly[NG Type],$AF$12,Table_Assembly[NG content],AN18,Table_Assembly[Year],$AE$7)</f>
        <v>0</v>
      </c>
      <c r="AP18" s="95">
        <f t="shared" si="4"/>
        <v>0</v>
      </c>
      <c r="AQ18" s="8"/>
    </row>
    <row r="19" spans="2:43">
      <c r="D19" s="5">
        <f>_xlfn.RANK.EQ(F19,$F$5:$F$49,0)+COUNTIF($F$5:F19,F19)-1</f>
        <v>13</v>
      </c>
      <c r="E19" s="73" t="s">
        <v>232</v>
      </c>
      <c r="F19" s="94">
        <f>SUMIFS(Table_Assembly[Specific Amount],Table_Assembly[NG Type],$B$21,Table_Assembly[NG content],E19,Table_Assembly[Product type],$E$3,Table_Assembly[MFG Date],"&gt;="&amp;'Weekly Report'!$B$13,Table_Assembly[MFG Date],"&lt;="&amp;'Weekly Report'!$B$15)</f>
        <v>1</v>
      </c>
      <c r="G19" s="95">
        <f t="shared" si="2"/>
        <v>0.90090090090090091</v>
      </c>
      <c r="H19" s="8"/>
      <c r="I19" s="5"/>
      <c r="J19" s="5">
        <f>_xlfn.RANK.EQ(L19,$L$5:$L$49,0)+COUNTIF($L$5:L19,L19)-1</f>
        <v>18</v>
      </c>
      <c r="K19" s="73" t="s">
        <v>232</v>
      </c>
      <c r="L19" s="94">
        <f>SUMIFS(Table_Assembly[Specific Amount],Table_Assembly[NG Type],$B$21,Table_Assembly[NG content],K19,Table_Assembly[Product type],$K$3,Table_Assembly[MFG Date],"&gt;="&amp;'Weekly Report'!$B$13,Table_Assembly[MFG Date],"&lt;="&amp;'Weekly Report'!$B$15)</f>
        <v>0</v>
      </c>
      <c r="M19" s="95">
        <f t="shared" si="6"/>
        <v>0</v>
      </c>
      <c r="N19" s="8"/>
      <c r="R19" t="s">
        <v>160</v>
      </c>
      <c r="S19">
        <f>_xlfn.RANK.EQ(U19,$U$5:$U$49,0)+COUNTIF($U$5:U19,U19)-1</f>
        <v>19</v>
      </c>
      <c r="T19" s="73" t="s">
        <v>232</v>
      </c>
      <c r="U19" s="94">
        <f>SUMIFS(Table_Assembly[Specific Amount],Table_Assembly[Product type],$T$3,Table_Assembly[NG Type],$R$19,Table_Assembly[NG content],T19,Table_Assembly[Month],INDEX($AE$14:$AE$25,MATCH($Q$9,$AD$14:$AD$25,0)))</f>
        <v>1</v>
      </c>
      <c r="V19" s="95">
        <f t="shared" si="1"/>
        <v>7.6804915514592939E-2</v>
      </c>
      <c r="W19" s="8"/>
      <c r="X19" s="5">
        <f>_xlfn.RANK.EQ(Z19,$Z$5:$Z$49,0)+COUNTIF($Z$5:Z19,Z19)-1</f>
        <v>19</v>
      </c>
      <c r="Y19" s="73" t="s">
        <v>232</v>
      </c>
      <c r="Z19" s="94">
        <f>SUMIFS(Table_Assembly[Specific Amount],Table_Assembly[Product type],$Y$3,Table_Assembly[NG Type],$R$19,Table_Assembly[NG content],Y19,Table_Assembly[Month],INDEX($AE$14:$AE$25,MATCH($Q$9,$AD$14:$AD$25,0)))</f>
        <v>0</v>
      </c>
      <c r="AA19" s="95">
        <f t="shared" si="3"/>
        <v>0</v>
      </c>
      <c r="AB19" s="8"/>
      <c r="AC19" s="5"/>
      <c r="AD19" t="s">
        <v>11</v>
      </c>
      <c r="AE19">
        <v>6</v>
      </c>
      <c r="AG19">
        <f>_xlfn.RANK.EQ(AI19,$AI$5:$AI$49,0)+COUNTIF($AI$5:AI19,AI19)-1</f>
        <v>21</v>
      </c>
      <c r="AH19" s="73" t="s">
        <v>232</v>
      </c>
      <c r="AI19" s="94">
        <f>SUMIFS(Table_Assembly[Specific Amount],Table_Assembly[Product type],$AH$3,Table_Assembly[NG Type],$AF$12,Table_Assembly[NG content],AH19,Table_Assembly[Year],$AE$7)</f>
        <v>1</v>
      </c>
      <c r="AJ19" s="95">
        <f t="shared" si="5"/>
        <v>6.9637883008356549E-2</v>
      </c>
      <c r="AK19" s="8"/>
      <c r="AL19" s="5"/>
      <c r="AM19" s="5">
        <f>_xlfn.RANK.EQ(AO19,$AO$5:$AO$49,0)+COUNTIF($AO$5:AO19,AO19)-1</f>
        <v>22</v>
      </c>
      <c r="AN19" s="73" t="s">
        <v>232</v>
      </c>
      <c r="AO19" s="94">
        <f>SUMIFS(Table_Assembly[Specific Amount],Table_Assembly[Product type],$AN$3,Table_Assembly[NG Type],$AF$12,Table_Assembly[NG content],AN19,Table_Assembly[Year],$AE$7)</f>
        <v>0</v>
      </c>
      <c r="AP19" s="95">
        <f t="shared" si="4"/>
        <v>0</v>
      </c>
      <c r="AQ19" s="8"/>
    </row>
    <row r="20" spans="2:43">
      <c r="B20" t="s">
        <v>157</v>
      </c>
      <c r="D20" s="5">
        <f>_xlfn.RANK.EQ(F20,$F$5:$F$49,0)+COUNTIF($F$5:F20,F20)-1</f>
        <v>23</v>
      </c>
      <c r="E20" s="73" t="s">
        <v>176</v>
      </c>
      <c r="F20" s="94">
        <f>SUMIFS(Table_Assembly[Specific Amount],Table_Assembly[NG Type],$B$21,Table_Assembly[NG content],E20,Table_Assembly[Product type],$E$3,Table_Assembly[MFG Date],"&gt;="&amp;'Weekly Report'!$B$13,Table_Assembly[MFG Date],"&lt;="&amp;'Weekly Report'!$B$15)</f>
        <v>0</v>
      </c>
      <c r="G20" s="95">
        <f t="shared" si="2"/>
        <v>0</v>
      </c>
      <c r="H20" s="8"/>
      <c r="I20" s="5"/>
      <c r="J20" s="5">
        <f>_xlfn.RANK.EQ(L20,$L$5:$L$49,0)+COUNTIF($L$5:L20,L20)-1</f>
        <v>19</v>
      </c>
      <c r="K20" s="73" t="s">
        <v>176</v>
      </c>
      <c r="L20" s="94">
        <f>SUMIFS(Table_Assembly[Specific Amount],Table_Assembly[NG Type],$B$21,Table_Assembly[NG content],K20,Table_Assembly[Product type],$K$3,Table_Assembly[MFG Date],"&gt;="&amp;'Weekly Report'!$B$13,Table_Assembly[MFG Date],"&lt;="&amp;'Weekly Report'!$B$15)</f>
        <v>0</v>
      </c>
      <c r="M20" s="95">
        <f t="shared" si="6"/>
        <v>0</v>
      </c>
      <c r="N20" s="8"/>
      <c r="S20">
        <f>_xlfn.RANK.EQ(U20,$U$5:$U$49,0)+COUNTIF($U$5:U20,U20)-1</f>
        <v>26</v>
      </c>
      <c r="T20" s="73" t="s">
        <v>176</v>
      </c>
      <c r="U20" s="94">
        <f>SUMIFS(Table_Assembly[Specific Amount],Table_Assembly[Product type],$T$3,Table_Assembly[NG Type],$R$19,Table_Assembly[NG content],T20,Table_Assembly[Month],INDEX($AE$14:$AE$25,MATCH($Q$9,$AD$14:$AD$25,0)))</f>
        <v>0</v>
      </c>
      <c r="V20" s="95">
        <f t="shared" si="1"/>
        <v>0</v>
      </c>
      <c r="W20" s="8"/>
      <c r="X20" s="5">
        <f>_xlfn.RANK.EQ(Z20,$Z$5:$Z$49,0)+COUNTIF($Z$5:Z20,Z20)-1</f>
        <v>20</v>
      </c>
      <c r="Y20" s="73" t="s">
        <v>176</v>
      </c>
      <c r="Z20" s="94">
        <f>SUMIFS(Table_Assembly[Specific Amount],Table_Assembly[Product type],$Y$3,Table_Assembly[NG Type],$R$19,Table_Assembly[NG content],Y20,Table_Assembly[Month],INDEX($AE$14:$AE$25,MATCH($Q$9,$AD$14:$AD$25,0)))</f>
        <v>0</v>
      </c>
      <c r="AA20" s="95">
        <f t="shared" si="3"/>
        <v>0</v>
      </c>
      <c r="AB20" s="8"/>
      <c r="AC20" s="5"/>
      <c r="AD20" t="s">
        <v>12</v>
      </c>
      <c r="AE20">
        <v>7</v>
      </c>
      <c r="AG20">
        <f>_xlfn.RANK.EQ(AI20,$AI$5:$AI$49,0)+COUNTIF($AI$5:AI20,AI20)-1</f>
        <v>27</v>
      </c>
      <c r="AH20" s="73" t="s">
        <v>176</v>
      </c>
      <c r="AI20" s="94">
        <f>SUMIFS(Table_Assembly[Specific Amount],Table_Assembly[Product type],$AH$3,Table_Assembly[NG Type],$AF$12,Table_Assembly[NG content],AH20,Table_Assembly[Year],$AE$7)</f>
        <v>0</v>
      </c>
      <c r="AJ20" s="95">
        <f t="shared" si="5"/>
        <v>0</v>
      </c>
      <c r="AK20" s="8"/>
      <c r="AL20" s="5"/>
      <c r="AM20" s="5">
        <f>_xlfn.RANK.EQ(AO20,$AO$5:$AO$49,0)+COUNTIF($AO$5:AO20,AO20)-1</f>
        <v>23</v>
      </c>
      <c r="AN20" s="73" t="s">
        <v>176</v>
      </c>
      <c r="AO20" s="94">
        <f>SUMIFS(Table_Assembly[Specific Amount],Table_Assembly[Product type],$AN$3,Table_Assembly[NG Type],$AF$12,Table_Assembly[NG content],AN20,Table_Assembly[Year],$AE$7)</f>
        <v>0</v>
      </c>
      <c r="AP20" s="95">
        <f t="shared" si="4"/>
        <v>0</v>
      </c>
      <c r="AQ20" s="8"/>
    </row>
    <row r="21" spans="2:43">
      <c r="B21" t="s">
        <v>160</v>
      </c>
      <c r="D21" s="5">
        <f>_xlfn.RANK.EQ(F21,$F$5:$F$49,0)+COUNTIF($F$5:F21,F21)-1</f>
        <v>24</v>
      </c>
      <c r="E21" s="73" t="s">
        <v>177</v>
      </c>
      <c r="F21" s="94">
        <f>SUMIFS(Table_Assembly[Specific Amount],Table_Assembly[NG Type],$B$21,Table_Assembly[NG content],E21,Table_Assembly[Product type],$E$3,Table_Assembly[MFG Date],"&gt;="&amp;'Weekly Report'!$B$13,Table_Assembly[MFG Date],"&lt;="&amp;'Weekly Report'!$B$15)</f>
        <v>0</v>
      </c>
      <c r="G21" s="95">
        <f t="shared" si="2"/>
        <v>0</v>
      </c>
      <c r="H21" s="8"/>
      <c r="I21" s="5"/>
      <c r="J21" s="5">
        <f>_xlfn.RANK.EQ(L21,$L$5:$L$49,0)+COUNTIF($L$5:L21,L21)-1</f>
        <v>20</v>
      </c>
      <c r="K21" s="73" t="s">
        <v>177</v>
      </c>
      <c r="L21" s="94">
        <f>SUMIFS(Table_Assembly[Specific Amount],Table_Assembly[NG Type],$B$21,Table_Assembly[NG content],K21,Table_Assembly[Product type],$K$3,Table_Assembly[MFG Date],"&gt;="&amp;'Weekly Report'!$B$13,Table_Assembly[MFG Date],"&lt;="&amp;'Weekly Report'!$B$15)</f>
        <v>0</v>
      </c>
      <c r="M21" s="95">
        <f t="shared" si="6"/>
        <v>0</v>
      </c>
      <c r="N21" s="8"/>
      <c r="S21">
        <f>_xlfn.RANK.EQ(U21,$U$5:$U$49,0)+COUNTIF($U$5:U21,U21)-1</f>
        <v>16</v>
      </c>
      <c r="T21" s="73" t="s">
        <v>177</v>
      </c>
      <c r="U21" s="94">
        <f>SUMIFS(Table_Assembly[Specific Amount],Table_Assembly[Product type],$T$3,Table_Assembly[NG Type],$R$19,Table_Assembly[NG content],T21,Table_Assembly[Month],INDEX($AE$14:$AE$25,MATCH($Q$9,$AD$14:$AD$25,0)))</f>
        <v>3</v>
      </c>
      <c r="V21" s="95">
        <f t="shared" si="1"/>
        <v>0.2304147465437788</v>
      </c>
      <c r="W21" s="8"/>
      <c r="X21" s="5">
        <f>_xlfn.RANK.EQ(Z21,$Z$5:$Z$49,0)+COUNTIF($Z$5:Z21,Z21)-1</f>
        <v>21</v>
      </c>
      <c r="Y21" s="73" t="s">
        <v>177</v>
      </c>
      <c r="Z21" s="94">
        <f>SUMIFS(Table_Assembly[Specific Amount],Table_Assembly[Product type],$Y$3,Table_Assembly[NG Type],$R$19,Table_Assembly[NG content],Y21,Table_Assembly[Month],INDEX($AE$14:$AE$25,MATCH($Q$9,$AD$14:$AD$25,0)))</f>
        <v>0</v>
      </c>
      <c r="AA21" s="95">
        <f t="shared" si="3"/>
        <v>0</v>
      </c>
      <c r="AB21" s="8" t="s">
        <v>128</v>
      </c>
      <c r="AC21" s="5"/>
      <c r="AD21" t="s">
        <v>13</v>
      </c>
      <c r="AE21">
        <v>8</v>
      </c>
      <c r="AG21">
        <f>_xlfn.RANK.EQ(AI21,$AI$5:$AI$49,0)+COUNTIF($AI$5:AI21,AI21)-1</f>
        <v>16</v>
      </c>
      <c r="AH21" s="73" t="s">
        <v>177</v>
      </c>
      <c r="AI21" s="94">
        <f>SUMIFS(Table_Assembly[Specific Amount],Table_Assembly[Product type],$AH$3,Table_Assembly[NG Type],$AF$12,Table_Assembly[NG content],AH21,Table_Assembly[Year],$AE$7)</f>
        <v>3</v>
      </c>
      <c r="AJ21" s="95">
        <f t="shared" si="5"/>
        <v>0.20891364902506965</v>
      </c>
      <c r="AK21" s="8"/>
      <c r="AL21" s="5"/>
      <c r="AM21" s="5">
        <f>_xlfn.RANK.EQ(AO21,$AO$5:$AO$49,0)+COUNTIF($AO$5:AO21,AO21)-1</f>
        <v>24</v>
      </c>
      <c r="AN21" s="73" t="s">
        <v>177</v>
      </c>
      <c r="AO21" s="94">
        <f>SUMIFS(Table_Assembly[Specific Amount],Table_Assembly[Product type],$AN$3,Table_Assembly[NG Type],$AF$12,Table_Assembly[NG content],AN21,Table_Assembly[Year],$AE$7)</f>
        <v>0</v>
      </c>
      <c r="AP21" s="95">
        <f t="shared" si="4"/>
        <v>0</v>
      </c>
      <c r="AQ21" s="8"/>
    </row>
    <row r="22" spans="2:43">
      <c r="D22" s="5">
        <f>_xlfn.RANK.EQ(F22,$F$5:$F$49,0)+COUNTIF($F$5:F22,F22)-1</f>
        <v>7</v>
      </c>
      <c r="E22" s="73" t="s">
        <v>178</v>
      </c>
      <c r="F22" s="94">
        <f>SUMIFS(Table_Assembly[Specific Amount],Table_Assembly[NG Type],$B$21,Table_Assembly[NG content],E22,Table_Assembly[Product type],$E$3,Table_Assembly[MFG Date],"&gt;="&amp;'Weekly Report'!$B$13,Table_Assembly[MFG Date],"&lt;="&amp;'Weekly Report'!$B$15)</f>
        <v>4</v>
      </c>
      <c r="G22" s="95">
        <f t="shared" si="2"/>
        <v>3.6036036036036037</v>
      </c>
      <c r="H22" s="8"/>
      <c r="I22" s="5"/>
      <c r="J22" s="5">
        <f>_xlfn.RANK.EQ(L22,$L$5:$L$49,0)+COUNTIF($L$5:L22,L22)-1</f>
        <v>21</v>
      </c>
      <c r="K22" s="73" t="s">
        <v>178</v>
      </c>
      <c r="L22" s="94">
        <f>SUMIFS(Table_Assembly[Specific Amount],Table_Assembly[NG Type],$B$21,Table_Assembly[NG content],K22,Table_Assembly[Product type],$K$3,Table_Assembly[MFG Date],"&gt;="&amp;'Weekly Report'!$B$13,Table_Assembly[MFG Date],"&lt;="&amp;'Weekly Report'!$B$15)</f>
        <v>0</v>
      </c>
      <c r="M22" s="95">
        <f t="shared" si="6"/>
        <v>0</v>
      </c>
      <c r="N22" s="8"/>
      <c r="S22">
        <f>_xlfn.RANK.EQ(U22,$U$5:$U$49,0)+COUNTIF($U$5:U22,U22)-1</f>
        <v>13</v>
      </c>
      <c r="T22" s="73" t="s">
        <v>178</v>
      </c>
      <c r="U22" s="94">
        <f>SUMIFS(Table_Assembly[Specific Amount],Table_Assembly[Product type],$T$3,Table_Assembly[NG Type],$R$19,Table_Assembly[NG content],T22,Table_Assembly[Month],INDEX($AE$14:$AE$25,MATCH($Q$9,$AD$14:$AD$25,0)))</f>
        <v>4</v>
      </c>
      <c r="V22" s="95">
        <f t="shared" si="1"/>
        <v>0.30721966205837176</v>
      </c>
      <c r="W22" s="8"/>
      <c r="X22" s="5">
        <f>_xlfn.RANK.EQ(Z22,$Z$5:$Z$49,0)+COUNTIF($Z$5:Z22,Z22)-1</f>
        <v>22</v>
      </c>
      <c r="Y22" s="73" t="s">
        <v>178</v>
      </c>
      <c r="Z22" s="94">
        <f>SUMIFS(Table_Assembly[Specific Amount],Table_Assembly[Product type],$Y$3,Table_Assembly[NG Type],$R$19,Table_Assembly[NG content],Y22,Table_Assembly[Month],INDEX($AE$14:$AE$25,MATCH($Q$9,$AD$14:$AD$25,0)))</f>
        <v>0</v>
      </c>
      <c r="AA22" s="95">
        <f t="shared" si="3"/>
        <v>0</v>
      </c>
      <c r="AB22" s="8"/>
      <c r="AC22" s="5"/>
      <c r="AD22" t="s">
        <v>14</v>
      </c>
      <c r="AE22">
        <v>9</v>
      </c>
      <c r="AG22">
        <f>_xlfn.RANK.EQ(AI22,$AI$5:$AI$49,0)+COUNTIF($AI$5:AI22,AI22)-1</f>
        <v>14</v>
      </c>
      <c r="AH22" s="73" t="s">
        <v>178</v>
      </c>
      <c r="AI22" s="94">
        <f>SUMIFS(Table_Assembly[Specific Amount],Table_Assembly[Product type],$AH$3,Table_Assembly[NG Type],$AF$12,Table_Assembly[NG content],AH22,Table_Assembly[Year],$AE$7)</f>
        <v>4</v>
      </c>
      <c r="AJ22" s="95">
        <f t="shared" si="5"/>
        <v>0.2785515320334262</v>
      </c>
      <c r="AK22" s="8"/>
      <c r="AL22" s="5"/>
      <c r="AM22" s="5">
        <f>_xlfn.RANK.EQ(AO22,$AO$5:$AO$49,0)+COUNTIF($AO$5:AO22,AO22)-1</f>
        <v>25</v>
      </c>
      <c r="AN22" s="73" t="s">
        <v>178</v>
      </c>
      <c r="AO22" s="94">
        <f>SUMIFS(Table_Assembly[Specific Amount],Table_Assembly[Product type],$AN$3,Table_Assembly[NG Type],$AF$12,Table_Assembly[NG content],AN22,Table_Assembly[Year],$AE$7)</f>
        <v>0</v>
      </c>
      <c r="AP22" s="95">
        <f t="shared" si="4"/>
        <v>0</v>
      </c>
      <c r="AQ22" s="8"/>
    </row>
    <row r="23" spans="2:43">
      <c r="D23" s="5">
        <f>_xlfn.RANK.EQ(F23,$F$5:$F$49,0)+COUNTIF($F$5:F23,F23)-1</f>
        <v>3</v>
      </c>
      <c r="E23" s="73" t="s">
        <v>233</v>
      </c>
      <c r="F23" s="94">
        <f>SUMIFS(Table_Assembly[Specific Amount],Table_Assembly[NG Type],$B$21,Table_Assembly[NG content],E23,Table_Assembly[Product type],$E$3,Table_Assembly[MFG Date],"&gt;="&amp;'Weekly Report'!$B$13,Table_Assembly[MFG Date],"&lt;="&amp;'Weekly Report'!$B$15)</f>
        <v>15</v>
      </c>
      <c r="G23" s="95">
        <f t="shared" si="2"/>
        <v>13.513513513513514</v>
      </c>
      <c r="H23" s="8"/>
      <c r="I23" s="5"/>
      <c r="J23" s="5">
        <f>_xlfn.RANK.EQ(L23,$L$5:$L$49,0)+COUNTIF($L$5:L23,L23)-1</f>
        <v>3</v>
      </c>
      <c r="K23" s="73" t="s">
        <v>233</v>
      </c>
      <c r="L23" s="94">
        <f>SUMIFS(Table_Assembly[Specific Amount],Table_Assembly[NG Type],$B$21,Table_Assembly[NG content],K23,Table_Assembly[Product type],$K$3,Table_Assembly[MFG Date],"&gt;="&amp;'Weekly Report'!$B$13,Table_Assembly[MFG Date],"&lt;="&amp;'Weekly Report'!$B$15)</f>
        <v>9</v>
      </c>
      <c r="M23" s="95">
        <f t="shared" si="6"/>
        <v>6.4748201438848918</v>
      </c>
      <c r="N23" s="8"/>
      <c r="S23">
        <f>_xlfn.RANK.EQ(U23,$U$5:$U$49,0)+COUNTIF($U$5:U23,U23)-1</f>
        <v>5</v>
      </c>
      <c r="T23" s="73" t="s">
        <v>233</v>
      </c>
      <c r="U23" s="94">
        <f>SUMIFS(Table_Assembly[Specific Amount],Table_Assembly[Product type],$T$3,Table_Assembly[NG Type],$R$19,Table_Assembly[NG content],T23,Table_Assembly[Month],INDEX($AE$14:$AE$25,MATCH($Q$9,$AD$14:$AD$25,0)))</f>
        <v>27</v>
      </c>
      <c r="V23" s="95">
        <f t="shared" si="1"/>
        <v>2.0737327188940093</v>
      </c>
      <c r="W23" s="8"/>
      <c r="X23" s="5">
        <f>_xlfn.RANK.EQ(Z23,$Z$5:$Z$49,0)+COUNTIF($Z$5:Z23,Z23)-1</f>
        <v>3</v>
      </c>
      <c r="Y23" s="73" t="s">
        <v>233</v>
      </c>
      <c r="Z23" s="94">
        <f>SUMIFS(Table_Assembly[Specific Amount],Table_Assembly[Product type],$Y$3,Table_Assembly[NG Type],$R$19,Table_Assembly[NG content],Y23,Table_Assembly[Month],INDEX($AE$14:$AE$25,MATCH($Q$9,$AD$14:$AD$25,0)))</f>
        <v>27</v>
      </c>
      <c r="AA23" s="95">
        <f t="shared" si="3"/>
        <v>11.894273127753303</v>
      </c>
      <c r="AB23" s="8"/>
      <c r="AC23" s="5"/>
      <c r="AD23" t="s">
        <v>15</v>
      </c>
      <c r="AE23">
        <v>10</v>
      </c>
      <c r="AG23">
        <f>_xlfn.RANK.EQ(AI23,$AI$5:$AI$49,0)+COUNTIF($AI$5:AI23,AI23)-1</f>
        <v>7</v>
      </c>
      <c r="AH23" s="73" t="s">
        <v>233</v>
      </c>
      <c r="AI23" s="94">
        <f>SUMIFS(Table_Assembly[Specific Amount],Table_Assembly[Product type],$AH$3,Table_Assembly[NG Type],$AF$12,Table_Assembly[NG content],AH23,Table_Assembly[Year],$AE$7)</f>
        <v>31</v>
      </c>
      <c r="AJ23" s="95">
        <f t="shared" si="5"/>
        <v>2.1587743732590527</v>
      </c>
      <c r="AK23" s="8"/>
      <c r="AL23" s="5"/>
      <c r="AM23" s="5">
        <f>_xlfn.RANK.EQ(AO23,$AO$5:$AO$49,0)+COUNTIF($AO$5:AO23,AO23)-1</f>
        <v>3</v>
      </c>
      <c r="AN23" s="73" t="s">
        <v>233</v>
      </c>
      <c r="AO23" s="94">
        <f>SUMIFS(Table_Assembly[Specific Amount],Table_Assembly[Product type],$AN$3,Table_Assembly[NG Type],$AF$12,Table_Assembly[NG content],AN23,Table_Assembly[Year],$AE$7)</f>
        <v>40</v>
      </c>
      <c r="AP23" s="95">
        <f t="shared" si="4"/>
        <v>12.539184952978054</v>
      </c>
      <c r="AQ23" s="8"/>
    </row>
    <row r="24" spans="2:43">
      <c r="D24" s="5">
        <f>_xlfn.RANK.EQ(F24,$F$5:$F$49,0)+COUNTIF($F$5:F24,F24)-1</f>
        <v>25</v>
      </c>
      <c r="E24" s="73" t="s">
        <v>179</v>
      </c>
      <c r="F24" s="94">
        <f>SUMIFS(Table_Assembly[Specific Amount],Table_Assembly[NG Type],$B$21,Table_Assembly[NG content],E24,Table_Assembly[Product type],$E$3,Table_Assembly[MFG Date],"&gt;="&amp;'Weekly Report'!$B$13,Table_Assembly[MFG Date],"&lt;="&amp;'Weekly Report'!$B$15)</f>
        <v>0</v>
      </c>
      <c r="G24" s="95">
        <f t="shared" si="2"/>
        <v>0</v>
      </c>
      <c r="H24" s="8"/>
      <c r="I24" s="5"/>
      <c r="J24" s="5">
        <f>_xlfn.RANK.EQ(L24,$L$5:$L$49,0)+COUNTIF($L$5:L24,L24)-1</f>
        <v>22</v>
      </c>
      <c r="K24" s="73" t="s">
        <v>179</v>
      </c>
      <c r="L24" s="94">
        <f>SUMIFS(Table_Assembly[Specific Amount],Table_Assembly[NG Type],$B$21,Table_Assembly[NG content],K24,Table_Assembly[Product type],$K$3,Table_Assembly[MFG Date],"&gt;="&amp;'Weekly Report'!$B$13,Table_Assembly[MFG Date],"&lt;="&amp;'Weekly Report'!$B$15)</f>
        <v>0</v>
      </c>
      <c r="M24" s="95">
        <f t="shared" si="6"/>
        <v>0</v>
      </c>
      <c r="N24" s="8"/>
      <c r="S24">
        <f>_xlfn.RANK.EQ(U24,$U$5:$U$49,0)+COUNTIF($U$5:U24,U24)-1</f>
        <v>27</v>
      </c>
      <c r="T24" s="73" t="s">
        <v>179</v>
      </c>
      <c r="U24" s="94">
        <f>SUMIFS(Table_Assembly[Specific Amount],Table_Assembly[Product type],$T$3,Table_Assembly[NG Type],$R$19,Table_Assembly[NG content],T24,Table_Assembly[Month],INDEX($AE$14:$AE$25,MATCH($Q$9,$AD$14:$AD$25,0)))</f>
        <v>0</v>
      </c>
      <c r="V24" s="95">
        <f t="shared" si="1"/>
        <v>0</v>
      </c>
      <c r="W24" s="8"/>
      <c r="X24" s="5">
        <f>_xlfn.RANK.EQ(Z24,$Z$5:$Z$49,0)+COUNTIF($Z$5:Z24,Z24)-1</f>
        <v>23</v>
      </c>
      <c r="Y24" s="73" t="s">
        <v>179</v>
      </c>
      <c r="Z24" s="94">
        <f>SUMIFS(Table_Assembly[Specific Amount],Table_Assembly[Product type],$Y$3,Table_Assembly[NG Type],$R$19,Table_Assembly[NG content],Y24,Table_Assembly[Month],INDEX($AE$14:$AE$25,MATCH($Q$9,$AD$14:$AD$25,0)))</f>
        <v>0</v>
      </c>
      <c r="AA24" s="95">
        <f t="shared" si="3"/>
        <v>0</v>
      </c>
      <c r="AB24" s="8"/>
      <c r="AC24" s="5"/>
      <c r="AD24" t="s">
        <v>16</v>
      </c>
      <c r="AE24">
        <v>11</v>
      </c>
      <c r="AG24">
        <f>_xlfn.RANK.EQ(AI24,$AI$5:$AI$49,0)+COUNTIF($AI$5:AI24,AI24)-1</f>
        <v>28</v>
      </c>
      <c r="AH24" s="73" t="s">
        <v>179</v>
      </c>
      <c r="AI24" s="94">
        <f>SUMIFS(Table_Assembly[Specific Amount],Table_Assembly[Product type],$AH$3,Table_Assembly[NG Type],$AF$12,Table_Assembly[NG content],AH24,Table_Assembly[Year],$AE$7)</f>
        <v>0</v>
      </c>
      <c r="AJ24" s="95">
        <f t="shared" si="5"/>
        <v>0</v>
      </c>
      <c r="AK24" s="8"/>
      <c r="AL24" s="5"/>
      <c r="AM24" s="5">
        <f>_xlfn.RANK.EQ(AO24,$AO$5:$AO$49,0)+COUNTIF($AO$5:AO24,AO24)-1</f>
        <v>26</v>
      </c>
      <c r="AN24" s="73" t="s">
        <v>179</v>
      </c>
      <c r="AO24" s="94">
        <f>SUMIFS(Table_Assembly[Specific Amount],Table_Assembly[Product type],$AN$3,Table_Assembly[NG Type],$AF$12,Table_Assembly[NG content],AN24,Table_Assembly[Year],$AE$7)</f>
        <v>0</v>
      </c>
      <c r="AP24" s="95">
        <f t="shared" si="4"/>
        <v>0</v>
      </c>
      <c r="AQ24" s="8"/>
    </row>
    <row r="25" spans="2:43">
      <c r="D25" s="5">
        <f>_xlfn.RANK.EQ(F25,$F$5:$F$49,0)+COUNTIF($F$5:F25,F25)-1</f>
        <v>26</v>
      </c>
      <c r="E25" s="73" t="s">
        <v>180</v>
      </c>
      <c r="F25" s="94">
        <f>SUMIFS(Table_Assembly[Specific Amount],Table_Assembly[NG Type],$B$21,Table_Assembly[NG content],E25,Table_Assembly[Product type],$E$3,Table_Assembly[MFG Date],"&gt;="&amp;'Weekly Report'!$B$13,Table_Assembly[MFG Date],"&lt;="&amp;'Weekly Report'!$B$15)</f>
        <v>0</v>
      </c>
      <c r="G25" s="95">
        <f t="shared" si="2"/>
        <v>0</v>
      </c>
      <c r="H25" s="8"/>
      <c r="I25" s="5"/>
      <c r="J25" s="5">
        <f>_xlfn.RANK.EQ(L25,$L$5:$L$49,0)+COUNTIF($L$5:L25,L25)-1</f>
        <v>23</v>
      </c>
      <c r="K25" s="73" t="s">
        <v>180</v>
      </c>
      <c r="L25" s="94">
        <f>SUMIFS(Table_Assembly[Specific Amount],Table_Assembly[NG Type],$B$21,Table_Assembly[NG content],K25,Table_Assembly[Product type],$K$3,Table_Assembly[MFG Date],"&gt;="&amp;'Weekly Report'!$B$13,Table_Assembly[MFG Date],"&lt;="&amp;'Weekly Report'!$B$15)</f>
        <v>0</v>
      </c>
      <c r="M25" s="95">
        <f t="shared" si="6"/>
        <v>0</v>
      </c>
      <c r="N25" s="8"/>
      <c r="S25">
        <f>_xlfn.RANK.EQ(U25,$U$5:$U$49,0)+COUNTIF($U$5:U25,U25)-1</f>
        <v>28</v>
      </c>
      <c r="T25" s="73" t="s">
        <v>180</v>
      </c>
      <c r="U25" s="94">
        <f>SUMIFS(Table_Assembly[Specific Amount],Table_Assembly[Product type],$T$3,Table_Assembly[NG Type],$R$19,Table_Assembly[NG content],T25,Table_Assembly[Month],INDEX($AE$14:$AE$25,MATCH($Q$9,$AD$14:$AD$25,0)))</f>
        <v>0</v>
      </c>
      <c r="V25" s="95">
        <f t="shared" si="1"/>
        <v>0</v>
      </c>
      <c r="W25" s="8"/>
      <c r="X25" s="5">
        <f>_xlfn.RANK.EQ(Z25,$Z$5:$Z$49,0)+COUNTIF($Z$5:Z25,Z25)-1</f>
        <v>24</v>
      </c>
      <c r="Y25" s="73" t="s">
        <v>180</v>
      </c>
      <c r="Z25" s="94">
        <f>SUMIFS(Table_Assembly[Specific Amount],Table_Assembly[Product type],$Y$3,Table_Assembly[NG Type],$R$19,Table_Assembly[NG content],Y25,Table_Assembly[Month],INDEX($AE$14:$AE$25,MATCH($Q$9,$AD$14:$AD$25,0)))</f>
        <v>0</v>
      </c>
      <c r="AA25" s="95">
        <f t="shared" si="3"/>
        <v>0</v>
      </c>
      <c r="AB25" s="8"/>
      <c r="AC25" s="5"/>
      <c r="AD25" t="s">
        <v>17</v>
      </c>
      <c r="AE25">
        <v>12</v>
      </c>
      <c r="AG25">
        <f>_xlfn.RANK.EQ(AI25,$AI$5:$AI$49,0)+COUNTIF($AI$5:AI25,AI25)-1</f>
        <v>29</v>
      </c>
      <c r="AH25" s="73" t="s">
        <v>180</v>
      </c>
      <c r="AI25" s="94">
        <f>SUMIFS(Table_Assembly[Specific Amount],Table_Assembly[Product type],$AH$3,Table_Assembly[NG Type],$AF$12,Table_Assembly[NG content],AH25,Table_Assembly[Year],$AE$7)</f>
        <v>0</v>
      </c>
      <c r="AJ25" s="95">
        <f t="shared" si="5"/>
        <v>0</v>
      </c>
      <c r="AK25" s="8"/>
      <c r="AL25" s="5"/>
      <c r="AM25" s="5">
        <f>_xlfn.RANK.EQ(AO25,$AO$5:$AO$49,0)+COUNTIF($AO$5:AO25,AO25)-1</f>
        <v>11</v>
      </c>
      <c r="AN25" s="73" t="s">
        <v>180</v>
      </c>
      <c r="AO25" s="94">
        <f>SUMIFS(Table_Assembly[Specific Amount],Table_Assembly[Product type],$AN$3,Table_Assembly[NG Type],$AF$12,Table_Assembly[NG content],AN25,Table_Assembly[Year],$AE$7)</f>
        <v>1</v>
      </c>
      <c r="AP25" s="95">
        <f t="shared" si="4"/>
        <v>0.31347962382445138</v>
      </c>
      <c r="AQ25" s="8"/>
    </row>
    <row r="26" spans="2:43">
      <c r="D26" s="5">
        <f>_xlfn.RANK.EQ(F26,$F$5:$F$49,0)+COUNTIF($F$5:F26,F26)-1</f>
        <v>27</v>
      </c>
      <c r="E26" s="73" t="s">
        <v>181</v>
      </c>
      <c r="F26" s="94">
        <f>SUMIFS(Table_Assembly[Specific Amount],Table_Assembly[NG Type],$B$21,Table_Assembly[NG content],E26,Table_Assembly[Product type],$E$3,Table_Assembly[MFG Date],"&gt;="&amp;'Weekly Report'!$B$13,Table_Assembly[MFG Date],"&lt;="&amp;'Weekly Report'!$B$15)</f>
        <v>0</v>
      </c>
      <c r="G26" s="95">
        <f t="shared" si="2"/>
        <v>0</v>
      </c>
      <c r="H26" s="8"/>
      <c r="I26" s="5"/>
      <c r="J26" s="5">
        <f>_xlfn.RANK.EQ(L26,$L$5:$L$49,0)+COUNTIF($L$5:L26,L26)-1</f>
        <v>24</v>
      </c>
      <c r="K26" s="73" t="s">
        <v>181</v>
      </c>
      <c r="L26" s="94">
        <f>SUMIFS(Table_Assembly[Specific Amount],Table_Assembly[NG Type],$B$21,Table_Assembly[NG content],K26,Table_Assembly[Product type],$K$3,Table_Assembly[MFG Date],"&gt;="&amp;'Weekly Report'!$B$13,Table_Assembly[MFG Date],"&lt;="&amp;'Weekly Report'!$B$15)</f>
        <v>0</v>
      </c>
      <c r="M26" s="95">
        <f t="shared" si="6"/>
        <v>0</v>
      </c>
      <c r="N26" s="8"/>
      <c r="S26">
        <f>_xlfn.RANK.EQ(U26,$U$5:$U$49,0)+COUNTIF($U$5:U26,U26)-1</f>
        <v>29</v>
      </c>
      <c r="T26" s="73" t="s">
        <v>181</v>
      </c>
      <c r="U26" s="94">
        <f>SUMIFS(Table_Assembly[Specific Amount],Table_Assembly[Product type],$T$3,Table_Assembly[NG Type],$R$19,Table_Assembly[NG content],T26,Table_Assembly[Month],INDEX($AE$14:$AE$25,MATCH($Q$9,$AD$14:$AD$25,0)))</f>
        <v>0</v>
      </c>
      <c r="V26" s="95">
        <f t="shared" si="1"/>
        <v>0</v>
      </c>
      <c r="W26" s="8"/>
      <c r="X26" s="5">
        <f>_xlfn.RANK.EQ(Z26,$Z$5:$Z$49,0)+COUNTIF($Z$5:Z26,Z26)-1</f>
        <v>25</v>
      </c>
      <c r="Y26" s="73" t="s">
        <v>181</v>
      </c>
      <c r="Z26" s="94">
        <f>SUMIFS(Table_Assembly[Specific Amount],Table_Assembly[Product type],$Y$3,Table_Assembly[NG Type],$R$19,Table_Assembly[NG content],Y26,Table_Assembly[Month],INDEX($AE$14:$AE$25,MATCH($Q$9,$AD$14:$AD$25,0)))</f>
        <v>0</v>
      </c>
      <c r="AA26" s="95">
        <f t="shared" si="3"/>
        <v>0</v>
      </c>
      <c r="AB26" s="8"/>
      <c r="AG26">
        <f>_xlfn.RANK.EQ(AI26,$AI$5:$AI$49,0)+COUNTIF($AI$5:AI26,AI26)-1</f>
        <v>30</v>
      </c>
      <c r="AH26" s="73" t="s">
        <v>181</v>
      </c>
      <c r="AI26" s="94">
        <f>SUMIFS(Table_Assembly[Specific Amount],Table_Assembly[Product type],$AH$3,Table_Assembly[NG Type],$AF$12,Table_Assembly[NG content],AH26,Table_Assembly[Year],$AE$7)</f>
        <v>0</v>
      </c>
      <c r="AJ26" s="95">
        <f t="shared" si="5"/>
        <v>0</v>
      </c>
      <c r="AK26" s="8"/>
      <c r="AM26" s="5">
        <f>_xlfn.RANK.EQ(AO26,$AO$5:$AO$49,0)+COUNTIF($AO$5:AO26,AO26)-1</f>
        <v>27</v>
      </c>
      <c r="AN26" s="73" t="s">
        <v>181</v>
      </c>
      <c r="AO26" s="94">
        <f>SUMIFS(Table_Assembly[Specific Amount],Table_Assembly[Product type],$AN$3,Table_Assembly[NG Type],$AF$12,Table_Assembly[NG content],AN26,Table_Assembly[Year],$AE$7)</f>
        <v>0</v>
      </c>
      <c r="AP26" s="95">
        <f t="shared" si="4"/>
        <v>0</v>
      </c>
      <c r="AQ26" s="8"/>
    </row>
    <row r="27" spans="2:43">
      <c r="B27" t="s">
        <v>239</v>
      </c>
      <c r="D27" s="5">
        <f>_xlfn.RANK.EQ(F27,$F$5:$F$49,0)+COUNTIF($F$5:F27,F27)-1</f>
        <v>28</v>
      </c>
      <c r="E27" s="73" t="s">
        <v>182</v>
      </c>
      <c r="F27" s="94">
        <f>SUMIFS(Table_Assembly[Specific Amount],Table_Assembly[NG Type],$B$21,Table_Assembly[NG content],E27,Table_Assembly[Product type],$E$3,Table_Assembly[MFG Date],"&gt;="&amp;'Weekly Report'!$B$13,Table_Assembly[MFG Date],"&lt;="&amp;'Weekly Report'!$B$15)</f>
        <v>0</v>
      </c>
      <c r="G27" s="95">
        <f t="shared" si="2"/>
        <v>0</v>
      </c>
      <c r="H27" s="8"/>
      <c r="I27" s="5"/>
      <c r="J27" s="5">
        <f>_xlfn.RANK.EQ(L27,$L$5:$L$49,0)+COUNTIF($L$5:L27,L27)-1</f>
        <v>25</v>
      </c>
      <c r="K27" s="73" t="s">
        <v>182</v>
      </c>
      <c r="L27" s="94">
        <f>SUMIFS(Table_Assembly[Specific Amount],Table_Assembly[NG Type],$B$21,Table_Assembly[NG content],K27,Table_Assembly[Product type],$K$3,Table_Assembly[MFG Date],"&gt;="&amp;'Weekly Report'!$B$13,Table_Assembly[MFG Date],"&lt;="&amp;'Weekly Report'!$B$15)</f>
        <v>0</v>
      </c>
      <c r="M27" s="95">
        <f t="shared" si="6"/>
        <v>0</v>
      </c>
      <c r="N27" s="8"/>
      <c r="S27">
        <f>_xlfn.RANK.EQ(U27,$U$5:$U$49,0)+COUNTIF($U$5:U27,U27)-1</f>
        <v>30</v>
      </c>
      <c r="T27" s="73" t="s">
        <v>182</v>
      </c>
      <c r="U27" s="94">
        <f>SUMIFS(Table_Assembly[Specific Amount],Table_Assembly[Product type],$T$3,Table_Assembly[NG Type],$R$19,Table_Assembly[NG content],T27,Table_Assembly[Month],INDEX($AE$14:$AE$25,MATCH($Q$9,$AD$14:$AD$25,0)))</f>
        <v>0</v>
      </c>
      <c r="V27" s="95">
        <f t="shared" si="1"/>
        <v>0</v>
      </c>
      <c r="W27" s="8"/>
      <c r="X27" s="5">
        <f>_xlfn.RANK.EQ(Z27,$Z$5:$Z$49,0)+COUNTIF($Z$5:Z27,Z27)-1</f>
        <v>26</v>
      </c>
      <c r="Y27" s="73" t="s">
        <v>182</v>
      </c>
      <c r="Z27" s="94">
        <f>SUMIFS(Table_Assembly[Specific Amount],Table_Assembly[Product type],$Y$3,Table_Assembly[NG Type],$R$19,Table_Assembly[NG content],Y27,Table_Assembly[Month],INDEX($AE$14:$AE$25,MATCH($Q$9,$AD$14:$AD$25,0)))</f>
        <v>0</v>
      </c>
      <c r="AA27" s="95">
        <f t="shared" si="3"/>
        <v>0</v>
      </c>
      <c r="AB27" s="8"/>
      <c r="AG27">
        <f>_xlfn.RANK.EQ(AI27,$AI$5:$AI$49,0)+COUNTIF($AI$5:AI27,AI27)-1</f>
        <v>31</v>
      </c>
      <c r="AH27" s="73" t="s">
        <v>182</v>
      </c>
      <c r="AI27" s="94">
        <f>SUMIFS(Table_Assembly[Specific Amount],Table_Assembly[Product type],$AH$3,Table_Assembly[NG Type],$AF$12,Table_Assembly[NG content],AH27,Table_Assembly[Year],$AE$7)</f>
        <v>0</v>
      </c>
      <c r="AJ27" s="95">
        <f t="shared" si="5"/>
        <v>0</v>
      </c>
      <c r="AK27" s="8"/>
      <c r="AM27" s="5">
        <f>_xlfn.RANK.EQ(AO27,$AO$5:$AO$49,0)+COUNTIF($AO$5:AO27,AO27)-1</f>
        <v>28</v>
      </c>
      <c r="AN27" s="73" t="s">
        <v>182</v>
      </c>
      <c r="AO27" s="94">
        <f>SUMIFS(Table_Assembly[Specific Amount],Table_Assembly[Product type],$AN$3,Table_Assembly[NG Type],$AF$12,Table_Assembly[NG content],AN27,Table_Assembly[Year],$AE$7)</f>
        <v>0</v>
      </c>
      <c r="AP27" s="95">
        <f t="shared" si="4"/>
        <v>0</v>
      </c>
      <c r="AQ27" s="8"/>
    </row>
    <row r="28" spans="2:43">
      <c r="D28" s="5">
        <f>_xlfn.RANK.EQ(F28,$F$5:$F$49,0)+COUNTIF($F$5:F28,F28)-1</f>
        <v>29</v>
      </c>
      <c r="E28" s="73" t="s">
        <v>183</v>
      </c>
      <c r="F28" s="94">
        <f>SUMIFS(Table_Assembly[Specific Amount],Table_Assembly[NG Type],$B$21,Table_Assembly[NG content],E28,Table_Assembly[Product type],$E$3,Table_Assembly[MFG Date],"&gt;="&amp;'Weekly Report'!$B$13,Table_Assembly[MFG Date],"&lt;="&amp;'Weekly Report'!$B$15)</f>
        <v>0</v>
      </c>
      <c r="G28" s="95">
        <f t="shared" si="2"/>
        <v>0</v>
      </c>
      <c r="H28" s="8"/>
      <c r="I28" s="5"/>
      <c r="J28" s="5">
        <f>_xlfn.RANK.EQ(L28,$L$5:$L$49,0)+COUNTIF($L$5:L28,L28)-1</f>
        <v>26</v>
      </c>
      <c r="K28" s="73" t="s">
        <v>183</v>
      </c>
      <c r="L28" s="94">
        <f>SUMIFS(Table_Assembly[Specific Amount],Table_Assembly[NG Type],$B$21,Table_Assembly[NG content],K28,Table_Assembly[Product type],$K$3,Table_Assembly[MFG Date],"&gt;="&amp;'Weekly Report'!$B$13,Table_Assembly[MFG Date],"&lt;="&amp;'Weekly Report'!$B$15)</f>
        <v>0</v>
      </c>
      <c r="M28" s="95">
        <f t="shared" si="6"/>
        <v>0</v>
      </c>
      <c r="N28" s="8"/>
      <c r="S28">
        <f>_xlfn.RANK.EQ(U28,$U$5:$U$49,0)+COUNTIF($U$5:U28,U28)-1</f>
        <v>20</v>
      </c>
      <c r="T28" s="73" t="s">
        <v>183</v>
      </c>
      <c r="U28" s="94">
        <f>SUMIFS(Table_Assembly[Specific Amount],Table_Assembly[Product type],$T$3,Table_Assembly[NG Type],$R$19,Table_Assembly[NG content],T28,Table_Assembly[Month],INDEX($AE$14:$AE$25,MATCH($Q$9,$AD$14:$AD$25,0)))</f>
        <v>1</v>
      </c>
      <c r="V28" s="95">
        <f t="shared" si="1"/>
        <v>7.6804915514592939E-2</v>
      </c>
      <c r="W28" s="8"/>
      <c r="X28" s="5">
        <f>_xlfn.RANK.EQ(Z28,$Z$5:$Z$49,0)+COUNTIF($Z$5:Z28,Z28)-1</f>
        <v>27</v>
      </c>
      <c r="Y28" s="73" t="s">
        <v>183</v>
      </c>
      <c r="Z28" s="94">
        <f>SUMIFS(Table_Assembly[Specific Amount],Table_Assembly[Product type],$Y$3,Table_Assembly[NG Type],$R$19,Table_Assembly[NG content],Y28,Table_Assembly[Month],INDEX($AE$14:$AE$25,MATCH($Q$9,$AD$14:$AD$25,0)))</f>
        <v>0</v>
      </c>
      <c r="AA28" s="95">
        <f t="shared" si="3"/>
        <v>0</v>
      </c>
      <c r="AB28" s="8"/>
      <c r="AG28">
        <f>_xlfn.RANK.EQ(AI28,$AI$5:$AI$49,0)+COUNTIF($AI$5:AI28,AI28)-1</f>
        <v>22</v>
      </c>
      <c r="AH28" s="73" t="s">
        <v>183</v>
      </c>
      <c r="AI28" s="94">
        <f>SUMIFS(Table_Assembly[Specific Amount],Table_Assembly[Product type],$AH$3,Table_Assembly[NG Type],$AF$12,Table_Assembly[NG content],AH28,Table_Assembly[Year],$AE$7)</f>
        <v>1</v>
      </c>
      <c r="AJ28" s="95">
        <f t="shared" si="5"/>
        <v>6.9637883008356549E-2</v>
      </c>
      <c r="AK28" s="8"/>
      <c r="AM28" s="5">
        <f>_xlfn.RANK.EQ(AO28,$AO$5:$AO$49,0)+COUNTIF($AO$5:AO28,AO28)-1</f>
        <v>29</v>
      </c>
      <c r="AN28" s="73" t="s">
        <v>183</v>
      </c>
      <c r="AO28" s="94">
        <f>SUMIFS(Table_Assembly[Specific Amount],Table_Assembly[Product type],$AN$3,Table_Assembly[NG Type],$AF$12,Table_Assembly[NG content],AN28,Table_Assembly[Year],$AE$7)</f>
        <v>0</v>
      </c>
      <c r="AP28" s="95">
        <f t="shared" si="4"/>
        <v>0</v>
      </c>
      <c r="AQ28" s="8"/>
    </row>
    <row r="29" spans="2:43">
      <c r="D29" s="5">
        <f>_xlfn.RANK.EQ(F29,$F$5:$F$49,0)+COUNTIF($F$5:F29,F29)-1</f>
        <v>30</v>
      </c>
      <c r="E29" s="73" t="s">
        <v>234</v>
      </c>
      <c r="F29" s="94">
        <f>SUMIFS(Table_Assembly[Specific Amount],Table_Assembly[NG Type],$B$21,Table_Assembly[NG content],E29,Table_Assembly[Product type],$E$3,Table_Assembly[MFG Date],"&gt;="&amp;'Weekly Report'!$B$13,Table_Assembly[MFG Date],"&lt;="&amp;'Weekly Report'!$B$15)</f>
        <v>0</v>
      </c>
      <c r="G29" s="95">
        <f t="shared" si="2"/>
        <v>0</v>
      </c>
      <c r="H29" s="8"/>
      <c r="I29" s="5"/>
      <c r="J29" s="5">
        <f>_xlfn.RANK.EQ(L29,$L$5:$L$49,0)+COUNTIF($L$5:L29,L29)-1</f>
        <v>27</v>
      </c>
      <c r="K29" s="73" t="s">
        <v>234</v>
      </c>
      <c r="L29" s="94">
        <f>SUMIFS(Table_Assembly[Specific Amount],Table_Assembly[NG Type],$B$21,Table_Assembly[NG content],K29,Table_Assembly[Product type],$K$3,Table_Assembly[MFG Date],"&gt;="&amp;'Weekly Report'!$B$13,Table_Assembly[MFG Date],"&lt;="&amp;'Weekly Report'!$B$15)</f>
        <v>0</v>
      </c>
      <c r="M29" s="95">
        <f t="shared" si="6"/>
        <v>0</v>
      </c>
      <c r="N29" s="8"/>
      <c r="S29">
        <f>_xlfn.RANK.EQ(U29,$U$5:$U$49,0)+COUNTIF($U$5:U29,U29)-1</f>
        <v>31</v>
      </c>
      <c r="T29" s="73" t="s">
        <v>234</v>
      </c>
      <c r="U29" s="94">
        <f>SUMIFS(Table_Assembly[Specific Amount],Table_Assembly[Product type],$T$3,Table_Assembly[NG Type],$R$19,Table_Assembly[NG content],T29,Table_Assembly[Month],INDEX($AE$14:$AE$25,MATCH($Q$9,$AD$14:$AD$25,0)))</f>
        <v>0</v>
      </c>
      <c r="V29" s="95">
        <f t="shared" si="1"/>
        <v>0</v>
      </c>
      <c r="W29" s="8"/>
      <c r="X29" s="5">
        <f>_xlfn.RANK.EQ(Z29,$Z$5:$Z$49,0)+COUNTIF($Z$5:Z29,Z29)-1</f>
        <v>28</v>
      </c>
      <c r="Y29" s="73" t="s">
        <v>234</v>
      </c>
      <c r="Z29" s="94">
        <f>SUMIFS(Table_Assembly[Specific Amount],Table_Assembly[Product type],$Y$3,Table_Assembly[NG Type],$R$19,Table_Assembly[NG content],Y29,Table_Assembly[Month],INDEX($AE$14:$AE$25,MATCH($Q$9,$AD$14:$AD$25,0)))</f>
        <v>0</v>
      </c>
      <c r="AA29" s="95">
        <f t="shared" si="3"/>
        <v>0</v>
      </c>
      <c r="AB29" s="8"/>
      <c r="AG29">
        <f>_xlfn.RANK.EQ(AI29,$AI$5:$AI$49,0)+COUNTIF($AI$5:AI29,AI29)-1</f>
        <v>32</v>
      </c>
      <c r="AH29" s="73" t="s">
        <v>234</v>
      </c>
      <c r="AI29" s="94">
        <f>SUMIFS(Table_Assembly[Specific Amount],Table_Assembly[Product type],$AH$3,Table_Assembly[NG Type],$AF$12,Table_Assembly[NG content],AH29,Table_Assembly[Year],$AE$7)</f>
        <v>0</v>
      </c>
      <c r="AJ29" s="95">
        <f t="shared" si="5"/>
        <v>0</v>
      </c>
      <c r="AK29" s="8"/>
      <c r="AM29" s="5">
        <f>_xlfn.RANK.EQ(AO29,$AO$5:$AO$49,0)+COUNTIF($AO$5:AO29,AO29)-1</f>
        <v>30</v>
      </c>
      <c r="AN29" s="73" t="s">
        <v>234</v>
      </c>
      <c r="AO29" s="94">
        <f>SUMIFS(Table_Assembly[Specific Amount],Table_Assembly[Product type],$AN$3,Table_Assembly[NG Type],$AF$12,Table_Assembly[NG content],AN29,Table_Assembly[Year],$AE$7)</f>
        <v>0</v>
      </c>
      <c r="AP29" s="95">
        <f t="shared" si="4"/>
        <v>0</v>
      </c>
      <c r="AQ29" s="8"/>
    </row>
    <row r="30" spans="2:43">
      <c r="D30" s="5">
        <f>_xlfn.RANK.EQ(F30,$F$5:$F$49,0)+COUNTIF($F$5:F30,F30)-1</f>
        <v>9</v>
      </c>
      <c r="E30" s="73" t="s">
        <v>184</v>
      </c>
      <c r="F30" s="94">
        <f>SUMIFS(Table_Assembly[Specific Amount],Table_Assembly[NG Type],$B$21,Table_Assembly[NG content],E30,Table_Assembly[Product type],$E$3,Table_Assembly[MFG Date],"&gt;="&amp;'Weekly Report'!$B$13,Table_Assembly[MFG Date],"&lt;="&amp;'Weekly Report'!$B$15)</f>
        <v>3</v>
      </c>
      <c r="G30" s="95">
        <f t="shared" si="2"/>
        <v>2.7027027027027026</v>
      </c>
      <c r="H30" s="8"/>
      <c r="I30" s="5"/>
      <c r="J30" s="5">
        <f>_xlfn.RANK.EQ(L30,$L$5:$L$49,0)+COUNTIF($L$5:L30,L30)-1</f>
        <v>28</v>
      </c>
      <c r="K30" s="73" t="s">
        <v>184</v>
      </c>
      <c r="L30" s="94">
        <f>SUMIFS(Table_Assembly[Specific Amount],Table_Assembly[NG Type],$B$21,Table_Assembly[NG content],K30,Table_Assembly[Product type],$K$3,Table_Assembly[MFG Date],"&gt;="&amp;'Weekly Report'!$B$13,Table_Assembly[MFG Date],"&lt;="&amp;'Weekly Report'!$B$15)</f>
        <v>0</v>
      </c>
      <c r="M30" s="95">
        <f t="shared" si="6"/>
        <v>0</v>
      </c>
      <c r="N30" s="8"/>
      <c r="S30">
        <f>_xlfn.RANK.EQ(U30,$U$5:$U$49,0)+COUNTIF($U$5:U30,U30)-1</f>
        <v>14</v>
      </c>
      <c r="T30" s="73" t="s">
        <v>184</v>
      </c>
      <c r="U30" s="94">
        <f>SUMIFS(Table_Assembly[Specific Amount],Table_Assembly[Product type],$T$3,Table_Assembly[NG Type],$R$19,Table_Assembly[NG content],T30,Table_Assembly[Month],INDEX($AE$14:$AE$25,MATCH($Q$9,$AD$14:$AD$25,0)))</f>
        <v>4</v>
      </c>
      <c r="V30" s="95">
        <f t="shared" si="1"/>
        <v>0.30721966205837176</v>
      </c>
      <c r="W30" s="8"/>
      <c r="X30" s="5">
        <f>_xlfn.RANK.EQ(Z30,$Z$5:$Z$49,0)+COUNTIF($Z$5:Z30,Z30)-1</f>
        <v>29</v>
      </c>
      <c r="Y30" s="73" t="s">
        <v>184</v>
      </c>
      <c r="Z30" s="94">
        <f>SUMIFS(Table_Assembly[Specific Amount],Table_Assembly[Product type],$Y$3,Table_Assembly[NG Type],$R$19,Table_Assembly[NG content],Y30,Table_Assembly[Month],INDEX($AE$14:$AE$25,MATCH($Q$9,$AD$14:$AD$25,0)))</f>
        <v>0</v>
      </c>
      <c r="AA30" s="95">
        <f t="shared" si="3"/>
        <v>0</v>
      </c>
      <c r="AB30" s="8"/>
      <c r="AG30">
        <f>_xlfn.RANK.EQ(AI30,$AI$5:$AI$49,0)+COUNTIF($AI$5:AI30,AI30)-1</f>
        <v>13</v>
      </c>
      <c r="AH30" s="73" t="s">
        <v>184</v>
      </c>
      <c r="AI30" s="94">
        <f>SUMIFS(Table_Assembly[Specific Amount],Table_Assembly[Product type],$AH$3,Table_Assembly[NG Type],$AF$12,Table_Assembly[NG content],AH30,Table_Assembly[Year],$AE$7)</f>
        <v>8</v>
      </c>
      <c r="AJ30" s="95">
        <f t="shared" si="5"/>
        <v>0.55710306406685239</v>
      </c>
      <c r="AK30" s="8"/>
      <c r="AM30" s="5">
        <f>_xlfn.RANK.EQ(AO30,$AO$5:$AO$49,0)+COUNTIF($AO$5:AO30,AO30)-1</f>
        <v>31</v>
      </c>
      <c r="AN30" s="73" t="s">
        <v>184</v>
      </c>
      <c r="AO30" s="94">
        <f>SUMIFS(Table_Assembly[Specific Amount],Table_Assembly[Product type],$AN$3,Table_Assembly[NG Type],$AF$12,Table_Assembly[NG content],AN30,Table_Assembly[Year],$AE$7)</f>
        <v>0</v>
      </c>
      <c r="AP30" s="95">
        <f t="shared" si="4"/>
        <v>0</v>
      </c>
      <c r="AQ30" s="8"/>
    </row>
    <row r="31" spans="2:43">
      <c r="D31" s="5">
        <f>_xlfn.RANK.EQ(F31,$F$5:$F$49,0)+COUNTIF($F$5:F31,F31)-1</f>
        <v>4</v>
      </c>
      <c r="E31" s="73" t="s">
        <v>322</v>
      </c>
      <c r="F31" s="94">
        <f>SUMIFS(Table_Assembly[Specific Amount],Table_Assembly[NG Type],$B$21,Table_Assembly[NG content],E31,Table_Assembly[Product type],$E$3,Table_Assembly[MFG Date],"&gt;="&amp;'Weekly Report'!$B$13,Table_Assembly[MFG Date],"&lt;="&amp;'Weekly Report'!$B$15)</f>
        <v>11</v>
      </c>
      <c r="G31" s="95">
        <f t="shared" si="2"/>
        <v>9.9099099099099099</v>
      </c>
      <c r="H31" s="8"/>
      <c r="I31" s="5"/>
      <c r="J31" s="5">
        <f>_xlfn.RANK.EQ(L31,$L$5:$L$49,0)+COUNTIF($L$5:L31,L31)-1</f>
        <v>29</v>
      </c>
      <c r="K31" s="73" t="s">
        <v>322</v>
      </c>
      <c r="L31" s="94">
        <f>SUMIFS(Table_Assembly[Specific Amount],Table_Assembly[NG Type],$B$21,Table_Assembly[NG content],K31,Table_Assembly[Product type],$K$3,Table_Assembly[MFG Date],"&gt;="&amp;'Weekly Report'!$B$13,Table_Assembly[MFG Date],"&lt;="&amp;'Weekly Report'!$B$15)</f>
        <v>0</v>
      </c>
      <c r="M31" s="95">
        <f t="shared" si="6"/>
        <v>0</v>
      </c>
      <c r="N31" s="8"/>
      <c r="S31">
        <f>_xlfn.RANK.EQ(U31,$U$5:$U$49,0)+COUNTIF($U$5:U31,U31)-1</f>
        <v>6</v>
      </c>
      <c r="T31" s="73" t="s">
        <v>322</v>
      </c>
      <c r="U31" s="94">
        <f>SUMIFS(Table_Assembly[Specific Amount],Table_Assembly[Product type],$T$3,Table_Assembly[NG Type],$R$19,Table_Assembly[NG content],T31,Table_Assembly[Month],INDEX($AE$14:$AE$25,MATCH($Q$9,$AD$14:$AD$25,0)))</f>
        <v>26</v>
      </c>
      <c r="V31" s="95">
        <f t="shared" si="1"/>
        <v>1.9969278033794162</v>
      </c>
      <c r="W31" s="8"/>
      <c r="X31" s="5">
        <f>_xlfn.RANK.EQ(Z31,$Z$5:$Z$49,0)+COUNTIF($Z$5:Z31,Z31)-1</f>
        <v>30</v>
      </c>
      <c r="Y31" s="73" t="s">
        <v>322</v>
      </c>
      <c r="Z31" s="94">
        <f>SUMIFS(Table_Assembly[Specific Amount],Table_Assembly[Product type],$Y$3,Table_Assembly[NG Type],$R$19,Table_Assembly[NG content],Y31,Table_Assembly[Month],INDEX($AE$14:$AE$25,MATCH($Q$9,$AD$14:$AD$25,0)))</f>
        <v>0</v>
      </c>
      <c r="AA31" s="95">
        <f t="shared" si="3"/>
        <v>0</v>
      </c>
      <c r="AB31" s="8"/>
      <c r="AG31">
        <f>_xlfn.RANK.EQ(AI31,$AI$5:$AI$49,0)+COUNTIF($AI$5:AI31,AI31)-1</f>
        <v>4</v>
      </c>
      <c r="AH31" s="73" t="s">
        <v>322</v>
      </c>
      <c r="AI31" s="94">
        <f>SUMIFS(Table_Assembly[Specific Amount],Table_Assembly[Product type],$AH$3,Table_Assembly[NG Type],$AF$12,Table_Assembly[NG content],AH31,Table_Assembly[Year],$AE$7)</f>
        <v>51</v>
      </c>
      <c r="AJ31" s="95">
        <f t="shared" si="5"/>
        <v>3.5515320334261835</v>
      </c>
      <c r="AK31" s="8"/>
      <c r="AM31" s="5">
        <f>_xlfn.RANK.EQ(AO31,$AO$5:$AO$49,0)+COUNTIF($AO$5:AO31,AO31)-1</f>
        <v>32</v>
      </c>
      <c r="AN31" s="73" t="s">
        <v>322</v>
      </c>
      <c r="AO31" s="94">
        <f>SUMIFS(Table_Assembly[Specific Amount],Table_Assembly[Product type],$AN$3,Table_Assembly[NG Type],$AF$12,Table_Assembly[NG content],AN31,Table_Assembly[Year],$AE$7)</f>
        <v>0</v>
      </c>
      <c r="AP31" s="95">
        <f t="shared" si="4"/>
        <v>0</v>
      </c>
      <c r="AQ31" s="8"/>
    </row>
    <row r="32" spans="2:43">
      <c r="D32" s="5">
        <f>_xlfn.RANK.EQ(F32,$F$5:$F$49,0)+COUNTIF($F$5:F32,F32)-1</f>
        <v>31</v>
      </c>
      <c r="E32" s="73" t="s">
        <v>185</v>
      </c>
      <c r="F32" s="94">
        <f>SUMIFS(Table_Assembly[Specific Amount],Table_Assembly[NG Type],$B$21,Table_Assembly[NG content],E32,Table_Assembly[Product type],$E$3,Table_Assembly[MFG Date],"&gt;="&amp;'Weekly Report'!$B$13,Table_Assembly[MFG Date],"&lt;="&amp;'Weekly Report'!$B$15)</f>
        <v>0</v>
      </c>
      <c r="G32" s="95">
        <f t="shared" si="2"/>
        <v>0</v>
      </c>
      <c r="H32" s="8"/>
      <c r="I32" s="5"/>
      <c r="J32" s="5">
        <f>_xlfn.RANK.EQ(L32,$L$5:$L$49,0)+COUNTIF($L$5:L32,L32)-1</f>
        <v>30</v>
      </c>
      <c r="K32" s="73" t="s">
        <v>185</v>
      </c>
      <c r="L32" s="94">
        <f>SUMIFS(Table_Assembly[Specific Amount],Table_Assembly[NG Type],$B$21,Table_Assembly[NG content],K32,Table_Assembly[Product type],$K$3,Table_Assembly[MFG Date],"&gt;="&amp;'Weekly Report'!$B$13,Table_Assembly[MFG Date],"&lt;="&amp;'Weekly Report'!$B$15)</f>
        <v>0</v>
      </c>
      <c r="M32" s="95">
        <f t="shared" si="6"/>
        <v>0</v>
      </c>
      <c r="N32" s="8"/>
      <c r="S32">
        <f>_xlfn.RANK.EQ(U32,$U$5:$U$49,0)+COUNTIF($U$5:U32,U32)-1</f>
        <v>32</v>
      </c>
      <c r="T32" s="73" t="s">
        <v>185</v>
      </c>
      <c r="U32" s="94">
        <f>SUMIFS(Table_Assembly[Specific Amount],Table_Assembly[Product type],$T$3,Table_Assembly[NG Type],$R$19,Table_Assembly[NG content],T32,Table_Assembly[Month],INDEX($AE$14:$AE$25,MATCH($Q$9,$AD$14:$AD$25,0)))</f>
        <v>0</v>
      </c>
      <c r="V32" s="95">
        <f t="shared" si="1"/>
        <v>0</v>
      </c>
      <c r="W32" s="8"/>
      <c r="X32" s="5">
        <f>_xlfn.RANK.EQ(Z32,$Z$5:$Z$49,0)+COUNTIF($Z$5:Z32,Z32)-1</f>
        <v>31</v>
      </c>
      <c r="Y32" s="73" t="s">
        <v>185</v>
      </c>
      <c r="Z32" s="94">
        <f>SUMIFS(Table_Assembly[Specific Amount],Table_Assembly[Product type],$Y$3,Table_Assembly[NG Type],$R$19,Table_Assembly[NG content],Y32,Table_Assembly[Month],INDEX($AE$14:$AE$25,MATCH($Q$9,$AD$14:$AD$25,0)))</f>
        <v>0</v>
      </c>
      <c r="AA32" s="95">
        <f t="shared" si="3"/>
        <v>0</v>
      </c>
      <c r="AB32" s="8"/>
      <c r="AG32">
        <f>_xlfn.RANK.EQ(AI32,$AI$5:$AI$49,0)+COUNTIF($AI$5:AI32,AI32)-1</f>
        <v>33</v>
      </c>
      <c r="AH32" s="73" t="s">
        <v>185</v>
      </c>
      <c r="AI32" s="94">
        <f>SUMIFS(Table_Assembly[Specific Amount],Table_Assembly[Product type],$AH$3,Table_Assembly[NG Type],$AF$12,Table_Assembly[NG content],AH32,Table_Assembly[Year],$AE$7)</f>
        <v>0</v>
      </c>
      <c r="AJ32" s="95">
        <f t="shared" si="5"/>
        <v>0</v>
      </c>
      <c r="AK32" s="8"/>
      <c r="AM32" s="5">
        <f>_xlfn.RANK.EQ(AO32,$AO$5:$AO$49,0)+COUNTIF($AO$5:AO32,AO32)-1</f>
        <v>33</v>
      </c>
      <c r="AN32" s="73" t="s">
        <v>185</v>
      </c>
      <c r="AO32" s="94">
        <f>SUMIFS(Table_Assembly[Specific Amount],Table_Assembly[Product type],$AN$3,Table_Assembly[NG Type],$AF$12,Table_Assembly[NG content],AN32,Table_Assembly[Year],$AE$7)</f>
        <v>0</v>
      </c>
      <c r="AP32" s="95">
        <f t="shared" si="4"/>
        <v>0</v>
      </c>
      <c r="AQ32" s="8"/>
    </row>
    <row r="33" spans="4:43">
      <c r="D33" s="5">
        <f>_xlfn.RANK.EQ(F33,$F$5:$F$49,0)+COUNTIF($F$5:F33,F33)-1</f>
        <v>10</v>
      </c>
      <c r="E33" s="73" t="s">
        <v>236</v>
      </c>
      <c r="F33" s="94">
        <f>SUMIFS(Table_Assembly[Specific Amount],Table_Assembly[NG Type],$B$21,Table_Assembly[NG content],E33,Table_Assembly[Product type],$E$3,Table_Assembly[MFG Date],"&gt;="&amp;'Weekly Report'!$B$13,Table_Assembly[MFG Date],"&lt;="&amp;'Weekly Report'!$B$15)</f>
        <v>2</v>
      </c>
      <c r="G33" s="95">
        <f t="shared" si="2"/>
        <v>1.8018018018018018</v>
      </c>
      <c r="H33" s="8"/>
      <c r="I33" s="5"/>
      <c r="J33" s="5">
        <f>_xlfn.RANK.EQ(L33,$L$5:$L$49,0)+COUNTIF($L$5:L33,L33)-1</f>
        <v>5</v>
      </c>
      <c r="K33" s="73" t="s">
        <v>236</v>
      </c>
      <c r="L33" s="94">
        <f>SUMIFS(Table_Assembly[Specific Amount],Table_Assembly[NG Type],$B$21,Table_Assembly[NG content],K33,Table_Assembly[Product type],$K$3,Table_Assembly[MFG Date],"&gt;="&amp;'Weekly Report'!$B$13,Table_Assembly[MFG Date],"&lt;="&amp;'Weekly Report'!$B$15)</f>
        <v>2</v>
      </c>
      <c r="M33" s="95">
        <f t="shared" si="6"/>
        <v>1.4388489208633095</v>
      </c>
      <c r="N33" s="8"/>
      <c r="S33">
        <f>_xlfn.RANK.EQ(U33,$U$5:$U$49,0)+COUNTIF($U$5:U33,U33)-1</f>
        <v>10</v>
      </c>
      <c r="T33" s="73" t="s">
        <v>236</v>
      </c>
      <c r="U33" s="94">
        <f>SUMIFS(Table_Assembly[Specific Amount],Table_Assembly[Product type],$T$3,Table_Assembly[NG Type],$R$19,Table_Assembly[NG content],T33,Table_Assembly[Month],INDEX($AE$14:$AE$25,MATCH($Q$9,$AD$14:$AD$25,0)))</f>
        <v>8</v>
      </c>
      <c r="V33" s="95">
        <f t="shared" si="1"/>
        <v>0.61443932411674351</v>
      </c>
      <c r="W33" s="8"/>
      <c r="X33" s="5">
        <f>_xlfn.RANK.EQ(Z33,$Z$5:$Z$49,0)+COUNTIF($Z$5:Z33,Z33)-1</f>
        <v>8</v>
      </c>
      <c r="Y33" s="73" t="s">
        <v>236</v>
      </c>
      <c r="Z33" s="94">
        <f>SUMIFS(Table_Assembly[Specific Amount],Table_Assembly[Product type],$Y$3,Table_Assembly[NG Type],$R$19,Table_Assembly[NG content],Y33,Table_Assembly[Month],INDEX($AE$14:$AE$25,MATCH($Q$9,$AD$14:$AD$25,0)))</f>
        <v>5</v>
      </c>
      <c r="AA33" s="95">
        <f t="shared" si="3"/>
        <v>2.2026431718061676</v>
      </c>
      <c r="AB33" s="8"/>
      <c r="AG33">
        <f>_xlfn.RANK.EQ(AI33,$AI$5:$AI$49,0)+COUNTIF($AI$5:AI33,AI33)-1</f>
        <v>9</v>
      </c>
      <c r="AH33" s="73" t="s">
        <v>236</v>
      </c>
      <c r="AI33" s="94">
        <f>SUMIFS(Table_Assembly[Specific Amount],Table_Assembly[Product type],$AH$3,Table_Assembly[NG Type],$AF$12,Table_Assembly[NG content],AH33,Table_Assembly[Year],$AE$7)</f>
        <v>14</v>
      </c>
      <c r="AJ33" s="95">
        <f t="shared" si="5"/>
        <v>0.97493036211699169</v>
      </c>
      <c r="AK33" s="8"/>
      <c r="AM33" s="5">
        <f>_xlfn.RANK.EQ(AO33,$AO$5:$AO$49,0)+COUNTIF($AO$5:AO33,AO33)-1</f>
        <v>8</v>
      </c>
      <c r="AN33" s="73" t="s">
        <v>236</v>
      </c>
      <c r="AO33" s="94">
        <f>SUMIFS(Table_Assembly[Specific Amount],Table_Assembly[Product type],$AN$3,Table_Assembly[NG Type],$AF$12,Table_Assembly[NG content],AN33,Table_Assembly[Year],$AE$7)</f>
        <v>7</v>
      </c>
      <c r="AP33" s="95">
        <f t="shared" si="4"/>
        <v>2.1943573667711598</v>
      </c>
      <c r="AQ33" s="8"/>
    </row>
    <row r="34" spans="4:43">
      <c r="D34" s="5">
        <f>_xlfn.RANK.EQ(F34,$F$5:$F$49,0)+COUNTIF($F$5:F34,F34)-1</f>
        <v>32</v>
      </c>
      <c r="E34" s="73" t="s">
        <v>168</v>
      </c>
      <c r="F34" s="94">
        <f>SUMIFS(Table_Assembly[Specific Amount],Table_Assembly[NG Type],$B$21,Table_Assembly[NG content],E34,Table_Assembly[Product type],$E$3,Table_Assembly[MFG Date],"&gt;="&amp;'Weekly Report'!$B$13,Table_Assembly[MFG Date],"&lt;="&amp;'Weekly Report'!$B$15)</f>
        <v>0</v>
      </c>
      <c r="G34" s="95">
        <f t="shared" si="2"/>
        <v>0</v>
      </c>
      <c r="H34" s="8"/>
      <c r="I34" s="5"/>
      <c r="J34" s="5">
        <f>_xlfn.RANK.EQ(L34,$L$5:$L$49,0)+COUNTIF($L$5:L34,L34)-1</f>
        <v>2</v>
      </c>
      <c r="K34" s="73" t="s">
        <v>168</v>
      </c>
      <c r="L34" s="94">
        <f>SUMIFS(Table_Assembly[Specific Amount],Table_Assembly[NG Type],$B$21,Table_Assembly[NG content],K34,Table_Assembly[Product type],$K$3,Table_Assembly[MFG Date],"&gt;="&amp;'Weekly Report'!$B$13,Table_Assembly[MFG Date],"&lt;="&amp;'Weekly Report'!$B$15)</f>
        <v>16</v>
      </c>
      <c r="M34" s="95">
        <f t="shared" si="6"/>
        <v>11.510791366906476</v>
      </c>
      <c r="N34" s="8"/>
      <c r="S34">
        <f>_xlfn.RANK.EQ(U34,$U$5:$U$49,0)+COUNTIF($U$5:U34,U34)-1</f>
        <v>21</v>
      </c>
      <c r="T34" s="73" t="s">
        <v>168</v>
      </c>
      <c r="U34" s="94">
        <f>SUMIFS(Table_Assembly[Specific Amount],Table_Assembly[Product type],$T$3,Table_Assembly[NG Type],$R$19,Table_Assembly[NG content],T34,Table_Assembly[Month],INDEX($AE$14:$AE$25,MATCH($Q$9,$AD$14:$AD$25,0)))</f>
        <v>1</v>
      </c>
      <c r="V34" s="95">
        <f t="shared" si="1"/>
        <v>7.6804915514592939E-2</v>
      </c>
      <c r="W34" s="8"/>
      <c r="X34" s="5">
        <f>_xlfn.RANK.EQ(Z34,$Z$5:$Z$49,0)+COUNTIF($Z$5:Z34,Z34)-1</f>
        <v>2</v>
      </c>
      <c r="Y34" s="73" t="s">
        <v>168</v>
      </c>
      <c r="Z34" s="94">
        <f>SUMIFS(Table_Assembly[Specific Amount],Table_Assembly[Product type],$Y$3,Table_Assembly[NG Type],$R$19,Table_Assembly[NG content],Y34,Table_Assembly[Month],INDEX($AE$14:$AE$25,MATCH($Q$9,$AD$14:$AD$25,0)))</f>
        <v>46</v>
      </c>
      <c r="AA34" s="95">
        <f t="shared" si="3"/>
        <v>20.264317180616739</v>
      </c>
      <c r="AB34" s="8"/>
      <c r="AG34">
        <f>_xlfn.RANK.EQ(AI34,$AI$5:$AI$49,0)+COUNTIF($AI$5:AI34,AI34)-1</f>
        <v>23</v>
      </c>
      <c r="AH34" s="73" t="s">
        <v>168</v>
      </c>
      <c r="AI34" s="94">
        <f>SUMIFS(Table_Assembly[Specific Amount],Table_Assembly[Product type],$AH$3,Table_Assembly[NG Type],$AF$12,Table_Assembly[NG content],AH34,Table_Assembly[Year],$AE$7)</f>
        <v>1</v>
      </c>
      <c r="AJ34" s="95">
        <f t="shared" si="5"/>
        <v>6.9637883008356549E-2</v>
      </c>
      <c r="AK34" s="8"/>
      <c r="AM34" s="5">
        <f>_xlfn.RANK.EQ(AO34,$AO$5:$AO$49,0)+COUNTIF($AO$5:AO34,AO34)-1</f>
        <v>2</v>
      </c>
      <c r="AN34" s="73" t="s">
        <v>168</v>
      </c>
      <c r="AO34" s="94">
        <f>SUMIFS(Table_Assembly[Specific Amount],Table_Assembly[Product type],$AN$3,Table_Assembly[NG Type],$AF$12,Table_Assembly[NG content],AN34,Table_Assembly[Year],$AE$7)</f>
        <v>102</v>
      </c>
      <c r="AP34" s="95">
        <f t="shared" si="4"/>
        <v>31.974921630094045</v>
      </c>
      <c r="AQ34" s="8"/>
    </row>
    <row r="35" spans="4:43">
      <c r="D35" s="5">
        <f>_xlfn.RANK.EQ(F35,$F$5:$F$49,0)+COUNTIF($F$5:F35,F35)-1</f>
        <v>33</v>
      </c>
      <c r="E35" s="73" t="s">
        <v>237</v>
      </c>
      <c r="F35" s="94">
        <f>SUMIFS(Table_Assembly[Specific Amount],Table_Assembly[NG Type],$B$21,Table_Assembly[NG content],E35,Table_Assembly[Product type],$E$3,Table_Assembly[MFG Date],"&gt;="&amp;'Weekly Report'!$B$13,Table_Assembly[MFG Date],"&lt;="&amp;'Weekly Report'!$B$15)</f>
        <v>0</v>
      </c>
      <c r="G35" s="95">
        <f t="shared" si="2"/>
        <v>0</v>
      </c>
      <c r="H35" s="8"/>
      <c r="I35" s="5"/>
      <c r="J35" s="5">
        <f>_xlfn.RANK.EQ(L35,$L$5:$L$49,0)+COUNTIF($L$5:L35,L35)-1</f>
        <v>31</v>
      </c>
      <c r="K35" s="73" t="s">
        <v>237</v>
      </c>
      <c r="L35" s="94">
        <f>SUMIFS(Table_Assembly[Specific Amount],Table_Assembly[NG Type],$B$21,Table_Assembly[NG content],K35,Table_Assembly[Product type],$K$3,Table_Assembly[MFG Date],"&gt;="&amp;'Weekly Report'!$B$13,Table_Assembly[MFG Date],"&lt;="&amp;'Weekly Report'!$B$15)</f>
        <v>0</v>
      </c>
      <c r="M35" s="95">
        <f t="shared" si="6"/>
        <v>0</v>
      </c>
      <c r="N35" s="8"/>
      <c r="S35">
        <f>_xlfn.RANK.EQ(U35,$U$5:$U$49,0)+COUNTIF($U$5:U35,U35)-1</f>
        <v>33</v>
      </c>
      <c r="T35" s="73" t="s">
        <v>237</v>
      </c>
      <c r="U35" s="94">
        <f>SUMIFS(Table_Assembly[Specific Amount],Table_Assembly[Product type],$T$3,Table_Assembly[NG Type],$R$19,Table_Assembly[NG content],T35,Table_Assembly[Month],INDEX($AE$14:$AE$25,MATCH($Q$9,$AD$14:$AD$25,0)))</f>
        <v>0</v>
      </c>
      <c r="V35" s="95">
        <f t="shared" si="1"/>
        <v>0</v>
      </c>
      <c r="W35" s="8"/>
      <c r="X35" s="5">
        <f>_xlfn.RANK.EQ(Z35,$Z$5:$Z$49,0)+COUNTIF($Z$5:Z35,Z35)-1</f>
        <v>32</v>
      </c>
      <c r="Y35" s="73" t="s">
        <v>237</v>
      </c>
      <c r="Z35" s="94">
        <f>SUMIFS(Table_Assembly[Specific Amount],Table_Assembly[Product type],$Y$3,Table_Assembly[NG Type],$R$19,Table_Assembly[NG content],Y35,Table_Assembly[Month],INDEX($AE$14:$AE$25,MATCH($Q$9,$AD$14:$AD$25,0)))</f>
        <v>0</v>
      </c>
      <c r="AA35" s="95">
        <f t="shared" si="3"/>
        <v>0</v>
      </c>
      <c r="AB35" s="8"/>
      <c r="AG35">
        <f>_xlfn.RANK.EQ(AI35,$AI$5:$AI$49,0)+COUNTIF($AI$5:AI35,AI35)-1</f>
        <v>34</v>
      </c>
      <c r="AH35" s="73" t="s">
        <v>237</v>
      </c>
      <c r="AI35" s="94">
        <f>SUMIFS(Table_Assembly[Specific Amount],Table_Assembly[Product type],$AH$3,Table_Assembly[NG Type],$AF$12,Table_Assembly[NG content],AH35,Table_Assembly[Year],$AE$7)</f>
        <v>0</v>
      </c>
      <c r="AJ35" s="95">
        <f t="shared" si="5"/>
        <v>0</v>
      </c>
      <c r="AK35" s="8"/>
      <c r="AM35" s="5">
        <f>_xlfn.RANK.EQ(AO35,$AO$5:$AO$49,0)+COUNTIF($AO$5:AO35,AO35)-1</f>
        <v>9</v>
      </c>
      <c r="AN35" s="73" t="s">
        <v>237</v>
      </c>
      <c r="AO35" s="94">
        <f>SUMIFS(Table_Assembly[Specific Amount],Table_Assembly[Product type],$AN$3,Table_Assembly[NG Type],$AF$12,Table_Assembly[NG content],AN35,Table_Assembly[Year],$AE$7)</f>
        <v>4</v>
      </c>
      <c r="AP35" s="95">
        <f t="shared" si="4"/>
        <v>1.2539184952978055</v>
      </c>
      <c r="AQ35" s="8"/>
    </row>
    <row r="36" spans="4:43">
      <c r="D36" s="5">
        <f>_xlfn.RANK.EQ(F36,$F$5:$F$49,0)+COUNTIF($F$5:F36,F36)-1</f>
        <v>34</v>
      </c>
      <c r="E36" s="73" t="s">
        <v>238</v>
      </c>
      <c r="F36" s="94">
        <f>SUMIFS(Table_Assembly[Specific Amount],Table_Assembly[NG Type],$B$21,Table_Assembly[NG content],E36,Table_Assembly[Product type],$E$3,Table_Assembly[MFG Date],"&gt;="&amp;'Weekly Report'!$B$13,Table_Assembly[MFG Date],"&lt;="&amp;'Weekly Report'!$B$15)</f>
        <v>0</v>
      </c>
      <c r="G36" s="95">
        <f t="shared" si="2"/>
        <v>0</v>
      </c>
      <c r="H36" s="8"/>
      <c r="I36" s="5"/>
      <c r="J36" s="5">
        <f>_xlfn.RANK.EQ(L36,$L$5:$L$49,0)+COUNTIF($L$5:L36,L36)-1</f>
        <v>32</v>
      </c>
      <c r="K36" s="73" t="s">
        <v>238</v>
      </c>
      <c r="L36" s="94">
        <f>SUMIFS(Table_Assembly[Specific Amount],Table_Assembly[NG Type],$B$21,Table_Assembly[NG content],K36,Table_Assembly[Product type],$K$3,Table_Assembly[MFG Date],"&gt;="&amp;'Weekly Report'!$B$13,Table_Assembly[MFG Date],"&lt;="&amp;'Weekly Report'!$B$15)</f>
        <v>0</v>
      </c>
      <c r="M36" s="95">
        <f t="shared" si="6"/>
        <v>0</v>
      </c>
      <c r="N36" s="8"/>
      <c r="S36">
        <f>_xlfn.RANK.EQ(U36,$U$5:$U$49,0)+COUNTIF($U$5:U36,U36)-1</f>
        <v>34</v>
      </c>
      <c r="T36" s="73" t="s">
        <v>238</v>
      </c>
      <c r="U36" s="94">
        <f>SUMIFS(Table_Assembly[Specific Amount],Table_Assembly[Product type],$T$3,Table_Assembly[NG Type],$R$19,Table_Assembly[NG content],T36,Table_Assembly[Month],INDEX($AE$14:$AE$25,MATCH($Q$9,$AD$14:$AD$25,0)))</f>
        <v>0</v>
      </c>
      <c r="V36" s="95">
        <f t="shared" si="1"/>
        <v>0</v>
      </c>
      <c r="W36" s="8"/>
      <c r="X36" s="5">
        <f>_xlfn.RANK.EQ(Z36,$Z$5:$Z$49,0)+COUNTIF($Z$5:Z36,Z36)-1</f>
        <v>5</v>
      </c>
      <c r="Y36" s="73" t="s">
        <v>238</v>
      </c>
      <c r="Z36" s="94">
        <f>SUMIFS(Table_Assembly[Specific Amount],Table_Assembly[Product type],$Y$3,Table_Assembly[NG Type],$R$19,Table_Assembly[NG content],Y36,Table_Assembly[Month],INDEX($AE$14:$AE$25,MATCH($Q$9,$AD$14:$AD$25,0)))</f>
        <v>9</v>
      </c>
      <c r="AA36" s="95">
        <f t="shared" si="3"/>
        <v>3.9647577092511015</v>
      </c>
      <c r="AB36" s="8"/>
      <c r="AG36">
        <f>_xlfn.RANK.EQ(AI36,$AI$5:$AI$49,0)+COUNTIF($AI$5:AI36,AI36)-1</f>
        <v>35</v>
      </c>
      <c r="AH36" s="73" t="s">
        <v>238</v>
      </c>
      <c r="AI36" s="94">
        <f>SUMIFS(Table_Assembly[Specific Amount],Table_Assembly[Product type],$AH$3,Table_Assembly[NG Type],$AF$12,Table_Assembly[NG content],AH36,Table_Assembly[Year],$AE$7)</f>
        <v>0</v>
      </c>
      <c r="AJ36" s="95">
        <f t="shared" si="5"/>
        <v>0</v>
      </c>
      <c r="AK36" s="8"/>
      <c r="AM36" s="5">
        <f>_xlfn.RANK.EQ(AO36,$AO$5:$AO$49,0)+COUNTIF($AO$5:AO36,AO36)-1</f>
        <v>5</v>
      </c>
      <c r="AN36" s="73" t="s">
        <v>238</v>
      </c>
      <c r="AO36" s="94">
        <f>SUMIFS(Table_Assembly[Specific Amount],Table_Assembly[Product type],$AN$3,Table_Assembly[NG Type],$AF$12,Table_Assembly[NG content],AN36,Table_Assembly[Year],$AE$7)</f>
        <v>10</v>
      </c>
      <c r="AP36" s="95">
        <f t="shared" si="4"/>
        <v>3.1347962382445136</v>
      </c>
      <c r="AQ36" s="8"/>
    </row>
    <row r="37" spans="4:43">
      <c r="D37" s="5">
        <f>_xlfn.RANK.EQ(F37,$F$5:$F$49,0)+COUNTIF($F$5:F37,F37)-1</f>
        <v>35</v>
      </c>
      <c r="E37" s="73" t="s">
        <v>186</v>
      </c>
      <c r="F37" s="94">
        <f>SUMIFS(Table_Assembly[Specific Amount],Table_Assembly[NG Type],$B$21,Table_Assembly[NG content],E37,Table_Assembly[Product type],$E$3,Table_Assembly[MFG Date],"&gt;="&amp;'Weekly Report'!$B$13,Table_Assembly[MFG Date],"&lt;="&amp;'Weekly Report'!$B$15)</f>
        <v>0</v>
      </c>
      <c r="G37" s="95">
        <f t="shared" si="2"/>
        <v>0</v>
      </c>
      <c r="H37" s="8"/>
      <c r="I37" s="5"/>
      <c r="J37" s="5">
        <f>_xlfn.RANK.EQ(L37,$L$5:$L$49,0)+COUNTIF($L$5:L37,L37)-1</f>
        <v>33</v>
      </c>
      <c r="K37" s="73" t="s">
        <v>186</v>
      </c>
      <c r="L37" s="94">
        <f>SUMIFS(Table_Assembly[Specific Amount],Table_Assembly[NG Type],$B$21,Table_Assembly[NG content],K37,Table_Assembly[Product type],$K$3,Table_Assembly[MFG Date],"&gt;="&amp;'Weekly Report'!$B$13,Table_Assembly[MFG Date],"&lt;="&amp;'Weekly Report'!$B$15)</f>
        <v>0</v>
      </c>
      <c r="M37" s="95">
        <f t="shared" si="6"/>
        <v>0</v>
      </c>
      <c r="N37" s="8"/>
      <c r="S37">
        <f>_xlfn.RANK.EQ(U37,$U$5:$U$49,0)+COUNTIF($U$5:U37,U37)-1</f>
        <v>35</v>
      </c>
      <c r="T37" s="73" t="s">
        <v>186</v>
      </c>
      <c r="U37" s="94">
        <f>SUMIFS(Table_Assembly[Specific Amount],Table_Assembly[Product type],$T$3,Table_Assembly[NG Type],$R$19,Table_Assembly[NG content],T37,Table_Assembly[Month],INDEX($AE$14:$AE$25,MATCH($Q$9,$AD$14:$AD$25,0)))</f>
        <v>0</v>
      </c>
      <c r="V37" s="95">
        <f t="shared" si="1"/>
        <v>0</v>
      </c>
      <c r="W37" s="8"/>
      <c r="X37" s="5">
        <f>_xlfn.RANK.EQ(Z37,$Z$5:$Z$49,0)+COUNTIF($Z$5:Z37,Z37)-1</f>
        <v>33</v>
      </c>
      <c r="Y37" s="73" t="s">
        <v>186</v>
      </c>
      <c r="Z37" s="94">
        <f>SUMIFS(Table_Assembly[Specific Amount],Table_Assembly[Product type],$Y$3,Table_Assembly[NG Type],$R$19,Table_Assembly[NG content],Y37,Table_Assembly[Month],INDEX($AE$14:$AE$25,MATCH($Q$9,$AD$14:$AD$25,0)))</f>
        <v>0</v>
      </c>
      <c r="AA37" s="95">
        <f t="shared" si="3"/>
        <v>0</v>
      </c>
      <c r="AB37" s="8"/>
      <c r="AG37">
        <f>_xlfn.RANK.EQ(AI37,$AI$5:$AI$49,0)+COUNTIF($AI$5:AI37,AI37)-1</f>
        <v>36</v>
      </c>
      <c r="AH37" s="73" t="s">
        <v>186</v>
      </c>
      <c r="AI37" s="94">
        <f>SUMIFS(Table_Assembly[Specific Amount],Table_Assembly[Product type],$AH$3,Table_Assembly[NG Type],$AF$12,Table_Assembly[NG content],AH37,Table_Assembly[Year],$AE$7)</f>
        <v>0</v>
      </c>
      <c r="AJ37" s="95">
        <f t="shared" si="5"/>
        <v>0</v>
      </c>
      <c r="AK37" s="8"/>
      <c r="AM37" s="5">
        <f>_xlfn.RANK.EQ(AO37,$AO$5:$AO$49,0)+COUNTIF($AO$5:AO37,AO37)-1</f>
        <v>34</v>
      </c>
      <c r="AN37" s="73" t="s">
        <v>186</v>
      </c>
      <c r="AO37" s="94">
        <f>SUMIFS(Table_Assembly[Specific Amount],Table_Assembly[Product type],$AN$3,Table_Assembly[NG Type],$AF$12,Table_Assembly[NG content],AN37,Table_Assembly[Year],$AE$7)</f>
        <v>0</v>
      </c>
      <c r="AP37" s="95">
        <f t="shared" si="4"/>
        <v>0</v>
      </c>
      <c r="AQ37" s="8"/>
    </row>
    <row r="38" spans="4:43">
      <c r="D38" s="5">
        <f>_xlfn.RANK.EQ(F38,$F$5:$F$49,0)+COUNTIF($F$5:F38,F38)-1</f>
        <v>36</v>
      </c>
      <c r="E38" s="73" t="s">
        <v>187</v>
      </c>
      <c r="F38" s="94">
        <f>SUMIFS(Table_Assembly[Specific Amount],Table_Assembly[NG Type],$B$21,Table_Assembly[NG content],E38,Table_Assembly[Product type],$E$3,Table_Assembly[MFG Date],"&gt;="&amp;'Weekly Report'!$B$13,Table_Assembly[MFG Date],"&lt;="&amp;'Weekly Report'!$B$15)</f>
        <v>0</v>
      </c>
      <c r="G38" s="95">
        <f t="shared" si="2"/>
        <v>0</v>
      </c>
      <c r="H38" s="8"/>
      <c r="I38" s="5"/>
      <c r="J38" s="5">
        <f>_xlfn.RANK.EQ(L38,$L$5:$L$49,0)+COUNTIF($L$5:L38,L38)-1</f>
        <v>34</v>
      </c>
      <c r="K38" s="73" t="s">
        <v>187</v>
      </c>
      <c r="L38" s="94">
        <f>SUMIFS(Table_Assembly[Specific Amount],Table_Assembly[NG Type],$B$21,Table_Assembly[NG content],K38,Table_Assembly[Product type],$K$3,Table_Assembly[MFG Date],"&gt;="&amp;'Weekly Report'!$B$13,Table_Assembly[MFG Date],"&lt;="&amp;'Weekly Report'!$B$15)</f>
        <v>0</v>
      </c>
      <c r="M38" s="95">
        <f t="shared" si="6"/>
        <v>0</v>
      </c>
      <c r="N38" s="8"/>
      <c r="S38">
        <f>_xlfn.RANK.EQ(U38,$U$5:$U$49,0)+COUNTIF($U$5:U38,U38)-1</f>
        <v>36</v>
      </c>
      <c r="T38" s="73" t="s">
        <v>187</v>
      </c>
      <c r="U38" s="94">
        <f>SUMIFS(Table_Assembly[Specific Amount],Table_Assembly[Product type],$T$3,Table_Assembly[NG Type],$R$19,Table_Assembly[NG content],T38,Table_Assembly[Month],INDEX($AE$14:$AE$25,MATCH($Q$9,$AD$14:$AD$25,0)))</f>
        <v>0</v>
      </c>
      <c r="V38" s="95">
        <f t="shared" si="1"/>
        <v>0</v>
      </c>
      <c r="W38" s="8"/>
      <c r="X38" s="5">
        <f>_xlfn.RANK.EQ(Z38,$Z$5:$Z$49,0)+COUNTIF($Z$5:Z38,Z38)-1</f>
        <v>34</v>
      </c>
      <c r="Y38" s="73" t="s">
        <v>187</v>
      </c>
      <c r="Z38" s="94">
        <f>SUMIFS(Table_Assembly[Specific Amount],Table_Assembly[Product type],$Y$3,Table_Assembly[NG Type],$R$19,Table_Assembly[NG content],Y38,Table_Assembly[Month],INDEX($AE$14:$AE$25,MATCH($Q$9,$AD$14:$AD$25,0)))</f>
        <v>0</v>
      </c>
      <c r="AA38" s="95">
        <f t="shared" si="3"/>
        <v>0</v>
      </c>
      <c r="AB38" s="8"/>
      <c r="AG38">
        <f>_xlfn.RANK.EQ(AI38,$AI$5:$AI$49,0)+COUNTIF($AI$5:AI38,AI38)-1</f>
        <v>37</v>
      </c>
      <c r="AH38" s="73" t="s">
        <v>187</v>
      </c>
      <c r="AI38" s="94">
        <f>SUMIFS(Table_Assembly[Specific Amount],Table_Assembly[Product type],$AH$3,Table_Assembly[NG Type],$AF$12,Table_Assembly[NG content],AH38,Table_Assembly[Year],$AE$7)</f>
        <v>0</v>
      </c>
      <c r="AJ38" s="95">
        <f t="shared" si="5"/>
        <v>0</v>
      </c>
      <c r="AK38" s="8"/>
      <c r="AM38" s="5">
        <f>_xlfn.RANK.EQ(AO38,$AO$5:$AO$49,0)+COUNTIF($AO$5:AO38,AO38)-1</f>
        <v>35</v>
      </c>
      <c r="AN38" s="73" t="s">
        <v>187</v>
      </c>
      <c r="AO38" s="94">
        <f>SUMIFS(Table_Assembly[Specific Amount],Table_Assembly[Product type],$AN$3,Table_Assembly[NG Type],$AF$12,Table_Assembly[NG content],AN38,Table_Assembly[Year],$AE$7)</f>
        <v>0</v>
      </c>
      <c r="AP38" s="95">
        <f t="shared" si="4"/>
        <v>0</v>
      </c>
      <c r="AQ38" s="8"/>
    </row>
    <row r="39" spans="4:43">
      <c r="D39" s="5">
        <f>_xlfn.RANK.EQ(F39,$F$5:$F$49,0)+COUNTIF($F$5:F39,F39)-1</f>
        <v>37</v>
      </c>
      <c r="E39" s="73" t="s">
        <v>188</v>
      </c>
      <c r="F39" s="94">
        <f>SUMIFS(Table_Assembly[Specific Amount],Table_Assembly[NG Type],$B$21,Table_Assembly[NG content],E39,Table_Assembly[Product type],$E$3,Table_Assembly[MFG Date],"&gt;="&amp;'Weekly Report'!$B$13,Table_Assembly[MFG Date],"&lt;="&amp;'Weekly Report'!$B$15)</f>
        <v>0</v>
      </c>
      <c r="G39" s="95">
        <f t="shared" si="2"/>
        <v>0</v>
      </c>
      <c r="H39" s="8"/>
      <c r="I39" s="5"/>
      <c r="J39" s="5">
        <f>_xlfn.RANK.EQ(L39,$L$5:$L$49,0)+COUNTIF($L$5:L39,L39)-1</f>
        <v>35</v>
      </c>
      <c r="K39" s="73" t="s">
        <v>188</v>
      </c>
      <c r="L39" s="94">
        <f>SUMIFS(Table_Assembly[Specific Amount],Table_Assembly[NG Type],$B$21,Table_Assembly[NG content],K39,Table_Assembly[Product type],$K$3,Table_Assembly[MFG Date],"&gt;="&amp;'Weekly Report'!$B$13,Table_Assembly[MFG Date],"&lt;="&amp;'Weekly Report'!$B$15)</f>
        <v>0</v>
      </c>
      <c r="M39" s="95">
        <f t="shared" si="6"/>
        <v>0</v>
      </c>
      <c r="N39" s="8"/>
      <c r="S39">
        <f>_xlfn.RANK.EQ(U39,$U$5:$U$49,0)+COUNTIF($U$5:U39,U39)-1</f>
        <v>37</v>
      </c>
      <c r="T39" s="73" t="s">
        <v>188</v>
      </c>
      <c r="U39" s="94">
        <f>SUMIFS(Table_Assembly[Specific Amount],Table_Assembly[Product type],$T$3,Table_Assembly[NG Type],$R$19,Table_Assembly[NG content],T39,Table_Assembly[Month],INDEX($AE$14:$AE$25,MATCH($Q$9,$AD$14:$AD$25,0)))</f>
        <v>0</v>
      </c>
      <c r="V39" s="95">
        <f t="shared" si="1"/>
        <v>0</v>
      </c>
      <c r="W39" s="8"/>
      <c r="X39" s="5">
        <f>_xlfn.RANK.EQ(Z39,$Z$5:$Z$49,0)+COUNTIF($Z$5:Z39,Z39)-1</f>
        <v>35</v>
      </c>
      <c r="Y39" s="73" t="s">
        <v>188</v>
      </c>
      <c r="Z39" s="94">
        <f>SUMIFS(Table_Assembly[Specific Amount],Table_Assembly[Product type],$Y$3,Table_Assembly[NG Type],$R$19,Table_Assembly[NG content],Y39,Table_Assembly[Month],INDEX($AE$14:$AE$25,MATCH($Q$9,$AD$14:$AD$25,0)))</f>
        <v>0</v>
      </c>
      <c r="AA39" s="95">
        <f t="shared" si="3"/>
        <v>0</v>
      </c>
      <c r="AB39" s="8"/>
      <c r="AG39">
        <f>_xlfn.RANK.EQ(AI39,$AI$5:$AI$49,0)+COUNTIF($AI$5:AI39,AI39)-1</f>
        <v>17</v>
      </c>
      <c r="AH39" s="73" t="s">
        <v>188</v>
      </c>
      <c r="AI39" s="94">
        <f>SUMIFS(Table_Assembly[Specific Amount],Table_Assembly[Product type],$AH$3,Table_Assembly[NG Type],$AF$12,Table_Assembly[NG content],AH39,Table_Assembly[Year],$AE$7)</f>
        <v>2</v>
      </c>
      <c r="AJ39" s="95">
        <f t="shared" si="5"/>
        <v>0.1392757660167131</v>
      </c>
      <c r="AK39" s="8"/>
      <c r="AM39" s="5">
        <f>_xlfn.RANK.EQ(AO39,$AO$5:$AO$49,0)+COUNTIF($AO$5:AO39,AO39)-1</f>
        <v>36</v>
      </c>
      <c r="AN39" s="73" t="s">
        <v>188</v>
      </c>
      <c r="AO39" s="94">
        <f>SUMIFS(Table_Assembly[Specific Amount],Table_Assembly[Product type],$AN$3,Table_Assembly[NG Type],$AF$12,Table_Assembly[NG content],AN39,Table_Assembly[Year],$AE$7)</f>
        <v>0</v>
      </c>
      <c r="AP39" s="95">
        <f t="shared" si="4"/>
        <v>0</v>
      </c>
      <c r="AQ39" s="8"/>
    </row>
    <row r="40" spans="4:43">
      <c r="D40" s="5">
        <f>_xlfn.RANK.EQ(F40,$F$5:$F$49,0)+COUNTIF($F$5:F40,F40)-1</f>
        <v>38</v>
      </c>
      <c r="E40" s="73" t="s">
        <v>189</v>
      </c>
      <c r="F40" s="94">
        <f>SUMIFS(Table_Assembly[Specific Amount],Table_Assembly[NG Type],$B$21,Table_Assembly[NG content],E40,Table_Assembly[Product type],$E$3,Table_Assembly[MFG Date],"&gt;="&amp;'Weekly Report'!$B$13,Table_Assembly[MFG Date],"&lt;="&amp;'Weekly Report'!$B$15)</f>
        <v>0</v>
      </c>
      <c r="G40" s="95">
        <f t="shared" si="2"/>
        <v>0</v>
      </c>
      <c r="H40" s="8"/>
      <c r="I40" s="5"/>
      <c r="J40" s="5">
        <f>_xlfn.RANK.EQ(L40,$L$5:$L$49,0)+COUNTIF($L$5:L40,L40)-1</f>
        <v>36</v>
      </c>
      <c r="K40" s="73" t="s">
        <v>189</v>
      </c>
      <c r="L40" s="94">
        <f>SUMIFS(Table_Assembly[Specific Amount],Table_Assembly[NG Type],$B$21,Table_Assembly[NG content],K40,Table_Assembly[Product type],$K$3,Table_Assembly[MFG Date],"&gt;="&amp;'Weekly Report'!$B$13,Table_Assembly[MFG Date],"&lt;="&amp;'Weekly Report'!$B$15)</f>
        <v>0</v>
      </c>
      <c r="M40" s="95">
        <f t="shared" si="6"/>
        <v>0</v>
      </c>
      <c r="N40" s="8"/>
      <c r="S40">
        <f>_xlfn.RANK.EQ(U40,$U$5:$U$49,0)+COUNTIF($U$5:U40,U40)-1</f>
        <v>38</v>
      </c>
      <c r="T40" s="73" t="s">
        <v>189</v>
      </c>
      <c r="U40" s="94">
        <f>SUMIFS(Table_Assembly[Specific Amount],Table_Assembly[Product type],$T$3,Table_Assembly[NG Type],$R$19,Table_Assembly[NG content],T40,Table_Assembly[Month],INDEX($AE$14:$AE$25,MATCH($Q$9,$AD$14:$AD$25,0)))</f>
        <v>0</v>
      </c>
      <c r="V40" s="95">
        <f t="shared" si="1"/>
        <v>0</v>
      </c>
      <c r="W40" s="8"/>
      <c r="X40" s="5">
        <f>_xlfn.RANK.EQ(Z40,$Z$5:$Z$49,0)+COUNTIF($Z$5:Z40,Z40)-1</f>
        <v>36</v>
      </c>
      <c r="Y40" s="73" t="s">
        <v>189</v>
      </c>
      <c r="Z40" s="94">
        <f>SUMIFS(Table_Assembly[Specific Amount],Table_Assembly[Product type],$Y$3,Table_Assembly[NG Type],$R$19,Table_Assembly[NG content],Y40,Table_Assembly[Month],INDEX($AE$14:$AE$25,MATCH($Q$9,$AD$14:$AD$25,0)))</f>
        <v>0</v>
      </c>
      <c r="AA40" s="95">
        <f t="shared" si="3"/>
        <v>0</v>
      </c>
      <c r="AB40" s="8"/>
      <c r="AG40">
        <f>_xlfn.RANK.EQ(AI40,$AI$5:$AI$49,0)+COUNTIF($AI$5:AI40,AI40)-1</f>
        <v>38</v>
      </c>
      <c r="AH40" s="73" t="s">
        <v>189</v>
      </c>
      <c r="AI40" s="94">
        <f>SUMIFS(Table_Assembly[Specific Amount],Table_Assembly[Product type],$AH$3,Table_Assembly[NG Type],$AF$12,Table_Assembly[NG content],AH40,Table_Assembly[Year],$AE$7)</f>
        <v>0</v>
      </c>
      <c r="AJ40" s="95">
        <f t="shared" si="5"/>
        <v>0</v>
      </c>
      <c r="AK40" s="8"/>
      <c r="AM40" s="5">
        <f>_xlfn.RANK.EQ(AO40,$AO$5:$AO$49,0)+COUNTIF($AO$5:AO40,AO40)-1</f>
        <v>37</v>
      </c>
      <c r="AN40" s="73" t="s">
        <v>189</v>
      </c>
      <c r="AO40" s="94">
        <f>SUMIFS(Table_Assembly[Specific Amount],Table_Assembly[Product type],$AN$3,Table_Assembly[NG Type],$AF$12,Table_Assembly[NG content],AN40,Table_Assembly[Year],$AE$7)</f>
        <v>0</v>
      </c>
      <c r="AP40" s="95">
        <f t="shared" si="4"/>
        <v>0</v>
      </c>
      <c r="AQ40" s="8"/>
    </row>
    <row r="41" spans="4:43">
      <c r="D41" s="5">
        <f>_xlfn.RANK.EQ(F41,$F$5:$F$49,0)+COUNTIF($F$5:F41,F41)-1</f>
        <v>14</v>
      </c>
      <c r="E41" s="73" t="s">
        <v>190</v>
      </c>
      <c r="F41" s="94">
        <f>SUMIFS(Table_Assembly[Specific Amount],Table_Assembly[NG Type],$B$21,Table_Assembly[NG content],E41,Table_Assembly[Product type],$E$3,Table_Assembly[MFG Date],"&gt;="&amp;'Weekly Report'!$B$13,Table_Assembly[MFG Date],"&lt;="&amp;'Weekly Report'!$B$15)</f>
        <v>1</v>
      </c>
      <c r="G41" s="95">
        <f t="shared" si="2"/>
        <v>0.90090090090090091</v>
      </c>
      <c r="H41" s="8"/>
      <c r="I41" s="5"/>
      <c r="J41" s="5">
        <f>_xlfn.RANK.EQ(L41,$L$5:$L$49,0)+COUNTIF($L$5:L41,L41)-1</f>
        <v>37</v>
      </c>
      <c r="K41" s="73" t="s">
        <v>190</v>
      </c>
      <c r="L41" s="94">
        <f>SUMIFS(Table_Assembly[Specific Amount],Table_Assembly[NG Type],$B$21,Table_Assembly[NG content],K41,Table_Assembly[Product type],$K$3,Table_Assembly[MFG Date],"&gt;="&amp;'Weekly Report'!$B$13,Table_Assembly[MFG Date],"&lt;="&amp;'Weekly Report'!$B$15)</f>
        <v>0</v>
      </c>
      <c r="M41" s="95">
        <f t="shared" si="6"/>
        <v>0</v>
      </c>
      <c r="N41" s="8"/>
      <c r="S41">
        <f>_xlfn.RANK.EQ(U41,$U$5:$U$49,0)+COUNTIF($U$5:U41,U41)-1</f>
        <v>12</v>
      </c>
      <c r="T41" s="73" t="s">
        <v>190</v>
      </c>
      <c r="U41" s="94">
        <f>SUMIFS(Table_Assembly[Specific Amount],Table_Assembly[Product type],$T$3,Table_Assembly[NG Type],$R$19,Table_Assembly[NG content],T41,Table_Assembly[Month],INDEX($AE$14:$AE$25,MATCH($Q$9,$AD$14:$AD$25,0)))</f>
        <v>7</v>
      </c>
      <c r="V41" s="95">
        <f t="shared" si="1"/>
        <v>0.53763440860215062</v>
      </c>
      <c r="W41" s="8"/>
      <c r="X41" s="5">
        <f>_xlfn.RANK.EQ(Z41,$Z$5:$Z$49,0)+COUNTIF($Z$5:Z41,Z41)-1</f>
        <v>37</v>
      </c>
      <c r="Y41" s="73" t="s">
        <v>190</v>
      </c>
      <c r="Z41" s="94">
        <f>SUMIFS(Table_Assembly[Specific Amount],Table_Assembly[Product type],$Y$3,Table_Assembly[NG Type],$R$19,Table_Assembly[NG content],Y41,Table_Assembly[Month],INDEX($AE$14:$AE$25,MATCH($Q$9,$AD$14:$AD$25,0)))</f>
        <v>0</v>
      </c>
      <c r="AA41" s="95">
        <f t="shared" si="3"/>
        <v>0</v>
      </c>
      <c r="AB41" s="8"/>
      <c r="AG41">
        <f>_xlfn.RANK.EQ(AI41,$AI$5:$AI$49,0)+COUNTIF($AI$5:AI41,AI41)-1</f>
        <v>10</v>
      </c>
      <c r="AH41" s="73" t="s">
        <v>190</v>
      </c>
      <c r="AI41" s="94">
        <f>SUMIFS(Table_Assembly[Specific Amount],Table_Assembly[Product type],$AH$3,Table_Assembly[NG Type],$AF$12,Table_Assembly[NG content],AH41,Table_Assembly[Year],$AE$7)</f>
        <v>11</v>
      </c>
      <c r="AJ41" s="95">
        <f t="shared" si="5"/>
        <v>0.76601671309192199</v>
      </c>
      <c r="AK41" s="8"/>
      <c r="AM41" s="5">
        <f>_xlfn.RANK.EQ(AO41,$AO$5:$AO$49,0)+COUNTIF($AO$5:AO41,AO41)-1</f>
        <v>38</v>
      </c>
      <c r="AN41" s="73" t="s">
        <v>190</v>
      </c>
      <c r="AO41" s="94">
        <f>SUMIFS(Table_Assembly[Specific Amount],Table_Assembly[Product type],$AN$3,Table_Assembly[NG Type],$AF$12,Table_Assembly[NG content],AN41,Table_Assembly[Year],$AE$7)</f>
        <v>0</v>
      </c>
      <c r="AP41" s="95">
        <f t="shared" si="4"/>
        <v>0</v>
      </c>
      <c r="AQ41" s="8"/>
    </row>
    <row r="42" spans="4:43">
      <c r="D42" s="5">
        <f>_xlfn.RANK.EQ(F42,$F$5:$F$49,0)+COUNTIF($F$5:F42,F42)-1</f>
        <v>39</v>
      </c>
      <c r="E42" s="73" t="s">
        <v>191</v>
      </c>
      <c r="F42" s="94">
        <f>SUMIFS(Table_Assembly[Specific Amount],Table_Assembly[NG Type],$B$21,Table_Assembly[NG content],E42,Table_Assembly[Product type],$E$3,Table_Assembly[MFG Date],"&gt;="&amp;'Weekly Report'!$B$13,Table_Assembly[MFG Date],"&lt;="&amp;'Weekly Report'!$B$15)</f>
        <v>0</v>
      </c>
      <c r="G42" s="95">
        <f t="shared" si="2"/>
        <v>0</v>
      </c>
      <c r="H42" s="8"/>
      <c r="I42" s="5"/>
      <c r="J42" s="5">
        <f>_xlfn.RANK.EQ(L42,$L$5:$L$49,0)+COUNTIF($L$5:L42,L42)-1</f>
        <v>38</v>
      </c>
      <c r="K42" s="73" t="s">
        <v>191</v>
      </c>
      <c r="L42" s="94">
        <f>SUMIFS(Table_Assembly[Specific Amount],Table_Assembly[NG Type],$B$21,Table_Assembly[NG content],K42,Table_Assembly[Product type],$K$3,Table_Assembly[MFG Date],"&gt;="&amp;'Weekly Report'!$B$13,Table_Assembly[MFG Date],"&lt;="&amp;'Weekly Report'!$B$15)</f>
        <v>0</v>
      </c>
      <c r="M42" s="95">
        <f t="shared" si="6"/>
        <v>0</v>
      </c>
      <c r="N42" s="8"/>
      <c r="S42">
        <f>_xlfn.RANK.EQ(U42,$U$5:$U$49,0)+COUNTIF($U$5:U42,U42)-1</f>
        <v>39</v>
      </c>
      <c r="T42" s="73" t="s">
        <v>191</v>
      </c>
      <c r="U42" s="94">
        <f>SUMIFS(Table_Assembly[Specific Amount],Table_Assembly[Product type],$T$3,Table_Assembly[NG Type],$R$19,Table_Assembly[NG content],T42,Table_Assembly[Month],INDEX($AE$14:$AE$25,MATCH($Q$9,$AD$14:$AD$25,0)))</f>
        <v>0</v>
      </c>
      <c r="V42" s="95">
        <f t="shared" si="1"/>
        <v>0</v>
      </c>
      <c r="W42" s="8"/>
      <c r="X42" s="5">
        <f>_xlfn.RANK.EQ(Z42,$Z$5:$Z$49,0)+COUNTIF($Z$5:Z42,Z42)-1</f>
        <v>38</v>
      </c>
      <c r="Y42" s="73" t="s">
        <v>191</v>
      </c>
      <c r="Z42" s="94">
        <f>SUMIFS(Table_Assembly[Specific Amount],Table_Assembly[Product type],$Y$3,Table_Assembly[NG Type],$R$19,Table_Assembly[NG content],Y42,Table_Assembly[Month],INDEX($AE$14:$AE$25,MATCH($Q$9,$AD$14:$AD$25,0)))</f>
        <v>0</v>
      </c>
      <c r="AA42" s="95">
        <f t="shared" si="3"/>
        <v>0</v>
      </c>
      <c r="AB42" s="8"/>
      <c r="AG42">
        <f>_xlfn.RANK.EQ(AI42,$AI$5:$AI$49,0)+COUNTIF($AI$5:AI42,AI42)-1</f>
        <v>39</v>
      </c>
      <c r="AH42" s="73" t="s">
        <v>191</v>
      </c>
      <c r="AI42" s="94">
        <f>SUMIFS(Table_Assembly[Specific Amount],Table_Assembly[Product type],$AH$3,Table_Assembly[NG Type],$AF$12,Table_Assembly[NG content],AH42,Table_Assembly[Year],$AE$7)</f>
        <v>0</v>
      </c>
      <c r="AJ42" s="95">
        <f t="shared" si="5"/>
        <v>0</v>
      </c>
      <c r="AK42" s="8"/>
      <c r="AM42" s="5">
        <f>_xlfn.RANK.EQ(AO42,$AO$5:$AO$49,0)+COUNTIF($AO$5:AO42,AO42)-1</f>
        <v>39</v>
      </c>
      <c r="AN42" s="73" t="s">
        <v>191</v>
      </c>
      <c r="AO42" s="94">
        <f>SUMIFS(Table_Assembly[Specific Amount],Table_Assembly[Product type],$AN$3,Table_Assembly[NG Type],$AF$12,Table_Assembly[NG content],AN42,Table_Assembly[Year],$AE$7)</f>
        <v>0</v>
      </c>
      <c r="AP42" s="95">
        <f t="shared" si="4"/>
        <v>0</v>
      </c>
      <c r="AQ42" s="8"/>
    </row>
    <row r="43" spans="4:43">
      <c r="D43" s="5">
        <f>_xlfn.RANK.EQ(F43,$F$5:$F$49,0)+COUNTIF($F$5:F43,F43)-1</f>
        <v>40</v>
      </c>
      <c r="E43" s="73" t="s">
        <v>240</v>
      </c>
      <c r="F43" s="94">
        <f>SUMIFS(Table_Assembly[Specific Amount],Table_Assembly[NG Type],$B$21,Table_Assembly[NG content],E43,Table_Assembly[Product type],$E$3,Table_Assembly[MFG Date],"&gt;="&amp;'Weekly Report'!$B$13,Table_Assembly[MFG Date],"&lt;="&amp;'Weekly Report'!$B$15)</f>
        <v>0</v>
      </c>
      <c r="G43" s="95">
        <f t="shared" si="2"/>
        <v>0</v>
      </c>
      <c r="H43" s="8"/>
      <c r="I43" s="5"/>
      <c r="J43" s="5">
        <f>_xlfn.RANK.EQ(L43,$L$5:$L$49,0)+COUNTIF($L$5:L43,L43)-1</f>
        <v>39</v>
      </c>
      <c r="K43" s="73" t="s">
        <v>240</v>
      </c>
      <c r="L43" s="94">
        <f>SUMIFS(Table_Assembly[Specific Amount],Table_Assembly[NG Type],$B$21,Table_Assembly[NG content],K43,Table_Assembly[Product type],$K$3,Table_Assembly[MFG Date],"&gt;="&amp;'Weekly Report'!$B$13,Table_Assembly[MFG Date],"&lt;="&amp;'Weekly Report'!$B$15)</f>
        <v>0</v>
      </c>
      <c r="M43" s="95">
        <f t="shared" si="6"/>
        <v>0</v>
      </c>
      <c r="N43" s="8"/>
      <c r="S43">
        <f>_xlfn.RANK.EQ(U43,$U$5:$U$49,0)+COUNTIF($U$5:U43,U43)-1</f>
        <v>40</v>
      </c>
      <c r="T43" s="73" t="s">
        <v>240</v>
      </c>
      <c r="U43" s="94">
        <f>SUMIFS(Table_Assembly[Specific Amount],Table_Assembly[Product type],$T$3,Table_Assembly[NG Type],$R$19,Table_Assembly[NG content],T43,Table_Assembly[Month],INDEX($AE$14:$AE$25,MATCH($Q$9,$AD$14:$AD$25,0)))</f>
        <v>0</v>
      </c>
      <c r="V43" s="95">
        <f t="shared" si="1"/>
        <v>0</v>
      </c>
      <c r="W43" s="8"/>
      <c r="X43" s="5">
        <f>_xlfn.RANK.EQ(Z43,$Z$5:$Z$49,0)+COUNTIF($Z$5:Z43,Z43)-1</f>
        <v>39</v>
      </c>
      <c r="Y43" s="73" t="s">
        <v>240</v>
      </c>
      <c r="Z43" s="94">
        <f>SUMIFS(Table_Assembly[Specific Amount],Table_Assembly[Product type],$Y$3,Table_Assembly[NG Type],$R$19,Table_Assembly[NG content],Y43,Table_Assembly[Month],INDEX($AE$14:$AE$25,MATCH($Q$9,$AD$14:$AD$25,0)))</f>
        <v>0</v>
      </c>
      <c r="AA43" s="95">
        <f t="shared" si="3"/>
        <v>0</v>
      </c>
      <c r="AB43" s="8"/>
      <c r="AG43">
        <f>_xlfn.RANK.EQ(AI43,$AI$5:$AI$49,0)+COUNTIF($AI$5:AI43,AI43)-1</f>
        <v>40</v>
      </c>
      <c r="AH43" s="73" t="s">
        <v>240</v>
      </c>
      <c r="AI43" s="94">
        <f>SUMIFS(Table_Assembly[Specific Amount],Table_Assembly[Product type],$AH$3,Table_Assembly[NG Type],$AF$12,Table_Assembly[NG content],AH43,Table_Assembly[Year],$AE$7)</f>
        <v>0</v>
      </c>
      <c r="AJ43" s="95">
        <f t="shared" si="5"/>
        <v>0</v>
      </c>
      <c r="AK43" s="8"/>
      <c r="AM43" s="5">
        <f>_xlfn.RANK.EQ(AO43,$AO$5:$AO$49,0)+COUNTIF($AO$5:AO43,AO43)-1</f>
        <v>40</v>
      </c>
      <c r="AN43" s="73" t="s">
        <v>240</v>
      </c>
      <c r="AO43" s="94">
        <f>SUMIFS(Table_Assembly[Specific Amount],Table_Assembly[Product type],$AN$3,Table_Assembly[NG Type],$AF$12,Table_Assembly[NG content],AN43,Table_Assembly[Year],$AE$7)</f>
        <v>0</v>
      </c>
      <c r="AP43" s="95">
        <f t="shared" si="4"/>
        <v>0</v>
      </c>
      <c r="AQ43" s="8"/>
    </row>
    <row r="44" spans="4:43">
      <c r="D44" s="5">
        <f>_xlfn.RANK.EQ(F44,$F$5:$F$49,0)+COUNTIF($F$5:F44,F44)-1</f>
        <v>41</v>
      </c>
      <c r="E44" s="73" t="s">
        <v>192</v>
      </c>
      <c r="F44" s="94">
        <f>SUMIFS(Table_Assembly[Specific Amount],Table_Assembly[NG Type],$B$21,Table_Assembly[NG content],E44,Table_Assembly[Product type],$E$3,Table_Assembly[MFG Date],"&gt;="&amp;'Weekly Report'!$B$13,Table_Assembly[MFG Date],"&lt;="&amp;'Weekly Report'!$B$15)</f>
        <v>0</v>
      </c>
      <c r="G44" s="95">
        <f t="shared" si="2"/>
        <v>0</v>
      </c>
      <c r="H44" s="8"/>
      <c r="I44" s="5"/>
      <c r="J44" s="5">
        <f>_xlfn.RANK.EQ(L44,$L$5:$L$49,0)+COUNTIF($L$5:L44,L44)-1</f>
        <v>40</v>
      </c>
      <c r="K44" s="73" t="s">
        <v>192</v>
      </c>
      <c r="L44" s="94">
        <f>SUMIFS(Table_Assembly[Specific Amount],Table_Assembly[NG Type],$B$21,Table_Assembly[NG content],K44,Table_Assembly[Product type],$K$3,Table_Assembly[MFG Date],"&gt;="&amp;'Weekly Report'!$B$13,Table_Assembly[MFG Date],"&lt;="&amp;'Weekly Report'!$B$15)</f>
        <v>0</v>
      </c>
      <c r="M44" s="95">
        <f t="shared" si="6"/>
        <v>0</v>
      </c>
      <c r="N44" s="8"/>
      <c r="S44">
        <f>_xlfn.RANK.EQ(U44,$U$5:$U$49,0)+COUNTIF($U$5:U44,U44)-1</f>
        <v>41</v>
      </c>
      <c r="T44" s="73" t="s">
        <v>192</v>
      </c>
      <c r="U44" s="94">
        <f>SUMIFS(Table_Assembly[Specific Amount],Table_Assembly[Product type],$T$3,Table_Assembly[NG Type],$R$19,Table_Assembly[NG content],T44,Table_Assembly[Month],INDEX($AE$14:$AE$25,MATCH($Q$9,$AD$14:$AD$25,0)))</f>
        <v>0</v>
      </c>
      <c r="V44" s="95">
        <f t="shared" si="1"/>
        <v>0</v>
      </c>
      <c r="W44" s="8"/>
      <c r="X44" s="5">
        <f>_xlfn.RANK.EQ(Z44,$Z$5:$Z$49,0)+COUNTIF($Z$5:Z44,Z44)-1</f>
        <v>40</v>
      </c>
      <c r="Y44" s="73" t="s">
        <v>192</v>
      </c>
      <c r="Z44" s="94">
        <f>SUMIFS(Table_Assembly[Specific Amount],Table_Assembly[Product type],$Y$3,Table_Assembly[NG Type],$R$19,Table_Assembly[NG content],Y44,Table_Assembly[Month],INDEX($AE$14:$AE$25,MATCH($Q$9,$AD$14:$AD$25,0)))</f>
        <v>0</v>
      </c>
      <c r="AA44" s="95">
        <f t="shared" si="3"/>
        <v>0</v>
      </c>
      <c r="AB44" s="8"/>
      <c r="AG44">
        <f>_xlfn.RANK.EQ(AI44,$AI$5:$AI$49,0)+COUNTIF($AI$5:AI44,AI44)-1</f>
        <v>41</v>
      </c>
      <c r="AH44" s="73" t="s">
        <v>192</v>
      </c>
      <c r="AI44" s="94">
        <f>SUMIFS(Table_Assembly[Specific Amount],Table_Assembly[Product type],$AH$3,Table_Assembly[NG Type],$AF$12,Table_Assembly[NG content],AH44,Table_Assembly[Year],$AE$7)</f>
        <v>0</v>
      </c>
      <c r="AJ44" s="95">
        <f t="shared" si="5"/>
        <v>0</v>
      </c>
      <c r="AK44" s="8"/>
      <c r="AM44" s="5">
        <f>_xlfn.RANK.EQ(AO44,$AO$5:$AO$49,0)+COUNTIF($AO$5:AO44,AO44)-1</f>
        <v>41</v>
      </c>
      <c r="AN44" s="73" t="s">
        <v>192</v>
      </c>
      <c r="AO44" s="94">
        <f>SUMIFS(Table_Assembly[Specific Amount],Table_Assembly[Product type],$AN$3,Table_Assembly[NG Type],$AF$12,Table_Assembly[NG content],AN44,Table_Assembly[Year],$AE$7)</f>
        <v>0</v>
      </c>
      <c r="AP44" s="95">
        <f t="shared" si="4"/>
        <v>0</v>
      </c>
      <c r="AQ44" s="8"/>
    </row>
    <row r="45" spans="4:43">
      <c r="D45" s="5">
        <f>_xlfn.RANK.EQ(F45,$F$5:$F$49,0)+COUNTIF($F$5:F45,F45)-1</f>
        <v>42</v>
      </c>
      <c r="E45" s="73" t="s">
        <v>193</v>
      </c>
      <c r="F45" s="94">
        <f>SUMIFS(Table_Assembly[Specific Amount],Table_Assembly[NG Type],$B$21,Table_Assembly[NG content],E45,Table_Assembly[Product type],$E$3,Table_Assembly[MFG Date],"&gt;="&amp;'Weekly Report'!$B$13,Table_Assembly[MFG Date],"&lt;="&amp;'Weekly Report'!$B$15)</f>
        <v>0</v>
      </c>
      <c r="G45" s="95">
        <f t="shared" si="2"/>
        <v>0</v>
      </c>
      <c r="H45" s="8"/>
      <c r="I45" s="5"/>
      <c r="J45" s="5">
        <f>_xlfn.RANK.EQ(L45,$L$5:$L$49,0)+COUNTIF($L$5:L45,L45)-1</f>
        <v>41</v>
      </c>
      <c r="K45" s="73" t="s">
        <v>193</v>
      </c>
      <c r="L45" s="94">
        <f>SUMIFS(Table_Assembly[Specific Amount],Table_Assembly[NG Type],$B$21,Table_Assembly[NG content],K45,Table_Assembly[Product type],$K$3,Table_Assembly[MFG Date],"&gt;="&amp;'Weekly Report'!$B$13,Table_Assembly[MFG Date],"&lt;="&amp;'Weekly Report'!$B$15)</f>
        <v>0</v>
      </c>
      <c r="M45" s="95">
        <f t="shared" si="6"/>
        <v>0</v>
      </c>
      <c r="N45" s="8"/>
      <c r="S45">
        <f>_xlfn.RANK.EQ(U45,$U$5:$U$49,0)+COUNTIF($U$5:U45,U45)-1</f>
        <v>42</v>
      </c>
      <c r="T45" s="73" t="s">
        <v>193</v>
      </c>
      <c r="U45" s="94">
        <f>SUMIFS(Table_Assembly[Specific Amount],Table_Assembly[Product type],$T$3,Table_Assembly[NG Type],$R$19,Table_Assembly[NG content],T45,Table_Assembly[Month],INDEX($AE$14:$AE$25,MATCH($Q$9,$AD$14:$AD$25,0)))</f>
        <v>0</v>
      </c>
      <c r="V45" s="95">
        <f t="shared" si="1"/>
        <v>0</v>
      </c>
      <c r="W45" s="8"/>
      <c r="X45" s="5">
        <f>_xlfn.RANK.EQ(Z45,$Z$5:$Z$49,0)+COUNTIF($Z$5:Z45,Z45)-1</f>
        <v>41</v>
      </c>
      <c r="Y45" s="73" t="s">
        <v>193</v>
      </c>
      <c r="Z45" s="94">
        <f>SUMIFS(Table_Assembly[Specific Amount],Table_Assembly[Product type],$Y$3,Table_Assembly[NG Type],$R$19,Table_Assembly[NG content],Y45,Table_Assembly[Month],INDEX($AE$14:$AE$25,MATCH($Q$9,$AD$14:$AD$25,0)))</f>
        <v>0</v>
      </c>
      <c r="AA45" s="95">
        <f t="shared" si="3"/>
        <v>0</v>
      </c>
      <c r="AB45" s="8"/>
      <c r="AG45">
        <f>_xlfn.RANK.EQ(AI45,$AI$5:$AI$49,0)+COUNTIF($AI$5:AI45,AI45)-1</f>
        <v>42</v>
      </c>
      <c r="AH45" s="73" t="s">
        <v>193</v>
      </c>
      <c r="AI45" s="94">
        <f>SUMIFS(Table_Assembly[Specific Amount],Table_Assembly[Product type],$AH$3,Table_Assembly[NG Type],$AF$12,Table_Assembly[NG content],AH45,Table_Assembly[Year],$AE$7)</f>
        <v>0</v>
      </c>
      <c r="AJ45" s="95">
        <f t="shared" si="5"/>
        <v>0</v>
      </c>
      <c r="AK45" s="8"/>
      <c r="AM45" s="5">
        <f>_xlfn.RANK.EQ(AO45,$AO$5:$AO$49,0)+COUNTIF($AO$5:AO45,AO45)-1</f>
        <v>42</v>
      </c>
      <c r="AN45" s="73" t="s">
        <v>193</v>
      </c>
      <c r="AO45" s="94">
        <f>SUMIFS(Table_Assembly[Specific Amount],Table_Assembly[Product type],$AN$3,Table_Assembly[NG Type],$AF$12,Table_Assembly[NG content],AN45,Table_Assembly[Year],$AE$7)</f>
        <v>0</v>
      </c>
      <c r="AP45" s="95">
        <f t="shared" si="4"/>
        <v>0</v>
      </c>
      <c r="AQ45" s="8"/>
    </row>
    <row r="46" spans="4:43">
      <c r="D46" s="5">
        <f>_xlfn.RANK.EQ(F46,$F$5:$F$49,0)+COUNTIF($F$5:F46,F46)-1</f>
        <v>43</v>
      </c>
      <c r="E46" s="73" t="s">
        <v>241</v>
      </c>
      <c r="F46" s="94">
        <f>SUMIFS(Table_Assembly[Specific Amount],Table_Assembly[NG Type],$B$21,Table_Assembly[NG content],E46,Table_Assembly[Product type],$E$3,Table_Assembly[MFG Date],"&gt;="&amp;'Weekly Report'!$B$13,Table_Assembly[MFG Date],"&lt;="&amp;'Weekly Report'!$B$15)</f>
        <v>0</v>
      </c>
      <c r="G46" s="95">
        <f t="shared" si="2"/>
        <v>0</v>
      </c>
      <c r="H46" s="8"/>
      <c r="I46" s="5"/>
      <c r="J46" s="5">
        <f>_xlfn.RANK.EQ(L46,$L$5:$L$49,0)+COUNTIF($L$5:L46,L46)-1</f>
        <v>42</v>
      </c>
      <c r="K46" s="73" t="s">
        <v>241</v>
      </c>
      <c r="L46" s="94">
        <f>SUMIFS(Table_Assembly[Specific Amount],Table_Assembly[NG Type],$B$21,Table_Assembly[NG content],K46,Table_Assembly[Product type],$K$3,Table_Assembly[MFG Date],"&gt;="&amp;'Weekly Report'!$B$13,Table_Assembly[MFG Date],"&lt;="&amp;'Weekly Report'!$B$15)</f>
        <v>0</v>
      </c>
      <c r="M46" s="95">
        <f t="shared" si="6"/>
        <v>0</v>
      </c>
      <c r="N46" s="8"/>
      <c r="S46">
        <f>_xlfn.RANK.EQ(U46,$U$5:$U$49,0)+COUNTIF($U$5:U46,U46)-1</f>
        <v>43</v>
      </c>
      <c r="T46" s="73" t="s">
        <v>241</v>
      </c>
      <c r="U46" s="94">
        <f>SUMIFS(Table_Assembly[Specific Amount],Table_Assembly[Product type],$T$3,Table_Assembly[NG Type],$R$19,Table_Assembly[NG content],T46,Table_Assembly[Month],INDEX($AE$14:$AE$25,MATCH($Q$9,$AD$14:$AD$25,0)))</f>
        <v>0</v>
      </c>
      <c r="V46" s="95">
        <f t="shared" si="1"/>
        <v>0</v>
      </c>
      <c r="W46" s="8"/>
      <c r="X46" s="5">
        <f>_xlfn.RANK.EQ(Z46,$Z$5:$Z$49,0)+COUNTIF($Z$5:Z46,Z46)-1</f>
        <v>42</v>
      </c>
      <c r="Y46" s="73" t="s">
        <v>241</v>
      </c>
      <c r="Z46" s="94">
        <f>SUMIFS(Table_Assembly[Specific Amount],Table_Assembly[Product type],$Y$3,Table_Assembly[NG Type],$R$19,Table_Assembly[NG content],Y46,Table_Assembly[Month],INDEX($AE$14:$AE$25,MATCH($Q$9,$AD$14:$AD$25,0)))</f>
        <v>0</v>
      </c>
      <c r="AA46" s="95">
        <f t="shared" si="3"/>
        <v>0</v>
      </c>
      <c r="AB46" s="8"/>
      <c r="AG46">
        <f>_xlfn.RANK.EQ(AI46,$AI$5:$AI$49,0)+COUNTIF($AI$5:AI46,AI46)-1</f>
        <v>43</v>
      </c>
      <c r="AH46" s="73" t="s">
        <v>241</v>
      </c>
      <c r="AI46" s="94">
        <f>SUMIFS(Table_Assembly[Specific Amount],Table_Assembly[Product type],$AH$3,Table_Assembly[NG Type],$AF$12,Table_Assembly[NG content],AH46,Table_Assembly[Year],$AE$7)</f>
        <v>0</v>
      </c>
      <c r="AJ46" s="95">
        <f t="shared" si="5"/>
        <v>0</v>
      </c>
      <c r="AK46" s="8"/>
      <c r="AM46" s="5">
        <f>_xlfn.RANK.EQ(AO46,$AO$5:$AO$49,0)+COUNTIF($AO$5:AO46,AO46)-1</f>
        <v>43</v>
      </c>
      <c r="AN46" s="73" t="s">
        <v>241</v>
      </c>
      <c r="AO46" s="94">
        <f>SUMIFS(Table_Assembly[Specific Amount],Table_Assembly[Product type],$AN$3,Table_Assembly[NG Type],$AF$12,Table_Assembly[NG content],AN46,Table_Assembly[Year],$AE$7)</f>
        <v>0</v>
      </c>
      <c r="AP46" s="95">
        <f t="shared" si="4"/>
        <v>0</v>
      </c>
      <c r="AQ46" s="8"/>
    </row>
    <row r="47" spans="4:43">
      <c r="D47" s="5">
        <f>_xlfn.RANK.EQ(F47,$F$5:$F$49,0)+COUNTIF($F$5:F47,F47)-1</f>
        <v>44</v>
      </c>
      <c r="E47" s="73" t="s">
        <v>194</v>
      </c>
      <c r="F47" s="94">
        <f>SUMIFS(Table_Assembly[Specific Amount],Table_Assembly[NG Type],$B$21,Table_Assembly[NG content],E47,Table_Assembly[Product type],$E$3,Table_Assembly[MFG Date],"&gt;="&amp;'Weekly Report'!$B$13,Table_Assembly[MFG Date],"&lt;="&amp;'Weekly Report'!$B$15)</f>
        <v>0</v>
      </c>
      <c r="G47" s="95">
        <f t="shared" si="2"/>
        <v>0</v>
      </c>
      <c r="H47" s="8"/>
      <c r="I47" s="5"/>
      <c r="J47" s="5">
        <f>_xlfn.RANK.EQ(L47,$L$5:$L$49,0)+COUNTIF($L$5:L47,L47)-1</f>
        <v>43</v>
      </c>
      <c r="K47" s="73" t="s">
        <v>194</v>
      </c>
      <c r="L47" s="94">
        <f>SUMIFS(Table_Assembly[Specific Amount],Table_Assembly[NG Type],$B$21,Table_Assembly[NG content],K47,Table_Assembly[Product type],$K$3,Table_Assembly[MFG Date],"&gt;="&amp;'Weekly Report'!$B$13,Table_Assembly[MFG Date],"&lt;="&amp;'Weekly Report'!$B$15)</f>
        <v>0</v>
      </c>
      <c r="M47" s="95">
        <f t="shared" si="6"/>
        <v>0</v>
      </c>
      <c r="N47" s="8"/>
      <c r="S47">
        <f>_xlfn.RANK.EQ(U47,$U$5:$U$49,0)+COUNTIF($U$5:U47,U47)-1</f>
        <v>44</v>
      </c>
      <c r="T47" s="73" t="s">
        <v>194</v>
      </c>
      <c r="U47" s="94">
        <f>SUMIFS(Table_Assembly[Specific Amount],Table_Assembly[Product type],$T$3,Table_Assembly[NG Type],$R$19,Table_Assembly[NG content],T47,Table_Assembly[Month],INDEX($AE$14:$AE$25,MATCH($Q$9,$AD$14:$AD$25,0)))</f>
        <v>0</v>
      </c>
      <c r="V47" s="95">
        <f t="shared" si="1"/>
        <v>0</v>
      </c>
      <c r="W47" s="8"/>
      <c r="X47" s="5">
        <f>_xlfn.RANK.EQ(Z47,$Z$5:$Z$49,0)+COUNTIF($Z$5:Z47,Z47)-1</f>
        <v>43</v>
      </c>
      <c r="Y47" s="73" t="s">
        <v>194</v>
      </c>
      <c r="Z47" s="94">
        <f>SUMIFS(Table_Assembly[Specific Amount],Table_Assembly[Product type],$Y$3,Table_Assembly[NG Type],$R$19,Table_Assembly[NG content],Y47,Table_Assembly[Month],INDEX($AE$14:$AE$25,MATCH($Q$9,$AD$14:$AD$25,0)))</f>
        <v>0</v>
      </c>
      <c r="AA47" s="95">
        <f t="shared" si="3"/>
        <v>0</v>
      </c>
      <c r="AB47" s="8"/>
      <c r="AG47">
        <f>_xlfn.RANK.EQ(AI47,$AI$5:$AI$49,0)+COUNTIF($AI$5:AI47,AI47)-1</f>
        <v>44</v>
      </c>
      <c r="AH47" s="73" t="s">
        <v>194</v>
      </c>
      <c r="AI47" s="94">
        <f>SUMIFS(Table_Assembly[Specific Amount],Table_Assembly[Product type],$AH$3,Table_Assembly[NG Type],$AF$12,Table_Assembly[NG content],AH47,Table_Assembly[Year],$AE$7)</f>
        <v>0</v>
      </c>
      <c r="AJ47" s="95">
        <f t="shared" si="5"/>
        <v>0</v>
      </c>
      <c r="AK47" s="8"/>
      <c r="AM47" s="5">
        <f>_xlfn.RANK.EQ(AO47,$AO$5:$AO$49,0)+COUNTIF($AO$5:AO47,AO47)-1</f>
        <v>44</v>
      </c>
      <c r="AN47" s="73" t="s">
        <v>194</v>
      </c>
      <c r="AO47" s="94">
        <f>SUMIFS(Table_Assembly[Specific Amount],Table_Assembly[Product type],$AN$3,Table_Assembly[NG Type],$AF$12,Table_Assembly[NG content],AN47,Table_Assembly[Year],$AE$7)</f>
        <v>0</v>
      </c>
      <c r="AP47" s="95">
        <f t="shared" si="4"/>
        <v>0</v>
      </c>
      <c r="AQ47" s="8"/>
    </row>
    <row r="48" spans="4:43">
      <c r="D48" s="5">
        <f>_xlfn.RANK.EQ(F48,$F$5:$F$49,0)+COUNTIF($F$5:F48,F48)-1</f>
        <v>45</v>
      </c>
      <c r="E48" s="73" t="s">
        <v>195</v>
      </c>
      <c r="F48" s="94">
        <f>SUMIFS(Table_Assembly[Specific Amount],Table_Assembly[NG Type],$B$21,Table_Assembly[NG content],E48,Table_Assembly[Product type],$E$3,Table_Assembly[MFG Date],"&gt;="&amp;'Weekly Report'!$B$13,Table_Assembly[MFG Date],"&lt;="&amp;'Weekly Report'!$B$15)</f>
        <v>0</v>
      </c>
      <c r="G48" s="95">
        <f t="shared" si="2"/>
        <v>0</v>
      </c>
      <c r="H48" s="8"/>
      <c r="I48" s="5"/>
      <c r="J48" s="5">
        <f>_xlfn.RANK.EQ(L48,$L$5:$L$49,0)+COUNTIF($L$5:L48,L48)-1</f>
        <v>44</v>
      </c>
      <c r="K48" s="73" t="s">
        <v>195</v>
      </c>
      <c r="L48" s="94">
        <f>SUMIFS(Table_Assembly[Specific Amount],Table_Assembly[NG Type],$B$21,Table_Assembly[NG content],K48,Table_Assembly[Product type],$K$3,Table_Assembly[MFG Date],"&gt;="&amp;'Weekly Report'!$B$13,Table_Assembly[MFG Date],"&lt;="&amp;'Weekly Report'!$B$15)</f>
        <v>0</v>
      </c>
      <c r="M48" s="95">
        <f t="shared" si="6"/>
        <v>0</v>
      </c>
      <c r="N48" s="8"/>
      <c r="S48">
        <f>_xlfn.RANK.EQ(U48,$U$5:$U$49,0)+COUNTIF($U$5:U48,U48)-1</f>
        <v>45</v>
      </c>
      <c r="T48" s="73" t="s">
        <v>195</v>
      </c>
      <c r="U48" s="94">
        <f>SUMIFS(Table_Assembly[Specific Amount],Table_Assembly[Product type],$T$3,Table_Assembly[NG Type],$R$19,Table_Assembly[NG content],T48,Table_Assembly[Month],INDEX($AE$14:$AE$25,MATCH($Q$9,$AD$14:$AD$25,0)))</f>
        <v>0</v>
      </c>
      <c r="V48" s="95">
        <f t="shared" si="1"/>
        <v>0</v>
      </c>
      <c r="W48" s="8"/>
      <c r="X48" s="5">
        <f>_xlfn.RANK.EQ(Z48,$Z$5:$Z$49,0)+COUNTIF($Z$5:Z48,Z48)-1</f>
        <v>44</v>
      </c>
      <c r="Y48" s="73" t="s">
        <v>195</v>
      </c>
      <c r="Z48" s="94">
        <f>SUMIFS(Table_Assembly[Specific Amount],Table_Assembly[Product type],$Y$3,Table_Assembly[NG Type],$R$19,Table_Assembly[NG content],Y48,Table_Assembly[Month],INDEX($AE$14:$AE$25,MATCH($Q$9,$AD$14:$AD$25,0)))</f>
        <v>0</v>
      </c>
      <c r="AA48" s="95">
        <f t="shared" si="3"/>
        <v>0</v>
      </c>
      <c r="AB48" s="8"/>
      <c r="AG48">
        <f>_xlfn.RANK.EQ(AI48,$AI$5:$AI$49,0)+COUNTIF($AI$5:AI48,AI48)-1</f>
        <v>45</v>
      </c>
      <c r="AH48" s="73" t="s">
        <v>195</v>
      </c>
      <c r="AI48" s="94">
        <f>SUMIFS(Table_Assembly[Specific Amount],Table_Assembly[Product type],$AH$3,Table_Assembly[NG Type],$AF$12,Table_Assembly[NG content],AH48,Table_Assembly[Year],$AE$7)</f>
        <v>0</v>
      </c>
      <c r="AJ48" s="95">
        <f t="shared" si="5"/>
        <v>0</v>
      </c>
      <c r="AK48" s="8"/>
      <c r="AM48" s="5">
        <f>_xlfn.RANK.EQ(AO48,$AO$5:$AO$49,0)+COUNTIF($AO$5:AO48,AO48)-1</f>
        <v>45</v>
      </c>
      <c r="AN48" s="73" t="s">
        <v>195</v>
      </c>
      <c r="AO48" s="94">
        <f>SUMIFS(Table_Assembly[Specific Amount],Table_Assembly[Product type],$AN$3,Table_Assembly[NG Type],$AF$12,Table_Assembly[NG content],AN48,Table_Assembly[Year],$AE$7)</f>
        <v>0</v>
      </c>
      <c r="AP48" s="95">
        <f t="shared" si="4"/>
        <v>0</v>
      </c>
      <c r="AQ48" s="8"/>
    </row>
    <row r="49" spans="4:43">
      <c r="D49" s="5">
        <f>_xlfn.RANK.EQ(F49,$F$5:$F$49,0)+COUNTIF($F$5:F49,F49)-1</f>
        <v>6</v>
      </c>
      <c r="E49" s="74" t="s">
        <v>123</v>
      </c>
      <c r="F49" s="96">
        <f>SUMIFS(Table_Assembly[Specific Amount],Table_Assembly[NG Type],$B$21,Table_Assembly[NG content],"Others",Table_Assembly[Product type],$E$3,Table_Assembly[MFG Date],"&gt;="&amp;'Weekly Report'!$B$13,Table_Assembly[MFG Date],"&lt;="&amp;'Weekly Report'!$B$15)</f>
        <v>8</v>
      </c>
      <c r="G49" s="97">
        <f t="shared" si="2"/>
        <v>7.2072072072072073</v>
      </c>
      <c r="H49" s="9"/>
      <c r="I49" s="5"/>
      <c r="J49" s="5">
        <f>_xlfn.RANK.EQ(L49,$L$5:$L$49,0)+COUNTIF($L$5:L49,L49)-1</f>
        <v>45</v>
      </c>
      <c r="K49" s="74" t="s">
        <v>123</v>
      </c>
      <c r="L49" s="96">
        <f>SUMIFS(Table_Assembly[Specific Amount],Table_Assembly[NG Type],$B$21,Table_Assembly[NG content],"Others",Table_Assembly[Product type],$K$3,Table_Assembly[MFG Date],"&gt;="&amp;'Weekly Report'!$B$13,Table_Assembly[MFG Date],"&lt;="&amp;'Weekly Report'!$B$15)</f>
        <v>0</v>
      </c>
      <c r="M49" s="97">
        <f t="shared" si="6"/>
        <v>0</v>
      </c>
      <c r="N49" s="9"/>
      <c r="S49">
        <f>_xlfn.RANK.EQ(U49,$U$5:$U$49,0)+COUNTIF($U$5:U49,U49)-1</f>
        <v>1</v>
      </c>
      <c r="T49" s="74" t="s">
        <v>123</v>
      </c>
      <c r="U49" s="96">
        <f>SUMIFS(Table_Assembly[Specific Amount],Table_Assembly[Product type],$T$3,Table_Assembly[NG Type],$R$19,Table_Assembly[NG content],"Others",Table_Assembly[Month],INDEX($AE$14:$AE$25,MATCH($Q$9,$AD$14:$AD$25,0)))</f>
        <v>1032</v>
      </c>
      <c r="V49" s="97">
        <f t="shared" si="1"/>
        <v>79.262672811059915</v>
      </c>
      <c r="W49" s="9"/>
      <c r="X49" s="5">
        <f>_xlfn.RANK.EQ(Z49,$Z$5:$Z$49,0)+COUNTIF($Z$5:Z49,Z49)-1</f>
        <v>45</v>
      </c>
      <c r="Y49" s="74" t="s">
        <v>123</v>
      </c>
      <c r="Z49" s="96">
        <f>SUMIFS(Table_Assembly[Specific Amount],Table_Assembly[Product type],$Y$3,Table_Assembly[NG Type],$R$19,Table_Assembly[NG content],"Others",Table_Assembly[Month],INDEX($AE$14:$AE$25,MATCH($Q$9,$AD$14:$AD$25,0)))</f>
        <v>0</v>
      </c>
      <c r="AA49" s="97">
        <f t="shared" si="3"/>
        <v>0</v>
      </c>
      <c r="AB49" s="9"/>
      <c r="AG49">
        <f>_xlfn.RANK.EQ(AI49,$AI$5:$AI$49,0)+COUNTIF($AI$5:AI49,AI49)-1</f>
        <v>1</v>
      </c>
      <c r="AH49" s="74" t="s">
        <v>123</v>
      </c>
      <c r="AI49" s="96">
        <f>SUMIFS(Table_Assembly[Specific Amount],Table_Assembly[Product type],$AH$3,Table_Assembly[NG Type],$AF$12,Table_Assembly[NG content],"Others",Table_Assembly[Year],$AE$7)</f>
        <v>1050</v>
      </c>
      <c r="AJ49" s="97">
        <f>AI49/$AI$50*100</f>
        <v>73.119777158774369</v>
      </c>
      <c r="AK49" s="9"/>
      <c r="AM49" s="5">
        <f>_xlfn.RANK.EQ(AO49,$AO$5:$AO$49,0)+COUNTIF($AO$5:AO49,AO49)-1</f>
        <v>10</v>
      </c>
      <c r="AN49" s="74" t="s">
        <v>123</v>
      </c>
      <c r="AO49" s="96">
        <f>SUMIFS(Table_Assembly[Specific Amount],Table_Assembly[Product type],$AN$3,Table_Assembly[NG Type],$AF$12,Table_Assembly[NG content],"Others",Table_Assembly[Year],$AE$7)</f>
        <v>3</v>
      </c>
      <c r="AP49" s="97">
        <f t="shared" si="4"/>
        <v>0.94043887147335425</v>
      </c>
      <c r="AQ49" s="9"/>
    </row>
    <row r="50" spans="4:43">
      <c r="E50" s="12" t="s">
        <v>196</v>
      </c>
      <c r="F50">
        <f>SUM($F$5:$F$49)</f>
        <v>111</v>
      </c>
      <c r="K50" s="12" t="s">
        <v>196</v>
      </c>
      <c r="L50">
        <f>SUM($L$5:$L$49)</f>
        <v>139</v>
      </c>
      <c r="T50" s="12" t="s">
        <v>196</v>
      </c>
      <c r="U50">
        <f>SUM($U$5:$U$49)</f>
        <v>1302</v>
      </c>
      <c r="Y50" s="12" t="s">
        <v>196</v>
      </c>
      <c r="Z50">
        <f>SUM($Z$5:$Z$49)</f>
        <v>227</v>
      </c>
      <c r="AH50" s="12" t="s">
        <v>196</v>
      </c>
      <c r="AI50">
        <f>SUM($AI$5:$AI$49)</f>
        <v>1436</v>
      </c>
      <c r="AN50" s="12" t="s">
        <v>196</v>
      </c>
    </row>
    <row r="51" spans="4:43">
      <c r="AO51">
        <f>SUM($AO$5:$AO$49)</f>
        <v>319</v>
      </c>
    </row>
    <row r="55" spans="4:43">
      <c r="E55" s="11" t="s">
        <v>129</v>
      </c>
      <c r="F55" s="11"/>
      <c r="G55" s="11"/>
      <c r="H55" s="11"/>
      <c r="K55" s="11" t="s">
        <v>131</v>
      </c>
      <c r="L55" s="11"/>
      <c r="M55" s="11"/>
      <c r="N55" s="11"/>
      <c r="T55" s="11" t="s">
        <v>129</v>
      </c>
      <c r="U55" s="11"/>
      <c r="V55" s="11"/>
      <c r="W55" s="11"/>
      <c r="Y55" s="11" t="s">
        <v>131</v>
      </c>
      <c r="Z55" s="11"/>
      <c r="AA55" s="11"/>
      <c r="AB55" s="11"/>
      <c r="AH55" s="11" t="s">
        <v>129</v>
      </c>
      <c r="AI55" s="11"/>
      <c r="AJ55" s="11"/>
      <c r="AK55" s="11"/>
      <c r="AN55" s="11" t="s">
        <v>131</v>
      </c>
      <c r="AO55" s="11"/>
      <c r="AP55" s="11"/>
      <c r="AQ55" s="11"/>
    </row>
    <row r="56" spans="4:43">
      <c r="E56" s="10" t="s">
        <v>107</v>
      </c>
      <c r="F56" s="10" t="s">
        <v>29</v>
      </c>
      <c r="G56" s="10" t="s">
        <v>108</v>
      </c>
      <c r="H56" s="10" t="s">
        <v>109</v>
      </c>
      <c r="K56" s="10" t="s">
        <v>107</v>
      </c>
      <c r="L56" s="10" t="s">
        <v>29</v>
      </c>
      <c r="M56" s="10" t="s">
        <v>108</v>
      </c>
      <c r="N56" s="10" t="s">
        <v>109</v>
      </c>
      <c r="T56" s="10" t="s">
        <v>107</v>
      </c>
      <c r="U56" s="10" t="s">
        <v>29</v>
      </c>
      <c r="V56" s="10" t="s">
        <v>108</v>
      </c>
      <c r="W56" s="10" t="s">
        <v>109</v>
      </c>
      <c r="Y56" s="10" t="s">
        <v>107</v>
      </c>
      <c r="Z56" s="10" t="s">
        <v>29</v>
      </c>
      <c r="AA56" s="10" t="s">
        <v>108</v>
      </c>
      <c r="AB56" s="10" t="s">
        <v>109</v>
      </c>
      <c r="AH56" s="10" t="s">
        <v>107</v>
      </c>
      <c r="AI56" s="10" t="s">
        <v>29</v>
      </c>
      <c r="AJ56" s="10" t="s">
        <v>108</v>
      </c>
      <c r="AK56" s="10" t="s">
        <v>109</v>
      </c>
      <c r="AN56" s="10" t="s">
        <v>107</v>
      </c>
      <c r="AO56" s="10" t="s">
        <v>29</v>
      </c>
      <c r="AP56" s="10" t="s">
        <v>108</v>
      </c>
      <c r="AQ56" s="10" t="s">
        <v>109</v>
      </c>
    </row>
    <row r="57" spans="4:43">
      <c r="D57">
        <v>1</v>
      </c>
      <c r="E57" s="91" t="str">
        <f>VLOOKUP(D57,$D$5:$G$49,2,FALSE)</f>
        <v>Sai phối màu 誤配色</v>
      </c>
      <c r="F57" s="92">
        <f>VLOOKUP(D57,$D$5:$G$49,3,FALSE)</f>
        <v>33</v>
      </c>
      <c r="G57" s="93">
        <f>VLOOKUP(D57,$D$5:$G$49,4,FALSE)</f>
        <v>29.72972972972973</v>
      </c>
      <c r="H57" s="7"/>
      <c r="J57">
        <v>1</v>
      </c>
      <c r="K57" s="91" t="str">
        <f>VLOOKUP(J57,$J$5:$M$49,2,FALSE)</f>
        <v>NG, dính dơ, dị vật do NL</v>
      </c>
      <c r="L57" s="92">
        <f>VLOOKUP(J57,$J$5:$M$49,3,FALSE)</f>
        <v>103</v>
      </c>
      <c r="M57" s="93">
        <f>VLOOKUP(J57,$J$5:$M$49,4,FALSE)</f>
        <v>74.100719424460422</v>
      </c>
      <c r="N57" s="7"/>
      <c r="S57">
        <v>1</v>
      </c>
      <c r="T57" s="91" t="str">
        <f>VLOOKUP(S57,$S$5:$V$49,2,FALSE)</f>
        <v>Others for Processing</v>
      </c>
      <c r="U57" s="92">
        <f>VLOOKUP(S57,$S$5:$V$49,3,FALSE)</f>
        <v>1032</v>
      </c>
      <c r="V57" s="93">
        <f>VLOOKUP(S57,$S$5:$V$49,4,FALSE)</f>
        <v>79.262672811059915</v>
      </c>
      <c r="W57" s="7"/>
      <c r="X57">
        <v>1</v>
      </c>
      <c r="Y57" s="91" t="str">
        <f>VLOOKUP(X57,$X$5:$AA$49,2,FALSE)</f>
        <v>NG, dính dơ, dị vật do NL</v>
      </c>
      <c r="Z57" s="92">
        <f>VLOOKUP(X57,$X$5:$AA$49,3,FALSE)</f>
        <v>116</v>
      </c>
      <c r="AA57" s="93">
        <f>VLOOKUP(X57,$X$5:$AA$49,4,FALSE)</f>
        <v>51.101321585903079</v>
      </c>
      <c r="AB57" s="7"/>
      <c r="AG57">
        <v>1</v>
      </c>
      <c r="AH57" s="91" t="str">
        <f>VLOOKUP(AG57,$AG$5:$AJ$49,2,FALSE)</f>
        <v>Others for Processing</v>
      </c>
      <c r="AI57" s="92">
        <f>VLOOKUP(AG57,$AG$5:$AJ$49,3,FALSE)</f>
        <v>1050</v>
      </c>
      <c r="AJ57" s="93">
        <f>VLOOKUP(AG57,$AG$5:$AJ$49,4,FALSE)</f>
        <v>73.119777158774369</v>
      </c>
      <c r="AK57" s="7"/>
      <c r="AM57">
        <v>1</v>
      </c>
      <c r="AN57" s="91" t="str">
        <f>VLOOKUP(AM57,$AM$5:$AP$49,2,FALSE)</f>
        <v>NG, dính dơ, dị vật do NL</v>
      </c>
      <c r="AO57" s="92">
        <f>VLOOKUP(AM57,$AM$5:$AP$49,3,FALSE)</f>
        <v>117</v>
      </c>
      <c r="AP57" s="93">
        <f>VLOOKUP(AM57,$AM$5:$AP$49,4,FALSE)</f>
        <v>36.677115987460816</v>
      </c>
      <c r="AQ57" s="7"/>
    </row>
    <row r="58" spans="4:43">
      <c r="D58">
        <v>2</v>
      </c>
      <c r="E58" s="73" t="str">
        <f t="shared" ref="E58:E101" si="7">VLOOKUP(D58,$D$5:$G$49,2,FALSE)</f>
        <v>Oxi hóa</v>
      </c>
      <c r="F58" s="94">
        <f t="shared" ref="F58:F101" si="8">VLOOKUP(D58,$D$5:$G$49,3,FALSE)</f>
        <v>18</v>
      </c>
      <c r="G58" s="95">
        <f t="shared" ref="G58:G101" si="9">VLOOKUP(D58,$D$5:$G$49,4,FALSE)</f>
        <v>16.216216216216218</v>
      </c>
      <c r="H58" s="8"/>
      <c r="J58">
        <v>2</v>
      </c>
      <c r="K58" s="73" t="str">
        <f t="shared" ref="K58:K101" si="10">VLOOKUP(J58,$J$5:$M$49,2,FALSE)</f>
        <v>Cháy dây</v>
      </c>
      <c r="L58" s="94">
        <f t="shared" ref="L58:L101" si="11">VLOOKUP(J58,$J$5:$M$49,3,FALSE)</f>
        <v>16</v>
      </c>
      <c r="M58" s="95">
        <f t="shared" ref="M58:M101" si="12">VLOOKUP(J58,$J$5:$M$49,4,FALSE)</f>
        <v>11.510791366906476</v>
      </c>
      <c r="N58" s="8"/>
      <c r="S58">
        <v>2</v>
      </c>
      <c r="T58" s="73" t="str">
        <f t="shared" ref="T58:T101" si="13">VLOOKUP(S58,$S$5:$V$49,2,FALSE)</f>
        <v>Sai phối màu 誤配色</v>
      </c>
      <c r="U58" s="94">
        <f t="shared" ref="U58:U101" si="14">VLOOKUP(S58,$S$5:$V$49,3,FALSE)</f>
        <v>58</v>
      </c>
      <c r="V58" s="95">
        <f t="shared" ref="V58:V101" si="15">VLOOKUP(S58,$S$5:$V$49,4,FALSE)</f>
        <v>4.4546850998463903</v>
      </c>
      <c r="W58" s="8"/>
      <c r="X58">
        <v>2</v>
      </c>
      <c r="Y58" s="73" t="str">
        <f t="shared" ref="Y58:Y101" si="16">VLOOKUP(X58,$X$5:$AA$49,2,FALSE)</f>
        <v>Cháy dây</v>
      </c>
      <c r="Z58" s="94">
        <f t="shared" ref="Z58:Z100" si="17">VLOOKUP(X58,$X$5:$AA$49,3,FALSE)</f>
        <v>46</v>
      </c>
      <c r="AA58" s="95">
        <f t="shared" ref="AA58:AA101" si="18">VLOOKUP(X58,$X$5:$AA$49,4,FALSE)</f>
        <v>20.264317180616739</v>
      </c>
      <c r="AB58" s="8"/>
      <c r="AG58">
        <v>2</v>
      </c>
      <c r="AH58" s="73" t="str">
        <f t="shared" ref="AH58:AH101" si="19">VLOOKUP(AG58,$AG$5:$AJ$49,2,FALSE)</f>
        <v>Oxi hóa</v>
      </c>
      <c r="AI58" s="94">
        <f t="shared" ref="AI58:AI101" si="20">VLOOKUP(AG58,$AG$5:$AJ$49,3,FALSE)</f>
        <v>66</v>
      </c>
      <c r="AJ58" s="95">
        <f t="shared" ref="AJ58:AJ101" si="21">VLOOKUP(AG58,$AG$5:$AJ$49,4,FALSE)</f>
        <v>4.5961002785515319</v>
      </c>
      <c r="AK58" s="8"/>
      <c r="AM58">
        <v>2</v>
      </c>
      <c r="AN58" s="73" t="str">
        <f t="shared" ref="AN58:AN101" si="22">VLOOKUP(AM58,$AM$5:$AP$49,2,FALSE)</f>
        <v>Cháy dây</v>
      </c>
      <c r="AO58" s="94">
        <f t="shared" ref="AO58:AO101" si="23">VLOOKUP(AM58,$AM$5:$AP$49,3,FALSE)</f>
        <v>102</v>
      </c>
      <c r="AP58" s="95">
        <f t="shared" ref="AP58:AP101" si="24">VLOOKUP(AM58,$AM$5:$AP$49,4,FALSE)</f>
        <v>31.974921630094045</v>
      </c>
      <c r="AQ58" s="8"/>
    </row>
    <row r="59" spans="4:43">
      <c r="D59">
        <v>3</v>
      </c>
      <c r="E59" s="73" t="str">
        <f t="shared" si="7"/>
        <v>Dây ngắn/dài</v>
      </c>
      <c r="F59" s="94">
        <f t="shared" si="8"/>
        <v>15</v>
      </c>
      <c r="G59" s="95">
        <f t="shared" si="9"/>
        <v>13.513513513513514</v>
      </c>
      <c r="H59" s="8"/>
      <c r="J59">
        <v>3</v>
      </c>
      <c r="K59" s="73" t="str">
        <f t="shared" si="10"/>
        <v>Dây ngắn/dài</v>
      </c>
      <c r="L59" s="94">
        <f t="shared" si="11"/>
        <v>9</v>
      </c>
      <c r="M59" s="95">
        <f t="shared" si="12"/>
        <v>6.4748201438848918</v>
      </c>
      <c r="N59" s="8"/>
      <c r="S59">
        <v>3</v>
      </c>
      <c r="T59" s="73" t="str">
        <f t="shared" si="13"/>
        <v>Đội gờ HS</v>
      </c>
      <c r="U59" s="94">
        <f t="shared" si="14"/>
        <v>47</v>
      </c>
      <c r="V59" s="95">
        <f t="shared" si="15"/>
        <v>3.6098310291858677</v>
      </c>
      <c r="W59" s="8"/>
      <c r="X59">
        <v>3</v>
      </c>
      <c r="Y59" s="73" t="str">
        <f t="shared" si="16"/>
        <v>Dây ngắn/dài</v>
      </c>
      <c r="Z59" s="94">
        <f t="shared" si="17"/>
        <v>27</v>
      </c>
      <c r="AA59" s="95">
        <f t="shared" si="18"/>
        <v>11.894273127753303</v>
      </c>
      <c r="AB59" s="8"/>
      <c r="AG59">
        <v>3</v>
      </c>
      <c r="AH59" s="73" t="str">
        <f t="shared" si="19"/>
        <v>Sai phối màu 誤配色</v>
      </c>
      <c r="AI59" s="94">
        <f t="shared" si="20"/>
        <v>63</v>
      </c>
      <c r="AJ59" s="95">
        <f t="shared" si="21"/>
        <v>4.3871866295264619</v>
      </c>
      <c r="AK59" s="8"/>
      <c r="AM59">
        <v>3</v>
      </c>
      <c r="AN59" s="73" t="str">
        <f t="shared" si="22"/>
        <v>Dây ngắn/dài</v>
      </c>
      <c r="AO59" s="94">
        <f t="shared" si="23"/>
        <v>40</v>
      </c>
      <c r="AP59" s="95">
        <f t="shared" si="24"/>
        <v>12.539184952978054</v>
      </c>
      <c r="AQ59" s="8"/>
    </row>
    <row r="60" spans="4:43">
      <c r="D60">
        <v>4</v>
      </c>
      <c r="E60" s="73" t="str">
        <f t="shared" si="7"/>
        <v>Tanshi biến dạng</v>
      </c>
      <c r="F60" s="94">
        <f t="shared" si="8"/>
        <v>11</v>
      </c>
      <c r="G60" s="95">
        <f t="shared" si="9"/>
        <v>9.9099099099099099</v>
      </c>
      <c r="H60" s="8"/>
      <c r="J60">
        <v>4</v>
      </c>
      <c r="K60" s="73" t="str">
        <f t="shared" si="10"/>
        <v>Oxi hóa</v>
      </c>
      <c r="L60" s="94">
        <f t="shared" si="11"/>
        <v>7</v>
      </c>
      <c r="M60" s="95">
        <f t="shared" si="12"/>
        <v>5.0359712230215825</v>
      </c>
      <c r="N60" s="8"/>
      <c r="S60">
        <v>4</v>
      </c>
      <c r="T60" s="73" t="str">
        <f t="shared" si="13"/>
        <v>Oxi hóa</v>
      </c>
      <c r="U60" s="94">
        <f t="shared" si="14"/>
        <v>28</v>
      </c>
      <c r="V60" s="95">
        <f t="shared" si="15"/>
        <v>2.1505376344086025</v>
      </c>
      <c r="W60" s="8"/>
      <c r="X60">
        <v>4</v>
      </c>
      <c r="Y60" s="73" t="str">
        <f t="shared" si="16"/>
        <v>Trầy, dơ do NL</v>
      </c>
      <c r="Z60" s="94">
        <f t="shared" si="17"/>
        <v>11</v>
      </c>
      <c r="AA60" s="95">
        <f t="shared" si="18"/>
        <v>4.8458149779735686</v>
      </c>
      <c r="AB60" s="8"/>
      <c r="AG60">
        <v>4</v>
      </c>
      <c r="AH60" s="73" t="str">
        <f t="shared" si="19"/>
        <v>Tanshi biến dạng</v>
      </c>
      <c r="AI60" s="94">
        <f t="shared" si="20"/>
        <v>51</v>
      </c>
      <c r="AJ60" s="95">
        <f t="shared" si="21"/>
        <v>3.5515320334261835</v>
      </c>
      <c r="AK60" s="8"/>
      <c r="AM60">
        <v>4</v>
      </c>
      <c r="AN60" s="73" t="str">
        <f t="shared" si="22"/>
        <v>Trầy, dơ do NL</v>
      </c>
      <c r="AO60" s="94">
        <f t="shared" si="23"/>
        <v>18</v>
      </c>
      <c r="AP60" s="95">
        <f t="shared" si="24"/>
        <v>5.6426332288401255</v>
      </c>
      <c r="AQ60" s="8"/>
    </row>
    <row r="61" spans="4:43">
      <c r="D61">
        <v>5</v>
      </c>
      <c r="E61" s="73" t="str">
        <f t="shared" si="7"/>
        <v>Đội gờ HS</v>
      </c>
      <c r="F61" s="94">
        <f t="shared" si="8"/>
        <v>10</v>
      </c>
      <c r="G61" s="95">
        <f t="shared" si="9"/>
        <v>9.0090090090090094</v>
      </c>
      <c r="H61" s="8"/>
      <c r="J61">
        <v>5</v>
      </c>
      <c r="K61" s="73" t="str">
        <f t="shared" si="10"/>
        <v>Cấn, trầy</v>
      </c>
      <c r="L61" s="94">
        <f t="shared" si="11"/>
        <v>2</v>
      </c>
      <c r="M61" s="95">
        <f t="shared" si="12"/>
        <v>1.4388489208633095</v>
      </c>
      <c r="N61" s="8"/>
      <c r="S61">
        <v>5</v>
      </c>
      <c r="T61" s="73" t="str">
        <f t="shared" si="13"/>
        <v>Dây ngắn/dài</v>
      </c>
      <c r="U61" s="94">
        <f t="shared" si="14"/>
        <v>27</v>
      </c>
      <c r="V61" s="95">
        <f t="shared" si="15"/>
        <v>2.0737327188940093</v>
      </c>
      <c r="W61" s="8"/>
      <c r="X61">
        <v>5</v>
      </c>
      <c r="Y61" s="73" t="str">
        <f t="shared" si="16"/>
        <v>Đứt Lõi</v>
      </c>
      <c r="Z61" s="94">
        <f t="shared" si="17"/>
        <v>9</v>
      </c>
      <c r="AA61" s="95">
        <f t="shared" si="18"/>
        <v>3.9647577092511015</v>
      </c>
      <c r="AB61" s="8"/>
      <c r="AG61">
        <v>5</v>
      </c>
      <c r="AH61" s="73" t="str">
        <f t="shared" si="19"/>
        <v>Đội gờ HS</v>
      </c>
      <c r="AI61" s="94">
        <f t="shared" si="20"/>
        <v>49</v>
      </c>
      <c r="AJ61" s="95">
        <f t="shared" si="21"/>
        <v>3.4122562674094707</v>
      </c>
      <c r="AK61" s="8"/>
      <c r="AM61">
        <v>5</v>
      </c>
      <c r="AN61" s="73" t="str">
        <f t="shared" si="22"/>
        <v>Đứt Lõi</v>
      </c>
      <c r="AO61" s="94">
        <f t="shared" si="23"/>
        <v>10</v>
      </c>
      <c r="AP61" s="95">
        <f t="shared" si="24"/>
        <v>3.1347962382445136</v>
      </c>
      <c r="AQ61" s="8"/>
    </row>
    <row r="62" spans="4:43">
      <c r="D62">
        <v>6</v>
      </c>
      <c r="E62" s="73" t="str">
        <f t="shared" si="7"/>
        <v>Others for Processing</v>
      </c>
      <c r="F62" s="94">
        <f t="shared" si="8"/>
        <v>8</v>
      </c>
      <c r="G62" s="95">
        <f t="shared" si="9"/>
        <v>7.2072072072072073</v>
      </c>
      <c r="H62" s="8"/>
      <c r="J62">
        <v>6</v>
      </c>
      <c r="K62" s="73" t="str">
        <f t="shared" si="10"/>
        <v>Trầy, dơ do NL</v>
      </c>
      <c r="L62" s="94">
        <f t="shared" si="11"/>
        <v>1</v>
      </c>
      <c r="M62" s="95">
        <f t="shared" si="12"/>
        <v>0.71942446043165476</v>
      </c>
      <c r="N62" s="8"/>
      <c r="S62">
        <v>6</v>
      </c>
      <c r="T62" s="73" t="str">
        <f t="shared" si="13"/>
        <v>Tanshi biến dạng</v>
      </c>
      <c r="U62" s="94">
        <f t="shared" si="14"/>
        <v>26</v>
      </c>
      <c r="V62" s="95">
        <f t="shared" si="15"/>
        <v>1.9969278033794162</v>
      </c>
      <c r="W62" s="8"/>
      <c r="X62">
        <v>6</v>
      </c>
      <c r="Y62" s="73" t="str">
        <f t="shared" si="16"/>
        <v>Oxi hóa</v>
      </c>
      <c r="Z62" s="94">
        <f t="shared" si="17"/>
        <v>8</v>
      </c>
      <c r="AA62" s="95">
        <f t="shared" si="18"/>
        <v>3.5242290748898681</v>
      </c>
      <c r="AB62" s="8"/>
      <c r="AG62">
        <v>6</v>
      </c>
      <c r="AH62" s="73" t="str">
        <f t="shared" si="19"/>
        <v>NG, dính dơ, dị vật do NL</v>
      </c>
      <c r="AI62" s="94">
        <f t="shared" si="20"/>
        <v>36</v>
      </c>
      <c r="AJ62" s="95">
        <f t="shared" si="21"/>
        <v>2.5069637883008355</v>
      </c>
      <c r="AK62" s="8"/>
      <c r="AM62">
        <v>6</v>
      </c>
      <c r="AN62" s="73" t="str">
        <f t="shared" si="22"/>
        <v>Oxi hóa</v>
      </c>
      <c r="AO62" s="94">
        <f t="shared" si="23"/>
        <v>9</v>
      </c>
      <c r="AP62" s="95">
        <f t="shared" si="24"/>
        <v>2.8213166144200628</v>
      </c>
      <c r="AQ62" s="8"/>
    </row>
    <row r="63" spans="4:43">
      <c r="D63">
        <v>7</v>
      </c>
      <c r="E63" s="73" t="str">
        <f t="shared" si="7"/>
        <v>Ngắn, dài</v>
      </c>
      <c r="F63" s="94">
        <f t="shared" si="8"/>
        <v>4</v>
      </c>
      <c r="G63" s="95">
        <f t="shared" si="9"/>
        <v>3.6036036036036037</v>
      </c>
      <c r="H63" s="8"/>
      <c r="J63">
        <v>7</v>
      </c>
      <c r="K63" s="73" t="str">
        <f t="shared" si="10"/>
        <v>Others for IC</v>
      </c>
      <c r="L63" s="94">
        <f t="shared" si="11"/>
        <v>1</v>
      </c>
      <c r="M63" s="95">
        <f t="shared" si="12"/>
        <v>0.71942446043165476</v>
      </c>
      <c r="N63" s="8"/>
      <c r="S63">
        <v>7</v>
      </c>
      <c r="T63" s="73" t="str">
        <f t="shared" si="13"/>
        <v>Mẻ, lõm, biến dạng</v>
      </c>
      <c r="U63" s="94">
        <f t="shared" si="14"/>
        <v>20</v>
      </c>
      <c r="V63" s="95">
        <f t="shared" si="15"/>
        <v>1.5360983102918586</v>
      </c>
      <c r="W63" s="8"/>
      <c r="X63">
        <v>7</v>
      </c>
      <c r="Y63" s="73" t="str">
        <f t="shared" si="16"/>
        <v>Others for IC</v>
      </c>
      <c r="Z63" s="94">
        <f t="shared" si="17"/>
        <v>5</v>
      </c>
      <c r="AA63" s="95">
        <f t="shared" si="18"/>
        <v>2.2026431718061676</v>
      </c>
      <c r="AB63" s="8"/>
      <c r="AG63">
        <v>7</v>
      </c>
      <c r="AH63" s="73" t="str">
        <f t="shared" si="19"/>
        <v>Dây ngắn/dài</v>
      </c>
      <c r="AI63" s="94">
        <f t="shared" si="20"/>
        <v>31</v>
      </c>
      <c r="AJ63" s="95">
        <f t="shared" si="21"/>
        <v>2.1587743732590527</v>
      </c>
      <c r="AK63" s="8"/>
      <c r="AM63">
        <v>7</v>
      </c>
      <c r="AN63" s="73" t="str">
        <f t="shared" si="22"/>
        <v>Others for IC</v>
      </c>
      <c r="AO63" s="94">
        <f t="shared" si="23"/>
        <v>8</v>
      </c>
      <c r="AP63" s="95">
        <f t="shared" si="24"/>
        <v>2.507836990595611</v>
      </c>
      <c r="AQ63" s="8"/>
    </row>
    <row r="64" spans="4:43">
      <c r="D64">
        <v>8</v>
      </c>
      <c r="E64" s="73" t="str">
        <f t="shared" si="7"/>
        <v>Mẻ, lõm, biến dạng</v>
      </c>
      <c r="F64" s="94">
        <f t="shared" si="8"/>
        <v>3</v>
      </c>
      <c r="G64" s="95">
        <f t="shared" si="9"/>
        <v>2.7027027027027026</v>
      </c>
      <c r="H64" s="8"/>
      <c r="J64">
        <v>8</v>
      </c>
      <c r="K64" s="73" t="str">
        <f t="shared" si="10"/>
        <v>Không đạt do NL</v>
      </c>
      <c r="L64" s="94">
        <f t="shared" si="11"/>
        <v>0</v>
      </c>
      <c r="M64" s="95">
        <f t="shared" si="12"/>
        <v>0</v>
      </c>
      <c r="N64" s="8"/>
      <c r="S64">
        <v>8</v>
      </c>
      <c r="T64" s="73" t="str">
        <f t="shared" si="13"/>
        <v>NG, dính dơ, dị vật do NL</v>
      </c>
      <c r="U64" s="94">
        <f t="shared" si="14"/>
        <v>15</v>
      </c>
      <c r="V64" s="95">
        <f t="shared" si="15"/>
        <v>1.1520737327188941</v>
      </c>
      <c r="W64" s="8"/>
      <c r="X64">
        <v>8</v>
      </c>
      <c r="Y64" s="73" t="str">
        <f t="shared" si="16"/>
        <v>Cấn, trầy</v>
      </c>
      <c r="Z64" s="94">
        <f t="shared" si="17"/>
        <v>5</v>
      </c>
      <c r="AA64" s="95">
        <f t="shared" si="18"/>
        <v>2.2026431718061676</v>
      </c>
      <c r="AB64" s="8"/>
      <c r="AG64">
        <v>8</v>
      </c>
      <c r="AH64" s="73" t="str">
        <f t="shared" si="19"/>
        <v>Mẻ, lõm, biến dạng</v>
      </c>
      <c r="AI64" s="94">
        <f t="shared" si="20"/>
        <v>21</v>
      </c>
      <c r="AJ64" s="95">
        <f t="shared" si="21"/>
        <v>1.4623955431754874</v>
      </c>
      <c r="AK64" s="8"/>
      <c r="AM64">
        <v>8</v>
      </c>
      <c r="AN64" s="73" t="str">
        <f t="shared" si="22"/>
        <v>Cấn, trầy</v>
      </c>
      <c r="AO64" s="94">
        <f t="shared" si="23"/>
        <v>7</v>
      </c>
      <c r="AP64" s="95">
        <f t="shared" si="24"/>
        <v>2.1943573667711598</v>
      </c>
      <c r="AQ64" s="8"/>
    </row>
    <row r="65" spans="4:43">
      <c r="D65">
        <v>9</v>
      </c>
      <c r="E65" s="73" t="str">
        <f t="shared" si="7"/>
        <v>Dính dị vật 端子が異物付き</v>
      </c>
      <c r="F65" s="94">
        <f t="shared" si="8"/>
        <v>3</v>
      </c>
      <c r="G65" s="95">
        <f t="shared" si="9"/>
        <v>2.7027027027027026</v>
      </c>
      <c r="H65" s="8"/>
      <c r="J65">
        <v>9</v>
      </c>
      <c r="K65" s="73" t="str">
        <f t="shared" si="10"/>
        <v>Mẻ, lõm, biến dạng</v>
      </c>
      <c r="L65" s="94">
        <f t="shared" si="11"/>
        <v>0</v>
      </c>
      <c r="M65" s="95">
        <f t="shared" si="12"/>
        <v>0</v>
      </c>
      <c r="N65" s="8"/>
      <c r="S65">
        <v>9</v>
      </c>
      <c r="T65" s="73" t="str">
        <f t="shared" si="13"/>
        <v>Others for IC</v>
      </c>
      <c r="U65" s="94">
        <f t="shared" si="14"/>
        <v>8</v>
      </c>
      <c r="V65" s="95">
        <f t="shared" si="15"/>
        <v>0.61443932411674351</v>
      </c>
      <c r="W65" s="8"/>
      <c r="X65">
        <v>9</v>
      </c>
      <c r="Y65" s="73" t="str">
        <f t="shared" si="16"/>
        <v>Không đạt do NL</v>
      </c>
      <c r="Z65" s="94">
        <f t="shared" si="17"/>
        <v>0</v>
      </c>
      <c r="AA65" s="95">
        <f t="shared" si="18"/>
        <v>0</v>
      </c>
      <c r="AB65" s="8"/>
      <c r="AG65">
        <v>9</v>
      </c>
      <c r="AH65" s="73" t="str">
        <f t="shared" si="19"/>
        <v>Cấn, trầy</v>
      </c>
      <c r="AI65" s="94">
        <f t="shared" si="20"/>
        <v>14</v>
      </c>
      <c r="AJ65" s="95">
        <f t="shared" si="21"/>
        <v>0.97493036211699169</v>
      </c>
      <c r="AK65" s="8"/>
      <c r="AM65">
        <v>9</v>
      </c>
      <c r="AN65" s="73" t="str">
        <f t="shared" si="22"/>
        <v>Tưa lõi</v>
      </c>
      <c r="AO65" s="94">
        <f t="shared" si="23"/>
        <v>4</v>
      </c>
      <c r="AP65" s="95">
        <f t="shared" si="24"/>
        <v>1.2539184952978055</v>
      </c>
      <c r="AQ65" s="8"/>
    </row>
    <row r="66" spans="4:43">
      <c r="D66">
        <v>10</v>
      </c>
      <c r="E66" s="73" t="str">
        <f t="shared" si="7"/>
        <v>Cấn, trầy</v>
      </c>
      <c r="F66" s="94">
        <f t="shared" si="8"/>
        <v>2</v>
      </c>
      <c r="G66" s="95">
        <f t="shared" si="9"/>
        <v>1.8018018018018018</v>
      </c>
      <c r="H66" s="8"/>
      <c r="J66">
        <v>10</v>
      </c>
      <c r="K66" s="73" t="str">
        <f t="shared" si="10"/>
        <v>Đội gờ HS</v>
      </c>
      <c r="L66" s="94">
        <f t="shared" si="11"/>
        <v>0</v>
      </c>
      <c r="M66" s="95">
        <f t="shared" si="12"/>
        <v>0</v>
      </c>
      <c r="N66" s="8"/>
      <c r="S66">
        <v>10</v>
      </c>
      <c r="T66" s="73" t="str">
        <f t="shared" si="13"/>
        <v>Cấn, trầy</v>
      </c>
      <c r="U66" s="94">
        <f t="shared" si="14"/>
        <v>8</v>
      </c>
      <c r="V66" s="95">
        <f t="shared" si="15"/>
        <v>0.61443932411674351</v>
      </c>
      <c r="W66" s="8"/>
      <c r="X66">
        <v>10</v>
      </c>
      <c r="Y66" s="73" t="str">
        <f t="shared" si="16"/>
        <v>Mẻ, lõm, biến dạng</v>
      </c>
      <c r="Z66" s="94">
        <f t="shared" si="17"/>
        <v>0</v>
      </c>
      <c r="AA66" s="95">
        <f t="shared" si="18"/>
        <v>0</v>
      </c>
      <c r="AB66" s="8"/>
      <c r="AG66">
        <v>10</v>
      </c>
      <c r="AH66" s="73" t="str">
        <f t="shared" si="19"/>
        <v>Bị trầy xước</v>
      </c>
      <c r="AI66" s="94">
        <f t="shared" si="20"/>
        <v>11</v>
      </c>
      <c r="AJ66" s="95">
        <f t="shared" si="21"/>
        <v>0.76601671309192199</v>
      </c>
      <c r="AK66" s="8"/>
      <c r="AM66">
        <v>10</v>
      </c>
      <c r="AN66" s="73" t="str">
        <f t="shared" si="22"/>
        <v>Others for Processing</v>
      </c>
      <c r="AO66" s="94">
        <f t="shared" si="23"/>
        <v>3</v>
      </c>
      <c r="AP66" s="95">
        <f t="shared" si="24"/>
        <v>0.94043887147335425</v>
      </c>
      <c r="AQ66" s="8"/>
    </row>
    <row r="67" spans="4:43">
      <c r="D67">
        <v>11</v>
      </c>
      <c r="E67" s="73" t="str">
        <f t="shared" si="7"/>
        <v>NG, dính dơ, dị vật do NL</v>
      </c>
      <c r="F67" s="94">
        <f t="shared" si="8"/>
        <v>1</v>
      </c>
      <c r="G67" s="95">
        <f t="shared" si="9"/>
        <v>0.90090090090090091</v>
      </c>
      <c r="H67" s="8"/>
      <c r="J67">
        <v>11</v>
      </c>
      <c r="K67" s="73" t="str">
        <f t="shared" si="10"/>
        <v>MTD</v>
      </c>
      <c r="L67" s="94">
        <f t="shared" si="11"/>
        <v>0</v>
      </c>
      <c r="M67" s="95">
        <f t="shared" si="12"/>
        <v>0</v>
      </c>
      <c r="N67" s="8"/>
      <c r="S67">
        <v>11</v>
      </c>
      <c r="T67" s="73" t="str">
        <f t="shared" si="13"/>
        <v>Dập sai</v>
      </c>
      <c r="U67" s="94">
        <f t="shared" si="14"/>
        <v>7</v>
      </c>
      <c r="V67" s="95">
        <f t="shared" si="15"/>
        <v>0.53763440860215062</v>
      </c>
      <c r="W67" s="8"/>
      <c r="X67">
        <v>11</v>
      </c>
      <c r="Y67" s="73" t="str">
        <f t="shared" si="16"/>
        <v>Đội gờ HS</v>
      </c>
      <c r="Z67" s="94">
        <f t="shared" si="17"/>
        <v>0</v>
      </c>
      <c r="AA67" s="95">
        <f t="shared" si="18"/>
        <v>0</v>
      </c>
      <c r="AB67" s="8"/>
      <c r="AG67">
        <v>11</v>
      </c>
      <c r="AH67" s="73" t="str">
        <f t="shared" si="19"/>
        <v>Others for IC</v>
      </c>
      <c r="AI67" s="94">
        <f t="shared" si="20"/>
        <v>10</v>
      </c>
      <c r="AJ67" s="95">
        <f t="shared" si="21"/>
        <v>0.69637883008356549</v>
      </c>
      <c r="AK67" s="8"/>
      <c r="AM67">
        <v>11</v>
      </c>
      <c r="AN67" s="73" t="str">
        <f t="shared" si="22"/>
        <v>Biến dạng</v>
      </c>
      <c r="AO67" s="94">
        <f t="shared" si="23"/>
        <v>1</v>
      </c>
      <c r="AP67" s="95">
        <f t="shared" si="24"/>
        <v>0.31347962382445138</v>
      </c>
      <c r="AQ67" s="8"/>
    </row>
    <row r="68" spans="4:43">
      <c r="D68">
        <v>12</v>
      </c>
      <c r="E68" s="73" t="str">
        <f t="shared" si="7"/>
        <v>Dập sai</v>
      </c>
      <c r="F68" s="94">
        <f t="shared" si="8"/>
        <v>1</v>
      </c>
      <c r="G68" s="95">
        <f t="shared" si="9"/>
        <v>0.90090090090090091</v>
      </c>
      <c r="H68" s="8"/>
      <c r="J68">
        <v>12</v>
      </c>
      <c r="K68" s="73" t="str">
        <f t="shared" si="10"/>
        <v>Sai phối màu 誤配色</v>
      </c>
      <c r="L68" s="94">
        <f t="shared" si="11"/>
        <v>0</v>
      </c>
      <c r="M68" s="95">
        <f t="shared" si="12"/>
        <v>0</v>
      </c>
      <c r="N68" s="8"/>
      <c r="S68">
        <v>12</v>
      </c>
      <c r="T68" s="73" t="str">
        <f t="shared" si="13"/>
        <v>Bị trầy xước</v>
      </c>
      <c r="U68" s="94">
        <f t="shared" si="14"/>
        <v>7</v>
      </c>
      <c r="V68" s="95">
        <f t="shared" si="15"/>
        <v>0.53763440860215062</v>
      </c>
      <c r="W68" s="8"/>
      <c r="X68">
        <v>12</v>
      </c>
      <c r="Y68" s="73" t="str">
        <f t="shared" si="16"/>
        <v>MTD</v>
      </c>
      <c r="Z68" s="94">
        <f t="shared" si="17"/>
        <v>0</v>
      </c>
      <c r="AA68" s="95">
        <f t="shared" si="18"/>
        <v>0</v>
      </c>
      <c r="AB68" s="8"/>
      <c r="AG68">
        <v>12</v>
      </c>
      <c r="AH68" s="73" t="str">
        <f t="shared" si="19"/>
        <v>Dập sai</v>
      </c>
      <c r="AI68" s="94">
        <f t="shared" si="20"/>
        <v>8</v>
      </c>
      <c r="AJ68" s="95">
        <f t="shared" si="21"/>
        <v>0.55710306406685239</v>
      </c>
      <c r="AK68" s="8"/>
      <c r="AM68">
        <v>12</v>
      </c>
      <c r="AN68" s="73" t="str">
        <f t="shared" si="22"/>
        <v>Không đạt do NL</v>
      </c>
      <c r="AO68" s="94">
        <f t="shared" si="23"/>
        <v>0</v>
      </c>
      <c r="AP68" s="95">
        <f t="shared" si="24"/>
        <v>0</v>
      </c>
      <c r="AQ68" s="8"/>
    </row>
    <row r="69" spans="4:43">
      <c r="D69">
        <v>13</v>
      </c>
      <c r="E69" s="73" t="str">
        <f t="shared" si="7"/>
        <v>Thiếu dây</v>
      </c>
      <c r="F69" s="94">
        <f t="shared" si="8"/>
        <v>1</v>
      </c>
      <c r="G69" s="95">
        <f t="shared" si="9"/>
        <v>0.90090090090090091</v>
      </c>
      <c r="H69" s="8"/>
      <c r="J69">
        <v>13</v>
      </c>
      <c r="K69" s="73" t="str">
        <f t="shared" si="10"/>
        <v>Sai ống チューブ間違い</v>
      </c>
      <c r="L69" s="94">
        <f t="shared" si="11"/>
        <v>0</v>
      </c>
      <c r="M69" s="95">
        <f t="shared" si="12"/>
        <v>0</v>
      </c>
      <c r="N69" s="8"/>
      <c r="S69">
        <v>13</v>
      </c>
      <c r="T69" s="73" t="str">
        <f t="shared" si="13"/>
        <v>Ngắn, dài</v>
      </c>
      <c r="U69" s="94">
        <f t="shared" si="14"/>
        <v>4</v>
      </c>
      <c r="V69" s="95">
        <f t="shared" si="15"/>
        <v>0.30721966205837176</v>
      </c>
      <c r="W69" s="8"/>
      <c r="X69">
        <v>13</v>
      </c>
      <c r="Y69" s="73" t="str">
        <f t="shared" si="16"/>
        <v>Sai phối màu 誤配色</v>
      </c>
      <c r="Z69" s="94">
        <f t="shared" si="17"/>
        <v>0</v>
      </c>
      <c r="AA69" s="95">
        <f t="shared" si="18"/>
        <v>0</v>
      </c>
      <c r="AB69" s="8"/>
      <c r="AG69">
        <v>13</v>
      </c>
      <c r="AH69" s="73" t="str">
        <f t="shared" si="19"/>
        <v>Dính dị vật 端子が異物付き</v>
      </c>
      <c r="AI69" s="94">
        <f t="shared" si="20"/>
        <v>8</v>
      </c>
      <c r="AJ69" s="95">
        <f t="shared" si="21"/>
        <v>0.55710306406685239</v>
      </c>
      <c r="AK69" s="8"/>
      <c r="AM69">
        <v>13</v>
      </c>
      <c r="AN69" s="73" t="str">
        <f t="shared" si="22"/>
        <v>Mẻ, lõm, biến dạng</v>
      </c>
      <c r="AO69" s="94">
        <f t="shared" si="23"/>
        <v>0</v>
      </c>
      <c r="AP69" s="95">
        <f t="shared" si="24"/>
        <v>0</v>
      </c>
      <c r="AQ69" s="8"/>
    </row>
    <row r="70" spans="4:43">
      <c r="D70">
        <v>14</v>
      </c>
      <c r="E70" s="73" t="str">
        <f t="shared" si="7"/>
        <v>Bị trầy xước</v>
      </c>
      <c r="F70" s="94">
        <f t="shared" si="8"/>
        <v>1</v>
      </c>
      <c r="G70" s="95">
        <f t="shared" si="9"/>
        <v>0.90090090090090091</v>
      </c>
      <c r="H70" s="8"/>
      <c r="J70">
        <v>14</v>
      </c>
      <c r="K70" s="73" t="str">
        <f t="shared" si="10"/>
        <v>Ngược nút bọc</v>
      </c>
      <c r="L70" s="94">
        <f t="shared" si="11"/>
        <v>0</v>
      </c>
      <c r="M70" s="95">
        <f t="shared" si="12"/>
        <v>0</v>
      </c>
      <c r="N70" s="8"/>
      <c r="S70">
        <v>14</v>
      </c>
      <c r="T70" s="73" t="str">
        <f t="shared" si="13"/>
        <v>Dính dị vật 端子が異物付き</v>
      </c>
      <c r="U70" s="94">
        <f t="shared" si="14"/>
        <v>4</v>
      </c>
      <c r="V70" s="95">
        <f t="shared" si="15"/>
        <v>0.30721966205837176</v>
      </c>
      <c r="W70" s="8"/>
      <c r="X70">
        <v>14</v>
      </c>
      <c r="Y70" s="73" t="str">
        <f t="shared" si="16"/>
        <v>Sai ống チューブ間違い</v>
      </c>
      <c r="Z70" s="94">
        <f t="shared" si="17"/>
        <v>0</v>
      </c>
      <c r="AA70" s="95">
        <f t="shared" si="18"/>
        <v>0</v>
      </c>
      <c r="AB70" s="8"/>
      <c r="AG70">
        <v>14</v>
      </c>
      <c r="AH70" s="73" t="str">
        <f t="shared" si="19"/>
        <v>Ngắn, dài</v>
      </c>
      <c r="AI70" s="94">
        <f t="shared" si="20"/>
        <v>4</v>
      </c>
      <c r="AJ70" s="95">
        <f t="shared" si="21"/>
        <v>0.2785515320334262</v>
      </c>
      <c r="AK70" s="8"/>
      <c r="AM70">
        <v>14</v>
      </c>
      <c r="AN70" s="73" t="str">
        <f t="shared" si="22"/>
        <v>Đội gờ HS</v>
      </c>
      <c r="AO70" s="94">
        <f t="shared" si="23"/>
        <v>0</v>
      </c>
      <c r="AP70" s="95">
        <f t="shared" si="24"/>
        <v>0</v>
      </c>
      <c r="AQ70" s="8"/>
    </row>
    <row r="71" spans="4:43">
      <c r="D71">
        <v>15</v>
      </c>
      <c r="E71" s="73" t="str">
        <f t="shared" si="7"/>
        <v>Trầy, dơ do NL</v>
      </c>
      <c r="F71" s="94">
        <f t="shared" si="8"/>
        <v>0</v>
      </c>
      <c r="G71" s="95">
        <f t="shared" si="9"/>
        <v>0</v>
      </c>
      <c r="H71" s="8"/>
      <c r="J71">
        <v>15</v>
      </c>
      <c r="K71" s="73" t="str">
        <f t="shared" si="10"/>
        <v>Thông dòng NG</v>
      </c>
      <c r="L71" s="94">
        <f t="shared" si="11"/>
        <v>0</v>
      </c>
      <c r="M71" s="95">
        <f t="shared" si="12"/>
        <v>0</v>
      </c>
      <c r="N71" s="8"/>
      <c r="S71">
        <v>15</v>
      </c>
      <c r="T71" s="73" t="str">
        <f t="shared" si="13"/>
        <v>Trầy, dơ do NL</v>
      </c>
      <c r="U71" s="94">
        <f t="shared" si="14"/>
        <v>3</v>
      </c>
      <c r="V71" s="95">
        <f t="shared" si="15"/>
        <v>0.2304147465437788</v>
      </c>
      <c r="W71" s="8"/>
      <c r="X71">
        <v>15</v>
      </c>
      <c r="Y71" s="73" t="str">
        <f t="shared" si="16"/>
        <v>Ngược nút bọc</v>
      </c>
      <c r="Z71" s="94">
        <f t="shared" si="17"/>
        <v>0</v>
      </c>
      <c r="AA71" s="95">
        <f t="shared" si="18"/>
        <v>0</v>
      </c>
      <c r="AB71" s="8"/>
      <c r="AG71">
        <v>15</v>
      </c>
      <c r="AH71" s="73" t="str">
        <f t="shared" si="19"/>
        <v>Trầy, dơ do NL</v>
      </c>
      <c r="AI71" s="94">
        <f t="shared" si="20"/>
        <v>3</v>
      </c>
      <c r="AJ71" s="95">
        <f t="shared" si="21"/>
        <v>0.20891364902506965</v>
      </c>
      <c r="AK71" s="8"/>
      <c r="AM71">
        <v>15</v>
      </c>
      <c r="AN71" s="73" t="str">
        <f t="shared" si="22"/>
        <v>MTD</v>
      </c>
      <c r="AO71" s="94">
        <f t="shared" si="23"/>
        <v>0</v>
      </c>
      <c r="AP71" s="95">
        <f t="shared" si="24"/>
        <v>0</v>
      </c>
      <c r="AQ71" s="8"/>
    </row>
    <row r="72" spans="4:43">
      <c r="D72">
        <v>16</v>
      </c>
      <c r="E72" s="73" t="str">
        <f t="shared" si="7"/>
        <v>Không đạt do NL</v>
      </c>
      <c r="F72" s="94">
        <f t="shared" si="8"/>
        <v>0</v>
      </c>
      <c r="G72" s="95">
        <f t="shared" si="9"/>
        <v>0</v>
      </c>
      <c r="H72" s="8"/>
      <c r="J72">
        <v>16</v>
      </c>
      <c r="K72" s="73" t="str">
        <f t="shared" si="10"/>
        <v>Ngược Diode</v>
      </c>
      <c r="L72" s="94">
        <f t="shared" si="11"/>
        <v>0</v>
      </c>
      <c r="M72" s="95">
        <f t="shared" si="12"/>
        <v>0</v>
      </c>
      <c r="N72" s="8"/>
      <c r="S72">
        <v>16</v>
      </c>
      <c r="T72" s="73" t="str">
        <f t="shared" si="13"/>
        <v>Sai kích thước</v>
      </c>
      <c r="U72" s="94">
        <f t="shared" si="14"/>
        <v>3</v>
      </c>
      <c r="V72" s="95">
        <f t="shared" si="15"/>
        <v>0.2304147465437788</v>
      </c>
      <c r="W72" s="8"/>
      <c r="X72">
        <v>16</v>
      </c>
      <c r="Y72" s="73" t="str">
        <f t="shared" si="16"/>
        <v>Thông dòng NG</v>
      </c>
      <c r="Z72" s="94">
        <f t="shared" si="17"/>
        <v>0</v>
      </c>
      <c r="AA72" s="95">
        <f t="shared" si="18"/>
        <v>0</v>
      </c>
      <c r="AB72" s="8"/>
      <c r="AG72">
        <v>16</v>
      </c>
      <c r="AH72" s="73" t="str">
        <f t="shared" si="19"/>
        <v>Sai kích thước</v>
      </c>
      <c r="AI72" s="94">
        <f t="shared" si="20"/>
        <v>3</v>
      </c>
      <c r="AJ72" s="95">
        <f t="shared" si="21"/>
        <v>0.20891364902506965</v>
      </c>
      <c r="AK72" s="8"/>
      <c r="AM72">
        <v>16</v>
      </c>
      <c r="AN72" s="73" t="str">
        <f t="shared" si="22"/>
        <v>Sai phối màu 誤配色</v>
      </c>
      <c r="AO72" s="94">
        <f t="shared" si="23"/>
        <v>0</v>
      </c>
      <c r="AP72" s="95">
        <f t="shared" si="24"/>
        <v>0</v>
      </c>
      <c r="AQ72" s="8"/>
    </row>
    <row r="73" spans="4:43">
      <c r="D73">
        <v>17</v>
      </c>
      <c r="E73" s="73" t="str">
        <f t="shared" si="7"/>
        <v>MTD</v>
      </c>
      <c r="F73" s="94">
        <f t="shared" si="8"/>
        <v>0</v>
      </c>
      <c r="G73" s="95">
        <f t="shared" si="9"/>
        <v>0</v>
      </c>
      <c r="H73" s="8"/>
      <c r="J73">
        <v>17</v>
      </c>
      <c r="K73" s="73" t="str">
        <f t="shared" si="10"/>
        <v>Dập sai</v>
      </c>
      <c r="L73" s="94">
        <f t="shared" si="11"/>
        <v>0</v>
      </c>
      <c r="M73" s="95">
        <f t="shared" si="12"/>
        <v>0</v>
      </c>
      <c r="N73" s="8"/>
      <c r="S73">
        <v>17</v>
      </c>
      <c r="T73" s="73" t="str">
        <f t="shared" si="13"/>
        <v>MTD</v>
      </c>
      <c r="U73" s="94">
        <f t="shared" si="14"/>
        <v>1</v>
      </c>
      <c r="V73" s="95">
        <f t="shared" si="15"/>
        <v>7.6804915514592939E-2</v>
      </c>
      <c r="W73" s="8"/>
      <c r="X73">
        <v>17</v>
      </c>
      <c r="Y73" s="73" t="str">
        <f t="shared" si="16"/>
        <v>Ngược Diode</v>
      </c>
      <c r="Z73" s="94">
        <f t="shared" si="17"/>
        <v>0</v>
      </c>
      <c r="AA73" s="95">
        <f t="shared" si="18"/>
        <v>0</v>
      </c>
      <c r="AB73" s="8"/>
      <c r="AG73">
        <v>17</v>
      </c>
      <c r="AH73" s="73" t="str">
        <f t="shared" si="19"/>
        <v>Bị bể, mẻ, cấn</v>
      </c>
      <c r="AI73" s="94">
        <f t="shared" si="20"/>
        <v>2</v>
      </c>
      <c r="AJ73" s="95">
        <f t="shared" si="21"/>
        <v>0.1392757660167131</v>
      </c>
      <c r="AK73" s="8"/>
      <c r="AM73">
        <v>17</v>
      </c>
      <c r="AN73" s="73" t="str">
        <f t="shared" si="22"/>
        <v>Sai ống チューブ間違い</v>
      </c>
      <c r="AO73" s="94">
        <f t="shared" si="23"/>
        <v>0</v>
      </c>
      <c r="AP73" s="95">
        <f t="shared" si="24"/>
        <v>0</v>
      </c>
      <c r="AQ73" s="8"/>
    </row>
    <row r="74" spans="4:43">
      <c r="D74">
        <v>18</v>
      </c>
      <c r="E74" s="73" t="str">
        <f t="shared" si="7"/>
        <v>Others for IC</v>
      </c>
      <c r="F74" s="94">
        <f t="shared" si="8"/>
        <v>0</v>
      </c>
      <c r="G74" s="95">
        <f t="shared" si="9"/>
        <v>0</v>
      </c>
      <c r="H74" s="8"/>
      <c r="J74">
        <v>18</v>
      </c>
      <c r="K74" s="73" t="str">
        <f t="shared" si="10"/>
        <v>Thiếu dây</v>
      </c>
      <c r="L74" s="94">
        <f t="shared" si="11"/>
        <v>0</v>
      </c>
      <c r="M74" s="95">
        <f t="shared" si="12"/>
        <v>0</v>
      </c>
      <c r="N74" s="8"/>
      <c r="S74">
        <v>18</v>
      </c>
      <c r="T74" s="73" t="str">
        <f t="shared" si="13"/>
        <v>Sai ống チューブ間違い</v>
      </c>
      <c r="U74" s="94">
        <f t="shared" si="14"/>
        <v>1</v>
      </c>
      <c r="V74" s="95">
        <f t="shared" si="15"/>
        <v>7.6804915514592939E-2</v>
      </c>
      <c r="W74" s="8"/>
      <c r="X74">
        <v>18</v>
      </c>
      <c r="Y74" s="73" t="str">
        <f t="shared" si="16"/>
        <v>Dập sai</v>
      </c>
      <c r="Z74" s="94">
        <f t="shared" si="17"/>
        <v>0</v>
      </c>
      <c r="AA74" s="95">
        <f t="shared" si="18"/>
        <v>0</v>
      </c>
      <c r="AB74" s="8"/>
      <c r="AG74">
        <v>18</v>
      </c>
      <c r="AH74" s="73" t="str">
        <f t="shared" si="19"/>
        <v>MTD</v>
      </c>
      <c r="AI74" s="94">
        <f t="shared" si="20"/>
        <v>1</v>
      </c>
      <c r="AJ74" s="95">
        <f t="shared" si="21"/>
        <v>6.9637883008356549E-2</v>
      </c>
      <c r="AK74" s="8"/>
      <c r="AM74">
        <v>18</v>
      </c>
      <c r="AN74" s="73" t="str">
        <f t="shared" si="22"/>
        <v>Ngược nút bọc</v>
      </c>
      <c r="AO74" s="94">
        <f t="shared" si="23"/>
        <v>0</v>
      </c>
      <c r="AP74" s="95">
        <f t="shared" si="24"/>
        <v>0</v>
      </c>
      <c r="AQ74" s="8"/>
    </row>
    <row r="75" spans="4:43">
      <c r="D75">
        <v>19</v>
      </c>
      <c r="E75" s="73" t="str">
        <f t="shared" si="7"/>
        <v>Sai ống チューブ間違い</v>
      </c>
      <c r="F75" s="94">
        <f t="shared" si="8"/>
        <v>0</v>
      </c>
      <c r="G75" s="95">
        <f t="shared" si="9"/>
        <v>0</v>
      </c>
      <c r="H75" s="8"/>
      <c r="J75">
        <v>19</v>
      </c>
      <c r="K75" s="73" t="str">
        <f t="shared" si="10"/>
        <v>Sai vị trí</v>
      </c>
      <c r="L75" s="94">
        <f t="shared" si="11"/>
        <v>0</v>
      </c>
      <c r="M75" s="95">
        <f t="shared" si="12"/>
        <v>0</v>
      </c>
      <c r="N75" s="8"/>
      <c r="S75">
        <v>19</v>
      </c>
      <c r="T75" s="73" t="str">
        <f t="shared" si="13"/>
        <v>Thiếu dây</v>
      </c>
      <c r="U75" s="94">
        <f t="shared" si="14"/>
        <v>1</v>
      </c>
      <c r="V75" s="95">
        <f t="shared" si="15"/>
        <v>7.6804915514592939E-2</v>
      </c>
      <c r="W75" s="8"/>
      <c r="X75">
        <v>19</v>
      </c>
      <c r="Y75" s="73" t="str">
        <f t="shared" si="16"/>
        <v>Thiếu dây</v>
      </c>
      <c r="Z75" s="94">
        <f t="shared" si="17"/>
        <v>0</v>
      </c>
      <c r="AA75" s="95">
        <f t="shared" si="18"/>
        <v>0</v>
      </c>
      <c r="AB75" s="8"/>
      <c r="AG75">
        <v>19</v>
      </c>
      <c r="AH75" s="73" t="str">
        <f t="shared" si="19"/>
        <v>Sai ống チューブ間違い</v>
      </c>
      <c r="AI75" s="94">
        <f t="shared" si="20"/>
        <v>1</v>
      </c>
      <c r="AJ75" s="95">
        <f t="shared" si="21"/>
        <v>6.9637883008356549E-2</v>
      </c>
      <c r="AK75" s="8"/>
      <c r="AM75">
        <v>19</v>
      </c>
      <c r="AN75" s="73" t="str">
        <f t="shared" si="22"/>
        <v>Thông dòng NG</v>
      </c>
      <c r="AO75" s="94">
        <f t="shared" si="23"/>
        <v>0</v>
      </c>
      <c r="AP75" s="95">
        <f t="shared" si="24"/>
        <v>0</v>
      </c>
      <c r="AQ75" s="8"/>
    </row>
    <row r="76" spans="4:43">
      <c r="D76">
        <v>20</v>
      </c>
      <c r="E76" s="73" t="str">
        <f t="shared" si="7"/>
        <v>Ngược nút bọc</v>
      </c>
      <c r="F76" s="94">
        <f t="shared" si="8"/>
        <v>0</v>
      </c>
      <c r="G76" s="95">
        <f t="shared" si="9"/>
        <v>0</v>
      </c>
      <c r="H76" s="8"/>
      <c r="J76">
        <v>20</v>
      </c>
      <c r="K76" s="73" t="str">
        <f t="shared" si="10"/>
        <v>Sai kích thước</v>
      </c>
      <c r="L76" s="94">
        <f t="shared" si="11"/>
        <v>0</v>
      </c>
      <c r="M76" s="95">
        <f t="shared" si="12"/>
        <v>0</v>
      </c>
      <c r="N76" s="8"/>
      <c r="S76">
        <v>20</v>
      </c>
      <c r="T76" s="73" t="str">
        <f t="shared" si="13"/>
        <v>Tuột mấu ôm vỏ do tán cạn 浅打ちで被覆カシメ外れ</v>
      </c>
      <c r="U76" s="94">
        <f t="shared" si="14"/>
        <v>1</v>
      </c>
      <c r="V76" s="95">
        <f t="shared" si="15"/>
        <v>7.6804915514592939E-2</v>
      </c>
      <c r="W76" s="8"/>
      <c r="X76">
        <v>20</v>
      </c>
      <c r="Y76" s="73" t="str">
        <f t="shared" si="16"/>
        <v>Sai vị trí</v>
      </c>
      <c r="Z76" s="94">
        <f t="shared" si="17"/>
        <v>0</v>
      </c>
      <c r="AA76" s="95">
        <f t="shared" si="18"/>
        <v>0</v>
      </c>
      <c r="AB76" s="8"/>
      <c r="AG76">
        <v>20</v>
      </c>
      <c r="AH76" s="73" t="str">
        <f t="shared" si="19"/>
        <v>Thông dòng NG</v>
      </c>
      <c r="AI76" s="94">
        <f t="shared" si="20"/>
        <v>1</v>
      </c>
      <c r="AJ76" s="95">
        <f t="shared" si="21"/>
        <v>6.9637883008356549E-2</v>
      </c>
      <c r="AK76" s="8"/>
      <c r="AM76">
        <v>20</v>
      </c>
      <c r="AN76" s="73" t="str">
        <f t="shared" si="22"/>
        <v>Ngược Diode</v>
      </c>
      <c r="AO76" s="94">
        <f t="shared" si="23"/>
        <v>0</v>
      </c>
      <c r="AP76" s="95">
        <f t="shared" si="24"/>
        <v>0</v>
      </c>
      <c r="AQ76" s="8"/>
    </row>
    <row r="77" spans="4:43">
      <c r="D77">
        <v>21</v>
      </c>
      <c r="E77" s="73" t="str">
        <f t="shared" si="7"/>
        <v>Thông dòng NG</v>
      </c>
      <c r="F77" s="94">
        <f t="shared" si="8"/>
        <v>0</v>
      </c>
      <c r="G77" s="95">
        <f t="shared" si="9"/>
        <v>0</v>
      </c>
      <c r="H77" s="8"/>
      <c r="J77">
        <v>21</v>
      </c>
      <c r="K77" s="73" t="str">
        <f t="shared" si="10"/>
        <v>Ngắn, dài</v>
      </c>
      <c r="L77" s="94">
        <f t="shared" si="11"/>
        <v>0</v>
      </c>
      <c r="M77" s="95">
        <f t="shared" si="12"/>
        <v>0</v>
      </c>
      <c r="N77" s="8"/>
      <c r="S77">
        <v>21</v>
      </c>
      <c r="T77" s="73" t="str">
        <f t="shared" si="13"/>
        <v>Cháy dây</v>
      </c>
      <c r="U77" s="94">
        <f t="shared" si="14"/>
        <v>1</v>
      </c>
      <c r="V77" s="95">
        <f t="shared" si="15"/>
        <v>7.6804915514592939E-2</v>
      </c>
      <c r="W77" s="8"/>
      <c r="X77">
        <v>21</v>
      </c>
      <c r="Y77" s="73" t="str">
        <f t="shared" si="16"/>
        <v>Sai kích thước</v>
      </c>
      <c r="Z77" s="94">
        <f t="shared" si="17"/>
        <v>0</v>
      </c>
      <c r="AA77" s="95">
        <f t="shared" si="18"/>
        <v>0</v>
      </c>
      <c r="AB77" s="8"/>
      <c r="AG77">
        <v>21</v>
      </c>
      <c r="AH77" s="73" t="str">
        <f t="shared" si="19"/>
        <v>Thiếu dây</v>
      </c>
      <c r="AI77" s="94">
        <f t="shared" si="20"/>
        <v>1</v>
      </c>
      <c r="AJ77" s="95">
        <f t="shared" si="21"/>
        <v>6.9637883008356549E-2</v>
      </c>
      <c r="AK77" s="8"/>
      <c r="AM77">
        <v>21</v>
      </c>
      <c r="AN77" s="73" t="str">
        <f t="shared" si="22"/>
        <v>Dập sai</v>
      </c>
      <c r="AO77" s="94">
        <f t="shared" si="23"/>
        <v>0</v>
      </c>
      <c r="AP77" s="95">
        <f t="shared" si="24"/>
        <v>0</v>
      </c>
      <c r="AQ77" s="8"/>
    </row>
    <row r="78" spans="4:43">
      <c r="D78">
        <v>22</v>
      </c>
      <c r="E78" s="73" t="str">
        <f t="shared" si="7"/>
        <v>Ngược Diode</v>
      </c>
      <c r="F78" s="94">
        <f t="shared" si="8"/>
        <v>0</v>
      </c>
      <c r="G78" s="95">
        <f t="shared" si="9"/>
        <v>0</v>
      </c>
      <c r="H78" s="8"/>
      <c r="J78">
        <v>22</v>
      </c>
      <c r="K78" s="73" t="str">
        <f t="shared" si="10"/>
        <v>Sút</v>
      </c>
      <c r="L78" s="94">
        <f t="shared" si="11"/>
        <v>0</v>
      </c>
      <c r="M78" s="95">
        <f t="shared" si="12"/>
        <v>0</v>
      </c>
      <c r="N78" s="8"/>
      <c r="S78">
        <v>22</v>
      </c>
      <c r="T78" s="73" t="str">
        <f t="shared" si="13"/>
        <v>Không đạt do NL</v>
      </c>
      <c r="U78" s="94">
        <f t="shared" si="14"/>
        <v>0</v>
      </c>
      <c r="V78" s="95">
        <f t="shared" si="15"/>
        <v>0</v>
      </c>
      <c r="W78" s="8"/>
      <c r="X78">
        <v>22</v>
      </c>
      <c r="Y78" s="73" t="str">
        <f t="shared" si="16"/>
        <v>Ngắn, dài</v>
      </c>
      <c r="Z78" s="94">
        <f t="shared" si="17"/>
        <v>0</v>
      </c>
      <c r="AA78" s="95">
        <f t="shared" si="18"/>
        <v>0</v>
      </c>
      <c r="AB78" s="8"/>
      <c r="AG78">
        <v>22</v>
      </c>
      <c r="AH78" s="73" t="str">
        <f t="shared" si="19"/>
        <v>Tuột mấu ôm vỏ do tán cạn 浅打ちで被覆カシメ外れ</v>
      </c>
      <c r="AI78" s="94">
        <f t="shared" si="20"/>
        <v>1</v>
      </c>
      <c r="AJ78" s="95">
        <f t="shared" si="21"/>
        <v>6.9637883008356549E-2</v>
      </c>
      <c r="AK78" s="8"/>
      <c r="AM78">
        <v>22</v>
      </c>
      <c r="AN78" s="73" t="str">
        <f t="shared" si="22"/>
        <v>Thiếu dây</v>
      </c>
      <c r="AO78" s="94">
        <f t="shared" si="23"/>
        <v>0</v>
      </c>
      <c r="AP78" s="95">
        <f t="shared" si="24"/>
        <v>0</v>
      </c>
      <c r="AQ78" s="8"/>
    </row>
    <row r="79" spans="4:43">
      <c r="D79">
        <v>23</v>
      </c>
      <c r="E79" s="73" t="str">
        <f t="shared" si="7"/>
        <v>Sai vị trí</v>
      </c>
      <c r="F79" s="94">
        <f t="shared" si="8"/>
        <v>0</v>
      </c>
      <c r="G79" s="95">
        <f t="shared" si="9"/>
        <v>0</v>
      </c>
      <c r="H79" s="8"/>
      <c r="J79">
        <v>23</v>
      </c>
      <c r="K79" s="73" t="str">
        <f t="shared" si="10"/>
        <v>Biến dạng</v>
      </c>
      <c r="L79" s="94">
        <f t="shared" si="11"/>
        <v>0</v>
      </c>
      <c r="M79" s="95">
        <f t="shared" si="12"/>
        <v>0</v>
      </c>
      <c r="N79" s="8"/>
      <c r="S79">
        <v>23</v>
      </c>
      <c r="T79" s="73" t="str">
        <f t="shared" si="13"/>
        <v>Ngược nút bọc</v>
      </c>
      <c r="U79" s="94">
        <f t="shared" si="14"/>
        <v>0</v>
      </c>
      <c r="V79" s="95">
        <f t="shared" si="15"/>
        <v>0</v>
      </c>
      <c r="W79" s="8"/>
      <c r="X79">
        <v>23</v>
      </c>
      <c r="Y79" s="73" t="str">
        <f t="shared" si="16"/>
        <v>Sút</v>
      </c>
      <c r="Z79" s="94">
        <f t="shared" si="17"/>
        <v>0</v>
      </c>
      <c r="AA79" s="95">
        <f t="shared" si="18"/>
        <v>0</v>
      </c>
      <c r="AB79" s="8"/>
      <c r="AG79">
        <v>23</v>
      </c>
      <c r="AH79" s="73" t="str">
        <f t="shared" si="19"/>
        <v>Cháy dây</v>
      </c>
      <c r="AI79" s="94">
        <f t="shared" si="20"/>
        <v>1</v>
      </c>
      <c r="AJ79" s="95">
        <f t="shared" si="21"/>
        <v>6.9637883008356549E-2</v>
      </c>
      <c r="AK79" s="8"/>
      <c r="AM79">
        <v>23</v>
      </c>
      <c r="AN79" s="73" t="str">
        <f t="shared" si="22"/>
        <v>Sai vị trí</v>
      </c>
      <c r="AO79" s="94">
        <f t="shared" si="23"/>
        <v>0</v>
      </c>
      <c r="AP79" s="95">
        <f t="shared" si="24"/>
        <v>0</v>
      </c>
      <c r="AQ79" s="8"/>
    </row>
    <row r="80" spans="4:43">
      <c r="D80">
        <v>24</v>
      </c>
      <c r="E80" s="73" t="str">
        <f t="shared" si="7"/>
        <v>Sai kích thước</v>
      </c>
      <c r="F80" s="94">
        <f t="shared" si="8"/>
        <v>0</v>
      </c>
      <c r="G80" s="95">
        <f t="shared" si="9"/>
        <v>0</v>
      </c>
      <c r="H80" s="8"/>
      <c r="J80">
        <v>24</v>
      </c>
      <c r="K80" s="73" t="str">
        <f t="shared" si="10"/>
        <v>Hở</v>
      </c>
      <c r="L80" s="94">
        <f t="shared" si="11"/>
        <v>0</v>
      </c>
      <c r="M80" s="95">
        <f t="shared" si="12"/>
        <v>0</v>
      </c>
      <c r="N80" s="8"/>
      <c r="S80">
        <v>24</v>
      </c>
      <c r="T80" s="73" t="str">
        <f t="shared" si="13"/>
        <v>Thông dòng NG</v>
      </c>
      <c r="U80" s="94">
        <f t="shared" si="14"/>
        <v>0</v>
      </c>
      <c r="V80" s="95">
        <f t="shared" si="15"/>
        <v>0</v>
      </c>
      <c r="W80" s="8"/>
      <c r="X80">
        <v>24</v>
      </c>
      <c r="Y80" s="73" t="str">
        <f t="shared" si="16"/>
        <v>Biến dạng</v>
      </c>
      <c r="Z80" s="94">
        <f t="shared" si="17"/>
        <v>0</v>
      </c>
      <c r="AA80" s="95">
        <f t="shared" si="18"/>
        <v>0</v>
      </c>
      <c r="AB80" s="8"/>
      <c r="AG80">
        <v>24</v>
      </c>
      <c r="AH80" s="73" t="str">
        <f t="shared" si="19"/>
        <v>Không đạt do NL</v>
      </c>
      <c r="AI80" s="94">
        <f t="shared" si="20"/>
        <v>0</v>
      </c>
      <c r="AJ80" s="95">
        <f t="shared" si="21"/>
        <v>0</v>
      </c>
      <c r="AK80" s="8"/>
      <c r="AM80">
        <v>24</v>
      </c>
      <c r="AN80" s="73" t="str">
        <f t="shared" si="22"/>
        <v>Sai kích thước</v>
      </c>
      <c r="AO80" s="94">
        <f t="shared" si="23"/>
        <v>0</v>
      </c>
      <c r="AP80" s="95">
        <f t="shared" si="24"/>
        <v>0</v>
      </c>
      <c r="AQ80" s="8"/>
    </row>
    <row r="81" spans="4:43">
      <c r="D81">
        <v>25</v>
      </c>
      <c r="E81" s="73" t="str">
        <f t="shared" si="7"/>
        <v>Sút</v>
      </c>
      <c r="F81" s="94">
        <f t="shared" si="8"/>
        <v>0</v>
      </c>
      <c r="G81" s="95">
        <f t="shared" si="9"/>
        <v>0</v>
      </c>
      <c r="H81" s="8"/>
      <c r="J81">
        <v>25</v>
      </c>
      <c r="K81" s="73" t="str">
        <f t="shared" si="10"/>
        <v>Gờ tanshi bám ít vào gờ housing ランスのロックが不十分</v>
      </c>
      <c r="L81" s="94">
        <f t="shared" si="11"/>
        <v>0</v>
      </c>
      <c r="M81" s="95">
        <f t="shared" si="12"/>
        <v>0</v>
      </c>
      <c r="N81" s="8"/>
      <c r="S81">
        <v>25</v>
      </c>
      <c r="T81" s="73" t="str">
        <f t="shared" si="13"/>
        <v>Ngược Diode</v>
      </c>
      <c r="U81" s="94">
        <f t="shared" si="14"/>
        <v>0</v>
      </c>
      <c r="V81" s="95">
        <f t="shared" si="15"/>
        <v>0</v>
      </c>
      <c r="W81" s="8"/>
      <c r="X81">
        <v>25</v>
      </c>
      <c r="Y81" s="73" t="str">
        <f t="shared" si="16"/>
        <v>Hở</v>
      </c>
      <c r="Z81" s="94">
        <f t="shared" si="17"/>
        <v>0</v>
      </c>
      <c r="AA81" s="95">
        <f t="shared" si="18"/>
        <v>0</v>
      </c>
      <c r="AB81" s="8"/>
      <c r="AG81">
        <v>25</v>
      </c>
      <c r="AH81" s="73" t="str">
        <f t="shared" si="19"/>
        <v>Ngược nút bọc</v>
      </c>
      <c r="AI81" s="94">
        <f t="shared" si="20"/>
        <v>0</v>
      </c>
      <c r="AJ81" s="95">
        <f t="shared" si="21"/>
        <v>0</v>
      </c>
      <c r="AK81" s="8"/>
      <c r="AM81">
        <v>25</v>
      </c>
      <c r="AN81" s="73" t="str">
        <f t="shared" si="22"/>
        <v>Ngắn, dài</v>
      </c>
      <c r="AO81" s="94">
        <f t="shared" si="23"/>
        <v>0</v>
      </c>
      <c r="AP81" s="95">
        <f t="shared" si="24"/>
        <v>0</v>
      </c>
      <c r="AQ81" s="8"/>
    </row>
    <row r="82" spans="4:43">
      <c r="D82">
        <v>26</v>
      </c>
      <c r="E82" s="73" t="str">
        <f t="shared" si="7"/>
        <v>Biến dạng</v>
      </c>
      <c r="F82" s="94">
        <f t="shared" si="8"/>
        <v>0</v>
      </c>
      <c r="G82" s="95">
        <f t="shared" si="9"/>
        <v>0</v>
      </c>
      <c r="H82" s="8"/>
      <c r="J82">
        <v>26</v>
      </c>
      <c r="K82" s="73" t="str">
        <f t="shared" si="10"/>
        <v>Tuột mấu ôm vỏ do tán cạn 浅打ちで被覆カシメ外れ</v>
      </c>
      <c r="L82" s="94">
        <f t="shared" si="11"/>
        <v>0</v>
      </c>
      <c r="M82" s="95">
        <f t="shared" si="12"/>
        <v>0</v>
      </c>
      <c r="N82" s="8"/>
      <c r="S82">
        <v>26</v>
      </c>
      <c r="T82" s="73" t="str">
        <f t="shared" si="13"/>
        <v>Sai vị trí</v>
      </c>
      <c r="U82" s="94">
        <f t="shared" si="14"/>
        <v>0</v>
      </c>
      <c r="V82" s="95">
        <f t="shared" si="15"/>
        <v>0</v>
      </c>
      <c r="W82" s="8"/>
      <c r="X82">
        <v>26</v>
      </c>
      <c r="Y82" s="73" t="str">
        <f t="shared" si="16"/>
        <v>Gờ tanshi bám ít vào gờ housing ランスのロックが不十分</v>
      </c>
      <c r="Z82" s="94">
        <f t="shared" si="17"/>
        <v>0</v>
      </c>
      <c r="AA82" s="95">
        <f t="shared" si="18"/>
        <v>0</v>
      </c>
      <c r="AB82" s="8"/>
      <c r="AG82">
        <v>26</v>
      </c>
      <c r="AH82" s="73" t="str">
        <f t="shared" si="19"/>
        <v>Ngược Diode</v>
      </c>
      <c r="AI82" s="94">
        <f t="shared" si="20"/>
        <v>0</v>
      </c>
      <c r="AJ82" s="95">
        <f t="shared" si="21"/>
        <v>0</v>
      </c>
      <c r="AK82" s="8"/>
      <c r="AM82">
        <v>26</v>
      </c>
      <c r="AN82" s="73" t="str">
        <f t="shared" si="22"/>
        <v>Sút</v>
      </c>
      <c r="AO82" s="94">
        <f t="shared" si="23"/>
        <v>0</v>
      </c>
      <c r="AP82" s="95">
        <f t="shared" si="24"/>
        <v>0</v>
      </c>
      <c r="AQ82" s="8"/>
    </row>
    <row r="83" spans="4:43">
      <c r="D83">
        <v>27</v>
      </c>
      <c r="E83" s="73" t="str">
        <f t="shared" si="7"/>
        <v>Hở</v>
      </c>
      <c r="F83" s="94">
        <f t="shared" si="8"/>
        <v>0</v>
      </c>
      <c r="G83" s="95">
        <f t="shared" si="9"/>
        <v>0</v>
      </c>
      <c r="H83" s="8"/>
      <c r="J83">
        <v>27</v>
      </c>
      <c r="K83" s="73" t="str">
        <f t="shared" si="10"/>
        <v>Thiếu ống</v>
      </c>
      <c r="L83" s="94">
        <f t="shared" si="11"/>
        <v>0</v>
      </c>
      <c r="M83" s="95">
        <f t="shared" si="12"/>
        <v>0</v>
      </c>
      <c r="N83" s="8"/>
      <c r="S83">
        <v>27</v>
      </c>
      <c r="T83" s="73" t="str">
        <f t="shared" si="13"/>
        <v>Sút</v>
      </c>
      <c r="U83" s="94">
        <f t="shared" si="14"/>
        <v>0</v>
      </c>
      <c r="V83" s="95">
        <f t="shared" si="15"/>
        <v>0</v>
      </c>
      <c r="W83" s="8"/>
      <c r="X83">
        <v>27</v>
      </c>
      <c r="Y83" s="73" t="str">
        <f t="shared" si="16"/>
        <v>Tuột mấu ôm vỏ do tán cạn 浅打ちで被覆カシメ外れ</v>
      </c>
      <c r="Z83" s="94">
        <f t="shared" si="17"/>
        <v>0</v>
      </c>
      <c r="AA83" s="95">
        <f t="shared" si="18"/>
        <v>0</v>
      </c>
      <c r="AB83" s="8"/>
      <c r="AG83">
        <v>27</v>
      </c>
      <c r="AH83" s="73" t="str">
        <f t="shared" si="19"/>
        <v>Sai vị trí</v>
      </c>
      <c r="AI83" s="94">
        <f t="shared" si="20"/>
        <v>0</v>
      </c>
      <c r="AJ83" s="95">
        <f t="shared" si="21"/>
        <v>0</v>
      </c>
      <c r="AK83" s="8"/>
      <c r="AM83">
        <v>27</v>
      </c>
      <c r="AN83" s="73" t="str">
        <f t="shared" si="22"/>
        <v>Hở</v>
      </c>
      <c r="AO83" s="94">
        <f t="shared" si="23"/>
        <v>0</v>
      </c>
      <c r="AP83" s="95">
        <f t="shared" si="24"/>
        <v>0</v>
      </c>
      <c r="AQ83" s="8"/>
    </row>
    <row r="84" spans="4:43">
      <c r="D84">
        <v>28</v>
      </c>
      <c r="E84" s="73" t="str">
        <f t="shared" si="7"/>
        <v>Gờ tanshi bám ít vào gờ housing ランスのロックが不十分</v>
      </c>
      <c r="F84" s="94">
        <f t="shared" si="8"/>
        <v>0</v>
      </c>
      <c r="G84" s="95">
        <f t="shared" si="9"/>
        <v>0</v>
      </c>
      <c r="H84" s="8"/>
      <c r="J84">
        <v>28</v>
      </c>
      <c r="K84" s="73" t="str">
        <f t="shared" si="10"/>
        <v>Dính dị vật 端子が異物付き</v>
      </c>
      <c r="L84" s="94">
        <f t="shared" si="11"/>
        <v>0</v>
      </c>
      <c r="M84" s="95">
        <f t="shared" si="12"/>
        <v>0</v>
      </c>
      <c r="N84" s="8"/>
      <c r="S84">
        <v>28</v>
      </c>
      <c r="T84" s="73" t="str">
        <f t="shared" si="13"/>
        <v>Biến dạng</v>
      </c>
      <c r="U84" s="94">
        <f t="shared" si="14"/>
        <v>0</v>
      </c>
      <c r="V84" s="95">
        <f t="shared" si="15"/>
        <v>0</v>
      </c>
      <c r="W84" s="8"/>
      <c r="X84">
        <v>28</v>
      </c>
      <c r="Y84" s="73" t="str">
        <f t="shared" si="16"/>
        <v>Thiếu ống</v>
      </c>
      <c r="Z84" s="94">
        <f t="shared" si="17"/>
        <v>0</v>
      </c>
      <c r="AA84" s="95">
        <f t="shared" si="18"/>
        <v>0</v>
      </c>
      <c r="AB84" s="8"/>
      <c r="AG84">
        <v>28</v>
      </c>
      <c r="AH84" s="73" t="str">
        <f t="shared" si="19"/>
        <v>Sút</v>
      </c>
      <c r="AI84" s="94">
        <f t="shared" si="20"/>
        <v>0</v>
      </c>
      <c r="AJ84" s="95">
        <f t="shared" si="21"/>
        <v>0</v>
      </c>
      <c r="AK84" s="8"/>
      <c r="AM84">
        <v>28</v>
      </c>
      <c r="AN84" s="73" t="str">
        <f t="shared" si="22"/>
        <v>Gờ tanshi bám ít vào gờ housing ランスのロックが不十分</v>
      </c>
      <c r="AO84" s="94">
        <f t="shared" si="23"/>
        <v>0</v>
      </c>
      <c r="AP84" s="95">
        <f t="shared" si="24"/>
        <v>0</v>
      </c>
      <c r="AQ84" s="8"/>
    </row>
    <row r="85" spans="4:43">
      <c r="D85">
        <v>29</v>
      </c>
      <c r="E85" s="73" t="str">
        <f t="shared" si="7"/>
        <v>Tuột mấu ôm vỏ do tán cạn 浅打ちで被覆カシメ外れ</v>
      </c>
      <c r="F85" s="94">
        <f t="shared" si="8"/>
        <v>0</v>
      </c>
      <c r="G85" s="95">
        <f t="shared" si="9"/>
        <v>0</v>
      </c>
      <c r="H85" s="8"/>
      <c r="J85">
        <v>29</v>
      </c>
      <c r="K85" s="73" t="str">
        <f t="shared" si="10"/>
        <v>Tanshi biến dạng</v>
      </c>
      <c r="L85" s="94">
        <f t="shared" si="11"/>
        <v>0</v>
      </c>
      <c r="M85" s="95">
        <f t="shared" si="12"/>
        <v>0</v>
      </c>
      <c r="N85" s="8"/>
      <c r="S85">
        <v>29</v>
      </c>
      <c r="T85" s="73" t="str">
        <f t="shared" si="13"/>
        <v>Hở</v>
      </c>
      <c r="U85" s="94">
        <f t="shared" si="14"/>
        <v>0</v>
      </c>
      <c r="V85" s="95">
        <f t="shared" si="15"/>
        <v>0</v>
      </c>
      <c r="W85" s="8"/>
      <c r="X85">
        <v>29</v>
      </c>
      <c r="Y85" s="73" t="str">
        <f t="shared" si="16"/>
        <v>Dính dị vật 端子が異物付き</v>
      </c>
      <c r="Z85" s="94">
        <f t="shared" si="17"/>
        <v>0</v>
      </c>
      <c r="AA85" s="95">
        <f t="shared" si="18"/>
        <v>0</v>
      </c>
      <c r="AB85" s="8"/>
      <c r="AG85">
        <v>29</v>
      </c>
      <c r="AH85" s="73" t="str">
        <f t="shared" si="19"/>
        <v>Biến dạng</v>
      </c>
      <c r="AI85" s="94">
        <f t="shared" si="20"/>
        <v>0</v>
      </c>
      <c r="AJ85" s="95">
        <f t="shared" si="21"/>
        <v>0</v>
      </c>
      <c r="AK85" s="8"/>
      <c r="AM85">
        <v>29</v>
      </c>
      <c r="AN85" s="73" t="str">
        <f t="shared" si="22"/>
        <v>Tuột mấu ôm vỏ do tán cạn 浅打ちで被覆カシメ外れ</v>
      </c>
      <c r="AO85" s="94">
        <f t="shared" si="23"/>
        <v>0</v>
      </c>
      <c r="AP85" s="95">
        <f t="shared" si="24"/>
        <v>0</v>
      </c>
      <c r="AQ85" s="8"/>
    </row>
    <row r="86" spans="4:43">
      <c r="D86">
        <v>30</v>
      </c>
      <c r="E86" s="73" t="str">
        <f t="shared" si="7"/>
        <v>Thiếu ống</v>
      </c>
      <c r="F86" s="94">
        <f t="shared" si="8"/>
        <v>0</v>
      </c>
      <c r="G86" s="95">
        <f t="shared" si="9"/>
        <v>0</v>
      </c>
      <c r="H86" s="8"/>
      <c r="J86">
        <v>30</v>
      </c>
      <c r="K86" s="73" t="str">
        <f t="shared" si="10"/>
        <v>Bẩn, dơ</v>
      </c>
      <c r="L86" s="94">
        <f t="shared" si="11"/>
        <v>0</v>
      </c>
      <c r="M86" s="95">
        <f t="shared" si="12"/>
        <v>0</v>
      </c>
      <c r="N86" s="8"/>
      <c r="S86">
        <v>30</v>
      </c>
      <c r="T86" s="73" t="str">
        <f t="shared" si="13"/>
        <v>Gờ tanshi bám ít vào gờ housing ランスのロックが不十分</v>
      </c>
      <c r="U86" s="94">
        <f t="shared" si="14"/>
        <v>0</v>
      </c>
      <c r="V86" s="95">
        <f t="shared" si="15"/>
        <v>0</v>
      </c>
      <c r="W86" s="8"/>
      <c r="X86">
        <v>30</v>
      </c>
      <c r="Y86" s="73" t="str">
        <f t="shared" si="16"/>
        <v>Tanshi biến dạng</v>
      </c>
      <c r="Z86" s="94">
        <f t="shared" si="17"/>
        <v>0</v>
      </c>
      <c r="AA86" s="95">
        <f t="shared" si="18"/>
        <v>0</v>
      </c>
      <c r="AB86" s="8"/>
      <c r="AG86">
        <v>30</v>
      </c>
      <c r="AH86" s="73" t="str">
        <f t="shared" si="19"/>
        <v>Hở</v>
      </c>
      <c r="AI86" s="94">
        <f t="shared" si="20"/>
        <v>0</v>
      </c>
      <c r="AJ86" s="95">
        <f t="shared" si="21"/>
        <v>0</v>
      </c>
      <c r="AK86" s="8"/>
      <c r="AM86">
        <v>30</v>
      </c>
      <c r="AN86" s="73" t="str">
        <f t="shared" si="22"/>
        <v>Thiếu ống</v>
      </c>
      <c r="AO86" s="94">
        <f t="shared" si="23"/>
        <v>0</v>
      </c>
      <c r="AP86" s="95">
        <f t="shared" si="24"/>
        <v>0</v>
      </c>
      <c r="AQ86" s="8"/>
    </row>
    <row r="87" spans="4:43">
      <c r="D87">
        <v>31</v>
      </c>
      <c r="E87" s="73" t="str">
        <f t="shared" si="7"/>
        <v>Bẩn, dơ</v>
      </c>
      <c r="F87" s="94">
        <f t="shared" si="8"/>
        <v>0</v>
      </c>
      <c r="G87" s="95">
        <f t="shared" si="9"/>
        <v>0</v>
      </c>
      <c r="H87" s="8"/>
      <c r="J87">
        <v>31</v>
      </c>
      <c r="K87" s="73" t="str">
        <f t="shared" si="10"/>
        <v>Tưa lõi</v>
      </c>
      <c r="L87" s="94">
        <f t="shared" si="11"/>
        <v>0</v>
      </c>
      <c r="M87" s="95">
        <f t="shared" si="12"/>
        <v>0</v>
      </c>
      <c r="N87" s="8"/>
      <c r="S87">
        <v>31</v>
      </c>
      <c r="T87" s="73" t="str">
        <f t="shared" si="13"/>
        <v>Thiếu ống</v>
      </c>
      <c r="U87" s="94">
        <f t="shared" si="14"/>
        <v>0</v>
      </c>
      <c r="V87" s="95">
        <f t="shared" si="15"/>
        <v>0</v>
      </c>
      <c r="W87" s="8"/>
      <c r="X87">
        <v>31</v>
      </c>
      <c r="Y87" s="73" t="str">
        <f t="shared" si="16"/>
        <v>Bẩn, dơ</v>
      </c>
      <c r="Z87" s="94">
        <f t="shared" si="17"/>
        <v>0</v>
      </c>
      <c r="AA87" s="95">
        <f t="shared" si="18"/>
        <v>0</v>
      </c>
      <c r="AB87" s="8"/>
      <c r="AG87">
        <v>31</v>
      </c>
      <c r="AH87" s="73" t="str">
        <f t="shared" si="19"/>
        <v>Gờ tanshi bám ít vào gờ housing ランスのロックが不十分</v>
      </c>
      <c r="AI87" s="94">
        <f t="shared" si="20"/>
        <v>0</v>
      </c>
      <c r="AJ87" s="95">
        <f t="shared" si="21"/>
        <v>0</v>
      </c>
      <c r="AK87" s="8"/>
      <c r="AM87">
        <v>31</v>
      </c>
      <c r="AN87" s="73" t="str">
        <f t="shared" si="22"/>
        <v>Dính dị vật 端子が異物付き</v>
      </c>
      <c r="AO87" s="94">
        <f t="shared" si="23"/>
        <v>0</v>
      </c>
      <c r="AP87" s="95">
        <f t="shared" si="24"/>
        <v>0</v>
      </c>
      <c r="AQ87" s="8"/>
    </row>
    <row r="88" spans="4:43">
      <c r="D88">
        <v>32</v>
      </c>
      <c r="E88" s="73" t="str">
        <f t="shared" si="7"/>
        <v>Cháy dây</v>
      </c>
      <c r="F88" s="94">
        <f t="shared" si="8"/>
        <v>0</v>
      </c>
      <c r="G88" s="95">
        <f t="shared" si="9"/>
        <v>0</v>
      </c>
      <c r="H88" s="8"/>
      <c r="J88">
        <v>32</v>
      </c>
      <c r="K88" s="73" t="str">
        <f t="shared" si="10"/>
        <v>Đứt Lõi</v>
      </c>
      <c r="L88" s="94">
        <f t="shared" si="11"/>
        <v>0</v>
      </c>
      <c r="M88" s="95">
        <f t="shared" si="12"/>
        <v>0</v>
      </c>
      <c r="N88" s="8"/>
      <c r="S88">
        <v>32</v>
      </c>
      <c r="T88" s="73" t="str">
        <f t="shared" si="13"/>
        <v>Bẩn, dơ</v>
      </c>
      <c r="U88" s="94">
        <f t="shared" si="14"/>
        <v>0</v>
      </c>
      <c r="V88" s="95">
        <f t="shared" si="15"/>
        <v>0</v>
      </c>
      <c r="W88" s="8"/>
      <c r="X88">
        <v>32</v>
      </c>
      <c r="Y88" s="73" t="str">
        <f t="shared" si="16"/>
        <v>Tưa lõi</v>
      </c>
      <c r="Z88" s="94">
        <f t="shared" si="17"/>
        <v>0</v>
      </c>
      <c r="AA88" s="95">
        <f t="shared" si="18"/>
        <v>0</v>
      </c>
      <c r="AB88" s="8"/>
      <c r="AG88">
        <v>32</v>
      </c>
      <c r="AH88" s="73" t="str">
        <f t="shared" si="19"/>
        <v>Thiếu ống</v>
      </c>
      <c r="AI88" s="94">
        <f t="shared" si="20"/>
        <v>0</v>
      </c>
      <c r="AJ88" s="95">
        <f t="shared" si="21"/>
        <v>0</v>
      </c>
      <c r="AK88" s="8"/>
      <c r="AM88">
        <v>32</v>
      </c>
      <c r="AN88" s="73" t="str">
        <f t="shared" si="22"/>
        <v>Tanshi biến dạng</v>
      </c>
      <c r="AO88" s="94">
        <f t="shared" si="23"/>
        <v>0</v>
      </c>
      <c r="AP88" s="95">
        <f t="shared" si="24"/>
        <v>0</v>
      </c>
      <c r="AQ88" s="8"/>
    </row>
    <row r="89" spans="4:43">
      <c r="D89">
        <v>33</v>
      </c>
      <c r="E89" s="73" t="str">
        <f t="shared" si="7"/>
        <v>Tưa lõi</v>
      </c>
      <c r="F89" s="94">
        <f t="shared" si="8"/>
        <v>0</v>
      </c>
      <c r="G89" s="95">
        <f t="shared" si="9"/>
        <v>0</v>
      </c>
      <c r="H89" s="8"/>
      <c r="J89">
        <v>33</v>
      </c>
      <c r="K89" s="73" t="str">
        <f t="shared" si="10"/>
        <v>Thiếu dấu marking PS PSマーキング不足</v>
      </c>
      <c r="L89" s="94">
        <f t="shared" si="11"/>
        <v>0</v>
      </c>
      <c r="M89" s="95">
        <f t="shared" si="12"/>
        <v>0</v>
      </c>
      <c r="N89" s="8"/>
      <c r="S89">
        <v>33</v>
      </c>
      <c r="T89" s="73" t="str">
        <f t="shared" si="13"/>
        <v>Tưa lõi</v>
      </c>
      <c r="U89" s="94">
        <f t="shared" si="14"/>
        <v>0</v>
      </c>
      <c r="V89" s="95">
        <f t="shared" si="15"/>
        <v>0</v>
      </c>
      <c r="W89" s="8"/>
      <c r="X89">
        <v>33</v>
      </c>
      <c r="Y89" s="73" t="str">
        <f t="shared" si="16"/>
        <v>Thiếu dấu marking PS PSマーキング不足</v>
      </c>
      <c r="Z89" s="94">
        <f t="shared" si="17"/>
        <v>0</v>
      </c>
      <c r="AA89" s="95">
        <f t="shared" si="18"/>
        <v>0</v>
      </c>
      <c r="AB89" s="8"/>
      <c r="AG89">
        <v>33</v>
      </c>
      <c r="AH89" s="73" t="str">
        <f t="shared" si="19"/>
        <v>Bẩn, dơ</v>
      </c>
      <c r="AI89" s="94">
        <f t="shared" si="20"/>
        <v>0</v>
      </c>
      <c r="AJ89" s="95">
        <f t="shared" si="21"/>
        <v>0</v>
      </c>
      <c r="AK89" s="8"/>
      <c r="AM89">
        <v>33</v>
      </c>
      <c r="AN89" s="73" t="str">
        <f t="shared" si="22"/>
        <v>Bẩn, dơ</v>
      </c>
      <c r="AO89" s="94">
        <f t="shared" si="23"/>
        <v>0</v>
      </c>
      <c r="AP89" s="95">
        <f t="shared" si="24"/>
        <v>0</v>
      </c>
      <c r="AQ89" s="8"/>
    </row>
    <row r="90" spans="4:43">
      <c r="D90">
        <v>34</v>
      </c>
      <c r="E90" s="73" t="str">
        <f t="shared" si="7"/>
        <v>Đứt Lõi</v>
      </c>
      <c r="F90" s="94">
        <f t="shared" si="8"/>
        <v>0</v>
      </c>
      <c r="G90" s="95">
        <f t="shared" si="9"/>
        <v>0</v>
      </c>
      <c r="H90" s="8"/>
      <c r="J90">
        <v>34</v>
      </c>
      <c r="K90" s="73" t="str">
        <f t="shared" si="10"/>
        <v>Biến dạng vị trí Soket</v>
      </c>
      <c r="L90" s="94">
        <f t="shared" si="11"/>
        <v>0</v>
      </c>
      <c r="M90" s="95">
        <f t="shared" si="12"/>
        <v>0</v>
      </c>
      <c r="N90" s="8"/>
      <c r="S90">
        <v>34</v>
      </c>
      <c r="T90" s="73" t="str">
        <f t="shared" si="13"/>
        <v>Đứt Lõi</v>
      </c>
      <c r="U90" s="94">
        <f t="shared" si="14"/>
        <v>0</v>
      </c>
      <c r="V90" s="95">
        <f t="shared" si="15"/>
        <v>0</v>
      </c>
      <c r="W90" s="8"/>
      <c r="X90">
        <v>34</v>
      </c>
      <c r="Y90" s="73" t="str">
        <f t="shared" si="16"/>
        <v>Biến dạng vị trí Soket</v>
      </c>
      <c r="Z90" s="94">
        <f t="shared" si="17"/>
        <v>0</v>
      </c>
      <c r="AA90" s="95">
        <f t="shared" si="18"/>
        <v>0</v>
      </c>
      <c r="AB90" s="8"/>
      <c r="AG90">
        <v>34</v>
      </c>
      <c r="AH90" s="73" t="str">
        <f t="shared" si="19"/>
        <v>Tưa lõi</v>
      </c>
      <c r="AI90" s="94">
        <f t="shared" si="20"/>
        <v>0</v>
      </c>
      <c r="AJ90" s="95">
        <f t="shared" si="21"/>
        <v>0</v>
      </c>
      <c r="AK90" s="8"/>
      <c r="AM90">
        <v>34</v>
      </c>
      <c r="AN90" s="73" t="str">
        <f t="shared" si="22"/>
        <v>Thiếu dấu marking PS PSマーキング不足</v>
      </c>
      <c r="AO90" s="94">
        <f t="shared" si="23"/>
        <v>0</v>
      </c>
      <c r="AP90" s="95">
        <f t="shared" si="24"/>
        <v>0</v>
      </c>
      <c r="AQ90" s="8"/>
    </row>
    <row r="91" spans="4:43">
      <c r="D91">
        <v>35</v>
      </c>
      <c r="E91" s="73" t="str">
        <f t="shared" si="7"/>
        <v>Thiếu dấu marking PS PSマーキング不足</v>
      </c>
      <c r="F91" s="94">
        <f t="shared" si="8"/>
        <v>0</v>
      </c>
      <c r="G91" s="95">
        <f t="shared" si="9"/>
        <v>0</v>
      </c>
      <c r="H91" s="8"/>
      <c r="J91">
        <v>35</v>
      </c>
      <c r="K91" s="73" t="str">
        <f t="shared" si="10"/>
        <v>Bị bể, mẻ, cấn</v>
      </c>
      <c r="L91" s="94">
        <f t="shared" si="11"/>
        <v>0</v>
      </c>
      <c r="M91" s="95">
        <f t="shared" si="12"/>
        <v>0</v>
      </c>
      <c r="N91" s="8"/>
      <c r="S91">
        <v>35</v>
      </c>
      <c r="T91" s="73" t="str">
        <f t="shared" si="13"/>
        <v>Thiếu dấu marking PS PSマーキング不足</v>
      </c>
      <c r="U91" s="94">
        <f t="shared" si="14"/>
        <v>0</v>
      </c>
      <c r="V91" s="95">
        <f t="shared" si="15"/>
        <v>0</v>
      </c>
      <c r="W91" s="8"/>
      <c r="X91">
        <v>35</v>
      </c>
      <c r="Y91" s="73" t="str">
        <f t="shared" si="16"/>
        <v>Bị bể, mẻ, cấn</v>
      </c>
      <c r="Z91" s="94">
        <f t="shared" si="17"/>
        <v>0</v>
      </c>
      <c r="AA91" s="95">
        <f t="shared" si="18"/>
        <v>0</v>
      </c>
      <c r="AB91" s="8"/>
      <c r="AG91">
        <v>35</v>
      </c>
      <c r="AH91" s="73" t="str">
        <f t="shared" si="19"/>
        <v>Đứt Lõi</v>
      </c>
      <c r="AI91" s="94">
        <f t="shared" si="20"/>
        <v>0</v>
      </c>
      <c r="AJ91" s="95">
        <f t="shared" si="21"/>
        <v>0</v>
      </c>
      <c r="AK91" s="8"/>
      <c r="AM91">
        <v>35</v>
      </c>
      <c r="AN91" s="73" t="str">
        <f t="shared" si="22"/>
        <v>Biến dạng vị trí Soket</v>
      </c>
      <c r="AO91" s="94">
        <f t="shared" si="23"/>
        <v>0</v>
      </c>
      <c r="AP91" s="95">
        <f t="shared" si="24"/>
        <v>0</v>
      </c>
      <c r="AQ91" s="8"/>
    </row>
    <row r="92" spans="4:43">
      <c r="D92">
        <v>36</v>
      </c>
      <c r="E92" s="73" t="str">
        <f t="shared" si="7"/>
        <v>Biến dạng vị trí Soket</v>
      </c>
      <c r="F92" s="94">
        <f t="shared" si="8"/>
        <v>0</v>
      </c>
      <c r="G92" s="95">
        <f t="shared" si="9"/>
        <v>0</v>
      </c>
      <c r="H92" s="8"/>
      <c r="J92">
        <v>36</v>
      </c>
      <c r="K92" s="73" t="str">
        <f t="shared" si="10"/>
        <v>Xỏ ngược đầu</v>
      </c>
      <c r="L92" s="94">
        <f t="shared" si="11"/>
        <v>0</v>
      </c>
      <c r="M92" s="95">
        <f t="shared" si="12"/>
        <v>0</v>
      </c>
      <c r="N92" s="8"/>
      <c r="S92">
        <v>36</v>
      </c>
      <c r="T92" s="73" t="str">
        <f t="shared" si="13"/>
        <v>Biến dạng vị trí Soket</v>
      </c>
      <c r="U92" s="94">
        <f t="shared" si="14"/>
        <v>0</v>
      </c>
      <c r="V92" s="95">
        <f t="shared" si="15"/>
        <v>0</v>
      </c>
      <c r="W92" s="8"/>
      <c r="X92">
        <v>36</v>
      </c>
      <c r="Y92" s="73" t="str">
        <f t="shared" si="16"/>
        <v>Xỏ ngược đầu</v>
      </c>
      <c r="Z92" s="94">
        <f t="shared" si="17"/>
        <v>0</v>
      </c>
      <c r="AA92" s="95">
        <f t="shared" si="18"/>
        <v>0</v>
      </c>
      <c r="AB92" s="8"/>
      <c r="AG92">
        <v>36</v>
      </c>
      <c r="AH92" s="73" t="str">
        <f t="shared" si="19"/>
        <v>Thiếu dấu marking PS PSマーキング不足</v>
      </c>
      <c r="AI92" s="94">
        <f t="shared" si="20"/>
        <v>0</v>
      </c>
      <c r="AJ92" s="95">
        <f t="shared" si="21"/>
        <v>0</v>
      </c>
      <c r="AK92" s="8"/>
      <c r="AM92">
        <v>36</v>
      </c>
      <c r="AN92" s="73" t="str">
        <f t="shared" si="22"/>
        <v>Bị bể, mẻ, cấn</v>
      </c>
      <c r="AO92" s="94">
        <f t="shared" si="23"/>
        <v>0</v>
      </c>
      <c r="AP92" s="95">
        <f t="shared" si="24"/>
        <v>0</v>
      </c>
      <c r="AQ92" s="8"/>
    </row>
    <row r="93" spans="4:43">
      <c r="D93">
        <v>37</v>
      </c>
      <c r="E93" s="73" t="str">
        <f t="shared" si="7"/>
        <v>Bị bể, mẻ, cấn</v>
      </c>
      <c r="F93" s="94">
        <f t="shared" si="8"/>
        <v>0</v>
      </c>
      <c r="G93" s="95">
        <f t="shared" si="9"/>
        <v>0</v>
      </c>
      <c r="H93" s="8"/>
      <c r="J93">
        <v>37</v>
      </c>
      <c r="K93" s="73" t="str">
        <f t="shared" si="10"/>
        <v>Bị trầy xước</v>
      </c>
      <c r="L93" s="94">
        <f t="shared" si="11"/>
        <v>0</v>
      </c>
      <c r="M93" s="95">
        <f t="shared" si="12"/>
        <v>0</v>
      </c>
      <c r="N93" s="8"/>
      <c r="S93">
        <v>37</v>
      </c>
      <c r="T93" s="73" t="str">
        <f t="shared" si="13"/>
        <v>Bị bể, mẻ, cấn</v>
      </c>
      <c r="U93" s="94">
        <f t="shared" si="14"/>
        <v>0</v>
      </c>
      <c r="V93" s="95">
        <f t="shared" si="15"/>
        <v>0</v>
      </c>
      <c r="W93" s="8"/>
      <c r="X93">
        <v>37</v>
      </c>
      <c r="Y93" s="73" t="str">
        <f t="shared" si="16"/>
        <v>Bị trầy xước</v>
      </c>
      <c r="Z93" s="94">
        <f t="shared" si="17"/>
        <v>0</v>
      </c>
      <c r="AA93" s="95">
        <f t="shared" si="18"/>
        <v>0</v>
      </c>
      <c r="AB93" s="8"/>
      <c r="AG93">
        <v>37</v>
      </c>
      <c r="AH93" s="73" t="str">
        <f t="shared" si="19"/>
        <v>Biến dạng vị trí Soket</v>
      </c>
      <c r="AI93" s="94">
        <f t="shared" si="20"/>
        <v>0</v>
      </c>
      <c r="AJ93" s="95">
        <f t="shared" si="21"/>
        <v>0</v>
      </c>
      <c r="AK93" s="8"/>
      <c r="AM93">
        <v>37</v>
      </c>
      <c r="AN93" s="73" t="str">
        <f t="shared" si="22"/>
        <v>Xỏ ngược đầu</v>
      </c>
      <c r="AO93" s="94">
        <f t="shared" si="23"/>
        <v>0</v>
      </c>
      <c r="AP93" s="95">
        <f t="shared" si="24"/>
        <v>0</v>
      </c>
      <c r="AQ93" s="8"/>
    </row>
    <row r="94" spans="4:43">
      <c r="D94">
        <v>38</v>
      </c>
      <c r="E94" s="73" t="str">
        <f t="shared" si="7"/>
        <v>Xỏ ngược đầu</v>
      </c>
      <c r="F94" s="94">
        <f t="shared" si="8"/>
        <v>0</v>
      </c>
      <c r="G94" s="95">
        <f t="shared" si="9"/>
        <v>0</v>
      </c>
      <c r="H94" s="8"/>
      <c r="J94">
        <v>38</v>
      </c>
      <c r="K94" s="73" t="str">
        <f t="shared" si="10"/>
        <v>Bị gãy khóa</v>
      </c>
      <c r="L94" s="94">
        <f t="shared" si="11"/>
        <v>0</v>
      </c>
      <c r="M94" s="95">
        <f t="shared" si="12"/>
        <v>0</v>
      </c>
      <c r="N94" s="8"/>
      <c r="S94">
        <v>38</v>
      </c>
      <c r="T94" s="73" t="str">
        <f t="shared" si="13"/>
        <v>Xỏ ngược đầu</v>
      </c>
      <c r="U94" s="94">
        <f t="shared" si="14"/>
        <v>0</v>
      </c>
      <c r="V94" s="95">
        <f t="shared" si="15"/>
        <v>0</v>
      </c>
      <c r="W94" s="8"/>
      <c r="X94">
        <v>38</v>
      </c>
      <c r="Y94" s="73" t="str">
        <f t="shared" si="16"/>
        <v>Bị gãy khóa</v>
      </c>
      <c r="Z94" s="94">
        <f t="shared" si="17"/>
        <v>0</v>
      </c>
      <c r="AA94" s="95">
        <f t="shared" si="18"/>
        <v>0</v>
      </c>
      <c r="AB94" s="8"/>
      <c r="AG94">
        <v>38</v>
      </c>
      <c r="AH94" s="73" t="str">
        <f t="shared" si="19"/>
        <v>Xỏ ngược đầu</v>
      </c>
      <c r="AI94" s="94">
        <f t="shared" si="20"/>
        <v>0</v>
      </c>
      <c r="AJ94" s="95">
        <f t="shared" si="21"/>
        <v>0</v>
      </c>
      <c r="AK94" s="8"/>
      <c r="AM94">
        <v>38</v>
      </c>
      <c r="AN94" s="73" t="str">
        <f t="shared" si="22"/>
        <v>Bị trầy xước</v>
      </c>
      <c r="AO94" s="94">
        <f t="shared" si="23"/>
        <v>0</v>
      </c>
      <c r="AP94" s="95">
        <f t="shared" si="24"/>
        <v>0</v>
      </c>
      <c r="AQ94" s="8"/>
    </row>
    <row r="95" spans="4:43">
      <c r="D95">
        <v>39</v>
      </c>
      <c r="E95" s="73" t="str">
        <f t="shared" si="7"/>
        <v>Bị gãy khóa</v>
      </c>
      <c r="F95" s="94">
        <f t="shared" si="8"/>
        <v>0</v>
      </c>
      <c r="G95" s="95">
        <f t="shared" si="9"/>
        <v>0</v>
      </c>
      <c r="H95" s="8"/>
      <c r="J95">
        <v>39</v>
      </c>
      <c r="K95" s="73" t="str">
        <f t="shared" si="10"/>
        <v>Bk không đạt</v>
      </c>
      <c r="L95" s="94">
        <f t="shared" si="11"/>
        <v>0</v>
      </c>
      <c r="M95" s="95">
        <f t="shared" si="12"/>
        <v>0</v>
      </c>
      <c r="N95" s="8"/>
      <c r="S95">
        <v>39</v>
      </c>
      <c r="T95" s="73" t="str">
        <f t="shared" si="13"/>
        <v>Bị gãy khóa</v>
      </c>
      <c r="U95" s="94">
        <f t="shared" si="14"/>
        <v>0</v>
      </c>
      <c r="V95" s="95">
        <f t="shared" si="15"/>
        <v>0</v>
      </c>
      <c r="W95" s="8"/>
      <c r="X95">
        <v>39</v>
      </c>
      <c r="Y95" s="73" t="str">
        <f t="shared" si="16"/>
        <v>Bk không đạt</v>
      </c>
      <c r="Z95" s="94">
        <f t="shared" si="17"/>
        <v>0</v>
      </c>
      <c r="AA95" s="95">
        <f t="shared" si="18"/>
        <v>0</v>
      </c>
      <c r="AB95" s="8"/>
      <c r="AG95">
        <v>39</v>
      </c>
      <c r="AH95" s="73" t="str">
        <f t="shared" si="19"/>
        <v>Bị gãy khóa</v>
      </c>
      <c r="AI95" s="94">
        <f t="shared" si="20"/>
        <v>0</v>
      </c>
      <c r="AJ95" s="95">
        <f t="shared" si="21"/>
        <v>0</v>
      </c>
      <c r="AK95" s="8"/>
      <c r="AM95">
        <v>39</v>
      </c>
      <c r="AN95" s="73" t="str">
        <f t="shared" si="22"/>
        <v>Bị gãy khóa</v>
      </c>
      <c r="AO95" s="94">
        <f t="shared" si="23"/>
        <v>0</v>
      </c>
      <c r="AP95" s="95">
        <f t="shared" si="24"/>
        <v>0</v>
      </c>
      <c r="AQ95" s="8"/>
    </row>
    <row r="96" spans="4:43">
      <c r="D96">
        <v>40</v>
      </c>
      <c r="E96" s="73" t="str">
        <f t="shared" si="7"/>
        <v>Bk không đạt</v>
      </c>
      <c r="F96" s="94">
        <f t="shared" si="8"/>
        <v>0</v>
      </c>
      <c r="G96" s="95">
        <f t="shared" si="9"/>
        <v>0</v>
      </c>
      <c r="H96" s="8"/>
      <c r="J96">
        <v>40</v>
      </c>
      <c r="K96" s="73" t="str">
        <f t="shared" si="10"/>
        <v>Rách</v>
      </c>
      <c r="L96" s="94">
        <f t="shared" si="11"/>
        <v>0</v>
      </c>
      <c r="M96" s="95">
        <f t="shared" si="12"/>
        <v>0</v>
      </c>
      <c r="N96" s="8"/>
      <c r="S96">
        <v>40</v>
      </c>
      <c r="T96" s="73" t="str">
        <f t="shared" si="13"/>
        <v>Bk không đạt</v>
      </c>
      <c r="U96" s="94">
        <f t="shared" si="14"/>
        <v>0</v>
      </c>
      <c r="V96" s="95">
        <f t="shared" si="15"/>
        <v>0</v>
      </c>
      <c r="W96" s="8"/>
      <c r="X96">
        <v>40</v>
      </c>
      <c r="Y96" s="73" t="str">
        <f t="shared" si="16"/>
        <v>Rách</v>
      </c>
      <c r="Z96" s="94">
        <f t="shared" si="17"/>
        <v>0</v>
      </c>
      <c r="AA96" s="95">
        <f t="shared" si="18"/>
        <v>0</v>
      </c>
      <c r="AB96" s="8"/>
      <c r="AG96">
        <v>40</v>
      </c>
      <c r="AH96" s="73" t="str">
        <f t="shared" si="19"/>
        <v>Bk không đạt</v>
      </c>
      <c r="AI96" s="94">
        <f t="shared" si="20"/>
        <v>0</v>
      </c>
      <c r="AJ96" s="95">
        <f t="shared" si="21"/>
        <v>0</v>
      </c>
      <c r="AK96" s="8"/>
      <c r="AM96">
        <v>40</v>
      </c>
      <c r="AN96" s="73" t="str">
        <f t="shared" si="22"/>
        <v>Bk không đạt</v>
      </c>
      <c r="AO96" s="94">
        <f t="shared" si="23"/>
        <v>0</v>
      </c>
      <c r="AP96" s="95">
        <f t="shared" si="24"/>
        <v>0</v>
      </c>
      <c r="AQ96" s="8"/>
    </row>
    <row r="97" spans="1:43">
      <c r="D97">
        <v>41</v>
      </c>
      <c r="E97" s="73" t="str">
        <f t="shared" si="7"/>
        <v>Rách</v>
      </c>
      <c r="F97" s="94">
        <f t="shared" si="8"/>
        <v>0</v>
      </c>
      <c r="G97" s="95">
        <f t="shared" si="9"/>
        <v>0</v>
      </c>
      <c r="H97" s="8"/>
      <c r="J97">
        <v>41</v>
      </c>
      <c r="K97" s="73" t="str">
        <f t="shared" si="10"/>
        <v>Contact bị cháy コン クト焼け</v>
      </c>
      <c r="L97" s="94">
        <f t="shared" si="11"/>
        <v>0</v>
      </c>
      <c r="M97" s="95">
        <f t="shared" si="12"/>
        <v>0</v>
      </c>
      <c r="N97" s="8"/>
      <c r="S97">
        <v>41</v>
      </c>
      <c r="T97" s="73" t="str">
        <f t="shared" si="13"/>
        <v>Rách</v>
      </c>
      <c r="U97" s="94">
        <f t="shared" si="14"/>
        <v>0</v>
      </c>
      <c r="V97" s="95">
        <f t="shared" si="15"/>
        <v>0</v>
      </c>
      <c r="W97" s="8"/>
      <c r="X97">
        <v>41</v>
      </c>
      <c r="Y97" s="73" t="str">
        <f t="shared" si="16"/>
        <v>Contact bị cháy コン クト焼け</v>
      </c>
      <c r="Z97" s="94">
        <f t="shared" si="17"/>
        <v>0</v>
      </c>
      <c r="AA97" s="95">
        <f t="shared" si="18"/>
        <v>0</v>
      </c>
      <c r="AB97" s="8"/>
      <c r="AG97">
        <v>41</v>
      </c>
      <c r="AH97" s="73" t="str">
        <f t="shared" si="19"/>
        <v>Rách</v>
      </c>
      <c r="AI97" s="94">
        <f t="shared" si="20"/>
        <v>0</v>
      </c>
      <c r="AJ97" s="95">
        <f t="shared" si="21"/>
        <v>0</v>
      </c>
      <c r="AK97" s="8"/>
      <c r="AM97">
        <v>41</v>
      </c>
      <c r="AN97" s="73" t="str">
        <f t="shared" si="22"/>
        <v>Rách</v>
      </c>
      <c r="AO97" s="94">
        <f t="shared" si="23"/>
        <v>0</v>
      </c>
      <c r="AP97" s="95">
        <f t="shared" si="24"/>
        <v>0</v>
      </c>
      <c r="AQ97" s="8"/>
    </row>
    <row r="98" spans="1:43">
      <c r="D98">
        <v>42</v>
      </c>
      <c r="E98" s="73" t="str">
        <f t="shared" si="7"/>
        <v>Contact bị cháy コン クト焼け</v>
      </c>
      <c r="F98" s="94">
        <f t="shared" si="8"/>
        <v>0</v>
      </c>
      <c r="G98" s="95">
        <f t="shared" si="9"/>
        <v>0</v>
      </c>
      <c r="H98" s="8"/>
      <c r="J98">
        <v>42</v>
      </c>
      <c r="K98" s="73" t="str">
        <f t="shared" si="10"/>
        <v>HKH NG</v>
      </c>
      <c r="L98" s="94">
        <f t="shared" si="11"/>
        <v>0</v>
      </c>
      <c r="M98" s="95">
        <f t="shared" si="12"/>
        <v>0</v>
      </c>
      <c r="N98" s="8"/>
      <c r="S98">
        <v>42</v>
      </c>
      <c r="T98" s="73" t="str">
        <f t="shared" si="13"/>
        <v>Contact bị cháy コン クト焼け</v>
      </c>
      <c r="U98" s="94">
        <f t="shared" si="14"/>
        <v>0</v>
      </c>
      <c r="V98" s="95">
        <f t="shared" si="15"/>
        <v>0</v>
      </c>
      <c r="W98" s="8"/>
      <c r="X98">
        <v>42</v>
      </c>
      <c r="Y98" s="73" t="str">
        <f t="shared" si="16"/>
        <v>HKH NG</v>
      </c>
      <c r="Z98" s="94">
        <f t="shared" si="17"/>
        <v>0</v>
      </c>
      <c r="AA98" s="95">
        <f t="shared" si="18"/>
        <v>0</v>
      </c>
      <c r="AB98" s="8"/>
      <c r="AG98">
        <v>42</v>
      </c>
      <c r="AH98" s="73" t="str">
        <f t="shared" si="19"/>
        <v>Contact bị cháy コン クト焼け</v>
      </c>
      <c r="AI98" s="94">
        <f t="shared" si="20"/>
        <v>0</v>
      </c>
      <c r="AJ98" s="95">
        <f t="shared" si="21"/>
        <v>0</v>
      </c>
      <c r="AK98" s="8"/>
      <c r="AM98">
        <v>42</v>
      </c>
      <c r="AN98" s="73" t="str">
        <f t="shared" si="22"/>
        <v>Contact bị cháy コン クト焼け</v>
      </c>
      <c r="AO98" s="94">
        <f t="shared" si="23"/>
        <v>0</v>
      </c>
      <c r="AP98" s="95">
        <f t="shared" si="24"/>
        <v>0</v>
      </c>
      <c r="AQ98" s="8"/>
    </row>
    <row r="99" spans="1:43">
      <c r="D99">
        <v>43</v>
      </c>
      <c r="E99" s="73" t="str">
        <f t="shared" si="7"/>
        <v>HKH NG</v>
      </c>
      <c r="F99" s="94">
        <f t="shared" si="8"/>
        <v>0</v>
      </c>
      <c r="G99" s="95">
        <f t="shared" si="9"/>
        <v>0</v>
      </c>
      <c r="H99" s="8"/>
      <c r="J99">
        <v>43</v>
      </c>
      <c r="K99" s="73" t="str">
        <f t="shared" si="10"/>
        <v>Tanshi dính HKH はん  着</v>
      </c>
      <c r="L99" s="94">
        <f t="shared" si="11"/>
        <v>0</v>
      </c>
      <c r="M99" s="95">
        <f t="shared" si="12"/>
        <v>0</v>
      </c>
      <c r="N99" s="8"/>
      <c r="S99">
        <v>43</v>
      </c>
      <c r="T99" s="73" t="str">
        <f t="shared" si="13"/>
        <v>HKH NG</v>
      </c>
      <c r="U99" s="94">
        <f t="shared" si="14"/>
        <v>0</v>
      </c>
      <c r="V99" s="95">
        <f t="shared" si="15"/>
        <v>0</v>
      </c>
      <c r="W99" s="8"/>
      <c r="X99">
        <v>43</v>
      </c>
      <c r="Y99" s="73" t="str">
        <f t="shared" si="16"/>
        <v>Tanshi dính HKH はん  着</v>
      </c>
      <c r="Z99" s="94">
        <f t="shared" si="17"/>
        <v>0</v>
      </c>
      <c r="AA99" s="95">
        <f t="shared" si="18"/>
        <v>0</v>
      </c>
      <c r="AB99" s="8"/>
      <c r="AG99">
        <v>43</v>
      </c>
      <c r="AH99" s="73" t="str">
        <f t="shared" si="19"/>
        <v>HKH NG</v>
      </c>
      <c r="AI99" s="94">
        <f t="shared" si="20"/>
        <v>0</v>
      </c>
      <c r="AJ99" s="95">
        <f t="shared" si="21"/>
        <v>0</v>
      </c>
      <c r="AK99" s="8"/>
      <c r="AM99">
        <v>43</v>
      </c>
      <c r="AN99" s="73" t="str">
        <f t="shared" si="22"/>
        <v>HKH NG</v>
      </c>
      <c r="AO99" s="94">
        <f t="shared" si="23"/>
        <v>0</v>
      </c>
      <c r="AP99" s="95">
        <f t="shared" si="24"/>
        <v>0</v>
      </c>
      <c r="AQ99" s="8"/>
    </row>
    <row r="100" spans="1:43">
      <c r="D100">
        <v>44</v>
      </c>
      <c r="E100" s="73" t="str">
        <f t="shared" si="7"/>
        <v>Tanshi dính HKH はん  着</v>
      </c>
      <c r="F100" s="94">
        <f t="shared" si="8"/>
        <v>0</v>
      </c>
      <c r="G100" s="95">
        <f t="shared" si="9"/>
        <v>0</v>
      </c>
      <c r="H100" s="8"/>
      <c r="J100">
        <v>44</v>
      </c>
      <c r="K100" s="73" t="str">
        <f t="shared" si="10"/>
        <v>Hở hộp nối 端子勘合部(接点）が開いている</v>
      </c>
      <c r="L100" s="94">
        <f t="shared" si="11"/>
        <v>0</v>
      </c>
      <c r="M100" s="95">
        <f t="shared" si="12"/>
        <v>0</v>
      </c>
      <c r="N100" s="8"/>
      <c r="S100">
        <v>44</v>
      </c>
      <c r="T100" s="73" t="str">
        <f t="shared" si="13"/>
        <v>Tanshi dính HKH はん  着</v>
      </c>
      <c r="U100" s="94">
        <f t="shared" si="14"/>
        <v>0</v>
      </c>
      <c r="V100" s="95">
        <f t="shared" si="15"/>
        <v>0</v>
      </c>
      <c r="W100" s="8"/>
      <c r="X100">
        <v>44</v>
      </c>
      <c r="Y100" s="73" t="str">
        <f t="shared" si="16"/>
        <v>Hở hộp nối 端子勘合部(接点）が開いている</v>
      </c>
      <c r="Z100" s="94">
        <f t="shared" si="17"/>
        <v>0</v>
      </c>
      <c r="AA100" s="95">
        <f t="shared" si="18"/>
        <v>0</v>
      </c>
      <c r="AB100" s="8"/>
      <c r="AG100">
        <v>44</v>
      </c>
      <c r="AH100" s="73" t="str">
        <f t="shared" si="19"/>
        <v>Tanshi dính HKH はん  着</v>
      </c>
      <c r="AI100" s="94">
        <f t="shared" si="20"/>
        <v>0</v>
      </c>
      <c r="AJ100" s="95">
        <f t="shared" si="21"/>
        <v>0</v>
      </c>
      <c r="AK100" s="8"/>
      <c r="AM100">
        <v>44</v>
      </c>
      <c r="AN100" s="73" t="str">
        <f t="shared" si="22"/>
        <v>Tanshi dính HKH はん  着</v>
      </c>
      <c r="AO100" s="94">
        <f t="shared" si="23"/>
        <v>0</v>
      </c>
      <c r="AP100" s="95">
        <f t="shared" si="24"/>
        <v>0</v>
      </c>
      <c r="AQ100" s="8"/>
    </row>
    <row r="101" spans="1:43">
      <c r="D101">
        <v>45</v>
      </c>
      <c r="E101" s="74" t="str">
        <f t="shared" si="7"/>
        <v>Hở hộp nối 端子勘合部(接点）が開いている</v>
      </c>
      <c r="F101" s="96">
        <f t="shared" si="8"/>
        <v>0</v>
      </c>
      <c r="G101" s="97">
        <f t="shared" si="9"/>
        <v>0</v>
      </c>
      <c r="H101" s="9"/>
      <c r="J101">
        <v>45</v>
      </c>
      <c r="K101" s="74" t="str">
        <f t="shared" si="10"/>
        <v>Others for Processing</v>
      </c>
      <c r="L101" s="96">
        <f t="shared" si="11"/>
        <v>0</v>
      </c>
      <c r="M101" s="97">
        <f t="shared" si="12"/>
        <v>0</v>
      </c>
      <c r="N101" s="9"/>
      <c r="S101">
        <v>45</v>
      </c>
      <c r="T101" s="74" t="str">
        <f t="shared" si="13"/>
        <v>Hở hộp nối 端子勘合部(接点）が開いている</v>
      </c>
      <c r="U101" s="96">
        <f t="shared" si="14"/>
        <v>0</v>
      </c>
      <c r="V101" s="97">
        <f t="shared" si="15"/>
        <v>0</v>
      </c>
      <c r="W101" s="9"/>
      <c r="X101">
        <v>45</v>
      </c>
      <c r="Y101" s="74" t="str">
        <f t="shared" si="16"/>
        <v>Others for Processing</v>
      </c>
      <c r="Z101" s="96">
        <f>VLOOKUP(X101,$X$5:$AA$49,3,FALSE)</f>
        <v>0</v>
      </c>
      <c r="AA101" s="97">
        <f t="shared" si="18"/>
        <v>0</v>
      </c>
      <c r="AB101" s="9"/>
      <c r="AG101">
        <v>45</v>
      </c>
      <c r="AH101" s="74" t="str">
        <f t="shared" si="19"/>
        <v>Hở hộp nối 端子勘合部(接点）が開いている</v>
      </c>
      <c r="AI101" s="96">
        <f t="shared" si="20"/>
        <v>0</v>
      </c>
      <c r="AJ101" s="97">
        <f t="shared" si="21"/>
        <v>0</v>
      </c>
      <c r="AK101" s="9"/>
      <c r="AM101">
        <v>45</v>
      </c>
      <c r="AN101" s="74" t="str">
        <f t="shared" si="22"/>
        <v>Hở hộp nối 端子勘合部(接点）が開いている</v>
      </c>
      <c r="AO101" s="96">
        <f t="shared" si="23"/>
        <v>0</v>
      </c>
      <c r="AP101" s="97">
        <f t="shared" si="24"/>
        <v>0</v>
      </c>
      <c r="AQ101" s="9"/>
    </row>
    <row r="105" spans="1:43" ht="18.5">
      <c r="A105" s="126" t="s">
        <v>139</v>
      </c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S105" s="126" t="s">
        <v>145</v>
      </c>
      <c r="T105" s="127"/>
      <c r="U105" s="127"/>
      <c r="V105" s="127"/>
      <c r="W105" s="127"/>
      <c r="X105" s="127"/>
      <c r="Y105" s="127"/>
      <c r="Z105" s="127"/>
      <c r="AA105" s="127"/>
      <c r="AB105" s="127"/>
      <c r="AG105" s="126" t="s">
        <v>147</v>
      </c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</row>
    <row r="107" spans="1:43">
      <c r="E107" s="11" t="s">
        <v>56</v>
      </c>
      <c r="F107" s="11"/>
      <c r="G107" s="11"/>
      <c r="H107" s="11"/>
      <c r="I107" s="5"/>
      <c r="J107" s="5"/>
      <c r="K107" s="11" t="s">
        <v>52</v>
      </c>
      <c r="L107" s="11"/>
      <c r="M107" s="11"/>
      <c r="N107" s="11"/>
      <c r="T107" s="11" t="s">
        <v>56</v>
      </c>
      <c r="U107" s="11"/>
      <c r="V107" s="11"/>
      <c r="W107" s="11"/>
      <c r="X107" s="5"/>
      <c r="Y107" s="11" t="s">
        <v>52</v>
      </c>
      <c r="Z107" s="11"/>
      <c r="AA107" s="11"/>
      <c r="AB107" s="11"/>
      <c r="AH107" s="11" t="s">
        <v>56</v>
      </c>
      <c r="AI107" s="11"/>
      <c r="AJ107" s="11"/>
      <c r="AK107" s="11"/>
      <c r="AL107" s="5"/>
      <c r="AM107" s="5"/>
      <c r="AN107" s="11" t="s">
        <v>52</v>
      </c>
      <c r="AO107" s="11"/>
      <c r="AP107" s="11"/>
      <c r="AQ107" s="11"/>
    </row>
    <row r="108" spans="1:43">
      <c r="E108" s="10" t="s">
        <v>107</v>
      </c>
      <c r="F108" s="10" t="s">
        <v>29</v>
      </c>
      <c r="G108" s="10" t="s">
        <v>108</v>
      </c>
      <c r="H108" s="10" t="s">
        <v>109</v>
      </c>
      <c r="I108" s="5"/>
      <c r="J108" s="5"/>
      <c r="K108" s="10" t="s">
        <v>107</v>
      </c>
      <c r="L108" s="10" t="s">
        <v>29</v>
      </c>
      <c r="M108" s="10" t="s">
        <v>108</v>
      </c>
      <c r="N108" s="10" t="s">
        <v>109</v>
      </c>
      <c r="T108" s="10" t="s">
        <v>107</v>
      </c>
      <c r="U108" s="10" t="s">
        <v>29</v>
      </c>
      <c r="V108" s="10" t="s">
        <v>108</v>
      </c>
      <c r="W108" s="10" t="s">
        <v>109</v>
      </c>
      <c r="X108" s="5"/>
      <c r="Y108" s="10" t="s">
        <v>107</v>
      </c>
      <c r="Z108" s="10" t="s">
        <v>29</v>
      </c>
      <c r="AA108" s="10" t="s">
        <v>108</v>
      </c>
      <c r="AB108" s="10" t="s">
        <v>109</v>
      </c>
      <c r="AH108" s="10" t="s">
        <v>107</v>
      </c>
      <c r="AI108" s="10" t="s">
        <v>29</v>
      </c>
      <c r="AJ108" s="10" t="s">
        <v>108</v>
      </c>
      <c r="AK108" s="10" t="s">
        <v>109</v>
      </c>
      <c r="AL108" s="5"/>
      <c r="AM108" s="5"/>
      <c r="AN108" s="10" t="s">
        <v>107</v>
      </c>
      <c r="AO108" s="10" t="s">
        <v>29</v>
      </c>
      <c r="AP108" s="10" t="s">
        <v>108</v>
      </c>
      <c r="AQ108" s="10" t="s">
        <v>109</v>
      </c>
    </row>
    <row r="109" spans="1:43">
      <c r="D109">
        <f>_xlfn.RANK.EQ(F109,$F$109:$F$145,0)+COUNTIF($F$109:F109,F109)-1</f>
        <v>1</v>
      </c>
      <c r="E109" s="73" t="s">
        <v>172</v>
      </c>
      <c r="F109" s="94">
        <f>SUMIFS(Table_Assembly[Specific Amount],Table_Assembly[NG Type],$B$21,Table_Assembly[NG content],E109,Table_Assembly[Product type],$E$3,Table_Assembly[MFG Date],"&gt;="&amp;'Weekly Report'!$B$13,Table_Assembly[MFG Date],"&lt;="&amp;'Weekly Report'!$B$15)</f>
        <v>33</v>
      </c>
      <c r="G109" s="95">
        <f t="shared" ref="G109:G145" si="25">IFERROR(F109/$F$147*100,"")</f>
        <v>41.77215189873418</v>
      </c>
      <c r="H109" s="8"/>
      <c r="I109" s="5"/>
      <c r="J109" s="5">
        <f>_xlfn.RANK.EQ(L109,$L$109:$L$145,0)+COUNTIF($L$109:L109,L109)-1</f>
        <v>4</v>
      </c>
      <c r="K109" s="73" t="s">
        <v>172</v>
      </c>
      <c r="L109" s="94">
        <f>SUMIFS(Table_Assembly[Specific Amount],Table_Assembly[NG Type],$B$21,Table_Assembly[NG content],K109,Table_Assembly[Product type],$K$3,Table_Assembly[MFG Date],"&gt;="&amp;'Weekly Report'!$B$13,Table_Assembly[MFG Date],"&lt;="&amp;'Weekly Report'!$B$15)</f>
        <v>0</v>
      </c>
      <c r="M109" s="95">
        <f>IFERROR(L109/$L$147*100,"")</f>
        <v>0</v>
      </c>
      <c r="N109" s="8"/>
      <c r="S109">
        <f>_xlfn.RANK.EQ(U109,$U$109:$U$145,0)+COUNTIF($U$109:U109,U109)-1</f>
        <v>2</v>
      </c>
      <c r="T109" s="73" t="s">
        <v>172</v>
      </c>
      <c r="U109" s="94">
        <f>SUMIFS(Table_Assembly[Specific Amount],Table_Assembly[Product type],$T$3,Table_Assembly[NG Type],$R$19,Table_Assembly[NG content],T109,Table_Assembly[Month],INDEX($AE$14:$AE$25,MATCH($Q$9,$AD$14:$AD$25,0)))</f>
        <v>58</v>
      </c>
      <c r="V109" s="95">
        <f>IFERROR(U109/$U$147*100,"")</f>
        <v>4.9152542372881358</v>
      </c>
      <c r="W109" s="8"/>
      <c r="X109" s="5">
        <f>_xlfn.RANK.EQ(Z109,$Z$109:$Z$145,0)+COUNTIF($Z$109:Z109,Z109)-1</f>
        <v>5</v>
      </c>
      <c r="Y109" s="73" t="s">
        <v>172</v>
      </c>
      <c r="Z109" s="94">
        <f>SUMIFS(Table_Assembly[Specific Amount],Table_Assembly[Product type],$Y$3,Table_Assembly[NG Type],$R$19,Table_Assembly[NG content],Y109,Table_Assembly[Month],INDEX($AE$14:$AE$25,MATCH($Q$9,$AD$14:$AD$25,0)))</f>
        <v>0</v>
      </c>
      <c r="AA109" s="95">
        <f>IFERROR(Z109/$Z$147*100,"")</f>
        <v>0</v>
      </c>
      <c r="AB109" s="8"/>
      <c r="AG109">
        <f>_xlfn.RANK.EQ(AI109,$AI$109:$AI$145,0)+COUNTIF($AI$109:AI109,AI109)-1</f>
        <v>2</v>
      </c>
      <c r="AH109" s="73" t="s">
        <v>172</v>
      </c>
      <c r="AI109" s="94">
        <f>SUMIFS(Table_Assembly[Specific Amount],Table_Assembly[Product type],$AH$107,Table_Assembly[NG Type],$AF$12,Table_Assembly[NG content],AH109,Table_Assembly[Year],$AE$7)</f>
        <v>63</v>
      </c>
      <c r="AJ109" s="95">
        <f t="shared" ref="AJ109:AJ145" si="26">AI109/$AI$148*100</f>
        <v>5.04</v>
      </c>
      <c r="AK109" s="8"/>
      <c r="AL109" s="5"/>
      <c r="AM109" s="5">
        <f>_xlfn.RANK.EQ(AO109,$AO$109:$AO$145,0)+COUNTIF($AO$109:AO109,AO109)-1</f>
        <v>8</v>
      </c>
      <c r="AN109" s="73" t="s">
        <v>172</v>
      </c>
      <c r="AO109" s="94">
        <f>SUMIFS(Table_Assembly[Specific Amount],Table_Assembly[Product type],$AN$107,Table_Assembly[NG Type],$AF$12,Table_Assembly[NG content],AN109,Table_Assembly[Year],$AE$7)</f>
        <v>0</v>
      </c>
      <c r="AP109" s="95">
        <f>IFERROR(AO109/$AO$148*100,"")</f>
        <v>0</v>
      </c>
      <c r="AQ109" s="8"/>
    </row>
    <row r="110" spans="1:43">
      <c r="D110">
        <f>_xlfn.RANK.EQ(F110,$F$109:$F$145,0)+COUNTIF($F$109:F110,F110)-1</f>
        <v>11</v>
      </c>
      <c r="E110" s="73" t="s">
        <v>173</v>
      </c>
      <c r="F110" s="94">
        <f>SUMIFS(Table_Assembly[Specific Amount],Table_Assembly[NG Type],$B$21,Table_Assembly[NG content],E110,Table_Assembly[Product type],$E$3,Table_Assembly[MFG Date],"&gt;="&amp;'Weekly Report'!$B$13,Table_Assembly[MFG Date],"&lt;="&amp;'Weekly Report'!$B$15)</f>
        <v>0</v>
      </c>
      <c r="G110" s="95">
        <f t="shared" si="25"/>
        <v>0</v>
      </c>
      <c r="H110" s="8"/>
      <c r="I110" s="5"/>
      <c r="J110" s="5">
        <f>_xlfn.RANK.EQ(L110,$L$109:$L$145,0)+COUNTIF($L$109:L110,L110)-1</f>
        <v>5</v>
      </c>
      <c r="K110" s="73" t="s">
        <v>173</v>
      </c>
      <c r="L110" s="94">
        <f>SUMIFS(Table_Assembly[Specific Amount],Table_Assembly[NG Type],$B$21,Table_Assembly[NG content],K110,Table_Assembly[Product type],$K$3,Table_Assembly[MFG Date],"&gt;="&amp;'Weekly Report'!$B$13,Table_Assembly[MFG Date],"&lt;="&amp;'Weekly Report'!$B$15)</f>
        <v>0</v>
      </c>
      <c r="M110" s="95">
        <f t="shared" ref="M110:M144" si="27">IFERROR(L110/$L$147*100,"")</f>
        <v>0</v>
      </c>
      <c r="N110" s="8"/>
      <c r="S110">
        <f>_xlfn.RANK.EQ(U110,$U$109:$U$145,0)+COUNTIF($U$109:U110,U110)-1</f>
        <v>11</v>
      </c>
      <c r="T110" s="73" t="s">
        <v>173</v>
      </c>
      <c r="U110" s="94">
        <f>SUMIFS(Table_Assembly[Specific Amount],Table_Assembly[Product type],$T$3,Table_Assembly[NG Type],$R$19,Table_Assembly[NG content],T110,Table_Assembly[Month],INDEX($AE$14:$AE$25,MATCH($Q$9,$AD$14:$AD$25,0)))</f>
        <v>1</v>
      </c>
      <c r="V110" s="95">
        <f t="shared" ref="V110:V145" si="28">IFERROR(U110/$U$147*100,"")</f>
        <v>8.4745762711864403E-2</v>
      </c>
      <c r="W110" s="8"/>
      <c r="X110" s="5">
        <f>_xlfn.RANK.EQ(Z110,$Z$109:$Z$145,0)+COUNTIF($Z$109:Z110,Z110)-1</f>
        <v>6</v>
      </c>
      <c r="Y110" s="73" t="s">
        <v>173</v>
      </c>
      <c r="Z110" s="94">
        <f>SUMIFS(Table_Assembly[Specific Amount],Table_Assembly[Product type],$Y$3,Table_Assembly[NG Type],$R$19,Table_Assembly[NG content],Y110,Table_Assembly[Month],INDEX($AE$14:$AE$25,MATCH($Q$9,$AD$14:$AD$25,0)))</f>
        <v>0</v>
      </c>
      <c r="AA110" s="95">
        <f t="shared" ref="AA110:AA145" si="29">IFERROR(Z110/$Z$147*100,"")</f>
        <v>0</v>
      </c>
      <c r="AB110" s="8"/>
      <c r="AG110">
        <f>_xlfn.RANK.EQ(AI110,$AI$109:$AI$145,0)+COUNTIF($AI$109:AI110,AI110)-1</f>
        <v>12</v>
      </c>
      <c r="AH110" s="73" t="s">
        <v>173</v>
      </c>
      <c r="AI110" s="94">
        <f>SUMIFS(Table_Assembly[Specific Amount],Table_Assembly[Product type],$AH$107,Table_Assembly[NG Type],$AF$12,Table_Assembly[NG content],AH110,Table_Assembly[Year],$AE$7)</f>
        <v>1</v>
      </c>
      <c r="AJ110" s="95">
        <f t="shared" si="26"/>
        <v>0.08</v>
      </c>
      <c r="AK110" s="8"/>
      <c r="AL110" s="5"/>
      <c r="AM110" s="5">
        <f>_xlfn.RANK.EQ(AO110,$AO$109:$AO$145,0)+COUNTIF($AO$109:AO110,AO110)-1</f>
        <v>9</v>
      </c>
      <c r="AN110" s="73" t="s">
        <v>173</v>
      </c>
      <c r="AO110" s="94">
        <f>SUMIFS(Table_Assembly[Specific Amount],Table_Assembly[Product type],$AN$107,Table_Assembly[NG Type],$AF$12,Table_Assembly[NG content],AN110,Table_Assembly[Year],$AE$7)</f>
        <v>0</v>
      </c>
      <c r="AP110" s="95">
        <f t="shared" ref="AP110:AP144" si="30">IFERROR(AO110/$AO$148*100,"")</f>
        <v>0</v>
      </c>
      <c r="AQ110" s="8"/>
    </row>
    <row r="111" spans="1:43">
      <c r="D111">
        <f>_xlfn.RANK.EQ(F111,$F$109:$F$145,0)+COUNTIF($F$109:F111,F111)-1</f>
        <v>12</v>
      </c>
      <c r="E111" s="73" t="s">
        <v>230</v>
      </c>
      <c r="F111" s="94">
        <f>SUMIFS(Table_Assembly[Specific Amount],Table_Assembly[NG Type],$B$21,Table_Assembly[NG content],E111,Table_Assembly[Product type],$E$3,Table_Assembly[MFG Date],"&gt;="&amp;'Weekly Report'!$B$13,Table_Assembly[MFG Date],"&lt;="&amp;'Weekly Report'!$B$15)</f>
        <v>0</v>
      </c>
      <c r="G111" s="95">
        <f t="shared" si="25"/>
        <v>0</v>
      </c>
      <c r="H111" s="8"/>
      <c r="I111" s="5"/>
      <c r="J111" s="5">
        <f>_xlfn.RANK.EQ(L111,$L$109:$L$145,0)+COUNTIF($L$109:L111,L111)-1</f>
        <v>6</v>
      </c>
      <c r="K111" s="73" t="s">
        <v>230</v>
      </c>
      <c r="L111" s="94">
        <f>SUMIFS(Table_Assembly[Specific Amount],Table_Assembly[NG Type],$B$21,Table_Assembly[NG content],K111,Table_Assembly[Product type],$K$3,Table_Assembly[MFG Date],"&gt;="&amp;'Weekly Report'!$B$13,Table_Assembly[MFG Date],"&lt;="&amp;'Weekly Report'!$B$15)</f>
        <v>0</v>
      </c>
      <c r="M111" s="95">
        <f t="shared" si="27"/>
        <v>0</v>
      </c>
      <c r="N111" s="8"/>
      <c r="S111">
        <f>_xlfn.RANK.EQ(U111,$U$109:$U$145,0)+COUNTIF($U$109:U111,U111)-1</f>
        <v>15</v>
      </c>
      <c r="T111" s="73" t="s">
        <v>230</v>
      </c>
      <c r="U111" s="94">
        <f>SUMIFS(Table_Assembly[Specific Amount],Table_Assembly[Product type],$T$3,Table_Assembly[NG Type],$R$19,Table_Assembly[NG content],T111,Table_Assembly[Month],INDEX($AE$14:$AE$25,MATCH($Q$9,$AD$14:$AD$25,0)))</f>
        <v>0</v>
      </c>
      <c r="V111" s="95">
        <f t="shared" si="28"/>
        <v>0</v>
      </c>
      <c r="W111" s="8"/>
      <c r="X111" s="5">
        <f>_xlfn.RANK.EQ(Z111,$Z$109:$Z$145,0)+COUNTIF($Z$109:Z111,Z111)-1</f>
        <v>7</v>
      </c>
      <c r="Y111" s="73" t="s">
        <v>230</v>
      </c>
      <c r="Z111" s="94">
        <f>SUMIFS(Table_Assembly[Specific Amount],Table_Assembly[Product type],$Y$3,Table_Assembly[NG Type],$R$19,Table_Assembly[NG content],Y111,Table_Assembly[Month],INDEX($AE$14:$AE$25,MATCH($Q$9,$AD$14:$AD$25,0)))</f>
        <v>0</v>
      </c>
      <c r="AA111" s="95">
        <f t="shared" si="29"/>
        <v>0</v>
      </c>
      <c r="AB111" s="8"/>
      <c r="AG111">
        <f>_xlfn.RANK.EQ(AI111,$AI$109:$AI$145,0)+COUNTIF($AI$109:AI111,AI111)-1</f>
        <v>17</v>
      </c>
      <c r="AH111" s="73" t="s">
        <v>230</v>
      </c>
      <c r="AI111" s="94">
        <f>SUMIFS(Table_Assembly[Specific Amount],Table_Assembly[Product type],$AH$107,Table_Assembly[NG Type],$AF$12,Table_Assembly[NG content],AH111,Table_Assembly[Year],$AE$7)</f>
        <v>0</v>
      </c>
      <c r="AJ111" s="95">
        <f t="shared" si="26"/>
        <v>0</v>
      </c>
      <c r="AK111" s="8"/>
      <c r="AL111" s="5"/>
      <c r="AM111" s="5">
        <f>_xlfn.RANK.EQ(AO111,$AO$109:$AO$145,0)+COUNTIF($AO$109:AO111,AO111)-1</f>
        <v>10</v>
      </c>
      <c r="AN111" s="73" t="s">
        <v>230</v>
      </c>
      <c r="AO111" s="94">
        <f>SUMIFS(Table_Assembly[Specific Amount],Table_Assembly[Product type],$AN$107,Table_Assembly[NG Type],$AF$12,Table_Assembly[NG content],AN111,Table_Assembly[Year],$AE$7)</f>
        <v>0</v>
      </c>
      <c r="AP111" s="95">
        <f t="shared" si="30"/>
        <v>0</v>
      </c>
      <c r="AQ111" s="8"/>
    </row>
    <row r="112" spans="1:43">
      <c r="D112">
        <f>_xlfn.RANK.EQ(F112,$F$109:$F$145,0)+COUNTIF($F$109:F112,F112)-1</f>
        <v>13</v>
      </c>
      <c r="E112" s="73" t="s">
        <v>174</v>
      </c>
      <c r="F112" s="94">
        <f>SUMIFS(Table_Assembly[Specific Amount],Table_Assembly[NG Type],$B$21,Table_Assembly[NG content],E112,Table_Assembly[Product type],$E$3,Table_Assembly[MFG Date],"&gt;="&amp;'Weekly Report'!$B$13,Table_Assembly[MFG Date],"&lt;="&amp;'Weekly Report'!$B$15)</f>
        <v>0</v>
      </c>
      <c r="G112" s="95">
        <f t="shared" si="25"/>
        <v>0</v>
      </c>
      <c r="H112" s="8"/>
      <c r="I112" s="5"/>
      <c r="J112" s="5">
        <f>_xlfn.RANK.EQ(L112,$L$109:$L$145,0)+COUNTIF($L$109:L112,L112)-1</f>
        <v>7</v>
      </c>
      <c r="K112" s="73" t="s">
        <v>174</v>
      </c>
      <c r="L112" s="94">
        <f>SUMIFS(Table_Assembly[Specific Amount],Table_Assembly[NG Type],$B$21,Table_Assembly[NG content],K112,Table_Assembly[Product type],$K$3,Table_Assembly[MFG Date],"&gt;="&amp;'Weekly Report'!$B$13,Table_Assembly[MFG Date],"&lt;="&amp;'Weekly Report'!$B$15)</f>
        <v>0</v>
      </c>
      <c r="M112" s="95">
        <f t="shared" si="27"/>
        <v>0</v>
      </c>
      <c r="N112" s="8"/>
      <c r="S112">
        <f>_xlfn.RANK.EQ(U112,$U$109:$U$145,0)+COUNTIF($U$109:U112,U112)-1</f>
        <v>16</v>
      </c>
      <c r="T112" s="73" t="s">
        <v>174</v>
      </c>
      <c r="U112" s="94">
        <f>SUMIFS(Table_Assembly[Specific Amount],Table_Assembly[Product type],$T$3,Table_Assembly[NG Type],$R$19,Table_Assembly[NG content],T112,Table_Assembly[Month],INDEX($AE$14:$AE$25,MATCH($Q$9,$AD$14:$AD$25,0)))</f>
        <v>0</v>
      </c>
      <c r="V112" s="95">
        <f t="shared" si="28"/>
        <v>0</v>
      </c>
      <c r="W112" s="8"/>
      <c r="X112" s="5">
        <f>_xlfn.RANK.EQ(Z112,$Z$109:$Z$145,0)+COUNTIF($Z$109:Z112,Z112)-1</f>
        <v>8</v>
      </c>
      <c r="Y112" s="73" t="s">
        <v>174</v>
      </c>
      <c r="Z112" s="94">
        <f>SUMIFS(Table_Assembly[Specific Amount],Table_Assembly[Product type],$Y$3,Table_Assembly[NG Type],$R$19,Table_Assembly[NG content],Y112,Table_Assembly[Month],INDEX($AE$14:$AE$25,MATCH($Q$9,$AD$14:$AD$25,0)))</f>
        <v>0</v>
      </c>
      <c r="AA112" s="95">
        <f t="shared" si="29"/>
        <v>0</v>
      </c>
      <c r="AB112" s="8"/>
      <c r="AG112">
        <f>_xlfn.RANK.EQ(AI112,$AI$109:$AI$145,0)+COUNTIF($AI$109:AI112,AI112)-1</f>
        <v>13</v>
      </c>
      <c r="AH112" s="73" t="s">
        <v>174</v>
      </c>
      <c r="AI112" s="94">
        <f>SUMIFS(Table_Assembly[Specific Amount],Table_Assembly[Product type],$AH$107,Table_Assembly[NG Type],$AF$12,Table_Assembly[NG content],AH112,Table_Assembly[Year],$AE$7)</f>
        <v>1</v>
      </c>
      <c r="AJ112" s="95">
        <f t="shared" si="26"/>
        <v>0.08</v>
      </c>
      <c r="AK112" s="8"/>
      <c r="AL112" s="5"/>
      <c r="AM112" s="5">
        <f>_xlfn.RANK.EQ(AO112,$AO$109:$AO$145,0)+COUNTIF($AO$109:AO112,AO112)-1</f>
        <v>11</v>
      </c>
      <c r="AN112" s="73" t="s">
        <v>174</v>
      </c>
      <c r="AO112" s="94">
        <f>SUMIFS(Table_Assembly[Specific Amount],Table_Assembly[Product type],$AN$107,Table_Assembly[NG Type],$AF$12,Table_Assembly[NG content],AN112,Table_Assembly[Year],$AE$7)</f>
        <v>0</v>
      </c>
      <c r="AP112" s="95">
        <f t="shared" si="30"/>
        <v>0</v>
      </c>
      <c r="AQ112" s="8"/>
    </row>
    <row r="113" spans="4:43">
      <c r="D113">
        <f>_xlfn.RANK.EQ(F113,$F$109:$F$145,0)+COUNTIF($F$109:F113,F113)-1</f>
        <v>14</v>
      </c>
      <c r="E113" s="73" t="s">
        <v>231</v>
      </c>
      <c r="F113" s="94">
        <f>SUMIFS(Table_Assembly[Specific Amount],Table_Assembly[NG Type],$B$21,Table_Assembly[NG content],E113,Table_Assembly[Product type],$E$3,Table_Assembly[MFG Date],"&gt;="&amp;'Weekly Report'!$B$13,Table_Assembly[MFG Date],"&lt;="&amp;'Weekly Report'!$B$15)</f>
        <v>0</v>
      </c>
      <c r="G113" s="95">
        <f t="shared" si="25"/>
        <v>0</v>
      </c>
      <c r="H113" s="8"/>
      <c r="I113" s="5"/>
      <c r="J113" s="5">
        <f>_xlfn.RANK.EQ(L113,$L$109:$L$145,0)+COUNTIF($L$109:L113,L113)-1</f>
        <v>8</v>
      </c>
      <c r="K113" s="73" t="s">
        <v>231</v>
      </c>
      <c r="L113" s="94">
        <f>SUMIFS(Table_Assembly[Specific Amount],Table_Assembly[NG Type],$B$21,Table_Assembly[NG content],K113,Table_Assembly[Product type],$K$3,Table_Assembly[MFG Date],"&gt;="&amp;'Weekly Report'!$B$13,Table_Assembly[MFG Date],"&lt;="&amp;'Weekly Report'!$B$15)</f>
        <v>0</v>
      </c>
      <c r="M113" s="95">
        <f t="shared" si="27"/>
        <v>0</v>
      </c>
      <c r="N113" s="8"/>
      <c r="S113">
        <f>_xlfn.RANK.EQ(U113,$U$109:$U$145,0)+COUNTIF($U$109:U113,U113)-1</f>
        <v>17</v>
      </c>
      <c r="T113" s="73" t="s">
        <v>231</v>
      </c>
      <c r="U113" s="94">
        <f>SUMIFS(Table_Assembly[Specific Amount],Table_Assembly[Product type],$T$3,Table_Assembly[NG Type],$R$19,Table_Assembly[NG content],T113,Table_Assembly[Month],INDEX($AE$14:$AE$25,MATCH($Q$9,$AD$14:$AD$25,0)))</f>
        <v>0</v>
      </c>
      <c r="V113" s="95">
        <f t="shared" si="28"/>
        <v>0</v>
      </c>
      <c r="W113" s="8"/>
      <c r="X113" s="5">
        <f>_xlfn.RANK.EQ(Z113,$Z$109:$Z$145,0)+COUNTIF($Z$109:Z113,Z113)-1</f>
        <v>9</v>
      </c>
      <c r="Y113" s="73" t="s">
        <v>231</v>
      </c>
      <c r="Z113" s="94">
        <f>SUMIFS(Table_Assembly[Specific Amount],Table_Assembly[Product type],$Y$3,Table_Assembly[NG Type],$R$19,Table_Assembly[NG content],Y113,Table_Assembly[Month],INDEX($AE$14:$AE$25,MATCH($Q$9,$AD$14:$AD$25,0)))</f>
        <v>0</v>
      </c>
      <c r="AA113" s="95">
        <f t="shared" si="29"/>
        <v>0</v>
      </c>
      <c r="AB113" s="8"/>
      <c r="AG113">
        <f>_xlfn.RANK.EQ(AI113,$AI$109:$AI$145,0)+COUNTIF($AI$109:AI113,AI113)-1</f>
        <v>18</v>
      </c>
      <c r="AH113" s="73" t="s">
        <v>231</v>
      </c>
      <c r="AI113" s="94">
        <f>SUMIFS(Table_Assembly[Specific Amount],Table_Assembly[Product type],$AH$107,Table_Assembly[NG Type],$AF$12,Table_Assembly[NG content],AH113,Table_Assembly[Year],$AE$7)</f>
        <v>0</v>
      </c>
      <c r="AJ113" s="95">
        <f t="shared" si="26"/>
        <v>0</v>
      </c>
      <c r="AK113" s="8"/>
      <c r="AL113" s="5"/>
      <c r="AM113" s="5">
        <f>_xlfn.RANK.EQ(AO113,$AO$109:$AO$145,0)+COUNTIF($AO$109:AO113,AO113)-1</f>
        <v>12</v>
      </c>
      <c r="AN113" s="73" t="s">
        <v>231</v>
      </c>
      <c r="AO113" s="94">
        <f>SUMIFS(Table_Assembly[Specific Amount],Table_Assembly[Product type],$AN$107,Table_Assembly[NG Type],$AF$12,Table_Assembly[NG content],AN113,Table_Assembly[Year],$AE$7)</f>
        <v>0</v>
      </c>
      <c r="AP113" s="95">
        <f t="shared" si="30"/>
        <v>0</v>
      </c>
      <c r="AQ113" s="8"/>
    </row>
    <row r="114" spans="4:43">
      <c r="D114">
        <f>_xlfn.RANK.EQ(F114,$F$109:$F$145,0)+COUNTIF($F$109:F114,F114)-1</f>
        <v>8</v>
      </c>
      <c r="E114" s="73" t="s">
        <v>175</v>
      </c>
      <c r="F114" s="94">
        <f>SUMIFS(Table_Assembly[Specific Amount],Table_Assembly[NG Type],$B$21,Table_Assembly[NG content],E114,Table_Assembly[Product type],$E$3,Table_Assembly[MFG Date],"&gt;="&amp;'Weekly Report'!$B$13,Table_Assembly[MFG Date],"&lt;="&amp;'Weekly Report'!$B$15)</f>
        <v>1</v>
      </c>
      <c r="G114" s="95">
        <f t="shared" si="25"/>
        <v>1.2658227848101267</v>
      </c>
      <c r="H114" s="8"/>
      <c r="I114" s="5"/>
      <c r="J114" s="5">
        <f>_xlfn.RANK.EQ(L114,$L$109:$L$145,0)+COUNTIF($L$109:L114,L114)-1</f>
        <v>9</v>
      </c>
      <c r="K114" s="73" t="s">
        <v>175</v>
      </c>
      <c r="L114" s="94">
        <f>SUMIFS(Table_Assembly[Specific Amount],Table_Assembly[NG Type],$B$21,Table_Assembly[NG content],K114,Table_Assembly[Product type],$K$3,Table_Assembly[MFG Date],"&gt;="&amp;'Weekly Report'!$B$13,Table_Assembly[MFG Date],"&lt;="&amp;'Weekly Report'!$B$15)</f>
        <v>0</v>
      </c>
      <c r="M114" s="95">
        <f t="shared" si="27"/>
        <v>0</v>
      </c>
      <c r="N114" s="8"/>
      <c r="S114">
        <f>_xlfn.RANK.EQ(U114,$U$109:$U$145,0)+COUNTIF($U$109:U114,U114)-1</f>
        <v>6</v>
      </c>
      <c r="T114" s="73" t="s">
        <v>175</v>
      </c>
      <c r="U114" s="94">
        <f>SUMIFS(Table_Assembly[Specific Amount],Table_Assembly[Product type],$T$3,Table_Assembly[NG Type],$R$19,Table_Assembly[NG content],T114,Table_Assembly[Month],INDEX($AE$14:$AE$25,MATCH($Q$9,$AD$14:$AD$25,0)))</f>
        <v>7</v>
      </c>
      <c r="V114" s="95">
        <f t="shared" si="28"/>
        <v>0.59322033898305082</v>
      </c>
      <c r="W114" s="8"/>
      <c r="X114" s="5">
        <f>_xlfn.RANK.EQ(Z114,$Z$109:$Z$145,0)+COUNTIF($Z$109:Z114,Z114)-1</f>
        <v>10</v>
      </c>
      <c r="Y114" s="73" t="s">
        <v>175</v>
      </c>
      <c r="Z114" s="94">
        <f>SUMIFS(Table_Assembly[Specific Amount],Table_Assembly[Product type],$Y$3,Table_Assembly[NG Type],$R$19,Table_Assembly[NG content],Y114,Table_Assembly[Month],INDEX($AE$14:$AE$25,MATCH($Q$9,$AD$14:$AD$25,0)))</f>
        <v>0</v>
      </c>
      <c r="AA114" s="95">
        <f t="shared" si="29"/>
        <v>0</v>
      </c>
      <c r="AB114" s="8"/>
      <c r="AG114">
        <f>_xlfn.RANK.EQ(AI114,$AI$109:$AI$145,0)+COUNTIF($AI$109:AI114,AI114)-1</f>
        <v>7</v>
      </c>
      <c r="AH114" s="73" t="s">
        <v>175</v>
      </c>
      <c r="AI114" s="94">
        <f>SUMIFS(Table_Assembly[Specific Amount],Table_Assembly[Product type],$AH$107,Table_Assembly[NG Type],$AF$12,Table_Assembly[NG content],AH114,Table_Assembly[Year],$AE$7)</f>
        <v>8</v>
      </c>
      <c r="AJ114" s="95">
        <f t="shared" si="26"/>
        <v>0.64</v>
      </c>
      <c r="AK114" s="8"/>
      <c r="AL114" s="5"/>
      <c r="AM114" s="5">
        <f>_xlfn.RANK.EQ(AO114,$AO$109:$AO$145,0)+COUNTIF($AO$109:AO114,AO114)-1</f>
        <v>13</v>
      </c>
      <c r="AN114" s="73" t="s">
        <v>175</v>
      </c>
      <c r="AO114" s="94">
        <f>SUMIFS(Table_Assembly[Specific Amount],Table_Assembly[Product type],$AN$107,Table_Assembly[NG Type],$AF$12,Table_Assembly[NG content],AN114,Table_Assembly[Year],$AE$7)</f>
        <v>0</v>
      </c>
      <c r="AP114" s="95">
        <f t="shared" si="30"/>
        <v>0</v>
      </c>
      <c r="AQ114" s="8"/>
    </row>
    <row r="115" spans="4:43">
      <c r="D115">
        <f>_xlfn.RANK.EQ(F115,$F$109:$F$145,0)+COUNTIF($F$109:F115,F115)-1</f>
        <v>9</v>
      </c>
      <c r="E115" s="73" t="s">
        <v>232</v>
      </c>
      <c r="F115" s="94">
        <f>SUMIFS(Table_Assembly[Specific Amount],Table_Assembly[NG Type],$B$21,Table_Assembly[NG content],E115,Table_Assembly[Product type],$E$3,Table_Assembly[MFG Date],"&gt;="&amp;'Weekly Report'!$B$13,Table_Assembly[MFG Date],"&lt;="&amp;'Weekly Report'!$B$15)</f>
        <v>1</v>
      </c>
      <c r="G115" s="95">
        <f t="shared" si="25"/>
        <v>1.2658227848101267</v>
      </c>
      <c r="H115" s="8"/>
      <c r="I115" s="5"/>
      <c r="J115" s="5">
        <f>_xlfn.RANK.EQ(L115,$L$109:$L$145,0)+COUNTIF($L$109:L115,L115)-1</f>
        <v>10</v>
      </c>
      <c r="K115" s="73" t="s">
        <v>232</v>
      </c>
      <c r="L115" s="94">
        <f>SUMIFS(Table_Assembly[Specific Amount],Table_Assembly[NG Type],$B$21,Table_Assembly[NG content],K115,Table_Assembly[Product type],$K$3,Table_Assembly[MFG Date],"&gt;="&amp;'Weekly Report'!$B$13,Table_Assembly[MFG Date],"&lt;="&amp;'Weekly Report'!$B$15)</f>
        <v>0</v>
      </c>
      <c r="M115" s="95">
        <f t="shared" si="27"/>
        <v>0</v>
      </c>
      <c r="N115" s="8"/>
      <c r="S115">
        <f>_xlfn.RANK.EQ(U115,$U$109:$U$145,0)+COUNTIF($U$109:U115,U115)-1</f>
        <v>12</v>
      </c>
      <c r="T115" s="73" t="s">
        <v>232</v>
      </c>
      <c r="U115" s="94">
        <f>SUMIFS(Table_Assembly[Specific Amount],Table_Assembly[Product type],$T$3,Table_Assembly[NG Type],$R$19,Table_Assembly[NG content],T115,Table_Assembly[Month],INDEX($AE$14:$AE$25,MATCH($Q$9,$AD$14:$AD$25,0)))</f>
        <v>1</v>
      </c>
      <c r="V115" s="95">
        <f t="shared" si="28"/>
        <v>8.4745762711864403E-2</v>
      </c>
      <c r="W115" s="8"/>
      <c r="X115" s="5">
        <f>_xlfn.RANK.EQ(Z115,$Z$109:$Z$145,0)+COUNTIF($Z$109:Z115,Z115)-1</f>
        <v>11</v>
      </c>
      <c r="Y115" s="73" t="s">
        <v>232</v>
      </c>
      <c r="Z115" s="94">
        <f>SUMIFS(Table_Assembly[Specific Amount],Table_Assembly[Product type],$Y$3,Table_Assembly[NG Type],$R$19,Table_Assembly[NG content],Y115,Table_Assembly[Month],INDEX($AE$14:$AE$25,MATCH($Q$9,$AD$14:$AD$25,0)))</f>
        <v>0</v>
      </c>
      <c r="AA115" s="95">
        <f t="shared" si="29"/>
        <v>0</v>
      </c>
      <c r="AB115" s="8"/>
      <c r="AG115">
        <f>_xlfn.RANK.EQ(AI115,$AI$109:$AI$145,0)+COUNTIF($AI$109:AI115,AI115)-1</f>
        <v>14</v>
      </c>
      <c r="AH115" s="73" t="s">
        <v>232</v>
      </c>
      <c r="AI115" s="94">
        <f>SUMIFS(Table_Assembly[Specific Amount],Table_Assembly[Product type],$AH$107,Table_Assembly[NG Type],$AF$12,Table_Assembly[NG content],AH115,Table_Assembly[Year],$AE$7)</f>
        <v>1</v>
      </c>
      <c r="AJ115" s="95">
        <f t="shared" si="26"/>
        <v>0.08</v>
      </c>
      <c r="AK115" s="8"/>
      <c r="AL115" s="5"/>
      <c r="AM115" s="5">
        <f>_xlfn.RANK.EQ(AO115,$AO$109:$AO$145,0)+COUNTIF($AO$109:AO115,AO115)-1</f>
        <v>14</v>
      </c>
      <c r="AN115" s="73" t="s">
        <v>232</v>
      </c>
      <c r="AO115" s="94">
        <f>SUMIFS(Table_Assembly[Specific Amount],Table_Assembly[Product type],$AN$107,Table_Assembly[NG Type],$AF$12,Table_Assembly[NG content],AN115,Table_Assembly[Year],$AE$7)</f>
        <v>0</v>
      </c>
      <c r="AP115" s="95">
        <f t="shared" si="30"/>
        <v>0</v>
      </c>
      <c r="AQ115" s="8"/>
    </row>
    <row r="116" spans="4:43">
      <c r="D116">
        <f>_xlfn.RANK.EQ(F116,$F$109:$F$145,0)+COUNTIF($F$109:F116,F116)-1</f>
        <v>15</v>
      </c>
      <c r="E116" s="73" t="s">
        <v>176</v>
      </c>
      <c r="F116" s="94">
        <f>SUMIFS(Table_Assembly[Specific Amount],Table_Assembly[NG Type],$B$21,Table_Assembly[NG content],E116,Table_Assembly[Product type],$E$3,Table_Assembly[MFG Date],"&gt;="&amp;'Weekly Report'!$B$13,Table_Assembly[MFG Date],"&lt;="&amp;'Weekly Report'!$B$15)</f>
        <v>0</v>
      </c>
      <c r="G116" s="95">
        <f t="shared" si="25"/>
        <v>0</v>
      </c>
      <c r="H116" s="8"/>
      <c r="I116" s="5"/>
      <c r="J116" s="5">
        <f>_xlfn.RANK.EQ(L116,$L$109:$L$145,0)+COUNTIF($L$109:L116,L116)-1</f>
        <v>11</v>
      </c>
      <c r="K116" s="73" t="s">
        <v>176</v>
      </c>
      <c r="L116" s="94">
        <f>SUMIFS(Table_Assembly[Specific Amount],Table_Assembly[NG Type],$B$21,Table_Assembly[NG content],K116,Table_Assembly[Product type],$K$3,Table_Assembly[MFG Date],"&gt;="&amp;'Weekly Report'!$B$13,Table_Assembly[MFG Date],"&lt;="&amp;'Weekly Report'!$B$15)</f>
        <v>0</v>
      </c>
      <c r="M116" s="95">
        <f t="shared" si="27"/>
        <v>0</v>
      </c>
      <c r="N116" s="8"/>
      <c r="S116">
        <f>_xlfn.RANK.EQ(U116,$U$109:$U$145,0)+COUNTIF($U$109:U116,U116)-1</f>
        <v>18</v>
      </c>
      <c r="T116" s="73" t="s">
        <v>176</v>
      </c>
      <c r="U116" s="94">
        <f>SUMIFS(Table_Assembly[Specific Amount],Table_Assembly[Product type],$T$3,Table_Assembly[NG Type],$R$19,Table_Assembly[NG content],T116,Table_Assembly[Month],INDEX($AE$14:$AE$25,MATCH($Q$9,$AD$14:$AD$25,0)))</f>
        <v>0</v>
      </c>
      <c r="V116" s="95">
        <f t="shared" si="28"/>
        <v>0</v>
      </c>
      <c r="W116" s="8"/>
      <c r="X116" s="5">
        <f>_xlfn.RANK.EQ(Z116,$Z$109:$Z$145,0)+COUNTIF($Z$109:Z116,Z116)-1</f>
        <v>12</v>
      </c>
      <c r="Y116" s="73" t="s">
        <v>176</v>
      </c>
      <c r="Z116" s="94">
        <f>SUMIFS(Table_Assembly[Specific Amount],Table_Assembly[Product type],$Y$3,Table_Assembly[NG Type],$R$19,Table_Assembly[NG content],Y116,Table_Assembly[Month],INDEX($AE$14:$AE$25,MATCH($Q$9,$AD$14:$AD$25,0)))</f>
        <v>0</v>
      </c>
      <c r="AA116" s="95">
        <f t="shared" si="29"/>
        <v>0</v>
      </c>
      <c r="AB116" s="8"/>
      <c r="AG116">
        <f>_xlfn.RANK.EQ(AI116,$AI$109:$AI$145,0)+COUNTIF($AI$109:AI116,AI116)-1</f>
        <v>19</v>
      </c>
      <c r="AH116" s="73" t="s">
        <v>176</v>
      </c>
      <c r="AI116" s="94">
        <f>SUMIFS(Table_Assembly[Specific Amount],Table_Assembly[Product type],$AH$107,Table_Assembly[NG Type],$AF$12,Table_Assembly[NG content],AH116,Table_Assembly[Year],$AE$7)</f>
        <v>0</v>
      </c>
      <c r="AJ116" s="95">
        <f t="shared" si="26"/>
        <v>0</v>
      </c>
      <c r="AK116" s="8"/>
      <c r="AL116" s="5"/>
      <c r="AM116" s="5">
        <f>_xlfn.RANK.EQ(AO116,$AO$109:$AO$145,0)+COUNTIF($AO$109:AO116,AO116)-1</f>
        <v>15</v>
      </c>
      <c r="AN116" s="73" t="s">
        <v>176</v>
      </c>
      <c r="AO116" s="94">
        <f>SUMIFS(Table_Assembly[Specific Amount],Table_Assembly[Product type],$AN$107,Table_Assembly[NG Type],$AF$12,Table_Assembly[NG content],AN116,Table_Assembly[Year],$AE$7)</f>
        <v>0</v>
      </c>
      <c r="AP116" s="95">
        <f t="shared" si="30"/>
        <v>0</v>
      </c>
      <c r="AQ116" s="8"/>
    </row>
    <row r="117" spans="4:43">
      <c r="D117">
        <f>_xlfn.RANK.EQ(F117,$F$109:$F$145,0)+COUNTIF($F$109:F117,F117)-1</f>
        <v>16</v>
      </c>
      <c r="E117" s="73" t="s">
        <v>177</v>
      </c>
      <c r="F117" s="94">
        <f>SUMIFS(Table_Assembly[Specific Amount],Table_Assembly[NG Type],$B$21,Table_Assembly[NG content],E117,Table_Assembly[Product type],$E$3,Table_Assembly[MFG Date],"&gt;="&amp;'Weekly Report'!$B$13,Table_Assembly[MFG Date],"&lt;="&amp;'Weekly Report'!$B$15)</f>
        <v>0</v>
      </c>
      <c r="G117" s="95">
        <f t="shared" si="25"/>
        <v>0</v>
      </c>
      <c r="H117" s="8"/>
      <c r="I117" s="5"/>
      <c r="J117" s="5">
        <f>_xlfn.RANK.EQ(L117,$L$109:$L$145,0)+COUNTIF($L$109:L117,L117)-1</f>
        <v>12</v>
      </c>
      <c r="K117" s="73" t="s">
        <v>177</v>
      </c>
      <c r="L117" s="94">
        <f>SUMIFS(Table_Assembly[Specific Amount],Table_Assembly[NG Type],$B$21,Table_Assembly[NG content],K117,Table_Assembly[Product type],$K$3,Table_Assembly[MFG Date],"&gt;="&amp;'Weekly Report'!$B$13,Table_Assembly[MFG Date],"&lt;="&amp;'Weekly Report'!$B$15)</f>
        <v>0</v>
      </c>
      <c r="M117" s="95">
        <f t="shared" si="27"/>
        <v>0</v>
      </c>
      <c r="N117" s="8"/>
      <c r="S117">
        <f>_xlfn.RANK.EQ(U117,$U$109:$U$145,0)+COUNTIF($U$109:U117,U117)-1</f>
        <v>10</v>
      </c>
      <c r="T117" s="73" t="s">
        <v>177</v>
      </c>
      <c r="U117" s="94">
        <f>SUMIFS(Table_Assembly[Specific Amount],Table_Assembly[Product type],$T$3,Table_Assembly[NG Type],$R$19,Table_Assembly[NG content],T117,Table_Assembly[Month],INDEX($AE$14:$AE$25,MATCH($Q$9,$AD$14:$AD$25,0)))</f>
        <v>3</v>
      </c>
      <c r="V117" s="95">
        <f t="shared" si="28"/>
        <v>0.25423728813559321</v>
      </c>
      <c r="W117" s="8"/>
      <c r="X117" s="5">
        <f>_xlfn.RANK.EQ(Z117,$Z$109:$Z$145,0)+COUNTIF($Z$109:Z117,Z117)-1</f>
        <v>13</v>
      </c>
      <c r="Y117" s="73" t="s">
        <v>177</v>
      </c>
      <c r="Z117" s="94">
        <f>SUMIFS(Table_Assembly[Specific Amount],Table_Assembly[Product type],$Y$3,Table_Assembly[NG Type],$R$19,Table_Assembly[NG content],Y117,Table_Assembly[Month],INDEX($AE$14:$AE$25,MATCH($Q$9,$AD$14:$AD$25,0)))</f>
        <v>0</v>
      </c>
      <c r="AA117" s="95">
        <f t="shared" si="29"/>
        <v>0</v>
      </c>
      <c r="AB117" s="8"/>
      <c r="AG117">
        <f>_xlfn.RANK.EQ(AI117,$AI$109:$AI$145,0)+COUNTIF($AI$109:AI117,AI117)-1</f>
        <v>10</v>
      </c>
      <c r="AH117" s="73" t="s">
        <v>177</v>
      </c>
      <c r="AI117" s="94">
        <f>SUMIFS(Table_Assembly[Specific Amount],Table_Assembly[Product type],$AH$107,Table_Assembly[NG Type],$AF$12,Table_Assembly[NG content],AH117,Table_Assembly[Year],$AE$7)</f>
        <v>3</v>
      </c>
      <c r="AJ117" s="95">
        <f t="shared" si="26"/>
        <v>0.24</v>
      </c>
      <c r="AK117" s="8"/>
      <c r="AL117" s="5"/>
      <c r="AM117" s="5">
        <f>_xlfn.RANK.EQ(AO117,$AO$109:$AO$145,0)+COUNTIF($AO$109:AO117,AO117)-1</f>
        <v>16</v>
      </c>
      <c r="AN117" s="73" t="s">
        <v>177</v>
      </c>
      <c r="AO117" s="94">
        <f>SUMIFS(Table_Assembly[Specific Amount],Table_Assembly[Product type],$AN$107,Table_Assembly[NG Type],$AF$12,Table_Assembly[NG content],AN117,Table_Assembly[Year],$AE$7)</f>
        <v>0</v>
      </c>
      <c r="AP117" s="95">
        <f t="shared" si="30"/>
        <v>0</v>
      </c>
      <c r="AQ117" s="8"/>
    </row>
    <row r="118" spans="4:43">
      <c r="D118">
        <f>_xlfn.RANK.EQ(F118,$F$109:$F$145,0)+COUNTIF($F$109:F118,F118)-1</f>
        <v>5</v>
      </c>
      <c r="E118" s="73" t="s">
        <v>178</v>
      </c>
      <c r="F118" s="94">
        <f>SUMIFS(Table_Assembly[Specific Amount],Table_Assembly[NG Type],$B$21,Table_Assembly[NG content],E118,Table_Assembly[Product type],$E$3,Table_Assembly[MFG Date],"&gt;="&amp;'Weekly Report'!$B$13,Table_Assembly[MFG Date],"&lt;="&amp;'Weekly Report'!$B$15)</f>
        <v>4</v>
      </c>
      <c r="G118" s="95">
        <f t="shared" si="25"/>
        <v>5.0632911392405067</v>
      </c>
      <c r="H118" s="8"/>
      <c r="I118" s="5"/>
      <c r="J118" s="5">
        <f>_xlfn.RANK.EQ(L118,$L$109:$L$145,0)+COUNTIF($L$109:L118,L118)-1</f>
        <v>13</v>
      </c>
      <c r="K118" s="73" t="s">
        <v>178</v>
      </c>
      <c r="L118" s="94">
        <f>SUMIFS(Table_Assembly[Specific Amount],Table_Assembly[NG Type],$B$21,Table_Assembly[NG content],K118,Table_Assembly[Product type],$K$3,Table_Assembly[MFG Date],"&gt;="&amp;'Weekly Report'!$B$13,Table_Assembly[MFG Date],"&lt;="&amp;'Weekly Report'!$B$15)</f>
        <v>0</v>
      </c>
      <c r="M118" s="95">
        <f t="shared" si="27"/>
        <v>0</v>
      </c>
      <c r="N118" s="8"/>
      <c r="S118">
        <f>_xlfn.RANK.EQ(U118,$U$109:$U$145,0)+COUNTIF($U$109:U118,U118)-1</f>
        <v>8</v>
      </c>
      <c r="T118" s="73" t="s">
        <v>178</v>
      </c>
      <c r="U118" s="94">
        <f>SUMIFS(Table_Assembly[Specific Amount],Table_Assembly[Product type],$T$3,Table_Assembly[NG Type],$R$19,Table_Assembly[NG content],T118,Table_Assembly[Month],INDEX($AE$14:$AE$25,MATCH($Q$9,$AD$14:$AD$25,0)))</f>
        <v>4</v>
      </c>
      <c r="V118" s="95">
        <f t="shared" si="28"/>
        <v>0.33898305084745761</v>
      </c>
      <c r="W118" s="8"/>
      <c r="X118" s="5">
        <f>_xlfn.RANK.EQ(Z118,$Z$109:$Z$145,0)+COUNTIF($Z$109:Z118,Z118)-1</f>
        <v>14</v>
      </c>
      <c r="Y118" s="73" t="s">
        <v>178</v>
      </c>
      <c r="Z118" s="94">
        <f>SUMIFS(Table_Assembly[Specific Amount],Table_Assembly[Product type],$Y$3,Table_Assembly[NG Type],$R$19,Table_Assembly[NG content],Y118,Table_Assembly[Month],INDEX($AE$14:$AE$25,MATCH($Q$9,$AD$14:$AD$25,0)))</f>
        <v>0</v>
      </c>
      <c r="AA118" s="95">
        <f t="shared" si="29"/>
        <v>0</v>
      </c>
      <c r="AB118" s="8"/>
      <c r="AG118">
        <f>_xlfn.RANK.EQ(AI118,$AI$109:$AI$145,0)+COUNTIF($AI$109:AI118,AI118)-1</f>
        <v>9</v>
      </c>
      <c r="AH118" s="73" t="s">
        <v>178</v>
      </c>
      <c r="AI118" s="94">
        <f>SUMIFS(Table_Assembly[Specific Amount],Table_Assembly[Product type],$AH$107,Table_Assembly[NG Type],$AF$12,Table_Assembly[NG content],AH118,Table_Assembly[Year],$AE$7)</f>
        <v>4</v>
      </c>
      <c r="AJ118" s="95">
        <f t="shared" si="26"/>
        <v>0.32</v>
      </c>
      <c r="AK118" s="8"/>
      <c r="AL118" s="5"/>
      <c r="AM118" s="5">
        <f>_xlfn.RANK.EQ(AO118,$AO$109:$AO$145,0)+COUNTIF($AO$109:AO118,AO118)-1</f>
        <v>17</v>
      </c>
      <c r="AN118" s="73" t="s">
        <v>178</v>
      </c>
      <c r="AO118" s="94">
        <f>SUMIFS(Table_Assembly[Specific Amount],Table_Assembly[Product type],$AN$107,Table_Assembly[NG Type],$AF$12,Table_Assembly[NG content],AN118,Table_Assembly[Year],$AE$7)</f>
        <v>0</v>
      </c>
      <c r="AP118" s="95">
        <f t="shared" si="30"/>
        <v>0</v>
      </c>
      <c r="AQ118" s="8"/>
    </row>
    <row r="119" spans="4:43">
      <c r="D119">
        <f>_xlfn.RANK.EQ(F119,$F$109:$F$145,0)+COUNTIF($F$109:F119,F119)-1</f>
        <v>2</v>
      </c>
      <c r="E119" s="73" t="s">
        <v>233</v>
      </c>
      <c r="F119" s="94">
        <f>SUMIFS(Table_Assembly[Specific Amount],Table_Assembly[NG Type],$B$21,Table_Assembly[NG content],E119,Table_Assembly[Product type],$E$3,Table_Assembly[MFG Date],"&gt;="&amp;'Weekly Report'!$B$13,Table_Assembly[MFG Date],"&lt;="&amp;'Weekly Report'!$B$15)</f>
        <v>15</v>
      </c>
      <c r="G119" s="95">
        <f t="shared" si="25"/>
        <v>18.9873417721519</v>
      </c>
      <c r="H119" s="8"/>
      <c r="I119" s="5"/>
      <c r="J119" s="5">
        <f>_xlfn.RANK.EQ(L119,$L$109:$L$145,0)+COUNTIF($L$109:L119,L119)-1</f>
        <v>2</v>
      </c>
      <c r="K119" s="73" t="s">
        <v>233</v>
      </c>
      <c r="L119" s="94">
        <f>SUMIFS(Table_Assembly[Specific Amount],Table_Assembly[NG Type],$B$21,Table_Assembly[NG content],K119,Table_Assembly[Product type],$K$3,Table_Assembly[MFG Date],"&gt;="&amp;'Weekly Report'!$B$13,Table_Assembly[MFG Date],"&lt;="&amp;'Weekly Report'!$B$15)</f>
        <v>9</v>
      </c>
      <c r="M119" s="95">
        <f t="shared" si="27"/>
        <v>33.333333333333329</v>
      </c>
      <c r="N119" s="8"/>
      <c r="S119">
        <f>_xlfn.RANK.EQ(U119,$U$109:$U$145,0)+COUNTIF($U$109:U119,U119)-1</f>
        <v>3</v>
      </c>
      <c r="T119" s="73" t="s">
        <v>233</v>
      </c>
      <c r="U119" s="94">
        <f>SUMIFS(Table_Assembly[Specific Amount],Table_Assembly[Product type],$T$3,Table_Assembly[NG Type],$R$19,Table_Assembly[NG content],T119,Table_Assembly[Month],INDEX($AE$14:$AE$25,MATCH($Q$9,$AD$14:$AD$25,0)))</f>
        <v>27</v>
      </c>
      <c r="V119" s="95">
        <f t="shared" si="28"/>
        <v>2.2881355932203391</v>
      </c>
      <c r="W119" s="8"/>
      <c r="X119" s="5">
        <f>_xlfn.RANK.EQ(Z119,$Z$109:$Z$145,0)+COUNTIF($Z$109:Z119,Z119)-1</f>
        <v>2</v>
      </c>
      <c r="Y119" s="73" t="s">
        <v>233</v>
      </c>
      <c r="Z119" s="94">
        <f>SUMIFS(Table_Assembly[Specific Amount],Table_Assembly[Product type],$Y$3,Table_Assembly[NG Type],$R$19,Table_Assembly[NG content],Y119,Table_Assembly[Month],INDEX($AE$14:$AE$25,MATCH($Q$9,$AD$14:$AD$25,0)))</f>
        <v>27</v>
      </c>
      <c r="AA119" s="95">
        <f t="shared" si="29"/>
        <v>31.03448275862069</v>
      </c>
      <c r="AB119" s="8"/>
      <c r="AG119">
        <f>_xlfn.RANK.EQ(AI119,$AI$109:$AI$145,0)+COUNTIF($AI$109:AI119,AI119)-1</f>
        <v>4</v>
      </c>
      <c r="AH119" s="73" t="s">
        <v>233</v>
      </c>
      <c r="AI119" s="94">
        <f>SUMIFS(Table_Assembly[Specific Amount],Table_Assembly[Product type],$AH$107,Table_Assembly[NG Type],$AF$12,Table_Assembly[NG content],AH119,Table_Assembly[Year],$AE$7)</f>
        <v>31</v>
      </c>
      <c r="AJ119" s="95">
        <f t="shared" si="26"/>
        <v>2.48</v>
      </c>
      <c r="AK119" s="8"/>
      <c r="AL119" s="5"/>
      <c r="AM119" s="5">
        <f>_xlfn.RANK.EQ(AO119,$AO$109:$AO$145,0)+COUNTIF($AO$109:AO119,AO119)-1</f>
        <v>2</v>
      </c>
      <c r="AN119" s="73" t="s">
        <v>233</v>
      </c>
      <c r="AO119" s="94">
        <f>SUMIFS(Table_Assembly[Specific Amount],Table_Assembly[Product type],$AN$107,Table_Assembly[NG Type],$AF$12,Table_Assembly[NG content],AN119,Table_Assembly[Year],$AE$7)</f>
        <v>40</v>
      </c>
      <c r="AP119" s="95">
        <f t="shared" si="30"/>
        <v>23.952095808383234</v>
      </c>
      <c r="AQ119" s="8"/>
    </row>
    <row r="120" spans="4:43">
      <c r="D120">
        <f>_xlfn.RANK.EQ(F120,$F$109:$F$145,0)+COUNTIF($F$109:F120,F120)-1</f>
        <v>17</v>
      </c>
      <c r="E120" s="73" t="s">
        <v>179</v>
      </c>
      <c r="F120" s="94">
        <f>SUMIFS(Table_Assembly[Specific Amount],Table_Assembly[NG Type],$B$21,Table_Assembly[NG content],E120,Table_Assembly[Product type],$E$3,Table_Assembly[MFG Date],"&gt;="&amp;'Weekly Report'!$B$13,Table_Assembly[MFG Date],"&lt;="&amp;'Weekly Report'!$B$15)</f>
        <v>0</v>
      </c>
      <c r="G120" s="95">
        <f t="shared" si="25"/>
        <v>0</v>
      </c>
      <c r="H120" s="8"/>
      <c r="I120" s="5"/>
      <c r="J120" s="5">
        <f>_xlfn.RANK.EQ(L120,$L$109:$L$145,0)+COUNTIF($L$109:L120,L120)-1</f>
        <v>14</v>
      </c>
      <c r="K120" s="73" t="s">
        <v>179</v>
      </c>
      <c r="L120" s="94">
        <f>SUMIFS(Table_Assembly[Specific Amount],Table_Assembly[NG Type],$B$21,Table_Assembly[NG content],K120,Table_Assembly[Product type],$K$3,Table_Assembly[MFG Date],"&gt;="&amp;'Weekly Report'!$B$13,Table_Assembly[MFG Date],"&lt;="&amp;'Weekly Report'!$B$15)</f>
        <v>0</v>
      </c>
      <c r="M120" s="95">
        <f t="shared" si="27"/>
        <v>0</v>
      </c>
      <c r="N120" s="8"/>
      <c r="S120">
        <f>_xlfn.RANK.EQ(U120,$U$109:$U$145,0)+COUNTIF($U$109:U120,U120)-1</f>
        <v>19</v>
      </c>
      <c r="T120" s="73" t="s">
        <v>179</v>
      </c>
      <c r="U120" s="94">
        <f>SUMIFS(Table_Assembly[Specific Amount],Table_Assembly[Product type],$T$3,Table_Assembly[NG Type],$R$19,Table_Assembly[NG content],T120,Table_Assembly[Month],INDEX($AE$14:$AE$25,MATCH($Q$9,$AD$14:$AD$25,0)))</f>
        <v>0</v>
      </c>
      <c r="V120" s="95">
        <f t="shared" si="28"/>
        <v>0</v>
      </c>
      <c r="W120" s="8"/>
      <c r="X120" s="5">
        <f>_xlfn.RANK.EQ(Z120,$Z$109:$Z$145,0)+COUNTIF($Z$109:Z120,Z120)-1</f>
        <v>15</v>
      </c>
      <c r="Y120" s="73" t="s">
        <v>179</v>
      </c>
      <c r="Z120" s="94">
        <f>SUMIFS(Table_Assembly[Specific Amount],Table_Assembly[Product type],$Y$3,Table_Assembly[NG Type],$R$19,Table_Assembly[NG content],Y120,Table_Assembly[Month],INDEX($AE$14:$AE$25,MATCH($Q$9,$AD$14:$AD$25,0)))</f>
        <v>0</v>
      </c>
      <c r="AA120" s="95">
        <f t="shared" si="29"/>
        <v>0</v>
      </c>
      <c r="AB120" s="8"/>
      <c r="AG120">
        <f>_xlfn.RANK.EQ(AI120,$AI$109:$AI$145,0)+COUNTIF($AI$109:AI120,AI120)-1</f>
        <v>20</v>
      </c>
      <c r="AH120" s="73" t="s">
        <v>179</v>
      </c>
      <c r="AI120" s="94">
        <f>SUMIFS(Table_Assembly[Specific Amount],Table_Assembly[Product type],$AH$107,Table_Assembly[NG Type],$AF$12,Table_Assembly[NG content],AH120,Table_Assembly[Year],$AE$7)</f>
        <v>0</v>
      </c>
      <c r="AJ120" s="95">
        <f t="shared" si="26"/>
        <v>0</v>
      </c>
      <c r="AK120" s="8"/>
      <c r="AL120" s="5"/>
      <c r="AM120" s="5">
        <f>_xlfn.RANK.EQ(AO120,$AO$109:$AO$145,0)+COUNTIF($AO$109:AO120,AO120)-1</f>
        <v>18</v>
      </c>
      <c r="AN120" s="73" t="s">
        <v>179</v>
      </c>
      <c r="AO120" s="94">
        <f>SUMIFS(Table_Assembly[Specific Amount],Table_Assembly[Product type],$AN$107,Table_Assembly[NG Type],$AF$12,Table_Assembly[NG content],AN120,Table_Assembly[Year],$AE$7)</f>
        <v>0</v>
      </c>
      <c r="AP120" s="95">
        <f t="shared" si="30"/>
        <v>0</v>
      </c>
      <c r="AQ120" s="8"/>
    </row>
    <row r="121" spans="4:43">
      <c r="D121">
        <f>_xlfn.RANK.EQ(F121,$F$109:$F$145,0)+COUNTIF($F$109:F121,F121)-1</f>
        <v>18</v>
      </c>
      <c r="E121" s="73" t="s">
        <v>180</v>
      </c>
      <c r="F121" s="94">
        <f>SUMIFS(Table_Assembly[Specific Amount],Table_Assembly[NG Type],$B$21,Table_Assembly[NG content],E121,Table_Assembly[Product type],$E$3,Table_Assembly[MFG Date],"&gt;="&amp;'Weekly Report'!$B$13,Table_Assembly[MFG Date],"&lt;="&amp;'Weekly Report'!$B$15)</f>
        <v>0</v>
      </c>
      <c r="G121" s="95">
        <f t="shared" si="25"/>
        <v>0</v>
      </c>
      <c r="H121" s="8"/>
      <c r="I121" s="5"/>
      <c r="J121" s="5">
        <f>_xlfn.RANK.EQ(L121,$L$109:$L$145,0)+COUNTIF($L$109:L121,L121)-1</f>
        <v>15</v>
      </c>
      <c r="K121" s="73" t="s">
        <v>180</v>
      </c>
      <c r="L121" s="94">
        <f>SUMIFS(Table_Assembly[Specific Amount],Table_Assembly[NG Type],$B$21,Table_Assembly[NG content],K121,Table_Assembly[Product type],$K$3,Table_Assembly[MFG Date],"&gt;="&amp;'Weekly Report'!$B$13,Table_Assembly[MFG Date],"&lt;="&amp;'Weekly Report'!$B$15)</f>
        <v>0</v>
      </c>
      <c r="M121" s="95">
        <f t="shared" si="27"/>
        <v>0</v>
      </c>
      <c r="N121" s="8"/>
      <c r="S121">
        <f>_xlfn.RANK.EQ(U121,$U$109:$U$145,0)+COUNTIF($U$109:U121,U121)-1</f>
        <v>20</v>
      </c>
      <c r="T121" s="73" t="s">
        <v>180</v>
      </c>
      <c r="U121" s="94">
        <f>SUMIFS(Table_Assembly[Specific Amount],Table_Assembly[Product type],$T$3,Table_Assembly[NG Type],$R$19,Table_Assembly[NG content],T121,Table_Assembly[Month],INDEX($AE$14:$AE$25,MATCH($Q$9,$AD$14:$AD$25,0)))</f>
        <v>0</v>
      </c>
      <c r="V121" s="95">
        <f t="shared" si="28"/>
        <v>0</v>
      </c>
      <c r="W121" s="8"/>
      <c r="X121" s="5">
        <f>_xlfn.RANK.EQ(Z121,$Z$109:$Z$145,0)+COUNTIF($Z$109:Z121,Z121)-1</f>
        <v>16</v>
      </c>
      <c r="Y121" s="73" t="s">
        <v>180</v>
      </c>
      <c r="Z121" s="94">
        <f>SUMIFS(Table_Assembly[Specific Amount],Table_Assembly[Product type],$Y$3,Table_Assembly[NG Type],$R$19,Table_Assembly[NG content],Y121,Table_Assembly[Month],INDEX($AE$14:$AE$25,MATCH($Q$9,$AD$14:$AD$25,0)))</f>
        <v>0</v>
      </c>
      <c r="AA121" s="95">
        <f t="shared" si="29"/>
        <v>0</v>
      </c>
      <c r="AB121" s="8"/>
      <c r="AG121">
        <f>_xlfn.RANK.EQ(AI121,$AI$109:$AI$145,0)+COUNTIF($AI$109:AI121,AI121)-1</f>
        <v>21</v>
      </c>
      <c r="AH121" s="73" t="s">
        <v>180</v>
      </c>
      <c r="AI121" s="94">
        <f>SUMIFS(Table_Assembly[Specific Amount],Table_Assembly[Product type],$AH$107,Table_Assembly[NG Type],$AF$12,Table_Assembly[NG content],AH121,Table_Assembly[Year],$AE$7)</f>
        <v>0</v>
      </c>
      <c r="AJ121" s="95">
        <f t="shared" si="26"/>
        <v>0</v>
      </c>
      <c r="AK121" s="8"/>
      <c r="AL121" s="5"/>
      <c r="AM121" s="5">
        <f>_xlfn.RANK.EQ(AO121,$AO$109:$AO$145,0)+COUNTIF($AO$109:AO121,AO121)-1</f>
        <v>7</v>
      </c>
      <c r="AN121" s="73" t="s">
        <v>180</v>
      </c>
      <c r="AO121" s="94">
        <f>SUMIFS(Table_Assembly[Specific Amount],Table_Assembly[Product type],$AN$107,Table_Assembly[NG Type],$AF$12,Table_Assembly[NG content],AN121,Table_Assembly[Year],$AE$7)</f>
        <v>1</v>
      </c>
      <c r="AP121" s="95">
        <f t="shared" si="30"/>
        <v>0.5988023952095809</v>
      </c>
      <c r="AQ121" s="8"/>
    </row>
    <row r="122" spans="4:43">
      <c r="D122">
        <f>_xlfn.RANK.EQ(F122,$F$109:$F$145,0)+COUNTIF($F$109:F122,F122)-1</f>
        <v>19</v>
      </c>
      <c r="E122" s="73" t="s">
        <v>181</v>
      </c>
      <c r="F122" s="94">
        <f>SUMIFS(Table_Assembly[Specific Amount],Table_Assembly[NG Type],$B$21,Table_Assembly[NG content],E122,Table_Assembly[Product type],$E$3,Table_Assembly[MFG Date],"&gt;="&amp;'Weekly Report'!$B$13,Table_Assembly[MFG Date],"&lt;="&amp;'Weekly Report'!$B$15)</f>
        <v>0</v>
      </c>
      <c r="G122" s="95">
        <f t="shared" si="25"/>
        <v>0</v>
      </c>
      <c r="H122" s="8"/>
      <c r="I122" s="5"/>
      <c r="J122" s="5">
        <f>_xlfn.RANK.EQ(L122,$L$109:$L$145,0)+COUNTIF($L$109:L122,L122)-1</f>
        <v>16</v>
      </c>
      <c r="K122" s="73" t="s">
        <v>181</v>
      </c>
      <c r="L122" s="94">
        <f>SUMIFS(Table_Assembly[Specific Amount],Table_Assembly[NG Type],$B$21,Table_Assembly[NG content],K122,Table_Assembly[Product type],$K$3,Table_Assembly[MFG Date],"&gt;="&amp;'Weekly Report'!$B$13,Table_Assembly[MFG Date],"&lt;="&amp;'Weekly Report'!$B$15)</f>
        <v>0</v>
      </c>
      <c r="M122" s="95">
        <f t="shared" si="27"/>
        <v>0</v>
      </c>
      <c r="N122" s="8"/>
      <c r="S122">
        <f>_xlfn.RANK.EQ(U122,$U$109:$U$145,0)+COUNTIF($U$109:U122,U122)-1</f>
        <v>21</v>
      </c>
      <c r="T122" s="73" t="s">
        <v>181</v>
      </c>
      <c r="U122" s="94">
        <f>SUMIFS(Table_Assembly[Specific Amount],Table_Assembly[Product type],$T$3,Table_Assembly[NG Type],$R$19,Table_Assembly[NG content],T122,Table_Assembly[Month],INDEX($AE$14:$AE$25,MATCH($Q$9,$AD$14:$AD$25,0)))</f>
        <v>0</v>
      </c>
      <c r="V122" s="95">
        <f t="shared" si="28"/>
        <v>0</v>
      </c>
      <c r="W122" s="8"/>
      <c r="X122" s="5">
        <f>_xlfn.RANK.EQ(Z122,$Z$109:$Z$145,0)+COUNTIF($Z$109:Z122,Z122)-1</f>
        <v>17</v>
      </c>
      <c r="Y122" s="73" t="s">
        <v>181</v>
      </c>
      <c r="Z122" s="94">
        <f>SUMIFS(Table_Assembly[Specific Amount],Table_Assembly[Product type],$Y$3,Table_Assembly[NG Type],$R$19,Table_Assembly[NG content],Y122,Table_Assembly[Month],INDEX($AE$14:$AE$25,MATCH($Q$9,$AD$14:$AD$25,0)))</f>
        <v>0</v>
      </c>
      <c r="AA122" s="95">
        <f t="shared" si="29"/>
        <v>0</v>
      </c>
      <c r="AB122" s="8"/>
      <c r="AG122">
        <f>_xlfn.RANK.EQ(AI122,$AI$109:$AI$145,0)+COUNTIF($AI$109:AI122,AI122)-1</f>
        <v>22</v>
      </c>
      <c r="AH122" s="73" t="s">
        <v>181</v>
      </c>
      <c r="AI122" s="94">
        <f>SUMIFS(Table_Assembly[Specific Amount],Table_Assembly[Product type],$AH$107,Table_Assembly[NG Type],$AF$12,Table_Assembly[NG content],AH122,Table_Assembly[Year],$AE$7)</f>
        <v>0</v>
      </c>
      <c r="AJ122" s="95">
        <f t="shared" si="26"/>
        <v>0</v>
      </c>
      <c r="AK122" s="8"/>
      <c r="AL122" s="5"/>
      <c r="AM122" s="5">
        <f>_xlfn.RANK.EQ(AO122,$AO$109:$AO$145,0)+COUNTIF($AO$109:AO122,AO122)-1</f>
        <v>19</v>
      </c>
      <c r="AN122" s="73" t="s">
        <v>181</v>
      </c>
      <c r="AO122" s="94">
        <f>SUMIFS(Table_Assembly[Specific Amount],Table_Assembly[Product type],$AN$107,Table_Assembly[NG Type],$AF$12,Table_Assembly[NG content],AN122,Table_Assembly[Year],$AE$7)</f>
        <v>0</v>
      </c>
      <c r="AP122" s="95">
        <f t="shared" si="30"/>
        <v>0</v>
      </c>
      <c r="AQ122" s="8"/>
    </row>
    <row r="123" spans="4:43">
      <c r="D123">
        <f>_xlfn.RANK.EQ(F123,$F$109:$F$145,0)+COUNTIF($F$109:F123,F123)-1</f>
        <v>20</v>
      </c>
      <c r="E123" s="73" t="s">
        <v>182</v>
      </c>
      <c r="F123" s="94">
        <f>SUMIFS(Table_Assembly[Specific Amount],Table_Assembly[NG Type],$B$21,Table_Assembly[NG content],E123,Table_Assembly[Product type],$E$3,Table_Assembly[MFG Date],"&gt;="&amp;'Weekly Report'!$B$13,Table_Assembly[MFG Date],"&lt;="&amp;'Weekly Report'!$B$15)</f>
        <v>0</v>
      </c>
      <c r="G123" s="95">
        <f t="shared" si="25"/>
        <v>0</v>
      </c>
      <c r="H123" s="8"/>
      <c r="I123" s="5"/>
      <c r="J123" s="5">
        <f>_xlfn.RANK.EQ(L123,$L$109:$L$145,0)+COUNTIF($L$109:L123,L123)-1</f>
        <v>17</v>
      </c>
      <c r="K123" s="73" t="s">
        <v>182</v>
      </c>
      <c r="L123" s="94">
        <f>SUMIFS(Table_Assembly[Specific Amount],Table_Assembly[NG Type],$B$21,Table_Assembly[NG content],K123,Table_Assembly[Product type],$K$3,Table_Assembly[MFG Date],"&gt;="&amp;'Weekly Report'!$B$13,Table_Assembly[MFG Date],"&lt;="&amp;'Weekly Report'!$B$15)</f>
        <v>0</v>
      </c>
      <c r="M123" s="95">
        <f t="shared" si="27"/>
        <v>0</v>
      </c>
      <c r="N123" s="8"/>
      <c r="S123">
        <f>_xlfn.RANK.EQ(U123,$U$109:$U$145,0)+COUNTIF($U$109:U123,U123)-1</f>
        <v>22</v>
      </c>
      <c r="T123" s="73" t="s">
        <v>182</v>
      </c>
      <c r="U123" s="94">
        <f>SUMIFS(Table_Assembly[Specific Amount],Table_Assembly[Product type],$T$3,Table_Assembly[NG Type],$R$19,Table_Assembly[NG content],T123,Table_Assembly[Month],INDEX($AE$14:$AE$25,MATCH($Q$9,$AD$14:$AD$25,0)))</f>
        <v>0</v>
      </c>
      <c r="V123" s="95">
        <f t="shared" si="28"/>
        <v>0</v>
      </c>
      <c r="W123" s="8"/>
      <c r="X123" s="5">
        <f>_xlfn.RANK.EQ(Z123,$Z$109:$Z$145,0)+COUNTIF($Z$109:Z123,Z123)-1</f>
        <v>18</v>
      </c>
      <c r="Y123" s="73" t="s">
        <v>182</v>
      </c>
      <c r="Z123" s="94">
        <f>SUMIFS(Table_Assembly[Specific Amount],Table_Assembly[Product type],$Y$3,Table_Assembly[NG Type],$R$19,Table_Assembly[NG content],Y123,Table_Assembly[Month],INDEX($AE$14:$AE$25,MATCH($Q$9,$AD$14:$AD$25,0)))</f>
        <v>0</v>
      </c>
      <c r="AA123" s="95">
        <f t="shared" si="29"/>
        <v>0</v>
      </c>
      <c r="AB123" s="8"/>
      <c r="AG123">
        <f>_xlfn.RANK.EQ(AI123,$AI$109:$AI$145,0)+COUNTIF($AI$109:AI123,AI123)-1</f>
        <v>23</v>
      </c>
      <c r="AH123" s="73" t="s">
        <v>182</v>
      </c>
      <c r="AI123" s="94">
        <f>SUMIFS(Table_Assembly[Specific Amount],Table_Assembly[Product type],$AH$107,Table_Assembly[NG Type],$AF$12,Table_Assembly[NG content],AH123,Table_Assembly[Year],$AE$7)</f>
        <v>0</v>
      </c>
      <c r="AJ123" s="95">
        <f t="shared" si="26"/>
        <v>0</v>
      </c>
      <c r="AK123" s="8"/>
      <c r="AL123" s="5"/>
      <c r="AM123" s="5">
        <f>_xlfn.RANK.EQ(AO123,$AO$109:$AO$145,0)+COUNTIF($AO$109:AO123,AO123)-1</f>
        <v>20</v>
      </c>
      <c r="AN123" s="73" t="s">
        <v>182</v>
      </c>
      <c r="AO123" s="94">
        <f>SUMIFS(Table_Assembly[Specific Amount],Table_Assembly[Product type],$AN$107,Table_Assembly[NG Type],$AF$12,Table_Assembly[NG content],AN123,Table_Assembly[Year],$AE$7)</f>
        <v>0</v>
      </c>
      <c r="AP123" s="95">
        <f t="shared" si="30"/>
        <v>0</v>
      </c>
      <c r="AQ123" s="8"/>
    </row>
    <row r="124" spans="4:43">
      <c r="D124">
        <f>_xlfn.RANK.EQ(F124,$F$109:$F$145,0)+COUNTIF($F$109:F124,F124)-1</f>
        <v>21</v>
      </c>
      <c r="E124" s="73" t="s">
        <v>183</v>
      </c>
      <c r="F124" s="94">
        <f>SUMIFS(Table_Assembly[Specific Amount],Table_Assembly[NG Type],$B$21,Table_Assembly[NG content],E124,Table_Assembly[Product type],$E$3,Table_Assembly[MFG Date],"&gt;="&amp;'Weekly Report'!$B$13,Table_Assembly[MFG Date],"&lt;="&amp;'Weekly Report'!$B$15)</f>
        <v>0</v>
      </c>
      <c r="G124" s="95">
        <f t="shared" si="25"/>
        <v>0</v>
      </c>
      <c r="H124" s="8"/>
      <c r="I124" s="5"/>
      <c r="J124" s="5">
        <f>_xlfn.RANK.EQ(L124,$L$109:$L$145,0)+COUNTIF($L$109:L124,L124)-1</f>
        <v>18</v>
      </c>
      <c r="K124" s="73" t="s">
        <v>183</v>
      </c>
      <c r="L124" s="94">
        <f>SUMIFS(Table_Assembly[Specific Amount],Table_Assembly[NG Type],$B$21,Table_Assembly[NG content],K124,Table_Assembly[Product type],$K$3,Table_Assembly[MFG Date],"&gt;="&amp;'Weekly Report'!$B$13,Table_Assembly[MFG Date],"&lt;="&amp;'Weekly Report'!$B$15)</f>
        <v>0</v>
      </c>
      <c r="M124" s="95">
        <f t="shared" si="27"/>
        <v>0</v>
      </c>
      <c r="N124" s="8"/>
      <c r="S124">
        <f>_xlfn.RANK.EQ(U124,$U$109:$U$145,0)+COUNTIF($U$109:U124,U124)-1</f>
        <v>13</v>
      </c>
      <c r="T124" s="73" t="s">
        <v>183</v>
      </c>
      <c r="U124" s="94">
        <f>SUMIFS(Table_Assembly[Specific Amount],Table_Assembly[Product type],$T$3,Table_Assembly[NG Type],$R$19,Table_Assembly[NG content],T124,Table_Assembly[Month],INDEX($AE$14:$AE$25,MATCH($Q$9,$AD$14:$AD$25,0)))</f>
        <v>1</v>
      </c>
      <c r="V124" s="95">
        <f t="shared" si="28"/>
        <v>8.4745762711864403E-2</v>
      </c>
      <c r="W124" s="8"/>
      <c r="X124" s="5">
        <f>_xlfn.RANK.EQ(Z124,$Z$109:$Z$145,0)+COUNTIF($Z$109:Z124,Z124)-1</f>
        <v>19</v>
      </c>
      <c r="Y124" s="73" t="s">
        <v>183</v>
      </c>
      <c r="Z124" s="94">
        <f>SUMIFS(Table_Assembly[Specific Amount],Table_Assembly[Product type],$Y$3,Table_Assembly[NG Type],$R$19,Table_Assembly[NG content],Y124,Table_Assembly[Month],INDEX($AE$14:$AE$25,MATCH($Q$9,$AD$14:$AD$25,0)))</f>
        <v>0</v>
      </c>
      <c r="AA124" s="95">
        <f t="shared" si="29"/>
        <v>0</v>
      </c>
      <c r="AB124" s="8"/>
      <c r="AG124">
        <f>_xlfn.RANK.EQ(AI124,$AI$109:$AI$145,0)+COUNTIF($AI$109:AI124,AI124)-1</f>
        <v>15</v>
      </c>
      <c r="AH124" s="73" t="s">
        <v>183</v>
      </c>
      <c r="AI124" s="94">
        <f>SUMIFS(Table_Assembly[Specific Amount],Table_Assembly[Product type],$AH$107,Table_Assembly[NG Type],$AF$12,Table_Assembly[NG content],AH124,Table_Assembly[Year],$AE$7)</f>
        <v>1</v>
      </c>
      <c r="AJ124" s="95">
        <f t="shared" si="26"/>
        <v>0.08</v>
      </c>
      <c r="AK124" s="8"/>
      <c r="AL124" s="5"/>
      <c r="AM124" s="5">
        <f>_xlfn.RANK.EQ(AO124,$AO$109:$AO$145,0)+COUNTIF($AO$109:AO124,AO124)-1</f>
        <v>21</v>
      </c>
      <c r="AN124" s="73" t="s">
        <v>183</v>
      </c>
      <c r="AO124" s="94">
        <f>SUMIFS(Table_Assembly[Specific Amount],Table_Assembly[Product type],$AN$107,Table_Assembly[NG Type],$AF$12,Table_Assembly[NG content],AN124,Table_Assembly[Year],$AE$7)</f>
        <v>0</v>
      </c>
      <c r="AP124" s="95">
        <f t="shared" si="30"/>
        <v>0</v>
      </c>
      <c r="AQ124" s="8"/>
    </row>
    <row r="125" spans="4:43">
      <c r="D125">
        <f>_xlfn.RANK.EQ(F125,$F$109:$F$145,0)+COUNTIF($F$109:F125,F125)-1</f>
        <v>22</v>
      </c>
      <c r="E125" s="73" t="s">
        <v>234</v>
      </c>
      <c r="F125" s="94">
        <f>SUMIFS(Table_Assembly[Specific Amount],Table_Assembly[NG Type],$B$21,Table_Assembly[NG content],E125,Table_Assembly[Product type],$E$3,Table_Assembly[MFG Date],"&gt;="&amp;'Weekly Report'!$B$13,Table_Assembly[MFG Date],"&lt;="&amp;'Weekly Report'!$B$15)</f>
        <v>0</v>
      </c>
      <c r="G125" s="95">
        <f t="shared" si="25"/>
        <v>0</v>
      </c>
      <c r="H125" s="8"/>
      <c r="I125" s="5"/>
      <c r="J125" s="5">
        <f>_xlfn.RANK.EQ(L125,$L$109:$L$145,0)+COUNTIF($L$109:L125,L125)-1</f>
        <v>19</v>
      </c>
      <c r="K125" s="73" t="s">
        <v>234</v>
      </c>
      <c r="L125" s="94">
        <f>SUMIFS(Table_Assembly[Specific Amount],Table_Assembly[NG Type],$B$21,Table_Assembly[NG content],K125,Table_Assembly[Product type],$K$3,Table_Assembly[MFG Date],"&gt;="&amp;'Weekly Report'!$B$13,Table_Assembly[MFG Date],"&lt;="&amp;'Weekly Report'!$B$15)</f>
        <v>0</v>
      </c>
      <c r="M125" s="95">
        <f t="shared" si="27"/>
        <v>0</v>
      </c>
      <c r="N125" s="8"/>
      <c r="S125">
        <f>_xlfn.RANK.EQ(U125,$U$109:$U$145,0)+COUNTIF($U$109:U125,U125)-1</f>
        <v>23</v>
      </c>
      <c r="T125" s="73" t="s">
        <v>234</v>
      </c>
      <c r="U125" s="94">
        <f>SUMIFS(Table_Assembly[Specific Amount],Table_Assembly[Product type],$T$3,Table_Assembly[NG Type],$R$19,Table_Assembly[NG content],T125,Table_Assembly[Month],INDEX($AE$14:$AE$25,MATCH($Q$9,$AD$14:$AD$25,0)))</f>
        <v>0</v>
      </c>
      <c r="V125" s="95">
        <f t="shared" si="28"/>
        <v>0</v>
      </c>
      <c r="W125" s="8"/>
      <c r="X125" s="5">
        <f>_xlfn.RANK.EQ(Z125,$Z$109:$Z$145,0)+COUNTIF($Z$109:Z125,Z125)-1</f>
        <v>20</v>
      </c>
      <c r="Y125" s="73" t="s">
        <v>234</v>
      </c>
      <c r="Z125" s="94">
        <f>SUMIFS(Table_Assembly[Specific Amount],Table_Assembly[Product type],$Y$3,Table_Assembly[NG Type],$R$19,Table_Assembly[NG content],Y125,Table_Assembly[Month],INDEX($AE$14:$AE$25,MATCH($Q$9,$AD$14:$AD$25,0)))</f>
        <v>0</v>
      </c>
      <c r="AA125" s="95">
        <f t="shared" si="29"/>
        <v>0</v>
      </c>
      <c r="AB125" s="8"/>
      <c r="AG125">
        <f>_xlfn.RANK.EQ(AI125,$AI$109:$AI$145,0)+COUNTIF($AI$109:AI125,AI125)-1</f>
        <v>24</v>
      </c>
      <c r="AH125" s="73" t="s">
        <v>234</v>
      </c>
      <c r="AI125" s="94">
        <f>SUMIFS(Table_Assembly[Specific Amount],Table_Assembly[Product type],$AH$107,Table_Assembly[NG Type],$AF$12,Table_Assembly[NG content],AH125,Table_Assembly[Year],$AE$7)</f>
        <v>0</v>
      </c>
      <c r="AJ125" s="95">
        <f t="shared" si="26"/>
        <v>0</v>
      </c>
      <c r="AK125" s="8"/>
      <c r="AL125" s="5"/>
      <c r="AM125" s="5">
        <f>_xlfn.RANK.EQ(AO125,$AO$109:$AO$145,0)+COUNTIF($AO$109:AO125,AO125)-1</f>
        <v>22</v>
      </c>
      <c r="AN125" s="73" t="s">
        <v>234</v>
      </c>
      <c r="AO125" s="94">
        <f>SUMIFS(Table_Assembly[Specific Amount],Table_Assembly[Product type],$AN$107,Table_Assembly[NG Type],$AF$12,Table_Assembly[NG content],AN125,Table_Assembly[Year],$AE$7)</f>
        <v>0</v>
      </c>
      <c r="AP125" s="95">
        <f t="shared" si="30"/>
        <v>0</v>
      </c>
      <c r="AQ125" s="8"/>
    </row>
    <row r="126" spans="4:43">
      <c r="D126">
        <f>_xlfn.RANK.EQ(F126,$F$109:$F$145,0)+COUNTIF($F$109:F126,F126)-1</f>
        <v>6</v>
      </c>
      <c r="E126" s="73" t="s">
        <v>184</v>
      </c>
      <c r="F126" s="94">
        <f>SUMIFS(Table_Assembly[Specific Amount],Table_Assembly[NG Type],$B$21,Table_Assembly[NG content],E126,Table_Assembly[Product type],$E$3,Table_Assembly[MFG Date],"&gt;="&amp;'Weekly Report'!$B$13,Table_Assembly[MFG Date],"&lt;="&amp;'Weekly Report'!$B$15)</f>
        <v>3</v>
      </c>
      <c r="G126" s="95">
        <f t="shared" si="25"/>
        <v>3.79746835443038</v>
      </c>
      <c r="H126" s="8"/>
      <c r="J126" s="5">
        <f>_xlfn.RANK.EQ(L126,$L$109:$L$145,0)+COUNTIF($L$109:L126,L126)-1</f>
        <v>20</v>
      </c>
      <c r="K126" s="73" t="s">
        <v>184</v>
      </c>
      <c r="L126" s="94">
        <f>SUMIFS(Table_Assembly[Specific Amount],Table_Assembly[NG Type],$B$21,Table_Assembly[NG content],K126,Table_Assembly[Product type],$K$3,Table_Assembly[MFG Date],"&gt;="&amp;'Weekly Report'!$B$13,Table_Assembly[MFG Date],"&lt;="&amp;'Weekly Report'!$B$15)</f>
        <v>0</v>
      </c>
      <c r="M126" s="95">
        <f t="shared" si="27"/>
        <v>0</v>
      </c>
      <c r="N126" s="8"/>
      <c r="S126">
        <f>_xlfn.RANK.EQ(U126,$U$109:$U$145,0)+COUNTIF($U$109:U126,U126)-1</f>
        <v>9</v>
      </c>
      <c r="T126" s="73" t="s">
        <v>184</v>
      </c>
      <c r="U126" s="94">
        <f>SUMIFS(Table_Assembly[Specific Amount],Table_Assembly[Product type],$T$3,Table_Assembly[NG Type],$R$19,Table_Assembly[NG content],T126,Table_Assembly[Month],INDEX($AE$14:$AE$25,MATCH($Q$9,$AD$14:$AD$25,0)))</f>
        <v>4</v>
      </c>
      <c r="V126" s="95">
        <f t="shared" si="28"/>
        <v>0.33898305084745761</v>
      </c>
      <c r="W126" s="8"/>
      <c r="X126" s="5">
        <f>_xlfn.RANK.EQ(Z126,$Z$109:$Z$145,0)+COUNTIF($Z$109:Z126,Z126)-1</f>
        <v>21</v>
      </c>
      <c r="Y126" s="73" t="s">
        <v>184</v>
      </c>
      <c r="Z126" s="94">
        <f>SUMIFS(Table_Assembly[Specific Amount],Table_Assembly[Product type],$Y$3,Table_Assembly[NG Type],$R$19,Table_Assembly[NG content],Y126,Table_Assembly[Month],INDEX($AE$14:$AE$25,MATCH($Q$9,$AD$14:$AD$25,0)))</f>
        <v>0</v>
      </c>
      <c r="AA126" s="95">
        <f t="shared" si="29"/>
        <v>0</v>
      </c>
      <c r="AB126" s="8"/>
      <c r="AG126">
        <f>_xlfn.RANK.EQ(AI126,$AI$109:$AI$145,0)+COUNTIF($AI$109:AI126,AI126)-1</f>
        <v>8</v>
      </c>
      <c r="AH126" s="73" t="s">
        <v>184</v>
      </c>
      <c r="AI126" s="94">
        <f>SUMIFS(Table_Assembly[Specific Amount],Table_Assembly[Product type],$AH$107,Table_Assembly[NG Type],$AF$12,Table_Assembly[NG content],AH126,Table_Assembly[Year],$AE$7)</f>
        <v>8</v>
      </c>
      <c r="AJ126" s="95">
        <f t="shared" si="26"/>
        <v>0.64</v>
      </c>
      <c r="AK126" s="8"/>
      <c r="AM126" s="5">
        <f>_xlfn.RANK.EQ(AO126,$AO$109:$AO$145,0)+COUNTIF($AO$109:AO126,AO126)-1</f>
        <v>23</v>
      </c>
      <c r="AN126" s="73" t="s">
        <v>184</v>
      </c>
      <c r="AO126" s="94">
        <f>SUMIFS(Table_Assembly[Specific Amount],Table_Assembly[Product type],$AN$107,Table_Assembly[NG Type],$AF$12,Table_Assembly[NG content],AN126,Table_Assembly[Year],$AE$7)</f>
        <v>0</v>
      </c>
      <c r="AP126" s="95">
        <f t="shared" si="30"/>
        <v>0</v>
      </c>
      <c r="AQ126" s="8"/>
    </row>
    <row r="127" spans="4:43">
      <c r="D127">
        <f>_xlfn.RANK.EQ(F127,$F$109:$F$145,0)+COUNTIF($F$109:F127,F127)-1</f>
        <v>3</v>
      </c>
      <c r="E127" s="73" t="s">
        <v>322</v>
      </c>
      <c r="F127" s="94">
        <f>SUMIFS(Table_Assembly[Specific Amount],Table_Assembly[NG Type],$B$21,Table_Assembly[NG content],E127,Table_Assembly[Product type],$E$3,Table_Assembly[MFG Date],"&gt;="&amp;'Weekly Report'!$B$13,Table_Assembly[MFG Date],"&lt;="&amp;'Weekly Report'!$B$15)</f>
        <v>11</v>
      </c>
      <c r="G127" s="95">
        <f t="shared" si="25"/>
        <v>13.924050632911392</v>
      </c>
      <c r="H127" s="8"/>
      <c r="J127" s="5">
        <f>_xlfn.RANK.EQ(L127,$L$109:$L$145,0)+COUNTIF($L$109:L127,L127)-1</f>
        <v>21</v>
      </c>
      <c r="K127" s="73" t="s">
        <v>322</v>
      </c>
      <c r="L127" s="94">
        <f>SUMIFS(Table_Assembly[Specific Amount],Table_Assembly[NG Type],$B$21,Table_Assembly[NG content],K127,Table_Assembly[Product type],$K$3,Table_Assembly[MFG Date],"&gt;="&amp;'Weekly Report'!$B$13,Table_Assembly[MFG Date],"&lt;="&amp;'Weekly Report'!$B$15)</f>
        <v>0</v>
      </c>
      <c r="M127" s="95">
        <f t="shared" si="27"/>
        <v>0</v>
      </c>
      <c r="N127" s="8"/>
      <c r="S127">
        <f>_xlfn.RANK.EQ(U127,$U$109:$U$145,0)+COUNTIF($U$109:U127,U127)-1</f>
        <v>4</v>
      </c>
      <c r="T127" s="73" t="s">
        <v>322</v>
      </c>
      <c r="U127" s="94">
        <f>SUMIFS(Table_Assembly[Specific Amount],Table_Assembly[Product type],$T$3,Table_Assembly[NG Type],$R$19,Table_Assembly[NG content],T127,Table_Assembly[Month],INDEX($AE$14:$AE$25,MATCH($Q$9,$AD$14:$AD$25,0)))</f>
        <v>26</v>
      </c>
      <c r="V127" s="95">
        <f t="shared" si="28"/>
        <v>2.2033898305084745</v>
      </c>
      <c r="W127" s="8"/>
      <c r="X127" s="5">
        <f>_xlfn.RANK.EQ(Z127,$Z$109:$Z$145,0)+COUNTIF($Z$109:Z127,Z127)-1</f>
        <v>22</v>
      </c>
      <c r="Y127" s="73" t="s">
        <v>322</v>
      </c>
      <c r="Z127" s="94">
        <f>SUMIFS(Table_Assembly[Specific Amount],Table_Assembly[Product type],$Y$3,Table_Assembly[NG Type],$R$19,Table_Assembly[NG content],Y127,Table_Assembly[Month],INDEX($AE$14:$AE$25,MATCH($Q$9,$AD$14:$AD$25,0)))</f>
        <v>0</v>
      </c>
      <c r="AA127" s="95">
        <f t="shared" si="29"/>
        <v>0</v>
      </c>
      <c r="AB127" s="8"/>
      <c r="AG127">
        <f>_xlfn.RANK.EQ(AI127,$AI$109:$AI$145,0)+COUNTIF($AI$109:AI127,AI127)-1</f>
        <v>3</v>
      </c>
      <c r="AH127" s="73" t="s">
        <v>322</v>
      </c>
      <c r="AI127" s="94">
        <f>SUMIFS(Table_Assembly[Specific Amount],Table_Assembly[Product type],$AH$107,Table_Assembly[NG Type],$AF$12,Table_Assembly[NG content],AH127,Table_Assembly[Year],$AE$7)</f>
        <v>51</v>
      </c>
      <c r="AJ127" s="95">
        <f t="shared" si="26"/>
        <v>4.08</v>
      </c>
      <c r="AK127" s="8"/>
      <c r="AM127" s="5">
        <f>_xlfn.RANK.EQ(AO127,$AO$109:$AO$145,0)+COUNTIF($AO$109:AO127,AO127)-1</f>
        <v>24</v>
      </c>
      <c r="AN127" s="73" t="s">
        <v>322</v>
      </c>
      <c r="AO127" s="94">
        <f>SUMIFS(Table_Assembly[Specific Amount],Table_Assembly[Product type],$AN$107,Table_Assembly[NG Type],$AF$12,Table_Assembly[NG content],AN127,Table_Assembly[Year],$AE$7)</f>
        <v>0</v>
      </c>
      <c r="AP127" s="95">
        <f t="shared" si="30"/>
        <v>0</v>
      </c>
      <c r="AQ127" s="8"/>
    </row>
    <row r="128" spans="4:43">
      <c r="D128">
        <f>_xlfn.RANK.EQ(F128,$F$109:$F$145,0)+COUNTIF($F$109:F128,F128)-1</f>
        <v>23</v>
      </c>
      <c r="E128" s="73" t="s">
        <v>185</v>
      </c>
      <c r="F128" s="94">
        <f>SUMIFS(Table_Assembly[Specific Amount],Table_Assembly[NG Type],$B$21,Table_Assembly[NG content],E128,Table_Assembly[Product type],$E$3,Table_Assembly[MFG Date],"&gt;="&amp;'Weekly Report'!$B$13,Table_Assembly[MFG Date],"&lt;="&amp;'Weekly Report'!$B$15)</f>
        <v>0</v>
      </c>
      <c r="G128" s="95">
        <f t="shared" si="25"/>
        <v>0</v>
      </c>
      <c r="H128" s="8"/>
      <c r="J128" s="5">
        <f>_xlfn.RANK.EQ(L128,$L$109:$L$145,0)+COUNTIF($L$109:L128,L128)-1</f>
        <v>22</v>
      </c>
      <c r="K128" s="73" t="s">
        <v>185</v>
      </c>
      <c r="L128" s="94">
        <f>SUMIFS(Table_Assembly[Specific Amount],Table_Assembly[NG Type],$B$21,Table_Assembly[NG content],K128,Table_Assembly[Product type],$K$3,Table_Assembly[MFG Date],"&gt;="&amp;'Weekly Report'!$B$13,Table_Assembly[MFG Date],"&lt;="&amp;'Weekly Report'!$B$15)</f>
        <v>0</v>
      </c>
      <c r="M128" s="95">
        <f t="shared" si="27"/>
        <v>0</v>
      </c>
      <c r="N128" s="8"/>
      <c r="S128">
        <f>_xlfn.RANK.EQ(U128,$U$109:$U$145,0)+COUNTIF($U$109:U128,U128)-1</f>
        <v>24</v>
      </c>
      <c r="T128" s="73" t="s">
        <v>185</v>
      </c>
      <c r="U128" s="94">
        <f>SUMIFS(Table_Assembly[Specific Amount],Table_Assembly[Product type],$T$3,Table_Assembly[NG Type],$R$19,Table_Assembly[NG content],T128,Table_Assembly[Month],INDEX($AE$14:$AE$25,MATCH($Q$9,$AD$14:$AD$25,0)))</f>
        <v>0</v>
      </c>
      <c r="V128" s="95">
        <f t="shared" si="28"/>
        <v>0</v>
      </c>
      <c r="W128" s="8"/>
      <c r="X128" s="5">
        <f>_xlfn.RANK.EQ(Z128,$Z$109:$Z$145,0)+COUNTIF($Z$109:Z128,Z128)-1</f>
        <v>23</v>
      </c>
      <c r="Y128" s="73" t="s">
        <v>185</v>
      </c>
      <c r="Z128" s="94">
        <f>SUMIFS(Table_Assembly[Specific Amount],Table_Assembly[Product type],$Y$3,Table_Assembly[NG Type],$R$19,Table_Assembly[NG content],Y128,Table_Assembly[Month],INDEX($AE$14:$AE$25,MATCH($Q$9,$AD$14:$AD$25,0)))</f>
        <v>0</v>
      </c>
      <c r="AA128" s="95">
        <f t="shared" si="29"/>
        <v>0</v>
      </c>
      <c r="AB128" s="8"/>
      <c r="AG128">
        <f>_xlfn.RANK.EQ(AI128,$AI$109:$AI$145,0)+COUNTIF($AI$109:AI128,AI128)-1</f>
        <v>25</v>
      </c>
      <c r="AH128" s="73" t="s">
        <v>185</v>
      </c>
      <c r="AI128" s="94">
        <f>SUMIFS(Table_Assembly[Specific Amount],Table_Assembly[Product type],$AH$107,Table_Assembly[NG Type],$AF$12,Table_Assembly[NG content],AH128,Table_Assembly[Year],$AE$7)</f>
        <v>0</v>
      </c>
      <c r="AJ128" s="95">
        <f t="shared" si="26"/>
        <v>0</v>
      </c>
      <c r="AK128" s="8"/>
      <c r="AM128" s="5">
        <f>_xlfn.RANK.EQ(AO128,$AO$109:$AO$145,0)+COUNTIF($AO$109:AO128,AO128)-1</f>
        <v>25</v>
      </c>
      <c r="AN128" s="73" t="s">
        <v>185</v>
      </c>
      <c r="AO128" s="94">
        <f>SUMIFS(Table_Assembly[Specific Amount],Table_Assembly[Product type],$AN$107,Table_Assembly[NG Type],$AF$12,Table_Assembly[NG content],AN128,Table_Assembly[Year],$AE$7)</f>
        <v>0</v>
      </c>
      <c r="AP128" s="95">
        <f t="shared" si="30"/>
        <v>0</v>
      </c>
      <c r="AQ128" s="8"/>
    </row>
    <row r="129" spans="4:43">
      <c r="D129">
        <f>_xlfn.RANK.EQ(F129,$F$109:$F$145,0)+COUNTIF($F$109:F129,F129)-1</f>
        <v>7</v>
      </c>
      <c r="E129" s="73" t="s">
        <v>236</v>
      </c>
      <c r="F129" s="94">
        <f>SUMIFS(Table_Assembly[Specific Amount],Table_Assembly[NG Type],$B$21,Table_Assembly[NG content],E129,Table_Assembly[Product type],$E$3,Table_Assembly[MFG Date],"&gt;="&amp;'Weekly Report'!$B$13,Table_Assembly[MFG Date],"&lt;="&amp;'Weekly Report'!$B$15)</f>
        <v>2</v>
      </c>
      <c r="G129" s="95">
        <f t="shared" si="25"/>
        <v>2.5316455696202533</v>
      </c>
      <c r="H129" s="8"/>
      <c r="J129" s="5">
        <f>_xlfn.RANK.EQ(L129,$L$109:$L$145,0)+COUNTIF($L$109:L129,L129)-1</f>
        <v>3</v>
      </c>
      <c r="K129" s="73" t="s">
        <v>236</v>
      </c>
      <c r="L129" s="94">
        <f>SUMIFS(Table_Assembly[Specific Amount],Table_Assembly[NG Type],$B$21,Table_Assembly[NG content],K129,Table_Assembly[Product type],$K$3,Table_Assembly[MFG Date],"&gt;="&amp;'Weekly Report'!$B$13,Table_Assembly[MFG Date],"&lt;="&amp;'Weekly Report'!$B$15)</f>
        <v>2</v>
      </c>
      <c r="M129" s="95">
        <f t="shared" si="27"/>
        <v>7.4074074074074066</v>
      </c>
      <c r="N129" s="8"/>
      <c r="S129">
        <f>_xlfn.RANK.EQ(U129,$U$109:$U$145,0)+COUNTIF($U$109:U129,U129)-1</f>
        <v>5</v>
      </c>
      <c r="T129" s="73" t="s">
        <v>236</v>
      </c>
      <c r="U129" s="94">
        <f>SUMIFS(Table_Assembly[Specific Amount],Table_Assembly[Product type],$T$3,Table_Assembly[NG Type],$R$19,Table_Assembly[NG content],T129,Table_Assembly[Month],INDEX($AE$14:$AE$25,MATCH($Q$9,$AD$14:$AD$25,0)))</f>
        <v>8</v>
      </c>
      <c r="V129" s="95">
        <f t="shared" si="28"/>
        <v>0.67796610169491522</v>
      </c>
      <c r="W129" s="8"/>
      <c r="X129" s="5">
        <f>_xlfn.RANK.EQ(Z129,$Z$109:$Z$145,0)+COUNTIF($Z$109:Z129,Z129)-1</f>
        <v>4</v>
      </c>
      <c r="Y129" s="73" t="s">
        <v>236</v>
      </c>
      <c r="Z129" s="94">
        <f>SUMIFS(Table_Assembly[Specific Amount],Table_Assembly[Product type],$Y$3,Table_Assembly[NG Type],$R$19,Table_Assembly[NG content],Y129,Table_Assembly[Month],INDEX($AE$14:$AE$25,MATCH($Q$9,$AD$14:$AD$25,0)))</f>
        <v>5</v>
      </c>
      <c r="AA129" s="95">
        <f t="shared" si="29"/>
        <v>5.7471264367816088</v>
      </c>
      <c r="AB129" s="8"/>
      <c r="AG129">
        <f>_xlfn.RANK.EQ(AI129,$AI$109:$AI$145,0)+COUNTIF($AI$109:AI129,AI129)-1</f>
        <v>5</v>
      </c>
      <c r="AH129" s="73" t="s">
        <v>236</v>
      </c>
      <c r="AI129" s="94">
        <f>SUMIFS(Table_Assembly[Specific Amount],Table_Assembly[Product type],$AH$107,Table_Assembly[NG Type],$AF$12,Table_Assembly[NG content],AH129,Table_Assembly[Year],$AE$7)</f>
        <v>14</v>
      </c>
      <c r="AJ129" s="95">
        <f t="shared" si="26"/>
        <v>1.1199999999999999</v>
      </c>
      <c r="AK129" s="8"/>
      <c r="AM129" s="5">
        <f>_xlfn.RANK.EQ(AO129,$AO$109:$AO$145,0)+COUNTIF($AO$109:AO129,AO129)-1</f>
        <v>4</v>
      </c>
      <c r="AN129" s="73" t="s">
        <v>236</v>
      </c>
      <c r="AO129" s="94">
        <f>SUMIFS(Table_Assembly[Specific Amount],Table_Assembly[Product type],$AN$107,Table_Assembly[NG Type],$AF$12,Table_Assembly[NG content],AN129,Table_Assembly[Year],$AE$7)</f>
        <v>7</v>
      </c>
      <c r="AP129" s="95">
        <f t="shared" si="30"/>
        <v>4.1916167664670656</v>
      </c>
      <c r="AQ129" s="8"/>
    </row>
    <row r="130" spans="4:43">
      <c r="D130">
        <f>_xlfn.RANK.EQ(F130,$F$109:$F$145,0)+COUNTIF($F$109:F130,F130)-1</f>
        <v>24</v>
      </c>
      <c r="E130" s="73" t="s">
        <v>168</v>
      </c>
      <c r="F130" s="94">
        <f>SUMIFS(Table_Assembly[Specific Amount],Table_Assembly[NG Type],$B$21,Table_Assembly[NG content],E130,Table_Assembly[Product type],$E$3,Table_Assembly[MFG Date],"&gt;="&amp;'Weekly Report'!$B$13,Table_Assembly[MFG Date],"&lt;="&amp;'Weekly Report'!$B$15)</f>
        <v>0</v>
      </c>
      <c r="G130" s="95">
        <f t="shared" si="25"/>
        <v>0</v>
      </c>
      <c r="H130" s="8"/>
      <c r="J130" s="5">
        <f>_xlfn.RANK.EQ(L130,$L$109:$L$145,0)+COUNTIF($L$109:L130,L130)-1</f>
        <v>1</v>
      </c>
      <c r="K130" s="73" t="s">
        <v>168</v>
      </c>
      <c r="L130" s="94">
        <f>SUMIFS(Table_Assembly[Specific Amount],Table_Assembly[NG Type],$B$21,Table_Assembly[NG content],K130,Table_Assembly[Product type],$K$3,Table_Assembly[MFG Date],"&gt;="&amp;'Weekly Report'!$B$13,Table_Assembly[MFG Date],"&lt;="&amp;'Weekly Report'!$B$15)</f>
        <v>16</v>
      </c>
      <c r="M130" s="95">
        <f t="shared" si="27"/>
        <v>59.259259259259252</v>
      </c>
      <c r="N130" s="8"/>
      <c r="S130">
        <f>_xlfn.RANK.EQ(U130,$U$109:$U$145,0)+COUNTIF($U$109:U130,U130)-1</f>
        <v>14</v>
      </c>
      <c r="T130" s="73" t="s">
        <v>168</v>
      </c>
      <c r="U130" s="94">
        <f>SUMIFS(Table_Assembly[Specific Amount],Table_Assembly[Product type],$T$3,Table_Assembly[NG Type],$R$19,Table_Assembly[NG content],T130,Table_Assembly[Month],INDEX($AE$14:$AE$25,MATCH($Q$9,$AD$14:$AD$25,0)))</f>
        <v>1</v>
      </c>
      <c r="V130" s="95">
        <f t="shared" si="28"/>
        <v>8.4745762711864403E-2</v>
      </c>
      <c r="W130" s="8"/>
      <c r="X130" s="5">
        <f>_xlfn.RANK.EQ(Z130,$Z$109:$Z$145,0)+COUNTIF($Z$109:Z130,Z130)-1</f>
        <v>1</v>
      </c>
      <c r="Y130" s="73" t="s">
        <v>168</v>
      </c>
      <c r="Z130" s="94">
        <f>SUMIFS(Table_Assembly[Specific Amount],Table_Assembly[Product type],$Y$3,Table_Assembly[NG Type],$R$19,Table_Assembly[NG content],Y130,Table_Assembly[Month],INDEX($AE$14:$AE$25,MATCH($Q$9,$AD$14:$AD$25,0)))</f>
        <v>46</v>
      </c>
      <c r="AA130" s="95">
        <f t="shared" si="29"/>
        <v>52.873563218390807</v>
      </c>
      <c r="AB130" s="8"/>
      <c r="AG130">
        <f>_xlfn.RANK.EQ(AI130,$AI$109:$AI$145,0)+COUNTIF($AI$109:AI130,AI130)-1</f>
        <v>16</v>
      </c>
      <c r="AH130" s="73" t="s">
        <v>168</v>
      </c>
      <c r="AI130" s="94">
        <f>SUMIFS(Table_Assembly[Specific Amount],Table_Assembly[Product type],$AH$107,Table_Assembly[NG Type],$AF$12,Table_Assembly[NG content],AH130,Table_Assembly[Year],$AE$7)</f>
        <v>1</v>
      </c>
      <c r="AJ130" s="95">
        <f t="shared" si="26"/>
        <v>0.08</v>
      </c>
      <c r="AK130" s="8"/>
      <c r="AM130" s="5">
        <f>_xlfn.RANK.EQ(AO130,$AO$109:$AO$145,0)+COUNTIF($AO$109:AO130,AO130)-1</f>
        <v>1</v>
      </c>
      <c r="AN130" s="73" t="s">
        <v>168</v>
      </c>
      <c r="AO130" s="94">
        <f>SUMIFS(Table_Assembly[Specific Amount],Table_Assembly[Product type],$AN$107,Table_Assembly[NG Type],$AF$12,Table_Assembly[NG content],AN130,Table_Assembly[Year],$AE$7)</f>
        <v>102</v>
      </c>
      <c r="AP130" s="95">
        <f t="shared" si="30"/>
        <v>61.077844311377248</v>
      </c>
      <c r="AQ130" s="8"/>
    </row>
    <row r="131" spans="4:43">
      <c r="D131">
        <f>_xlfn.RANK.EQ(F131,$F$109:$F$145,0)+COUNTIF($F$109:F131,F131)-1</f>
        <v>25</v>
      </c>
      <c r="E131" s="73" t="s">
        <v>237</v>
      </c>
      <c r="F131" s="94">
        <f>SUMIFS(Table_Assembly[Specific Amount],Table_Assembly[NG Type],$B$21,Table_Assembly[NG content],E131,Table_Assembly[Product type],$E$3,Table_Assembly[MFG Date],"&gt;="&amp;'Weekly Report'!$B$13,Table_Assembly[MFG Date],"&lt;="&amp;'Weekly Report'!$B$15)</f>
        <v>0</v>
      </c>
      <c r="G131" s="95">
        <f t="shared" si="25"/>
        <v>0</v>
      </c>
      <c r="H131" s="8"/>
      <c r="J131" s="5">
        <f>_xlfn.RANK.EQ(L131,$L$109:$L$145,0)+COUNTIF($L$109:L131,L131)-1</f>
        <v>23</v>
      </c>
      <c r="K131" s="73" t="s">
        <v>237</v>
      </c>
      <c r="L131" s="94">
        <f>SUMIFS(Table_Assembly[Specific Amount],Table_Assembly[NG Type],$B$21,Table_Assembly[NG content],K131,Table_Assembly[Product type],$K$3,Table_Assembly[MFG Date],"&gt;="&amp;'Weekly Report'!$B$13,Table_Assembly[MFG Date],"&lt;="&amp;'Weekly Report'!$B$15)</f>
        <v>0</v>
      </c>
      <c r="M131" s="95">
        <f t="shared" si="27"/>
        <v>0</v>
      </c>
      <c r="N131" s="8"/>
      <c r="S131">
        <f>_xlfn.RANK.EQ(U131,$U$109:$U$145,0)+COUNTIF($U$109:U131,U131)-1</f>
        <v>25</v>
      </c>
      <c r="T131" s="73" t="s">
        <v>237</v>
      </c>
      <c r="U131" s="94">
        <f>SUMIFS(Table_Assembly[Specific Amount],Table_Assembly[Product type],$T$3,Table_Assembly[NG Type],$R$19,Table_Assembly[NG content],T131,Table_Assembly[Month],INDEX($AE$14:$AE$25,MATCH($Q$9,$AD$14:$AD$25,0)))</f>
        <v>0</v>
      </c>
      <c r="V131" s="95">
        <f t="shared" si="28"/>
        <v>0</v>
      </c>
      <c r="W131" s="8"/>
      <c r="X131" s="5">
        <f>_xlfn.RANK.EQ(Z131,$Z$109:$Z$145,0)+COUNTIF($Z$109:Z131,Z131)-1</f>
        <v>24</v>
      </c>
      <c r="Y131" s="73" t="s">
        <v>237</v>
      </c>
      <c r="Z131" s="94">
        <f>SUMIFS(Table_Assembly[Specific Amount],Table_Assembly[Product type],$Y$3,Table_Assembly[NG Type],$R$19,Table_Assembly[NG content],Y131,Table_Assembly[Month],INDEX($AE$14:$AE$25,MATCH($Q$9,$AD$14:$AD$25,0)))</f>
        <v>0</v>
      </c>
      <c r="AA131" s="95">
        <f t="shared" si="29"/>
        <v>0</v>
      </c>
      <c r="AB131" s="8"/>
      <c r="AG131">
        <f>_xlfn.RANK.EQ(AI131,$AI$109:$AI$145,0)+COUNTIF($AI$109:AI131,AI131)-1</f>
        <v>26</v>
      </c>
      <c r="AH131" s="73" t="s">
        <v>237</v>
      </c>
      <c r="AI131" s="94">
        <f>SUMIFS(Table_Assembly[Specific Amount],Table_Assembly[Product type],$AH$107,Table_Assembly[NG Type],$AF$12,Table_Assembly[NG content],AH131,Table_Assembly[Year],$AE$7)</f>
        <v>0</v>
      </c>
      <c r="AJ131" s="95">
        <f t="shared" si="26"/>
        <v>0</v>
      </c>
      <c r="AK131" s="8"/>
      <c r="AM131" s="5">
        <f>_xlfn.RANK.EQ(AO131,$AO$109:$AO$145,0)+COUNTIF($AO$109:AO131,AO131)-1</f>
        <v>5</v>
      </c>
      <c r="AN131" s="73" t="s">
        <v>237</v>
      </c>
      <c r="AO131" s="94">
        <f>SUMIFS(Table_Assembly[Specific Amount],Table_Assembly[Product type],$AN$107,Table_Assembly[NG Type],$AF$12,Table_Assembly[NG content],AN131,Table_Assembly[Year],$AE$7)</f>
        <v>4</v>
      </c>
      <c r="AP131" s="95">
        <f t="shared" si="30"/>
        <v>2.3952095808383236</v>
      </c>
      <c r="AQ131" s="8"/>
    </row>
    <row r="132" spans="4:43">
      <c r="D132">
        <f>_xlfn.RANK.EQ(F132,$F$109:$F$145,0)+COUNTIF($F$109:F132,F132)-1</f>
        <v>26</v>
      </c>
      <c r="E132" s="73" t="s">
        <v>238</v>
      </c>
      <c r="F132" s="94">
        <f>SUMIFS(Table_Assembly[Specific Amount],Table_Assembly[NG Type],$B$21,Table_Assembly[NG content],E132,Table_Assembly[Product type],$E$3,Table_Assembly[MFG Date],"&gt;="&amp;'Weekly Report'!$B$13,Table_Assembly[MFG Date],"&lt;="&amp;'Weekly Report'!$B$15)</f>
        <v>0</v>
      </c>
      <c r="G132" s="95">
        <f t="shared" si="25"/>
        <v>0</v>
      </c>
      <c r="H132" s="8"/>
      <c r="J132" s="5">
        <f>_xlfn.RANK.EQ(L132,$L$109:$L$145,0)+COUNTIF($L$109:L132,L132)-1</f>
        <v>24</v>
      </c>
      <c r="K132" s="73" t="s">
        <v>238</v>
      </c>
      <c r="L132" s="94">
        <f>SUMIFS(Table_Assembly[Specific Amount],Table_Assembly[NG Type],$B$21,Table_Assembly[NG content],K132,Table_Assembly[Product type],$K$3,Table_Assembly[MFG Date],"&gt;="&amp;'Weekly Report'!$B$13,Table_Assembly[MFG Date],"&lt;="&amp;'Weekly Report'!$B$15)</f>
        <v>0</v>
      </c>
      <c r="M132" s="95">
        <f t="shared" si="27"/>
        <v>0</v>
      </c>
      <c r="N132" s="8"/>
      <c r="S132">
        <f>_xlfn.RANK.EQ(U132,$U$109:$U$145,0)+COUNTIF($U$109:U132,U132)-1</f>
        <v>26</v>
      </c>
      <c r="T132" s="73" t="s">
        <v>238</v>
      </c>
      <c r="U132" s="94">
        <f>SUMIFS(Table_Assembly[Specific Amount],Table_Assembly[Product type],$T$3,Table_Assembly[NG Type],$R$19,Table_Assembly[NG content],T132,Table_Assembly[Month],INDEX($AE$14:$AE$25,MATCH($Q$9,$AD$14:$AD$25,0)))</f>
        <v>0</v>
      </c>
      <c r="V132" s="95">
        <f t="shared" si="28"/>
        <v>0</v>
      </c>
      <c r="W132" s="8"/>
      <c r="X132" s="5">
        <f>_xlfn.RANK.EQ(Z132,$Z$109:$Z$145,0)+COUNTIF($Z$109:Z132,Z132)-1</f>
        <v>3</v>
      </c>
      <c r="Y132" s="73" t="s">
        <v>238</v>
      </c>
      <c r="Z132" s="94">
        <f>SUMIFS(Table_Assembly[Specific Amount],Table_Assembly[Product type],$Y$3,Table_Assembly[NG Type],$R$19,Table_Assembly[NG content],Y132,Table_Assembly[Month],INDEX($AE$14:$AE$25,MATCH($Q$9,$AD$14:$AD$25,0)))</f>
        <v>9</v>
      </c>
      <c r="AA132" s="95">
        <f t="shared" si="29"/>
        <v>10.344827586206897</v>
      </c>
      <c r="AB132" s="8"/>
      <c r="AG132">
        <f>_xlfn.RANK.EQ(AI132,$AI$109:$AI$145,0)+COUNTIF($AI$109:AI132,AI132)-1</f>
        <v>27</v>
      </c>
      <c r="AH132" s="73" t="s">
        <v>238</v>
      </c>
      <c r="AI132" s="94">
        <f>SUMIFS(Table_Assembly[Specific Amount],Table_Assembly[Product type],$AH$107,Table_Assembly[NG Type],$AF$12,Table_Assembly[NG content],AH132,Table_Assembly[Year],$AE$7)</f>
        <v>0</v>
      </c>
      <c r="AJ132" s="95">
        <f t="shared" si="26"/>
        <v>0</v>
      </c>
      <c r="AK132" s="8"/>
      <c r="AM132" s="5">
        <f>_xlfn.RANK.EQ(AO132,$AO$109:$AO$145,0)+COUNTIF($AO$109:AO132,AO132)-1</f>
        <v>3</v>
      </c>
      <c r="AN132" s="73" t="s">
        <v>238</v>
      </c>
      <c r="AO132" s="94">
        <f>SUMIFS(Table_Assembly[Specific Amount],Table_Assembly[Product type],$AN$107,Table_Assembly[NG Type],$AF$12,Table_Assembly[NG content],AN132,Table_Assembly[Year],$AE$7)</f>
        <v>10</v>
      </c>
      <c r="AP132" s="95">
        <f t="shared" si="30"/>
        <v>5.9880239520958085</v>
      </c>
      <c r="AQ132" s="8"/>
    </row>
    <row r="133" spans="4:43">
      <c r="D133">
        <f>_xlfn.RANK.EQ(F133,$F$109:$F$145,0)+COUNTIF($F$109:F133,F133)-1</f>
        <v>27</v>
      </c>
      <c r="E133" s="73" t="s">
        <v>186</v>
      </c>
      <c r="F133" s="94">
        <f>SUMIFS(Table_Assembly[Specific Amount],Table_Assembly[NG Type],$B$21,Table_Assembly[NG content],E133,Table_Assembly[Product type],$E$3,Table_Assembly[MFG Date],"&gt;="&amp;'Weekly Report'!$B$13,Table_Assembly[MFG Date],"&lt;="&amp;'Weekly Report'!$B$15)</f>
        <v>0</v>
      </c>
      <c r="G133" s="95">
        <f t="shared" si="25"/>
        <v>0</v>
      </c>
      <c r="H133" s="8"/>
      <c r="J133" s="5">
        <f>_xlfn.RANK.EQ(L133,$L$109:$L$145,0)+COUNTIF($L$109:L133,L133)-1</f>
        <v>25</v>
      </c>
      <c r="K133" s="73" t="s">
        <v>186</v>
      </c>
      <c r="L133" s="94">
        <f>SUMIFS(Table_Assembly[Specific Amount],Table_Assembly[NG Type],$B$21,Table_Assembly[NG content],K133,Table_Assembly[Product type],$K$3,Table_Assembly[MFG Date],"&gt;="&amp;'Weekly Report'!$B$13,Table_Assembly[MFG Date],"&lt;="&amp;'Weekly Report'!$B$15)</f>
        <v>0</v>
      </c>
      <c r="M133" s="95">
        <f t="shared" si="27"/>
        <v>0</v>
      </c>
      <c r="N133" s="8"/>
      <c r="S133">
        <f>_xlfn.RANK.EQ(U133,$U$109:$U$145,0)+COUNTIF($U$109:U133,U133)-1</f>
        <v>27</v>
      </c>
      <c r="T133" s="73" t="s">
        <v>186</v>
      </c>
      <c r="U133" s="94">
        <f>SUMIFS(Table_Assembly[Specific Amount],Table_Assembly[Product type],$T$3,Table_Assembly[NG Type],$R$19,Table_Assembly[NG content],T133,Table_Assembly[Month],INDEX($AE$14:$AE$25,MATCH($Q$9,$AD$14:$AD$25,0)))</f>
        <v>0</v>
      </c>
      <c r="V133" s="95">
        <f t="shared" si="28"/>
        <v>0</v>
      </c>
      <c r="W133" s="8"/>
      <c r="X133" s="5">
        <f>_xlfn.RANK.EQ(Z133,$Z$109:$Z$145,0)+COUNTIF($Z$109:Z133,Z133)-1</f>
        <v>25</v>
      </c>
      <c r="Y133" s="73" t="s">
        <v>186</v>
      </c>
      <c r="Z133" s="94">
        <f>SUMIFS(Table_Assembly[Specific Amount],Table_Assembly[Product type],$Y$3,Table_Assembly[NG Type],$R$19,Table_Assembly[NG content],Y133,Table_Assembly[Month],INDEX($AE$14:$AE$25,MATCH($Q$9,$AD$14:$AD$25,0)))</f>
        <v>0</v>
      </c>
      <c r="AA133" s="95">
        <f t="shared" si="29"/>
        <v>0</v>
      </c>
      <c r="AB133" s="8"/>
      <c r="AG133">
        <f>_xlfn.RANK.EQ(AI133,$AI$109:$AI$145,0)+COUNTIF($AI$109:AI133,AI133)-1</f>
        <v>28</v>
      </c>
      <c r="AH133" s="73" t="s">
        <v>186</v>
      </c>
      <c r="AI133" s="94">
        <f>SUMIFS(Table_Assembly[Specific Amount],Table_Assembly[Product type],$AH$107,Table_Assembly[NG Type],$AF$12,Table_Assembly[NG content],AH133,Table_Assembly[Year],$AE$7)</f>
        <v>0</v>
      </c>
      <c r="AJ133" s="95">
        <f t="shared" si="26"/>
        <v>0</v>
      </c>
      <c r="AK133" s="8"/>
      <c r="AM133" s="5">
        <f>_xlfn.RANK.EQ(AO133,$AO$109:$AO$145,0)+COUNTIF($AO$109:AO133,AO133)-1</f>
        <v>26</v>
      </c>
      <c r="AN133" s="73" t="s">
        <v>186</v>
      </c>
      <c r="AO133" s="94">
        <f>SUMIFS(Table_Assembly[Specific Amount],Table_Assembly[Product type],$AN$107,Table_Assembly[NG Type],$AF$12,Table_Assembly[NG content],AN133,Table_Assembly[Year],$AE$7)</f>
        <v>0</v>
      </c>
      <c r="AP133" s="95">
        <f t="shared" si="30"/>
        <v>0</v>
      </c>
      <c r="AQ133" s="8"/>
    </row>
    <row r="134" spans="4:43">
      <c r="D134">
        <f>_xlfn.RANK.EQ(F134,$F$109:$F$145,0)+COUNTIF($F$109:F134,F134)-1</f>
        <v>28</v>
      </c>
      <c r="E134" s="73" t="s">
        <v>187</v>
      </c>
      <c r="F134" s="94">
        <f>SUMIFS(Table_Assembly[Specific Amount],Table_Assembly[NG Type],$B$21,Table_Assembly[NG content],E134,Table_Assembly[Product type],$E$3,Table_Assembly[MFG Date],"&gt;="&amp;'Weekly Report'!$B$13,Table_Assembly[MFG Date],"&lt;="&amp;'Weekly Report'!$B$15)</f>
        <v>0</v>
      </c>
      <c r="G134" s="95">
        <f t="shared" si="25"/>
        <v>0</v>
      </c>
      <c r="H134" s="8"/>
      <c r="J134" s="5">
        <f>_xlfn.RANK.EQ(L134,$L$109:$L$145,0)+COUNTIF($L$109:L134,L134)-1</f>
        <v>26</v>
      </c>
      <c r="K134" s="73" t="s">
        <v>187</v>
      </c>
      <c r="L134" s="94">
        <f>SUMIFS(Table_Assembly[Specific Amount],Table_Assembly[NG Type],$B$21,Table_Assembly[NG content],K134,Table_Assembly[Product type],$K$3,Table_Assembly[MFG Date],"&gt;="&amp;'Weekly Report'!$B$13,Table_Assembly[MFG Date],"&lt;="&amp;'Weekly Report'!$B$15)</f>
        <v>0</v>
      </c>
      <c r="M134" s="95">
        <f t="shared" si="27"/>
        <v>0</v>
      </c>
      <c r="N134" s="8"/>
      <c r="S134">
        <f>_xlfn.RANK.EQ(U134,$U$109:$U$145,0)+COUNTIF($U$109:U134,U134)-1</f>
        <v>28</v>
      </c>
      <c r="T134" s="73" t="s">
        <v>187</v>
      </c>
      <c r="U134" s="94">
        <f>SUMIFS(Table_Assembly[Specific Amount],Table_Assembly[Product type],$T$3,Table_Assembly[NG Type],$R$19,Table_Assembly[NG content],T134,Table_Assembly[Month],INDEX($AE$14:$AE$25,MATCH($Q$9,$AD$14:$AD$25,0)))</f>
        <v>0</v>
      </c>
      <c r="V134" s="95">
        <f t="shared" si="28"/>
        <v>0</v>
      </c>
      <c r="W134" s="8"/>
      <c r="X134" s="5">
        <f>_xlfn.RANK.EQ(Z134,$Z$109:$Z$145,0)+COUNTIF($Z$109:Z134,Z134)-1</f>
        <v>26</v>
      </c>
      <c r="Y134" s="73" t="s">
        <v>187</v>
      </c>
      <c r="Z134" s="94">
        <f>SUMIFS(Table_Assembly[Specific Amount],Table_Assembly[Product type],$Y$3,Table_Assembly[NG Type],$R$19,Table_Assembly[NG content],Y134,Table_Assembly[Month],INDEX($AE$14:$AE$25,MATCH($Q$9,$AD$14:$AD$25,0)))</f>
        <v>0</v>
      </c>
      <c r="AA134" s="95">
        <f t="shared" si="29"/>
        <v>0</v>
      </c>
      <c r="AB134" s="8"/>
      <c r="AG134">
        <f>_xlfn.RANK.EQ(AI134,$AI$109:$AI$145,0)+COUNTIF($AI$109:AI134,AI134)-1</f>
        <v>29</v>
      </c>
      <c r="AH134" s="73" t="s">
        <v>187</v>
      </c>
      <c r="AI134" s="94">
        <f>SUMIFS(Table_Assembly[Specific Amount],Table_Assembly[Product type],$AH$107,Table_Assembly[NG Type],$AF$12,Table_Assembly[NG content],AH134,Table_Assembly[Year],$AE$7)</f>
        <v>0</v>
      </c>
      <c r="AJ134" s="95">
        <f t="shared" si="26"/>
        <v>0</v>
      </c>
      <c r="AK134" s="8"/>
      <c r="AM134" s="5">
        <f>_xlfn.RANK.EQ(AO134,$AO$109:$AO$145,0)+COUNTIF($AO$109:AO134,AO134)-1</f>
        <v>27</v>
      </c>
      <c r="AN134" s="73" t="s">
        <v>187</v>
      </c>
      <c r="AO134" s="94">
        <f>SUMIFS(Table_Assembly[Specific Amount],Table_Assembly[Product type],$AN$107,Table_Assembly[NG Type],$AF$12,Table_Assembly[NG content],AN134,Table_Assembly[Year],$AE$7)</f>
        <v>0</v>
      </c>
      <c r="AP134" s="95">
        <f t="shared" si="30"/>
        <v>0</v>
      </c>
      <c r="AQ134" s="8"/>
    </row>
    <row r="135" spans="4:43">
      <c r="D135">
        <f>_xlfn.RANK.EQ(F135,$F$109:$F$145,0)+COUNTIF($F$109:F135,F135)-1</f>
        <v>29</v>
      </c>
      <c r="E135" s="73" t="s">
        <v>188</v>
      </c>
      <c r="F135" s="94">
        <f>SUMIFS(Table_Assembly[Specific Amount],Table_Assembly[NG Type],$B$21,Table_Assembly[NG content],E135,Table_Assembly[Product type],$E$3,Table_Assembly[MFG Date],"&gt;="&amp;'Weekly Report'!$B$13,Table_Assembly[MFG Date],"&lt;="&amp;'Weekly Report'!$B$15)</f>
        <v>0</v>
      </c>
      <c r="G135" s="95">
        <f t="shared" si="25"/>
        <v>0</v>
      </c>
      <c r="H135" s="8"/>
      <c r="J135" s="5">
        <f>_xlfn.RANK.EQ(L135,$L$109:$L$145,0)+COUNTIF($L$109:L135,L135)-1</f>
        <v>27</v>
      </c>
      <c r="K135" s="73" t="s">
        <v>188</v>
      </c>
      <c r="L135" s="94">
        <f>SUMIFS(Table_Assembly[Specific Amount],Table_Assembly[NG Type],$B$21,Table_Assembly[NG content],K135,Table_Assembly[Product type],$K$3,Table_Assembly[MFG Date],"&gt;="&amp;'Weekly Report'!$B$13,Table_Assembly[MFG Date],"&lt;="&amp;'Weekly Report'!$B$15)</f>
        <v>0</v>
      </c>
      <c r="M135" s="95">
        <f t="shared" si="27"/>
        <v>0</v>
      </c>
      <c r="N135" s="8"/>
      <c r="S135">
        <f>_xlfn.RANK.EQ(U135,$U$109:$U$145,0)+COUNTIF($U$109:U135,U135)-1</f>
        <v>29</v>
      </c>
      <c r="T135" s="73" t="s">
        <v>188</v>
      </c>
      <c r="U135" s="94">
        <f>SUMIFS(Table_Assembly[Specific Amount],Table_Assembly[Product type],$T$3,Table_Assembly[NG Type],$R$19,Table_Assembly[NG content],T135,Table_Assembly[Month],INDEX($AE$14:$AE$25,MATCH($Q$9,$AD$14:$AD$25,0)))</f>
        <v>0</v>
      </c>
      <c r="V135" s="95">
        <f t="shared" si="28"/>
        <v>0</v>
      </c>
      <c r="W135" s="8"/>
      <c r="X135" s="5">
        <f>_xlfn.RANK.EQ(Z135,$Z$109:$Z$145,0)+COUNTIF($Z$109:Z135,Z135)-1</f>
        <v>27</v>
      </c>
      <c r="Y135" s="73" t="s">
        <v>188</v>
      </c>
      <c r="Z135" s="94">
        <f>SUMIFS(Table_Assembly[Specific Amount],Table_Assembly[Product type],$Y$3,Table_Assembly[NG Type],$R$19,Table_Assembly[NG content],Y135,Table_Assembly[Month],INDEX($AE$14:$AE$25,MATCH($Q$9,$AD$14:$AD$25,0)))</f>
        <v>0</v>
      </c>
      <c r="AA135" s="95">
        <f t="shared" si="29"/>
        <v>0</v>
      </c>
      <c r="AB135" s="8"/>
      <c r="AG135">
        <f>_xlfn.RANK.EQ(AI135,$AI$109:$AI$145,0)+COUNTIF($AI$109:AI135,AI135)-1</f>
        <v>11</v>
      </c>
      <c r="AH135" s="73" t="s">
        <v>188</v>
      </c>
      <c r="AI135" s="94">
        <f>SUMIFS(Table_Assembly[Specific Amount],Table_Assembly[Product type],$AH$107,Table_Assembly[NG Type],$AF$12,Table_Assembly[NG content],AH135,Table_Assembly[Year],$AE$7)</f>
        <v>2</v>
      </c>
      <c r="AJ135" s="95">
        <f t="shared" si="26"/>
        <v>0.16</v>
      </c>
      <c r="AK135" s="8"/>
      <c r="AM135" s="5">
        <f>_xlfn.RANK.EQ(AO135,$AO$109:$AO$145,0)+COUNTIF($AO$109:AO135,AO135)-1</f>
        <v>28</v>
      </c>
      <c r="AN135" s="73" t="s">
        <v>188</v>
      </c>
      <c r="AO135" s="94">
        <f>SUMIFS(Table_Assembly[Specific Amount],Table_Assembly[Product type],$AN$107,Table_Assembly[NG Type],$AF$12,Table_Assembly[NG content],AN135,Table_Assembly[Year],$AE$7)</f>
        <v>0</v>
      </c>
      <c r="AP135" s="95">
        <f t="shared" si="30"/>
        <v>0</v>
      </c>
      <c r="AQ135" s="8"/>
    </row>
    <row r="136" spans="4:43">
      <c r="D136">
        <f>_xlfn.RANK.EQ(F136,$F$109:$F$145,0)+COUNTIF($F$109:F136,F136)-1</f>
        <v>30</v>
      </c>
      <c r="E136" s="73" t="s">
        <v>189</v>
      </c>
      <c r="F136" s="94">
        <f>SUMIFS(Table_Assembly[Specific Amount],Table_Assembly[NG Type],$B$21,Table_Assembly[NG content],E136,Table_Assembly[Product type],$E$3,Table_Assembly[MFG Date],"&gt;="&amp;'Weekly Report'!$B$13,Table_Assembly[MFG Date],"&lt;="&amp;'Weekly Report'!$B$15)</f>
        <v>0</v>
      </c>
      <c r="G136" s="95">
        <f t="shared" si="25"/>
        <v>0</v>
      </c>
      <c r="H136" s="8"/>
      <c r="J136" s="5">
        <f>_xlfn.RANK.EQ(L136,$L$109:$L$145,0)+COUNTIF($L$109:L136,L136)-1</f>
        <v>28</v>
      </c>
      <c r="K136" s="73" t="s">
        <v>189</v>
      </c>
      <c r="L136" s="94">
        <f>SUMIFS(Table_Assembly[Specific Amount],Table_Assembly[NG Type],$B$21,Table_Assembly[NG content],K136,Table_Assembly[Product type],$K$3,Table_Assembly[MFG Date],"&gt;="&amp;'Weekly Report'!$B$13,Table_Assembly[MFG Date],"&lt;="&amp;'Weekly Report'!$B$15)</f>
        <v>0</v>
      </c>
      <c r="M136" s="95">
        <f t="shared" si="27"/>
        <v>0</v>
      </c>
      <c r="N136" s="8"/>
      <c r="S136">
        <f>_xlfn.RANK.EQ(U136,$U$109:$U$145,0)+COUNTIF($U$109:U136,U136)-1</f>
        <v>30</v>
      </c>
      <c r="T136" s="73" t="s">
        <v>189</v>
      </c>
      <c r="U136" s="94">
        <f>SUMIFS(Table_Assembly[Specific Amount],Table_Assembly[Product type],$T$3,Table_Assembly[NG Type],$R$19,Table_Assembly[NG content],T136,Table_Assembly[Month],INDEX($AE$14:$AE$25,MATCH($Q$9,$AD$14:$AD$25,0)))</f>
        <v>0</v>
      </c>
      <c r="V136" s="95">
        <f t="shared" si="28"/>
        <v>0</v>
      </c>
      <c r="W136" s="8"/>
      <c r="X136" s="5">
        <f>_xlfn.RANK.EQ(Z136,$Z$109:$Z$145,0)+COUNTIF($Z$109:Z136,Z136)-1</f>
        <v>28</v>
      </c>
      <c r="Y136" s="73" t="s">
        <v>189</v>
      </c>
      <c r="Z136" s="94">
        <f>SUMIFS(Table_Assembly[Specific Amount],Table_Assembly[Product type],$Y$3,Table_Assembly[NG Type],$R$19,Table_Assembly[NG content],Y136,Table_Assembly[Month],INDEX($AE$14:$AE$25,MATCH($Q$9,$AD$14:$AD$25,0)))</f>
        <v>0</v>
      </c>
      <c r="AA136" s="95">
        <f t="shared" si="29"/>
        <v>0</v>
      </c>
      <c r="AB136" s="8"/>
      <c r="AG136">
        <f>_xlfn.RANK.EQ(AI136,$AI$109:$AI$145,0)+COUNTIF($AI$109:AI136,AI136)-1</f>
        <v>30</v>
      </c>
      <c r="AH136" s="73" t="s">
        <v>189</v>
      </c>
      <c r="AI136" s="94">
        <f>SUMIFS(Table_Assembly[Specific Amount],Table_Assembly[Product type],$AH$107,Table_Assembly[NG Type],$AF$12,Table_Assembly[NG content],AH136,Table_Assembly[Year],$AE$7)</f>
        <v>0</v>
      </c>
      <c r="AJ136" s="95">
        <f t="shared" si="26"/>
        <v>0</v>
      </c>
      <c r="AK136" s="8"/>
      <c r="AM136" s="5">
        <f>_xlfn.RANK.EQ(AO136,$AO$109:$AO$145,0)+COUNTIF($AO$109:AO136,AO136)-1</f>
        <v>29</v>
      </c>
      <c r="AN136" s="73" t="s">
        <v>189</v>
      </c>
      <c r="AO136" s="94">
        <f>SUMIFS(Table_Assembly[Specific Amount],Table_Assembly[Product type],$AN$107,Table_Assembly[NG Type],$AF$12,Table_Assembly[NG content],AN136,Table_Assembly[Year],$AE$7)</f>
        <v>0</v>
      </c>
      <c r="AP136" s="95">
        <f t="shared" si="30"/>
        <v>0</v>
      </c>
      <c r="AQ136" s="8"/>
    </row>
    <row r="137" spans="4:43">
      <c r="D137">
        <f>_xlfn.RANK.EQ(F137,$F$109:$F$145,0)+COUNTIF($F$109:F137,F137)-1</f>
        <v>10</v>
      </c>
      <c r="E137" s="73" t="s">
        <v>190</v>
      </c>
      <c r="F137" s="94">
        <f>SUMIFS(Table_Assembly[Specific Amount],Table_Assembly[NG Type],$B$21,Table_Assembly[NG content],E137,Table_Assembly[Product type],$E$3,Table_Assembly[MFG Date],"&gt;="&amp;'Weekly Report'!$B$13,Table_Assembly[MFG Date],"&lt;="&amp;'Weekly Report'!$B$15)</f>
        <v>1</v>
      </c>
      <c r="G137" s="95">
        <f t="shared" si="25"/>
        <v>1.2658227848101267</v>
      </c>
      <c r="H137" s="8"/>
      <c r="J137" s="5">
        <f>_xlfn.RANK.EQ(L137,$L$109:$L$145,0)+COUNTIF($L$109:L137,L137)-1</f>
        <v>29</v>
      </c>
      <c r="K137" s="73" t="s">
        <v>190</v>
      </c>
      <c r="L137" s="94">
        <f>SUMIFS(Table_Assembly[Specific Amount],Table_Assembly[NG Type],$B$21,Table_Assembly[NG content],K137,Table_Assembly[Product type],$K$3,Table_Assembly[MFG Date],"&gt;="&amp;'Weekly Report'!$B$13,Table_Assembly[MFG Date],"&lt;="&amp;'Weekly Report'!$B$15)</f>
        <v>0</v>
      </c>
      <c r="M137" s="95">
        <f t="shared" si="27"/>
        <v>0</v>
      </c>
      <c r="N137" s="8"/>
      <c r="S137">
        <f>_xlfn.RANK.EQ(U137,$U$109:$U$145,0)+COUNTIF($U$109:U137,U137)-1</f>
        <v>7</v>
      </c>
      <c r="T137" s="73" t="s">
        <v>190</v>
      </c>
      <c r="U137" s="94">
        <f>SUMIFS(Table_Assembly[Specific Amount],Table_Assembly[Product type],$T$3,Table_Assembly[NG Type],$R$19,Table_Assembly[NG content],T137,Table_Assembly[Month],INDEX($AE$14:$AE$25,MATCH($Q$9,$AD$14:$AD$25,0)))</f>
        <v>7</v>
      </c>
      <c r="V137" s="95">
        <f t="shared" si="28"/>
        <v>0.59322033898305082</v>
      </c>
      <c r="W137" s="8"/>
      <c r="X137" s="5">
        <f>_xlfn.RANK.EQ(Z137,$Z$109:$Z$145,0)+COUNTIF($Z$109:Z137,Z137)-1</f>
        <v>29</v>
      </c>
      <c r="Y137" s="73" t="s">
        <v>190</v>
      </c>
      <c r="Z137" s="94">
        <f>SUMIFS(Table_Assembly[Specific Amount],Table_Assembly[Product type],$Y$3,Table_Assembly[NG Type],$R$19,Table_Assembly[NG content],Y137,Table_Assembly[Month],INDEX($AE$14:$AE$25,MATCH($Q$9,$AD$14:$AD$25,0)))</f>
        <v>0</v>
      </c>
      <c r="AA137" s="95">
        <f t="shared" si="29"/>
        <v>0</v>
      </c>
      <c r="AB137" s="8"/>
      <c r="AG137">
        <f>_xlfn.RANK.EQ(AI137,$AI$109:$AI$145,0)+COUNTIF($AI$109:AI137,AI137)-1</f>
        <v>6</v>
      </c>
      <c r="AH137" s="73" t="s">
        <v>190</v>
      </c>
      <c r="AI137" s="94">
        <f>SUMIFS(Table_Assembly[Specific Amount],Table_Assembly[Product type],$AH$107,Table_Assembly[NG Type],$AF$12,Table_Assembly[NG content],AH137,Table_Assembly[Year],$AE$7)</f>
        <v>11</v>
      </c>
      <c r="AJ137" s="95">
        <f t="shared" si="26"/>
        <v>0.88</v>
      </c>
      <c r="AK137" s="8"/>
      <c r="AM137" s="5">
        <f>_xlfn.RANK.EQ(AO137,$AO$109:$AO$145,0)+COUNTIF($AO$109:AO137,AO137)-1</f>
        <v>30</v>
      </c>
      <c r="AN137" s="73" t="s">
        <v>190</v>
      </c>
      <c r="AO137" s="94">
        <f>SUMIFS(Table_Assembly[Specific Amount],Table_Assembly[Product type],$AN$107,Table_Assembly[NG Type],$AF$12,Table_Assembly[NG content],AN137,Table_Assembly[Year],$AE$7)</f>
        <v>0</v>
      </c>
      <c r="AP137" s="95">
        <f t="shared" si="30"/>
        <v>0</v>
      </c>
      <c r="AQ137" s="8"/>
    </row>
    <row r="138" spans="4:43">
      <c r="D138">
        <f>_xlfn.RANK.EQ(F138,$F$109:$F$145,0)+COUNTIF($F$109:F138,F138)-1</f>
        <v>31</v>
      </c>
      <c r="E138" s="73" t="s">
        <v>191</v>
      </c>
      <c r="F138" s="94">
        <f>SUMIFS(Table_Assembly[Specific Amount],Table_Assembly[NG Type],$B$21,Table_Assembly[NG content],E138,Table_Assembly[Product type],$E$3,Table_Assembly[MFG Date],"&gt;="&amp;'Weekly Report'!$B$13,Table_Assembly[MFG Date],"&lt;="&amp;'Weekly Report'!$B$15)</f>
        <v>0</v>
      </c>
      <c r="G138" s="95">
        <f t="shared" si="25"/>
        <v>0</v>
      </c>
      <c r="H138" s="8"/>
      <c r="J138" s="5">
        <f>_xlfn.RANK.EQ(L138,$L$109:$L$145,0)+COUNTIF($L$109:L138,L138)-1</f>
        <v>30</v>
      </c>
      <c r="K138" s="73" t="s">
        <v>191</v>
      </c>
      <c r="L138" s="94">
        <f>SUMIFS(Table_Assembly[Specific Amount],Table_Assembly[NG Type],$B$21,Table_Assembly[NG content],K138,Table_Assembly[Product type],$K$3,Table_Assembly[MFG Date],"&gt;="&amp;'Weekly Report'!$B$13,Table_Assembly[MFG Date],"&lt;="&amp;'Weekly Report'!$B$15)</f>
        <v>0</v>
      </c>
      <c r="M138" s="95">
        <f t="shared" si="27"/>
        <v>0</v>
      </c>
      <c r="N138" s="8"/>
      <c r="S138">
        <f>_xlfn.RANK.EQ(U138,$U$109:$U$145,0)+COUNTIF($U$109:U138,U138)-1</f>
        <v>31</v>
      </c>
      <c r="T138" s="73" t="s">
        <v>191</v>
      </c>
      <c r="U138" s="94">
        <f>SUMIFS(Table_Assembly[Specific Amount],Table_Assembly[Product type],$T$3,Table_Assembly[NG Type],$R$19,Table_Assembly[NG content],T138,Table_Assembly[Month],INDEX($AE$14:$AE$25,MATCH($Q$9,$AD$14:$AD$25,0)))</f>
        <v>0</v>
      </c>
      <c r="V138" s="95">
        <f t="shared" si="28"/>
        <v>0</v>
      </c>
      <c r="W138" s="8"/>
      <c r="X138" s="5">
        <f>_xlfn.RANK.EQ(Z138,$Z$109:$Z$145,0)+COUNTIF($Z$109:Z138,Z138)-1</f>
        <v>30</v>
      </c>
      <c r="Y138" s="73" t="s">
        <v>191</v>
      </c>
      <c r="Z138" s="94">
        <f>SUMIFS(Table_Assembly[Specific Amount],Table_Assembly[Product type],$Y$3,Table_Assembly[NG Type],$R$19,Table_Assembly[NG content],Y138,Table_Assembly[Month],INDEX($AE$14:$AE$25,MATCH($Q$9,$AD$14:$AD$25,0)))</f>
        <v>0</v>
      </c>
      <c r="AA138" s="95">
        <f t="shared" si="29"/>
        <v>0</v>
      </c>
      <c r="AB138" s="8"/>
      <c r="AG138">
        <f>_xlfn.RANK.EQ(AI138,$AI$109:$AI$145,0)+COUNTIF($AI$109:AI138,AI138)-1</f>
        <v>31</v>
      </c>
      <c r="AH138" s="73" t="s">
        <v>191</v>
      </c>
      <c r="AI138" s="94">
        <f>SUMIFS(Table_Assembly[Specific Amount],Table_Assembly[Product type],$AH$107,Table_Assembly[NG Type],$AF$12,Table_Assembly[NG content],AH138,Table_Assembly[Year],$AE$7)</f>
        <v>0</v>
      </c>
      <c r="AJ138" s="95">
        <f t="shared" si="26"/>
        <v>0</v>
      </c>
      <c r="AK138" s="8"/>
      <c r="AM138" s="5">
        <f>_xlfn.RANK.EQ(AO138,$AO$109:$AO$145,0)+COUNTIF($AO$109:AO138,AO138)-1</f>
        <v>31</v>
      </c>
      <c r="AN138" s="73" t="s">
        <v>191</v>
      </c>
      <c r="AO138" s="94">
        <f>SUMIFS(Table_Assembly[Specific Amount],Table_Assembly[Product type],$AN$107,Table_Assembly[NG Type],$AF$12,Table_Assembly[NG content],AN138,Table_Assembly[Year],$AE$7)</f>
        <v>0</v>
      </c>
      <c r="AP138" s="95">
        <f t="shared" si="30"/>
        <v>0</v>
      </c>
      <c r="AQ138" s="8"/>
    </row>
    <row r="139" spans="4:43">
      <c r="D139">
        <f>_xlfn.RANK.EQ(F139,$F$109:$F$145,0)+COUNTIF($F$109:F139,F139)-1</f>
        <v>32</v>
      </c>
      <c r="E139" s="73" t="s">
        <v>240</v>
      </c>
      <c r="F139" s="94">
        <f>SUMIFS(Table_Assembly[Specific Amount],Table_Assembly[NG Type],$B$21,Table_Assembly[NG content],E139,Table_Assembly[Product type],$E$3,Table_Assembly[MFG Date],"&gt;="&amp;'Weekly Report'!$B$13,Table_Assembly[MFG Date],"&lt;="&amp;'Weekly Report'!$B$15)</f>
        <v>0</v>
      </c>
      <c r="G139" s="95">
        <f t="shared" si="25"/>
        <v>0</v>
      </c>
      <c r="H139" s="8"/>
      <c r="J139" s="5">
        <f>_xlfn.RANK.EQ(L139,$L$109:$L$145,0)+COUNTIF($L$109:L139,L139)-1</f>
        <v>31</v>
      </c>
      <c r="K139" s="73" t="s">
        <v>240</v>
      </c>
      <c r="L139" s="94">
        <f>SUMIFS(Table_Assembly[Specific Amount],Table_Assembly[NG Type],$B$21,Table_Assembly[NG content],K139,Table_Assembly[Product type],$K$3,Table_Assembly[MFG Date],"&gt;="&amp;'Weekly Report'!$B$13,Table_Assembly[MFG Date],"&lt;="&amp;'Weekly Report'!$B$15)</f>
        <v>0</v>
      </c>
      <c r="M139" s="95">
        <f t="shared" si="27"/>
        <v>0</v>
      </c>
      <c r="N139" s="8"/>
      <c r="S139">
        <f>_xlfn.RANK.EQ(U139,$U$109:$U$145,0)+COUNTIF($U$109:U139,U139)-1</f>
        <v>32</v>
      </c>
      <c r="T139" s="73" t="s">
        <v>240</v>
      </c>
      <c r="U139" s="94">
        <f>SUMIFS(Table_Assembly[Specific Amount],Table_Assembly[Product type],$T$3,Table_Assembly[NG Type],$R$19,Table_Assembly[NG content],T139,Table_Assembly[Month],INDEX($AE$14:$AE$25,MATCH($Q$9,$AD$14:$AD$25,0)))</f>
        <v>0</v>
      </c>
      <c r="V139" s="95">
        <f t="shared" si="28"/>
        <v>0</v>
      </c>
      <c r="W139" s="8"/>
      <c r="X139" s="5">
        <f>_xlfn.RANK.EQ(Z139,$Z$109:$Z$145,0)+COUNTIF($Z$109:Z139,Z139)-1</f>
        <v>31</v>
      </c>
      <c r="Y139" s="73" t="s">
        <v>240</v>
      </c>
      <c r="Z139" s="94">
        <f>SUMIFS(Table_Assembly[Specific Amount],Table_Assembly[Product type],$Y$3,Table_Assembly[NG Type],$R$19,Table_Assembly[NG content],Y139,Table_Assembly[Month],INDEX($AE$14:$AE$25,MATCH($Q$9,$AD$14:$AD$25,0)))</f>
        <v>0</v>
      </c>
      <c r="AA139" s="95">
        <f t="shared" si="29"/>
        <v>0</v>
      </c>
      <c r="AB139" s="8"/>
      <c r="AG139">
        <f>_xlfn.RANK.EQ(AI139,$AI$109:$AI$145,0)+COUNTIF($AI$109:AI139,AI139)-1</f>
        <v>32</v>
      </c>
      <c r="AH139" s="73" t="s">
        <v>240</v>
      </c>
      <c r="AI139" s="94">
        <f>SUMIFS(Table_Assembly[Specific Amount],Table_Assembly[Product type],$AH$107,Table_Assembly[NG Type],$AF$12,Table_Assembly[NG content],AH139,Table_Assembly[Year],$AE$7)</f>
        <v>0</v>
      </c>
      <c r="AJ139" s="95">
        <f t="shared" si="26"/>
        <v>0</v>
      </c>
      <c r="AK139" s="8"/>
      <c r="AM139" s="5">
        <f>_xlfn.RANK.EQ(AO139,$AO$109:$AO$145,0)+COUNTIF($AO$109:AO139,AO139)-1</f>
        <v>32</v>
      </c>
      <c r="AN139" s="73" t="s">
        <v>240</v>
      </c>
      <c r="AO139" s="94">
        <f>SUMIFS(Table_Assembly[Specific Amount],Table_Assembly[Product type],$AN$107,Table_Assembly[NG Type],$AF$12,Table_Assembly[NG content],AN139,Table_Assembly[Year],$AE$7)</f>
        <v>0</v>
      </c>
      <c r="AP139" s="95">
        <f t="shared" si="30"/>
        <v>0</v>
      </c>
      <c r="AQ139" s="8"/>
    </row>
    <row r="140" spans="4:43">
      <c r="D140">
        <f>_xlfn.RANK.EQ(F140,$F$109:$F$145,0)+COUNTIF($F$109:F140,F140)-1</f>
        <v>33</v>
      </c>
      <c r="E140" s="73" t="s">
        <v>192</v>
      </c>
      <c r="F140" s="94">
        <f>SUMIFS(Table_Assembly[Specific Amount],Table_Assembly[NG Type],$B$21,Table_Assembly[NG content],E140,Table_Assembly[Product type],$E$3,Table_Assembly[MFG Date],"&gt;="&amp;'Weekly Report'!$B$13,Table_Assembly[MFG Date],"&lt;="&amp;'Weekly Report'!$B$15)</f>
        <v>0</v>
      </c>
      <c r="G140" s="95">
        <f t="shared" si="25"/>
        <v>0</v>
      </c>
      <c r="H140" s="8"/>
      <c r="J140" s="5">
        <f>_xlfn.RANK.EQ(L140,$L$109:$L$145,0)+COUNTIF($L$109:L140,L140)-1</f>
        <v>32</v>
      </c>
      <c r="K140" s="73" t="s">
        <v>192</v>
      </c>
      <c r="L140" s="94">
        <f>SUMIFS(Table_Assembly[Specific Amount],Table_Assembly[NG Type],$B$21,Table_Assembly[NG content],K140,Table_Assembly[Product type],$K$3,Table_Assembly[MFG Date],"&gt;="&amp;'Weekly Report'!$B$13,Table_Assembly[MFG Date],"&lt;="&amp;'Weekly Report'!$B$15)</f>
        <v>0</v>
      </c>
      <c r="M140" s="95">
        <f t="shared" si="27"/>
        <v>0</v>
      </c>
      <c r="N140" s="8"/>
      <c r="S140">
        <f>_xlfn.RANK.EQ(U140,$U$109:$U$145,0)+COUNTIF($U$109:U140,U140)-1</f>
        <v>33</v>
      </c>
      <c r="T140" s="73" t="s">
        <v>192</v>
      </c>
      <c r="U140" s="94">
        <f>SUMIFS(Table_Assembly[Specific Amount],Table_Assembly[Product type],$T$3,Table_Assembly[NG Type],$R$19,Table_Assembly[NG content],T140,Table_Assembly[Month],INDEX($AE$14:$AE$25,MATCH($Q$9,$AD$14:$AD$25,0)))</f>
        <v>0</v>
      </c>
      <c r="V140" s="95">
        <f t="shared" si="28"/>
        <v>0</v>
      </c>
      <c r="W140" s="8"/>
      <c r="X140" s="5">
        <f>_xlfn.RANK.EQ(Z140,$Z$109:$Z$145,0)+COUNTIF($Z$109:Z140,Z140)-1</f>
        <v>32</v>
      </c>
      <c r="Y140" s="73" t="s">
        <v>192</v>
      </c>
      <c r="Z140" s="94">
        <f>SUMIFS(Table_Assembly[Specific Amount],Table_Assembly[Product type],$Y$3,Table_Assembly[NG Type],$R$19,Table_Assembly[NG content],Y140,Table_Assembly[Month],INDEX($AE$14:$AE$25,MATCH($Q$9,$AD$14:$AD$25,0)))</f>
        <v>0</v>
      </c>
      <c r="AA140" s="95">
        <f t="shared" si="29"/>
        <v>0</v>
      </c>
      <c r="AB140" s="8"/>
      <c r="AG140">
        <f>_xlfn.RANK.EQ(AI140,$AI$109:$AI$145,0)+COUNTIF($AI$109:AI140,AI140)-1</f>
        <v>33</v>
      </c>
      <c r="AH140" s="73" t="s">
        <v>192</v>
      </c>
      <c r="AI140" s="94">
        <f>SUMIFS(Table_Assembly[Specific Amount],Table_Assembly[Product type],$AH$107,Table_Assembly[NG Type],$AF$12,Table_Assembly[NG content],AH140,Table_Assembly[Year],$AE$7)</f>
        <v>0</v>
      </c>
      <c r="AJ140" s="95">
        <f t="shared" si="26"/>
        <v>0</v>
      </c>
      <c r="AK140" s="8"/>
      <c r="AM140" s="5">
        <f>_xlfn.RANK.EQ(AO140,$AO$109:$AO$145,0)+COUNTIF($AO$109:AO140,AO140)-1</f>
        <v>33</v>
      </c>
      <c r="AN140" s="73" t="s">
        <v>192</v>
      </c>
      <c r="AO140" s="94">
        <f>SUMIFS(Table_Assembly[Specific Amount],Table_Assembly[Product type],$AN$107,Table_Assembly[NG Type],$AF$12,Table_Assembly[NG content],AN140,Table_Assembly[Year],$AE$7)</f>
        <v>0</v>
      </c>
      <c r="AP140" s="95">
        <f t="shared" si="30"/>
        <v>0</v>
      </c>
      <c r="AQ140" s="8"/>
    </row>
    <row r="141" spans="4:43">
      <c r="D141">
        <f>_xlfn.RANK.EQ(F141,$F$109:$F$145,0)+COUNTIF($F$109:F141,F141)-1</f>
        <v>34</v>
      </c>
      <c r="E141" s="73" t="s">
        <v>193</v>
      </c>
      <c r="F141" s="94">
        <f>SUMIFS(Table_Assembly[Specific Amount],Table_Assembly[NG Type],$B$21,Table_Assembly[NG content],E141,Table_Assembly[Product type],$E$3,Table_Assembly[MFG Date],"&gt;="&amp;'Weekly Report'!$B$13,Table_Assembly[MFG Date],"&lt;="&amp;'Weekly Report'!$B$15)</f>
        <v>0</v>
      </c>
      <c r="G141" s="95">
        <f t="shared" si="25"/>
        <v>0</v>
      </c>
      <c r="H141" s="8"/>
      <c r="J141" s="5">
        <f>_xlfn.RANK.EQ(L141,$L$109:$L$145,0)+COUNTIF($L$109:L141,L141)-1</f>
        <v>33</v>
      </c>
      <c r="K141" s="73" t="s">
        <v>193</v>
      </c>
      <c r="L141" s="94">
        <f>SUMIFS(Table_Assembly[Specific Amount],Table_Assembly[NG Type],$B$21,Table_Assembly[NG content],K141,Table_Assembly[Product type],$K$3,Table_Assembly[MFG Date],"&gt;="&amp;'Weekly Report'!$B$13,Table_Assembly[MFG Date],"&lt;="&amp;'Weekly Report'!$B$15)</f>
        <v>0</v>
      </c>
      <c r="M141" s="95">
        <f t="shared" si="27"/>
        <v>0</v>
      </c>
      <c r="N141" s="8"/>
      <c r="S141">
        <f>_xlfn.RANK.EQ(U141,$U$109:$U$145,0)+COUNTIF($U$109:U141,U141)-1</f>
        <v>34</v>
      </c>
      <c r="T141" s="73" t="s">
        <v>193</v>
      </c>
      <c r="U141" s="94">
        <f>SUMIFS(Table_Assembly[Specific Amount],Table_Assembly[Product type],$T$3,Table_Assembly[NG Type],$R$19,Table_Assembly[NG content],T141,Table_Assembly[Month],INDEX($AE$14:$AE$25,MATCH($Q$9,$AD$14:$AD$25,0)))</f>
        <v>0</v>
      </c>
      <c r="V141" s="95">
        <f t="shared" si="28"/>
        <v>0</v>
      </c>
      <c r="W141" s="8"/>
      <c r="X141" s="5">
        <f>_xlfn.RANK.EQ(Z141,$Z$109:$Z$145,0)+COUNTIF($Z$109:Z141,Z141)-1</f>
        <v>33</v>
      </c>
      <c r="Y141" s="73" t="s">
        <v>193</v>
      </c>
      <c r="Z141" s="94">
        <f>SUMIFS(Table_Assembly[Specific Amount],Table_Assembly[Product type],$Y$3,Table_Assembly[NG Type],$R$19,Table_Assembly[NG content],Y141,Table_Assembly[Month],INDEX($AE$14:$AE$25,MATCH($Q$9,$AD$14:$AD$25,0)))</f>
        <v>0</v>
      </c>
      <c r="AA141" s="95">
        <f t="shared" si="29"/>
        <v>0</v>
      </c>
      <c r="AB141" s="8"/>
      <c r="AG141">
        <f>_xlfn.RANK.EQ(AI141,$AI$109:$AI$145,0)+COUNTIF($AI$109:AI141,AI141)-1</f>
        <v>34</v>
      </c>
      <c r="AH141" s="73" t="s">
        <v>193</v>
      </c>
      <c r="AI141" s="94">
        <f>SUMIFS(Table_Assembly[Specific Amount],Table_Assembly[Product type],$AH$107,Table_Assembly[NG Type],$AF$12,Table_Assembly[NG content],AH141,Table_Assembly[Year],$AE$7)</f>
        <v>0</v>
      </c>
      <c r="AJ141" s="95">
        <f t="shared" si="26"/>
        <v>0</v>
      </c>
      <c r="AK141" s="8"/>
      <c r="AM141" s="5">
        <f>_xlfn.RANK.EQ(AO141,$AO$109:$AO$145,0)+COUNTIF($AO$109:AO141,AO141)-1</f>
        <v>34</v>
      </c>
      <c r="AN141" s="73" t="s">
        <v>193</v>
      </c>
      <c r="AO141" s="94">
        <f>SUMIFS(Table_Assembly[Specific Amount],Table_Assembly[Product type],$AN$107,Table_Assembly[NG Type],$AF$12,Table_Assembly[NG content],AN141,Table_Assembly[Year],$AE$7)</f>
        <v>0</v>
      </c>
      <c r="AP141" s="95">
        <f t="shared" si="30"/>
        <v>0</v>
      </c>
      <c r="AQ141" s="8"/>
    </row>
    <row r="142" spans="4:43">
      <c r="D142">
        <f>_xlfn.RANK.EQ(F142,$F$109:$F$145,0)+COUNTIF($F$109:F142,F142)-1</f>
        <v>35</v>
      </c>
      <c r="E142" s="73" t="s">
        <v>241</v>
      </c>
      <c r="F142" s="94">
        <f>SUMIFS(Table_Assembly[Specific Amount],Table_Assembly[NG Type],$B$21,Table_Assembly[NG content],E142,Table_Assembly[Product type],$E$3,Table_Assembly[MFG Date],"&gt;="&amp;'Weekly Report'!$B$13,Table_Assembly[MFG Date],"&lt;="&amp;'Weekly Report'!$B$15)</f>
        <v>0</v>
      </c>
      <c r="G142" s="95">
        <f t="shared" si="25"/>
        <v>0</v>
      </c>
      <c r="H142" s="8"/>
      <c r="J142" s="5">
        <f>_xlfn.RANK.EQ(L142,$L$109:$L$145,0)+COUNTIF($L$109:L142,L142)-1</f>
        <v>34</v>
      </c>
      <c r="K142" s="73" t="s">
        <v>241</v>
      </c>
      <c r="L142" s="94">
        <f>SUMIFS(Table_Assembly[Specific Amount],Table_Assembly[NG Type],$B$21,Table_Assembly[NG content],K142,Table_Assembly[Product type],$K$3,Table_Assembly[MFG Date],"&gt;="&amp;'Weekly Report'!$B$13,Table_Assembly[MFG Date],"&lt;="&amp;'Weekly Report'!$B$15)</f>
        <v>0</v>
      </c>
      <c r="M142" s="95">
        <f t="shared" si="27"/>
        <v>0</v>
      </c>
      <c r="N142" s="8"/>
      <c r="S142">
        <f>_xlfn.RANK.EQ(U142,$U$109:$U$145,0)+COUNTIF($U$109:U142,U142)-1</f>
        <v>35</v>
      </c>
      <c r="T142" s="73" t="s">
        <v>241</v>
      </c>
      <c r="U142" s="94">
        <f>SUMIFS(Table_Assembly[Specific Amount],Table_Assembly[Product type],$T$3,Table_Assembly[NG Type],$R$19,Table_Assembly[NG content],T142,Table_Assembly[Month],INDEX($AE$14:$AE$25,MATCH($Q$9,$AD$14:$AD$25,0)))</f>
        <v>0</v>
      </c>
      <c r="V142" s="95">
        <f t="shared" si="28"/>
        <v>0</v>
      </c>
      <c r="W142" s="8"/>
      <c r="X142" s="5">
        <f>_xlfn.RANK.EQ(Z142,$Z$109:$Z$145,0)+COUNTIF($Z$109:Z142,Z142)-1</f>
        <v>34</v>
      </c>
      <c r="Y142" s="73" t="s">
        <v>241</v>
      </c>
      <c r="Z142" s="94">
        <f>SUMIFS(Table_Assembly[Specific Amount],Table_Assembly[Product type],$Y$3,Table_Assembly[NG Type],$R$19,Table_Assembly[NG content],Y142,Table_Assembly[Month],INDEX($AE$14:$AE$25,MATCH($Q$9,$AD$14:$AD$25,0)))</f>
        <v>0</v>
      </c>
      <c r="AA142" s="95">
        <f t="shared" si="29"/>
        <v>0</v>
      </c>
      <c r="AB142" s="8"/>
      <c r="AG142">
        <f>_xlfn.RANK.EQ(AI142,$AI$109:$AI$145,0)+COUNTIF($AI$109:AI142,AI142)-1</f>
        <v>35</v>
      </c>
      <c r="AH142" s="73" t="s">
        <v>241</v>
      </c>
      <c r="AI142" s="94">
        <f>SUMIFS(Table_Assembly[Specific Amount],Table_Assembly[Product type],$AH$107,Table_Assembly[NG Type],$AF$12,Table_Assembly[NG content],AH142,Table_Assembly[Year],$AE$7)</f>
        <v>0</v>
      </c>
      <c r="AJ142" s="95">
        <f t="shared" si="26"/>
        <v>0</v>
      </c>
      <c r="AK142" s="8"/>
      <c r="AM142" s="5">
        <f>_xlfn.RANK.EQ(AO142,$AO$109:$AO$145,0)+COUNTIF($AO$109:AO142,AO142)-1</f>
        <v>35</v>
      </c>
      <c r="AN142" s="73" t="s">
        <v>241</v>
      </c>
      <c r="AO142" s="94">
        <f>SUMIFS(Table_Assembly[Specific Amount],Table_Assembly[Product type],$AN$107,Table_Assembly[NG Type],$AF$12,Table_Assembly[NG content],AN142,Table_Assembly[Year],$AE$7)</f>
        <v>0</v>
      </c>
      <c r="AP142" s="95">
        <f t="shared" si="30"/>
        <v>0</v>
      </c>
      <c r="AQ142" s="8"/>
    </row>
    <row r="143" spans="4:43">
      <c r="D143">
        <f>_xlfn.RANK.EQ(F143,$F$109:$F$145,0)+COUNTIF($F$109:F143,F143)-1</f>
        <v>36</v>
      </c>
      <c r="E143" s="73" t="s">
        <v>194</v>
      </c>
      <c r="F143" s="94">
        <f>SUMIFS(Table_Assembly[Specific Amount],Table_Assembly[NG Type],$B$21,Table_Assembly[NG content],E143,Table_Assembly[Product type],$E$3,Table_Assembly[MFG Date],"&gt;="&amp;'Weekly Report'!$B$13,Table_Assembly[MFG Date],"&lt;="&amp;'Weekly Report'!$B$15)</f>
        <v>0</v>
      </c>
      <c r="G143" s="95">
        <f t="shared" si="25"/>
        <v>0</v>
      </c>
      <c r="H143" s="8"/>
      <c r="J143" s="5">
        <f>_xlfn.RANK.EQ(L143,$L$109:$L$145,0)+COUNTIF($L$109:L143,L143)-1</f>
        <v>35</v>
      </c>
      <c r="K143" s="73" t="s">
        <v>194</v>
      </c>
      <c r="L143" s="94">
        <f>SUMIFS(Table_Assembly[Specific Amount],Table_Assembly[NG Type],$B$21,Table_Assembly[NG content],K143,Table_Assembly[Product type],$K$3,Table_Assembly[MFG Date],"&gt;="&amp;'Weekly Report'!$B$13,Table_Assembly[MFG Date],"&lt;="&amp;'Weekly Report'!$B$15)</f>
        <v>0</v>
      </c>
      <c r="M143" s="95">
        <f t="shared" si="27"/>
        <v>0</v>
      </c>
      <c r="N143" s="8"/>
      <c r="S143">
        <f>_xlfn.RANK.EQ(U143,$U$109:$U$145,0)+COUNTIF($U$109:U143,U143)-1</f>
        <v>36</v>
      </c>
      <c r="T143" s="73" t="s">
        <v>194</v>
      </c>
      <c r="U143" s="94">
        <f>SUMIFS(Table_Assembly[Specific Amount],Table_Assembly[Product type],$T$3,Table_Assembly[NG Type],$R$19,Table_Assembly[NG content],T143,Table_Assembly[Month],INDEX($AE$14:$AE$25,MATCH($Q$9,$AD$14:$AD$25,0)))</f>
        <v>0</v>
      </c>
      <c r="V143" s="95">
        <f t="shared" si="28"/>
        <v>0</v>
      </c>
      <c r="W143" s="8"/>
      <c r="X143" s="5">
        <f>_xlfn.RANK.EQ(Z143,$Z$109:$Z$145,0)+COUNTIF($Z$109:Z143,Z143)-1</f>
        <v>35</v>
      </c>
      <c r="Y143" s="73" t="s">
        <v>194</v>
      </c>
      <c r="Z143" s="94">
        <f>SUMIFS(Table_Assembly[Specific Amount],Table_Assembly[Product type],$Y$3,Table_Assembly[NG Type],$R$19,Table_Assembly[NG content],Y143,Table_Assembly[Month],INDEX($AE$14:$AE$25,MATCH($Q$9,$AD$14:$AD$25,0)))</f>
        <v>0</v>
      </c>
      <c r="AA143" s="95">
        <f t="shared" si="29"/>
        <v>0</v>
      </c>
      <c r="AB143" s="8"/>
      <c r="AG143">
        <f>_xlfn.RANK.EQ(AI143,$AI$109:$AI$145,0)+COUNTIF($AI$109:AI143,AI143)-1</f>
        <v>36</v>
      </c>
      <c r="AH143" s="73" t="s">
        <v>194</v>
      </c>
      <c r="AI143" s="94">
        <f>SUMIFS(Table_Assembly[Specific Amount],Table_Assembly[Product type],$AH$107,Table_Assembly[NG Type],$AF$12,Table_Assembly[NG content],AH143,Table_Assembly[Year],$AE$7)</f>
        <v>0</v>
      </c>
      <c r="AJ143" s="95">
        <f t="shared" si="26"/>
        <v>0</v>
      </c>
      <c r="AK143" s="8"/>
      <c r="AM143" s="5">
        <f>_xlfn.RANK.EQ(AO143,$AO$109:$AO$145,0)+COUNTIF($AO$109:AO143,AO143)-1</f>
        <v>36</v>
      </c>
      <c r="AN143" s="73" t="s">
        <v>194</v>
      </c>
      <c r="AO143" s="94">
        <f>SUMIFS(Table_Assembly[Specific Amount],Table_Assembly[Product type],$AN$107,Table_Assembly[NG Type],$AF$12,Table_Assembly[NG content],AN143,Table_Assembly[Year],$AE$7)</f>
        <v>0</v>
      </c>
      <c r="AP143" s="95">
        <f t="shared" si="30"/>
        <v>0</v>
      </c>
      <c r="AQ143" s="8"/>
    </row>
    <row r="144" spans="4:43">
      <c r="D144">
        <f>_xlfn.RANK.EQ(F144,$F$109:$F$145,0)+COUNTIF($F$109:F144,F144)-1</f>
        <v>37</v>
      </c>
      <c r="E144" s="73" t="s">
        <v>195</v>
      </c>
      <c r="F144" s="94">
        <f>SUMIFS(Table_Assembly[Specific Amount],Table_Assembly[NG Type],$B$21,Table_Assembly[NG content],E144,Table_Assembly[Product type],$E$3,Table_Assembly[MFG Date],"&gt;="&amp;'Weekly Report'!$B$13,Table_Assembly[MFG Date],"&lt;="&amp;'Weekly Report'!$B$15)</f>
        <v>0</v>
      </c>
      <c r="G144" s="95">
        <f t="shared" si="25"/>
        <v>0</v>
      </c>
      <c r="H144" s="8"/>
      <c r="J144" s="5">
        <f>_xlfn.RANK.EQ(L144,$L$109:$L$145,0)+COUNTIF($L$109:L144,L144)-1</f>
        <v>36</v>
      </c>
      <c r="K144" s="73" t="s">
        <v>195</v>
      </c>
      <c r="L144" s="94">
        <f>SUMIFS(Table_Assembly[Specific Amount],Table_Assembly[NG Type],$B$21,Table_Assembly[NG content],K144,Table_Assembly[Product type],$K$3,Table_Assembly[MFG Date],"&gt;="&amp;'Weekly Report'!$B$13,Table_Assembly[MFG Date],"&lt;="&amp;'Weekly Report'!$B$15)</f>
        <v>0</v>
      </c>
      <c r="M144" s="95">
        <f t="shared" si="27"/>
        <v>0</v>
      </c>
      <c r="N144" s="8"/>
      <c r="S144">
        <f>_xlfn.RANK.EQ(U144,$U$109:$U$145,0)+COUNTIF($U$109:U144,U144)-1</f>
        <v>37</v>
      </c>
      <c r="T144" s="73" t="s">
        <v>195</v>
      </c>
      <c r="U144" s="94">
        <f>SUMIFS(Table_Assembly[Specific Amount],Table_Assembly[Product type],$T$3,Table_Assembly[NG Type],$R$19,Table_Assembly[NG content],T144,Table_Assembly[Month],INDEX($AE$14:$AE$25,MATCH($Q$9,$AD$14:$AD$25,0)))</f>
        <v>0</v>
      </c>
      <c r="V144" s="95">
        <f t="shared" si="28"/>
        <v>0</v>
      </c>
      <c r="W144" s="8"/>
      <c r="X144" s="5">
        <f>_xlfn.RANK.EQ(Z144,$Z$109:$Z$145,0)+COUNTIF($Z$109:Z144,Z144)-1</f>
        <v>36</v>
      </c>
      <c r="Y144" s="73" t="s">
        <v>195</v>
      </c>
      <c r="Z144" s="94">
        <f>SUMIFS(Table_Assembly[Specific Amount],Table_Assembly[Product type],$Y$3,Table_Assembly[NG Type],$R$19,Table_Assembly[NG content],Y144,Table_Assembly[Month],INDEX($AE$14:$AE$25,MATCH($Q$9,$AD$14:$AD$25,0)))</f>
        <v>0</v>
      </c>
      <c r="AA144" s="95">
        <f t="shared" si="29"/>
        <v>0</v>
      </c>
      <c r="AB144" s="8"/>
      <c r="AG144">
        <f>_xlfn.RANK.EQ(AI144,$AI$109:$AI$145,0)+COUNTIF($AI$109:AI144,AI144)-1</f>
        <v>37</v>
      </c>
      <c r="AH144" s="73" t="s">
        <v>195</v>
      </c>
      <c r="AI144" s="94">
        <f>SUMIFS(Table_Assembly[Specific Amount],Table_Assembly[Product type],$AH$107,Table_Assembly[NG Type],$AF$12,Table_Assembly[NG content],AH144,Table_Assembly[Year],$AE$7)</f>
        <v>0</v>
      </c>
      <c r="AJ144" s="95">
        <f t="shared" si="26"/>
        <v>0</v>
      </c>
      <c r="AK144" s="8"/>
      <c r="AM144" s="5">
        <f>_xlfn.RANK.EQ(AO144,$AO$109:$AO$145,0)+COUNTIF($AO$109:AO144,AO144)-1</f>
        <v>37</v>
      </c>
      <c r="AN144" s="73" t="s">
        <v>195</v>
      </c>
      <c r="AO144" s="94">
        <f>SUMIFS(Table_Assembly[Specific Amount],Table_Assembly[Product type],$AN$107,Table_Assembly[NG Type],$AF$12,Table_Assembly[NG content],AN144,Table_Assembly[Year],$AE$7)</f>
        <v>0</v>
      </c>
      <c r="AP144" s="95">
        <f t="shared" si="30"/>
        <v>0</v>
      </c>
      <c r="AQ144" s="8"/>
    </row>
    <row r="145" spans="4:43">
      <c r="D145">
        <f>_xlfn.RANK.EQ(F145,$F$109:$F$145,0)+COUNTIF($F$109:F145,F145)-1</f>
        <v>4</v>
      </c>
      <c r="E145" s="74" t="s">
        <v>123</v>
      </c>
      <c r="F145" s="96">
        <f>SUMIFS(Table_Assembly[Specific Amount],Table_Assembly[NG Type],$B$21,Table_Assembly[NG content],"Others",Table_Assembly[Product type],$E$3,Table_Assembly[MFG Date],"&gt;="&amp;'Weekly Report'!$B$13,Table_Assembly[MFG Date],"&lt;="&amp;'Weekly Report'!$B$15)</f>
        <v>8</v>
      </c>
      <c r="G145" s="97">
        <f t="shared" si="25"/>
        <v>10.126582278481013</v>
      </c>
      <c r="H145" s="9"/>
      <c r="J145" s="5">
        <f>_xlfn.RANK.EQ(L145,$L$109:$L$145,0)+COUNTIF($L$109:L145,L145)-1</f>
        <v>37</v>
      </c>
      <c r="K145" s="74" t="s">
        <v>123</v>
      </c>
      <c r="L145" s="96">
        <f>SUMIFS(Table_Assembly[Specific Amount],Table_Assembly[NG Type],$B$21,Table_Assembly[NG content],"Others",Table_Assembly[Product type],$K$3,Table_Assembly[MFG Date],"&gt;="&amp;'Weekly Report'!$B$13,Table_Assembly[MFG Date],"&lt;="&amp;'Weekly Report'!$B$15)</f>
        <v>0</v>
      </c>
      <c r="M145" s="97">
        <f>IFERROR(L145/$L$147*100,"")</f>
        <v>0</v>
      </c>
      <c r="N145" s="9"/>
      <c r="S145">
        <f>_xlfn.RANK.EQ(U145,$U$109:$U$145,0)+COUNTIF($U$109:U145,U145)-1</f>
        <v>1</v>
      </c>
      <c r="T145" s="74" t="s">
        <v>123</v>
      </c>
      <c r="U145" s="96">
        <f>SUMIFS(Table_Assembly[Specific Amount],Table_Assembly[Product type],$T$3,Table_Assembly[NG Type],$R$19,Table_Assembly[NG content],"Others",Table_Assembly[Month],INDEX($AE$14:$AE$25,MATCH($Q$9,$AD$14:$AD$25,0)))</f>
        <v>1032</v>
      </c>
      <c r="V145" s="97">
        <f t="shared" si="28"/>
        <v>87.457627118644069</v>
      </c>
      <c r="W145" s="9"/>
      <c r="X145" s="5">
        <f>_xlfn.RANK.EQ(Z145,$Z$109:$Z$145,0)+COUNTIF($Z$109:Z145,Z145)-1</f>
        <v>37</v>
      </c>
      <c r="Y145" s="74" t="s">
        <v>123</v>
      </c>
      <c r="Z145" s="96">
        <f>SUMIFS(Table_Assembly[Specific Amount],Table_Assembly[Product type],$Y$3,Table_Assembly[NG Type],$R$19,Table_Assembly[NG content],"Others",Table_Assembly[Month],INDEX($AE$14:$AE$25,MATCH($Q$9,$AD$14:$AD$25,0)))</f>
        <v>0</v>
      </c>
      <c r="AA145" s="97">
        <f t="shared" si="29"/>
        <v>0</v>
      </c>
      <c r="AB145" s="9"/>
      <c r="AG145">
        <f>_xlfn.RANK.EQ(AI145,$AI$109:$AI$145,0)+COUNTIF($AI$109:AI145,AI145)-1</f>
        <v>1</v>
      </c>
      <c r="AH145" s="74" t="s">
        <v>123</v>
      </c>
      <c r="AI145" s="96">
        <f>SUMIFS(Table_Assembly[Specific Amount],Table_Assembly[Product type],$AH$107,Table_Assembly[NG Type],$AF$12,Table_Assembly[NG content],"Others",Table_Assembly[Year],$AE$7)</f>
        <v>1050</v>
      </c>
      <c r="AJ145" s="97">
        <f t="shared" si="26"/>
        <v>84</v>
      </c>
      <c r="AK145" s="9"/>
      <c r="AM145" s="5">
        <f>_xlfn.RANK.EQ(AO145,$AO$109:$AO$145,0)+COUNTIF($AO$109:AO145,AO145)-1</f>
        <v>6</v>
      </c>
      <c r="AN145" s="74" t="s">
        <v>123</v>
      </c>
      <c r="AO145" s="96">
        <f>SUMIFS(Table_Assembly[Specific Amount],Table_Assembly[Product type],$AN$107,Table_Assembly[NG Type],$AF$12,Table_Assembly[NG content],"Others",Table_Assembly[Year],$AE$7)</f>
        <v>3</v>
      </c>
      <c r="AP145" s="97">
        <f>IFERROR(AO145/$AO$148*100,"")</f>
        <v>1.7964071856287425</v>
      </c>
      <c r="AQ145" s="9"/>
    </row>
    <row r="146" spans="4:43">
      <c r="T146" s="12"/>
      <c r="U146" s="131"/>
      <c r="V146" s="132"/>
      <c r="W146" s="133"/>
      <c r="Y146" s="12"/>
      <c r="Z146" s="131"/>
      <c r="AA146" s="132"/>
      <c r="AH146" s="12"/>
      <c r="AI146" s="131"/>
      <c r="AJ146" s="132"/>
      <c r="AK146" s="133"/>
      <c r="AN146" s="12"/>
      <c r="AO146" s="131"/>
      <c r="AP146" s="132"/>
      <c r="AQ146" s="133"/>
    </row>
    <row r="147" spans="4:43">
      <c r="F147">
        <f>SUM($F$109:$F$145)</f>
        <v>79</v>
      </c>
      <c r="L147">
        <f>SUM($L$109:$L$145)</f>
        <v>27</v>
      </c>
      <c r="T147" s="12"/>
      <c r="U147">
        <f>SUM($U$109:$U$145)</f>
        <v>1180</v>
      </c>
      <c r="Y147" s="12"/>
      <c r="Z147">
        <f>SUM($Z$109:$Z$145)</f>
        <v>87</v>
      </c>
      <c r="AH147" s="12"/>
      <c r="AN147" s="12"/>
    </row>
    <row r="148" spans="4:43">
      <c r="AI148">
        <f>SUM($AI$109:$AI$145)</f>
        <v>1250</v>
      </c>
      <c r="AO148">
        <f>SUM($AO$109:$AO$145)</f>
        <v>167</v>
      </c>
    </row>
    <row r="151" spans="4:43">
      <c r="E151" s="11" t="s">
        <v>129</v>
      </c>
      <c r="F151" s="11"/>
      <c r="G151" s="11"/>
      <c r="H151" s="11"/>
      <c r="K151" s="11" t="s">
        <v>131</v>
      </c>
      <c r="L151" s="11"/>
      <c r="M151" s="11"/>
      <c r="N151" s="11"/>
    </row>
    <row r="152" spans="4:43">
      <c r="E152" s="10" t="s">
        <v>107</v>
      </c>
      <c r="F152" s="10" t="s">
        <v>29</v>
      </c>
      <c r="G152" s="10" t="s">
        <v>108</v>
      </c>
      <c r="H152" s="10" t="s">
        <v>109</v>
      </c>
      <c r="K152" s="10" t="s">
        <v>107</v>
      </c>
      <c r="L152" s="10" t="s">
        <v>29</v>
      </c>
      <c r="M152" s="10" t="s">
        <v>108</v>
      </c>
      <c r="N152" s="10" t="s">
        <v>109</v>
      </c>
      <c r="T152" s="11" t="s">
        <v>129</v>
      </c>
      <c r="U152" s="11"/>
      <c r="V152" s="11"/>
      <c r="W152" s="11"/>
      <c r="Y152" s="11" t="s">
        <v>131</v>
      </c>
      <c r="Z152" s="11"/>
      <c r="AA152" s="11"/>
      <c r="AB152" s="11"/>
      <c r="AH152" s="11" t="s">
        <v>129</v>
      </c>
      <c r="AI152" s="11"/>
      <c r="AJ152" s="11"/>
      <c r="AK152" s="11"/>
      <c r="AN152" s="11" t="s">
        <v>131</v>
      </c>
      <c r="AO152" s="11"/>
      <c r="AP152" s="11"/>
      <c r="AQ152" s="11"/>
    </row>
    <row r="153" spans="4:43">
      <c r="D153">
        <v>1</v>
      </c>
      <c r="E153" s="73" t="str">
        <f>VLOOKUP(D153,$D$109:$G$145,2,FALSE)</f>
        <v>Sai phối màu 誤配色</v>
      </c>
      <c r="F153" s="94">
        <f>VLOOKUP(D153,$D$109:$G$145,3,FALSE)</f>
        <v>33</v>
      </c>
      <c r="G153" s="95">
        <f>VLOOKUP(D153,$D$109:$G$145,4,FALSE)</f>
        <v>41.77215189873418</v>
      </c>
      <c r="H153" s="8"/>
      <c r="J153">
        <v>1</v>
      </c>
      <c r="K153" s="73" t="str">
        <f>VLOOKUP(J153,$J$109:$M$145,2,FALSE)</f>
        <v>Cháy dây</v>
      </c>
      <c r="L153" s="94">
        <f>VLOOKUP(J153,$J$109:$M$145,3,FALSE)</f>
        <v>16</v>
      </c>
      <c r="M153" s="95">
        <f>VLOOKUP(J153,$J$109:$M$145,4,FALSE)</f>
        <v>59.259259259259252</v>
      </c>
      <c r="N153" s="8"/>
      <c r="T153" s="10" t="s">
        <v>107</v>
      </c>
      <c r="U153" s="10" t="s">
        <v>29</v>
      </c>
      <c r="V153" s="10" t="s">
        <v>108</v>
      </c>
      <c r="W153" s="10" t="s">
        <v>109</v>
      </c>
      <c r="Y153" s="10" t="s">
        <v>107</v>
      </c>
      <c r="Z153" s="10" t="s">
        <v>29</v>
      </c>
      <c r="AA153" s="10" t="s">
        <v>108</v>
      </c>
      <c r="AB153" s="10" t="s">
        <v>109</v>
      </c>
      <c r="AH153" s="10" t="s">
        <v>107</v>
      </c>
      <c r="AI153" s="10" t="s">
        <v>29</v>
      </c>
      <c r="AJ153" s="10" t="s">
        <v>108</v>
      </c>
      <c r="AK153" s="10" t="s">
        <v>109</v>
      </c>
      <c r="AN153" s="10" t="s">
        <v>107</v>
      </c>
      <c r="AO153" s="10" t="s">
        <v>29</v>
      </c>
      <c r="AP153" s="10" t="s">
        <v>108</v>
      </c>
      <c r="AQ153" s="10" t="s">
        <v>109</v>
      </c>
    </row>
    <row r="154" spans="4:43">
      <c r="D154">
        <v>2</v>
      </c>
      <c r="E154" s="73" t="str">
        <f t="shared" ref="E154:E189" si="31">VLOOKUP(D154,$D$109:$G$145,2,FALSE)</f>
        <v>Dây ngắn/dài</v>
      </c>
      <c r="F154" s="94">
        <f t="shared" ref="F154:F189" si="32">VLOOKUP(D154,$D$109:$G$145,3,FALSE)</f>
        <v>15</v>
      </c>
      <c r="G154" s="95">
        <f t="shared" ref="G154:G189" si="33">VLOOKUP(D154,$D$109:$G$145,4,FALSE)</f>
        <v>18.9873417721519</v>
      </c>
      <c r="H154" s="8"/>
      <c r="J154">
        <v>2</v>
      </c>
      <c r="K154" s="73" t="str">
        <f t="shared" ref="K154:K189" si="34">VLOOKUP(J154,$J$109:$M$145,2,FALSE)</f>
        <v>Dây ngắn/dài</v>
      </c>
      <c r="L154" s="94">
        <f t="shared" ref="L154:L189" si="35">VLOOKUP(J154,$J$109:$M$145,3,FALSE)</f>
        <v>9</v>
      </c>
      <c r="M154" s="95">
        <f t="shared" ref="M154:M189" si="36">VLOOKUP(J154,$J$109:$M$145,4,FALSE)</f>
        <v>33.333333333333329</v>
      </c>
      <c r="N154" s="8"/>
      <c r="S154">
        <v>1</v>
      </c>
      <c r="T154" s="73" t="str">
        <f>VLOOKUP(S154,$S$109:$V$145,2,FALSE)</f>
        <v>Others for Processing</v>
      </c>
      <c r="U154" s="94">
        <f>VLOOKUP(S154,$S$109:$V$145,3,FALSE)</f>
        <v>1032</v>
      </c>
      <c r="V154" s="95">
        <f>VLOOKUP(S154,$S$109:$V$145,4,FALSE)</f>
        <v>87.457627118644069</v>
      </c>
      <c r="W154" s="8"/>
      <c r="X154">
        <v>1</v>
      </c>
      <c r="Y154" s="73" t="str">
        <f>VLOOKUP(X154,$X$109:$AA$145,2,FALSE)</f>
        <v>Cháy dây</v>
      </c>
      <c r="Z154" s="94">
        <f>VLOOKUP(X154,$X$109:$AA$145,3,FALSE)</f>
        <v>46</v>
      </c>
      <c r="AA154" s="95">
        <f>VLOOKUP(X154,$X$109:$AA$145,4,FALSE)</f>
        <v>52.873563218390807</v>
      </c>
      <c r="AB154" s="8"/>
      <c r="AG154">
        <v>1</v>
      </c>
      <c r="AH154" s="73" t="str">
        <f>VLOOKUP(AG154,$AG$109:$AJ$145,2,FALSE)</f>
        <v>Others for Processing</v>
      </c>
      <c r="AI154" s="94">
        <f>VLOOKUP(AG154,$AG$109:$AJ$145,3,FALSE)</f>
        <v>1050</v>
      </c>
      <c r="AJ154" s="95">
        <f>VLOOKUP(AG154,$AG$109:$AJ$145,4,FALSE)</f>
        <v>84</v>
      </c>
      <c r="AK154" s="8"/>
      <c r="AM154">
        <v>1</v>
      </c>
      <c r="AN154" s="73" t="str">
        <f>VLOOKUP(AM154,$AM$109:$AP$145,2,FALSE)</f>
        <v>Cháy dây</v>
      </c>
      <c r="AO154" s="94">
        <f>VLOOKUP(AM154,$AM$109:$AP$145,3,FALSE)</f>
        <v>102</v>
      </c>
      <c r="AP154" s="95">
        <f>VLOOKUP(AM154,$AM$109:$AP$145,4,FALSE)</f>
        <v>61.077844311377248</v>
      </c>
      <c r="AQ154" s="8"/>
    </row>
    <row r="155" spans="4:43">
      <c r="D155">
        <v>3</v>
      </c>
      <c r="E155" s="73" t="str">
        <f t="shared" si="31"/>
        <v>Tanshi biến dạng</v>
      </c>
      <c r="F155" s="94">
        <f t="shared" si="32"/>
        <v>11</v>
      </c>
      <c r="G155" s="95">
        <f t="shared" si="33"/>
        <v>13.924050632911392</v>
      </c>
      <c r="H155" s="8"/>
      <c r="J155">
        <v>3</v>
      </c>
      <c r="K155" s="73" t="str">
        <f t="shared" si="34"/>
        <v>Cấn, trầy</v>
      </c>
      <c r="L155" s="94">
        <f t="shared" si="35"/>
        <v>2</v>
      </c>
      <c r="M155" s="95">
        <f t="shared" si="36"/>
        <v>7.4074074074074066</v>
      </c>
      <c r="N155" s="8"/>
      <c r="S155">
        <v>2</v>
      </c>
      <c r="T155" s="73" t="str">
        <f t="shared" ref="T155:T190" si="37">VLOOKUP(S155,$S$109:$V$145,2,FALSE)</f>
        <v>Sai phối màu 誤配色</v>
      </c>
      <c r="U155" s="94">
        <f t="shared" ref="U155:U190" si="38">VLOOKUP(S155,$S$109:$V$145,3,FALSE)</f>
        <v>58</v>
      </c>
      <c r="V155" s="95">
        <f t="shared" ref="V155:V190" si="39">VLOOKUP(S155,$S$109:$V$145,4,FALSE)</f>
        <v>4.9152542372881358</v>
      </c>
      <c r="W155" s="8"/>
      <c r="X155">
        <v>2</v>
      </c>
      <c r="Y155" s="73" t="str">
        <f t="shared" ref="Y155:Y190" si="40">VLOOKUP(X155,$X$109:$AA$145,2,FALSE)</f>
        <v>Dây ngắn/dài</v>
      </c>
      <c r="Z155" s="94">
        <f t="shared" ref="Z155:Z190" si="41">VLOOKUP(X155,$X$109:$AA$145,3,FALSE)</f>
        <v>27</v>
      </c>
      <c r="AA155" s="95">
        <f t="shared" ref="AA155:AA190" si="42">VLOOKUP(X155,$X$109:$AA$145,4,FALSE)</f>
        <v>31.03448275862069</v>
      </c>
      <c r="AB155" s="8"/>
      <c r="AG155">
        <v>2</v>
      </c>
      <c r="AH155" s="73" t="str">
        <f t="shared" ref="AH155:AH190" si="43">VLOOKUP(AG155,$AG$109:$AJ$145,2,FALSE)</f>
        <v>Sai phối màu 誤配色</v>
      </c>
      <c r="AI155" s="94">
        <f t="shared" ref="AI155:AI190" si="44">VLOOKUP(AG155,$AG$109:$AJ$145,3,FALSE)</f>
        <v>63</v>
      </c>
      <c r="AJ155" s="95">
        <f t="shared" ref="AJ155:AJ190" si="45">VLOOKUP(AG155,$AG$109:$AJ$145,4,FALSE)</f>
        <v>5.04</v>
      </c>
      <c r="AK155" s="8"/>
      <c r="AM155">
        <v>2</v>
      </c>
      <c r="AN155" s="73" t="str">
        <f t="shared" ref="AN155:AN190" si="46">VLOOKUP(AM155,$AM$109:$AP$145,2,FALSE)</f>
        <v>Dây ngắn/dài</v>
      </c>
      <c r="AO155" s="94">
        <f t="shared" ref="AO155:AO190" si="47">VLOOKUP(AM155,$AM$109:$AP$145,3,FALSE)</f>
        <v>40</v>
      </c>
      <c r="AP155" s="95">
        <f t="shared" ref="AP155:AP190" si="48">VLOOKUP(AM155,$AM$109:$AP$145,4,FALSE)</f>
        <v>23.952095808383234</v>
      </c>
      <c r="AQ155" s="8"/>
    </row>
    <row r="156" spans="4:43">
      <c r="D156">
        <v>4</v>
      </c>
      <c r="E156" s="73" t="str">
        <f t="shared" si="31"/>
        <v>Others for Processing</v>
      </c>
      <c r="F156" s="94">
        <f t="shared" si="32"/>
        <v>8</v>
      </c>
      <c r="G156" s="95">
        <f t="shared" si="33"/>
        <v>10.126582278481013</v>
      </c>
      <c r="H156" s="8"/>
      <c r="J156">
        <v>4</v>
      </c>
      <c r="K156" s="73" t="str">
        <f t="shared" si="34"/>
        <v>Sai phối màu 誤配色</v>
      </c>
      <c r="L156" s="94">
        <f t="shared" si="35"/>
        <v>0</v>
      </c>
      <c r="M156" s="95">
        <f t="shared" si="36"/>
        <v>0</v>
      </c>
      <c r="N156" s="8"/>
      <c r="S156">
        <v>3</v>
      </c>
      <c r="T156" s="73" t="str">
        <f t="shared" si="37"/>
        <v>Dây ngắn/dài</v>
      </c>
      <c r="U156" s="94">
        <f t="shared" si="38"/>
        <v>27</v>
      </c>
      <c r="V156" s="95">
        <f t="shared" si="39"/>
        <v>2.2881355932203391</v>
      </c>
      <c r="W156" s="8"/>
      <c r="X156">
        <v>3</v>
      </c>
      <c r="Y156" s="73" t="str">
        <f t="shared" si="40"/>
        <v>Đứt Lõi</v>
      </c>
      <c r="Z156" s="94">
        <f t="shared" si="41"/>
        <v>9</v>
      </c>
      <c r="AA156" s="95">
        <f t="shared" si="42"/>
        <v>10.344827586206897</v>
      </c>
      <c r="AB156" s="8"/>
      <c r="AG156">
        <v>3</v>
      </c>
      <c r="AH156" s="73" t="str">
        <f t="shared" si="43"/>
        <v>Tanshi biến dạng</v>
      </c>
      <c r="AI156" s="94">
        <f t="shared" si="44"/>
        <v>51</v>
      </c>
      <c r="AJ156" s="95">
        <f t="shared" si="45"/>
        <v>4.08</v>
      </c>
      <c r="AK156" s="8"/>
      <c r="AM156">
        <v>3</v>
      </c>
      <c r="AN156" s="73" t="str">
        <f t="shared" si="46"/>
        <v>Đứt Lõi</v>
      </c>
      <c r="AO156" s="94">
        <f t="shared" si="47"/>
        <v>10</v>
      </c>
      <c r="AP156" s="95">
        <f t="shared" si="48"/>
        <v>5.9880239520958085</v>
      </c>
      <c r="AQ156" s="8"/>
    </row>
    <row r="157" spans="4:43">
      <c r="D157">
        <v>5</v>
      </c>
      <c r="E157" s="73" t="str">
        <f t="shared" si="31"/>
        <v>Ngắn, dài</v>
      </c>
      <c r="F157" s="94">
        <f t="shared" si="32"/>
        <v>4</v>
      </c>
      <c r="G157" s="95">
        <f t="shared" si="33"/>
        <v>5.0632911392405067</v>
      </c>
      <c r="H157" s="8"/>
      <c r="J157">
        <v>5</v>
      </c>
      <c r="K157" s="73" t="str">
        <f t="shared" si="34"/>
        <v>Sai ống チューブ間違い</v>
      </c>
      <c r="L157" s="94">
        <f t="shared" si="35"/>
        <v>0</v>
      </c>
      <c r="M157" s="95">
        <f t="shared" si="36"/>
        <v>0</v>
      </c>
      <c r="N157" s="8"/>
      <c r="S157">
        <v>4</v>
      </c>
      <c r="T157" s="73" t="str">
        <f t="shared" si="37"/>
        <v>Tanshi biến dạng</v>
      </c>
      <c r="U157" s="94">
        <f t="shared" si="38"/>
        <v>26</v>
      </c>
      <c r="V157" s="95">
        <f t="shared" si="39"/>
        <v>2.2033898305084745</v>
      </c>
      <c r="W157" s="8"/>
      <c r="X157">
        <v>4</v>
      </c>
      <c r="Y157" s="73" t="str">
        <f t="shared" si="40"/>
        <v>Cấn, trầy</v>
      </c>
      <c r="Z157" s="94">
        <f t="shared" si="41"/>
        <v>5</v>
      </c>
      <c r="AA157" s="95">
        <f t="shared" si="42"/>
        <v>5.7471264367816088</v>
      </c>
      <c r="AB157" s="8"/>
      <c r="AG157">
        <v>4</v>
      </c>
      <c r="AH157" s="73" t="str">
        <f t="shared" si="43"/>
        <v>Dây ngắn/dài</v>
      </c>
      <c r="AI157" s="94">
        <f t="shared" si="44"/>
        <v>31</v>
      </c>
      <c r="AJ157" s="95">
        <f t="shared" si="45"/>
        <v>2.48</v>
      </c>
      <c r="AK157" s="8"/>
      <c r="AM157">
        <v>4</v>
      </c>
      <c r="AN157" s="73" t="str">
        <f t="shared" si="46"/>
        <v>Cấn, trầy</v>
      </c>
      <c r="AO157" s="94">
        <f t="shared" si="47"/>
        <v>7</v>
      </c>
      <c r="AP157" s="95">
        <f t="shared" si="48"/>
        <v>4.1916167664670656</v>
      </c>
      <c r="AQ157" s="8"/>
    </row>
    <row r="158" spans="4:43">
      <c r="D158">
        <v>6</v>
      </c>
      <c r="E158" s="73" t="str">
        <f t="shared" si="31"/>
        <v>Dính dị vật 端子が異物付き</v>
      </c>
      <c r="F158" s="94">
        <f t="shared" si="32"/>
        <v>3</v>
      </c>
      <c r="G158" s="95">
        <f t="shared" si="33"/>
        <v>3.79746835443038</v>
      </c>
      <c r="H158" s="8"/>
      <c r="J158">
        <v>6</v>
      </c>
      <c r="K158" s="73" t="str">
        <f t="shared" si="34"/>
        <v>Ngược nút bọc</v>
      </c>
      <c r="L158" s="94">
        <f t="shared" si="35"/>
        <v>0</v>
      </c>
      <c r="M158" s="95">
        <f t="shared" si="36"/>
        <v>0</v>
      </c>
      <c r="N158" s="8"/>
      <c r="S158">
        <v>5</v>
      </c>
      <c r="T158" s="73" t="str">
        <f t="shared" si="37"/>
        <v>Cấn, trầy</v>
      </c>
      <c r="U158" s="94">
        <f t="shared" si="38"/>
        <v>8</v>
      </c>
      <c r="V158" s="95">
        <f t="shared" si="39"/>
        <v>0.67796610169491522</v>
      </c>
      <c r="W158" s="8"/>
      <c r="X158">
        <v>5</v>
      </c>
      <c r="Y158" s="73" t="str">
        <f t="shared" si="40"/>
        <v>Sai phối màu 誤配色</v>
      </c>
      <c r="Z158" s="94">
        <f t="shared" si="41"/>
        <v>0</v>
      </c>
      <c r="AA158" s="95">
        <f t="shared" si="42"/>
        <v>0</v>
      </c>
      <c r="AB158" s="8"/>
      <c r="AG158">
        <v>5</v>
      </c>
      <c r="AH158" s="73" t="str">
        <f t="shared" si="43"/>
        <v>Cấn, trầy</v>
      </c>
      <c r="AI158" s="94">
        <f t="shared" si="44"/>
        <v>14</v>
      </c>
      <c r="AJ158" s="95">
        <f t="shared" si="45"/>
        <v>1.1199999999999999</v>
      </c>
      <c r="AK158" s="8"/>
      <c r="AM158">
        <v>5</v>
      </c>
      <c r="AN158" s="73" t="str">
        <f t="shared" si="46"/>
        <v>Tưa lõi</v>
      </c>
      <c r="AO158" s="94">
        <f t="shared" si="47"/>
        <v>4</v>
      </c>
      <c r="AP158" s="95">
        <f t="shared" si="48"/>
        <v>2.3952095808383236</v>
      </c>
      <c r="AQ158" s="8"/>
    </row>
    <row r="159" spans="4:43">
      <c r="D159">
        <v>7</v>
      </c>
      <c r="E159" s="73" t="str">
        <f t="shared" si="31"/>
        <v>Cấn, trầy</v>
      </c>
      <c r="F159" s="94">
        <f t="shared" si="32"/>
        <v>2</v>
      </c>
      <c r="G159" s="95">
        <f t="shared" si="33"/>
        <v>2.5316455696202533</v>
      </c>
      <c r="H159" s="8"/>
      <c r="J159">
        <v>7</v>
      </c>
      <c r="K159" s="73" t="str">
        <f t="shared" si="34"/>
        <v>Thông dòng NG</v>
      </c>
      <c r="L159" s="94">
        <f t="shared" si="35"/>
        <v>0</v>
      </c>
      <c r="M159" s="95">
        <f t="shared" si="36"/>
        <v>0</v>
      </c>
      <c r="N159" s="8"/>
      <c r="S159">
        <v>6</v>
      </c>
      <c r="T159" s="73" t="str">
        <f t="shared" si="37"/>
        <v>Dập sai</v>
      </c>
      <c r="U159" s="94">
        <f t="shared" si="38"/>
        <v>7</v>
      </c>
      <c r="V159" s="95">
        <f t="shared" si="39"/>
        <v>0.59322033898305082</v>
      </c>
      <c r="W159" s="8"/>
      <c r="X159">
        <v>6</v>
      </c>
      <c r="Y159" s="73" t="str">
        <f t="shared" si="40"/>
        <v>Sai ống チューブ間違い</v>
      </c>
      <c r="Z159" s="94">
        <f t="shared" si="41"/>
        <v>0</v>
      </c>
      <c r="AA159" s="95">
        <f t="shared" si="42"/>
        <v>0</v>
      </c>
      <c r="AB159" s="8"/>
      <c r="AG159">
        <v>6</v>
      </c>
      <c r="AH159" s="73" t="str">
        <f t="shared" si="43"/>
        <v>Bị trầy xước</v>
      </c>
      <c r="AI159" s="94">
        <f t="shared" si="44"/>
        <v>11</v>
      </c>
      <c r="AJ159" s="95">
        <f t="shared" si="45"/>
        <v>0.88</v>
      </c>
      <c r="AK159" s="8"/>
      <c r="AM159">
        <v>6</v>
      </c>
      <c r="AN159" s="73" t="str">
        <f t="shared" si="46"/>
        <v>Others for Processing</v>
      </c>
      <c r="AO159" s="94">
        <f t="shared" si="47"/>
        <v>3</v>
      </c>
      <c r="AP159" s="95">
        <f t="shared" si="48"/>
        <v>1.7964071856287425</v>
      </c>
      <c r="AQ159" s="8"/>
    </row>
    <row r="160" spans="4:43">
      <c r="D160">
        <v>8</v>
      </c>
      <c r="E160" s="73" t="str">
        <f t="shared" si="31"/>
        <v>Dập sai</v>
      </c>
      <c r="F160" s="94">
        <f t="shared" si="32"/>
        <v>1</v>
      </c>
      <c r="G160" s="95">
        <f t="shared" si="33"/>
        <v>1.2658227848101267</v>
      </c>
      <c r="H160" s="8"/>
      <c r="J160">
        <v>8</v>
      </c>
      <c r="K160" s="73" t="str">
        <f t="shared" si="34"/>
        <v>Ngược Diode</v>
      </c>
      <c r="L160" s="94">
        <f t="shared" si="35"/>
        <v>0</v>
      </c>
      <c r="M160" s="95">
        <f t="shared" si="36"/>
        <v>0</v>
      </c>
      <c r="N160" s="8"/>
      <c r="S160">
        <v>7</v>
      </c>
      <c r="T160" s="73" t="str">
        <f t="shared" si="37"/>
        <v>Bị trầy xước</v>
      </c>
      <c r="U160" s="94">
        <f t="shared" si="38"/>
        <v>7</v>
      </c>
      <c r="V160" s="95">
        <f t="shared" si="39"/>
        <v>0.59322033898305082</v>
      </c>
      <c r="W160" s="8"/>
      <c r="X160">
        <v>7</v>
      </c>
      <c r="Y160" s="73" t="str">
        <f t="shared" si="40"/>
        <v>Ngược nút bọc</v>
      </c>
      <c r="Z160" s="94">
        <f t="shared" si="41"/>
        <v>0</v>
      </c>
      <c r="AA160" s="95">
        <f t="shared" si="42"/>
        <v>0</v>
      </c>
      <c r="AB160" s="8"/>
      <c r="AG160">
        <v>7</v>
      </c>
      <c r="AH160" s="73" t="str">
        <f t="shared" si="43"/>
        <v>Dập sai</v>
      </c>
      <c r="AI160" s="94">
        <f t="shared" si="44"/>
        <v>8</v>
      </c>
      <c r="AJ160" s="95">
        <f t="shared" si="45"/>
        <v>0.64</v>
      </c>
      <c r="AK160" s="8"/>
      <c r="AM160">
        <v>7</v>
      </c>
      <c r="AN160" s="73" t="str">
        <f t="shared" si="46"/>
        <v>Biến dạng</v>
      </c>
      <c r="AO160" s="94">
        <f t="shared" si="47"/>
        <v>1</v>
      </c>
      <c r="AP160" s="95">
        <f t="shared" si="48"/>
        <v>0.5988023952095809</v>
      </c>
      <c r="AQ160" s="8"/>
    </row>
    <row r="161" spans="4:43">
      <c r="D161">
        <v>9</v>
      </c>
      <c r="E161" s="73" t="str">
        <f t="shared" si="31"/>
        <v>Thiếu dây</v>
      </c>
      <c r="F161" s="94">
        <f t="shared" si="32"/>
        <v>1</v>
      </c>
      <c r="G161" s="95">
        <f t="shared" si="33"/>
        <v>1.2658227848101267</v>
      </c>
      <c r="H161" s="8"/>
      <c r="J161">
        <v>9</v>
      </c>
      <c r="K161" s="73" t="str">
        <f t="shared" si="34"/>
        <v>Dập sai</v>
      </c>
      <c r="L161" s="94">
        <f t="shared" si="35"/>
        <v>0</v>
      </c>
      <c r="M161" s="95">
        <f t="shared" si="36"/>
        <v>0</v>
      </c>
      <c r="N161" s="8"/>
      <c r="S161">
        <v>8</v>
      </c>
      <c r="T161" s="73" t="str">
        <f t="shared" si="37"/>
        <v>Ngắn, dài</v>
      </c>
      <c r="U161" s="94">
        <f t="shared" si="38"/>
        <v>4</v>
      </c>
      <c r="V161" s="95">
        <f t="shared" si="39"/>
        <v>0.33898305084745761</v>
      </c>
      <c r="W161" s="8"/>
      <c r="X161">
        <v>8</v>
      </c>
      <c r="Y161" s="73" t="str">
        <f t="shared" si="40"/>
        <v>Thông dòng NG</v>
      </c>
      <c r="Z161" s="94">
        <f t="shared" si="41"/>
        <v>0</v>
      </c>
      <c r="AA161" s="95">
        <f t="shared" si="42"/>
        <v>0</v>
      </c>
      <c r="AB161" s="8"/>
      <c r="AG161">
        <v>8</v>
      </c>
      <c r="AH161" s="73" t="str">
        <f t="shared" si="43"/>
        <v>Dính dị vật 端子が異物付き</v>
      </c>
      <c r="AI161" s="94">
        <f t="shared" si="44"/>
        <v>8</v>
      </c>
      <c r="AJ161" s="95">
        <f t="shared" si="45"/>
        <v>0.64</v>
      </c>
      <c r="AK161" s="8"/>
      <c r="AM161">
        <v>8</v>
      </c>
      <c r="AN161" s="73" t="str">
        <f t="shared" si="46"/>
        <v>Sai phối màu 誤配色</v>
      </c>
      <c r="AO161" s="94">
        <f t="shared" si="47"/>
        <v>0</v>
      </c>
      <c r="AP161" s="95">
        <f t="shared" si="48"/>
        <v>0</v>
      </c>
      <c r="AQ161" s="8"/>
    </row>
    <row r="162" spans="4:43">
      <c r="D162">
        <v>10</v>
      </c>
      <c r="E162" s="73" t="str">
        <f t="shared" si="31"/>
        <v>Bị trầy xước</v>
      </c>
      <c r="F162" s="94">
        <f t="shared" si="32"/>
        <v>1</v>
      </c>
      <c r="G162" s="95">
        <f t="shared" si="33"/>
        <v>1.2658227848101267</v>
      </c>
      <c r="H162" s="8"/>
      <c r="J162">
        <v>10</v>
      </c>
      <c r="K162" s="73" t="str">
        <f t="shared" si="34"/>
        <v>Thiếu dây</v>
      </c>
      <c r="L162" s="94">
        <f t="shared" si="35"/>
        <v>0</v>
      </c>
      <c r="M162" s="95">
        <f t="shared" si="36"/>
        <v>0</v>
      </c>
      <c r="N162" s="8"/>
      <c r="S162">
        <v>9</v>
      </c>
      <c r="T162" s="73" t="str">
        <f t="shared" si="37"/>
        <v>Dính dị vật 端子が異物付き</v>
      </c>
      <c r="U162" s="94">
        <f t="shared" si="38"/>
        <v>4</v>
      </c>
      <c r="V162" s="95">
        <f t="shared" si="39"/>
        <v>0.33898305084745761</v>
      </c>
      <c r="W162" s="8"/>
      <c r="X162">
        <v>9</v>
      </c>
      <c r="Y162" s="73" t="str">
        <f t="shared" si="40"/>
        <v>Ngược Diode</v>
      </c>
      <c r="Z162" s="94">
        <f t="shared" si="41"/>
        <v>0</v>
      </c>
      <c r="AA162" s="95">
        <f t="shared" si="42"/>
        <v>0</v>
      </c>
      <c r="AB162" s="8"/>
      <c r="AG162">
        <v>9</v>
      </c>
      <c r="AH162" s="73" t="str">
        <f t="shared" si="43"/>
        <v>Ngắn, dài</v>
      </c>
      <c r="AI162" s="94">
        <f t="shared" si="44"/>
        <v>4</v>
      </c>
      <c r="AJ162" s="95">
        <f t="shared" si="45"/>
        <v>0.32</v>
      </c>
      <c r="AK162" s="8"/>
      <c r="AM162">
        <v>9</v>
      </c>
      <c r="AN162" s="73" t="str">
        <f t="shared" si="46"/>
        <v>Sai ống チューブ間違い</v>
      </c>
      <c r="AO162" s="94">
        <f t="shared" si="47"/>
        <v>0</v>
      </c>
      <c r="AP162" s="95">
        <f t="shared" si="48"/>
        <v>0</v>
      </c>
      <c r="AQ162" s="8"/>
    </row>
    <row r="163" spans="4:43">
      <c r="D163">
        <v>11</v>
      </c>
      <c r="E163" s="73" t="str">
        <f t="shared" si="31"/>
        <v>Sai ống チューブ間違い</v>
      </c>
      <c r="F163" s="94">
        <f t="shared" si="32"/>
        <v>0</v>
      </c>
      <c r="G163" s="95">
        <f t="shared" si="33"/>
        <v>0</v>
      </c>
      <c r="H163" s="8"/>
      <c r="J163">
        <v>11</v>
      </c>
      <c r="K163" s="73" t="str">
        <f t="shared" si="34"/>
        <v>Sai vị trí</v>
      </c>
      <c r="L163" s="94">
        <f t="shared" si="35"/>
        <v>0</v>
      </c>
      <c r="M163" s="95">
        <f t="shared" si="36"/>
        <v>0</v>
      </c>
      <c r="N163" s="8"/>
      <c r="S163">
        <v>10</v>
      </c>
      <c r="T163" s="73" t="str">
        <f t="shared" si="37"/>
        <v>Sai kích thước</v>
      </c>
      <c r="U163" s="94">
        <f t="shared" si="38"/>
        <v>3</v>
      </c>
      <c r="V163" s="95">
        <f t="shared" si="39"/>
        <v>0.25423728813559321</v>
      </c>
      <c r="W163" s="8"/>
      <c r="X163">
        <v>10</v>
      </c>
      <c r="Y163" s="73" t="str">
        <f t="shared" si="40"/>
        <v>Dập sai</v>
      </c>
      <c r="Z163" s="94">
        <f t="shared" si="41"/>
        <v>0</v>
      </c>
      <c r="AA163" s="95">
        <f t="shared" si="42"/>
        <v>0</v>
      </c>
      <c r="AB163" s="8"/>
      <c r="AG163">
        <v>10</v>
      </c>
      <c r="AH163" s="73" t="str">
        <f t="shared" si="43"/>
        <v>Sai kích thước</v>
      </c>
      <c r="AI163" s="94">
        <f t="shared" si="44"/>
        <v>3</v>
      </c>
      <c r="AJ163" s="95">
        <f t="shared" si="45"/>
        <v>0.24</v>
      </c>
      <c r="AK163" s="8"/>
      <c r="AM163">
        <v>10</v>
      </c>
      <c r="AN163" s="73" t="str">
        <f t="shared" si="46"/>
        <v>Ngược nút bọc</v>
      </c>
      <c r="AO163" s="94">
        <f t="shared" si="47"/>
        <v>0</v>
      </c>
      <c r="AP163" s="95">
        <f t="shared" si="48"/>
        <v>0</v>
      </c>
      <c r="AQ163" s="8"/>
    </row>
    <row r="164" spans="4:43">
      <c r="D164">
        <v>12</v>
      </c>
      <c r="E164" s="73" t="str">
        <f t="shared" si="31"/>
        <v>Ngược nút bọc</v>
      </c>
      <c r="F164" s="94">
        <f t="shared" si="32"/>
        <v>0</v>
      </c>
      <c r="G164" s="95">
        <f t="shared" si="33"/>
        <v>0</v>
      </c>
      <c r="H164" s="8"/>
      <c r="J164">
        <v>12</v>
      </c>
      <c r="K164" s="73" t="str">
        <f t="shared" si="34"/>
        <v>Sai kích thước</v>
      </c>
      <c r="L164" s="94">
        <f t="shared" si="35"/>
        <v>0</v>
      </c>
      <c r="M164" s="95">
        <f t="shared" si="36"/>
        <v>0</v>
      </c>
      <c r="N164" s="8"/>
      <c r="S164">
        <v>11</v>
      </c>
      <c r="T164" s="73" t="str">
        <f t="shared" si="37"/>
        <v>Sai ống チューブ間違い</v>
      </c>
      <c r="U164" s="94">
        <f t="shared" si="38"/>
        <v>1</v>
      </c>
      <c r="V164" s="95">
        <f t="shared" si="39"/>
        <v>8.4745762711864403E-2</v>
      </c>
      <c r="W164" s="8"/>
      <c r="X164">
        <v>11</v>
      </c>
      <c r="Y164" s="73" t="str">
        <f t="shared" si="40"/>
        <v>Thiếu dây</v>
      </c>
      <c r="Z164" s="94">
        <f t="shared" si="41"/>
        <v>0</v>
      </c>
      <c r="AA164" s="95">
        <f t="shared" si="42"/>
        <v>0</v>
      </c>
      <c r="AB164" s="8"/>
      <c r="AG164">
        <v>11</v>
      </c>
      <c r="AH164" s="73" t="str">
        <f t="shared" si="43"/>
        <v>Bị bể, mẻ, cấn</v>
      </c>
      <c r="AI164" s="94">
        <f t="shared" si="44"/>
        <v>2</v>
      </c>
      <c r="AJ164" s="95">
        <f t="shared" si="45"/>
        <v>0.16</v>
      </c>
      <c r="AK164" s="8"/>
      <c r="AM164">
        <v>11</v>
      </c>
      <c r="AN164" s="73" t="str">
        <f t="shared" si="46"/>
        <v>Thông dòng NG</v>
      </c>
      <c r="AO164" s="94">
        <f t="shared" si="47"/>
        <v>0</v>
      </c>
      <c r="AP164" s="95">
        <f t="shared" si="48"/>
        <v>0</v>
      </c>
      <c r="AQ164" s="8"/>
    </row>
    <row r="165" spans="4:43">
      <c r="D165">
        <v>13</v>
      </c>
      <c r="E165" s="73" t="str">
        <f t="shared" si="31"/>
        <v>Thông dòng NG</v>
      </c>
      <c r="F165" s="94">
        <f t="shared" si="32"/>
        <v>0</v>
      </c>
      <c r="G165" s="95">
        <f t="shared" si="33"/>
        <v>0</v>
      </c>
      <c r="H165" s="8"/>
      <c r="J165">
        <v>13</v>
      </c>
      <c r="K165" s="73" t="str">
        <f t="shared" si="34"/>
        <v>Ngắn, dài</v>
      </c>
      <c r="L165" s="94">
        <f t="shared" si="35"/>
        <v>0</v>
      </c>
      <c r="M165" s="95">
        <f t="shared" si="36"/>
        <v>0</v>
      </c>
      <c r="N165" s="8"/>
      <c r="S165">
        <v>12</v>
      </c>
      <c r="T165" s="73" t="str">
        <f t="shared" si="37"/>
        <v>Thiếu dây</v>
      </c>
      <c r="U165" s="94">
        <f t="shared" si="38"/>
        <v>1</v>
      </c>
      <c r="V165" s="95">
        <f t="shared" si="39"/>
        <v>8.4745762711864403E-2</v>
      </c>
      <c r="W165" s="8"/>
      <c r="X165">
        <v>12</v>
      </c>
      <c r="Y165" s="73" t="str">
        <f t="shared" si="40"/>
        <v>Sai vị trí</v>
      </c>
      <c r="Z165" s="94">
        <f t="shared" si="41"/>
        <v>0</v>
      </c>
      <c r="AA165" s="95">
        <f t="shared" si="42"/>
        <v>0</v>
      </c>
      <c r="AB165" s="8"/>
      <c r="AG165">
        <v>12</v>
      </c>
      <c r="AH165" s="73" t="str">
        <f t="shared" si="43"/>
        <v>Sai ống チューブ間違い</v>
      </c>
      <c r="AI165" s="94">
        <f t="shared" si="44"/>
        <v>1</v>
      </c>
      <c r="AJ165" s="95">
        <f t="shared" si="45"/>
        <v>0.08</v>
      </c>
      <c r="AK165" s="8"/>
      <c r="AM165">
        <v>12</v>
      </c>
      <c r="AN165" s="73" t="str">
        <f t="shared" si="46"/>
        <v>Ngược Diode</v>
      </c>
      <c r="AO165" s="94">
        <f t="shared" si="47"/>
        <v>0</v>
      </c>
      <c r="AP165" s="95">
        <f t="shared" si="48"/>
        <v>0</v>
      </c>
      <c r="AQ165" s="8"/>
    </row>
    <row r="166" spans="4:43">
      <c r="D166">
        <v>14</v>
      </c>
      <c r="E166" s="73" t="str">
        <f t="shared" si="31"/>
        <v>Ngược Diode</v>
      </c>
      <c r="F166" s="94">
        <f t="shared" si="32"/>
        <v>0</v>
      </c>
      <c r="G166" s="95">
        <f t="shared" si="33"/>
        <v>0</v>
      </c>
      <c r="H166" s="8"/>
      <c r="J166">
        <v>14</v>
      </c>
      <c r="K166" s="73" t="str">
        <f t="shared" si="34"/>
        <v>Sút</v>
      </c>
      <c r="L166" s="94">
        <f t="shared" si="35"/>
        <v>0</v>
      </c>
      <c r="M166" s="95">
        <f t="shared" si="36"/>
        <v>0</v>
      </c>
      <c r="N166" s="8"/>
      <c r="S166">
        <v>13</v>
      </c>
      <c r="T166" s="73" t="str">
        <f t="shared" si="37"/>
        <v>Tuột mấu ôm vỏ do tán cạn 浅打ちで被覆カシメ外れ</v>
      </c>
      <c r="U166" s="94">
        <f t="shared" si="38"/>
        <v>1</v>
      </c>
      <c r="V166" s="95">
        <f t="shared" si="39"/>
        <v>8.4745762711864403E-2</v>
      </c>
      <c r="W166" s="8"/>
      <c r="X166">
        <v>13</v>
      </c>
      <c r="Y166" s="73" t="str">
        <f t="shared" si="40"/>
        <v>Sai kích thước</v>
      </c>
      <c r="Z166" s="94">
        <f t="shared" si="41"/>
        <v>0</v>
      </c>
      <c r="AA166" s="95">
        <f t="shared" si="42"/>
        <v>0</v>
      </c>
      <c r="AB166" s="8"/>
      <c r="AG166">
        <v>13</v>
      </c>
      <c r="AH166" s="73" t="str">
        <f t="shared" si="43"/>
        <v>Thông dòng NG</v>
      </c>
      <c r="AI166" s="94">
        <f t="shared" si="44"/>
        <v>1</v>
      </c>
      <c r="AJ166" s="95">
        <f t="shared" si="45"/>
        <v>0.08</v>
      </c>
      <c r="AK166" s="8"/>
      <c r="AM166">
        <v>13</v>
      </c>
      <c r="AN166" s="73" t="str">
        <f t="shared" si="46"/>
        <v>Dập sai</v>
      </c>
      <c r="AO166" s="94">
        <f t="shared" si="47"/>
        <v>0</v>
      </c>
      <c r="AP166" s="95">
        <f t="shared" si="48"/>
        <v>0</v>
      </c>
      <c r="AQ166" s="8"/>
    </row>
    <row r="167" spans="4:43">
      <c r="D167">
        <v>15</v>
      </c>
      <c r="E167" s="73" t="str">
        <f t="shared" si="31"/>
        <v>Sai vị trí</v>
      </c>
      <c r="F167" s="94">
        <f t="shared" si="32"/>
        <v>0</v>
      </c>
      <c r="G167" s="95">
        <f t="shared" si="33"/>
        <v>0</v>
      </c>
      <c r="H167" s="8"/>
      <c r="J167">
        <v>15</v>
      </c>
      <c r="K167" s="73" t="str">
        <f t="shared" si="34"/>
        <v>Biến dạng</v>
      </c>
      <c r="L167" s="94">
        <f t="shared" si="35"/>
        <v>0</v>
      </c>
      <c r="M167" s="95">
        <f t="shared" si="36"/>
        <v>0</v>
      </c>
      <c r="N167" s="8"/>
      <c r="S167">
        <v>14</v>
      </c>
      <c r="T167" s="73" t="str">
        <f t="shared" si="37"/>
        <v>Cháy dây</v>
      </c>
      <c r="U167" s="94">
        <f t="shared" si="38"/>
        <v>1</v>
      </c>
      <c r="V167" s="95">
        <f t="shared" si="39"/>
        <v>8.4745762711864403E-2</v>
      </c>
      <c r="W167" s="8"/>
      <c r="X167">
        <v>14</v>
      </c>
      <c r="Y167" s="73" t="str">
        <f t="shared" si="40"/>
        <v>Ngắn, dài</v>
      </c>
      <c r="Z167" s="94">
        <f t="shared" si="41"/>
        <v>0</v>
      </c>
      <c r="AA167" s="95">
        <f t="shared" si="42"/>
        <v>0</v>
      </c>
      <c r="AB167" s="8"/>
      <c r="AG167">
        <v>14</v>
      </c>
      <c r="AH167" s="73" t="str">
        <f t="shared" si="43"/>
        <v>Thiếu dây</v>
      </c>
      <c r="AI167" s="94">
        <f t="shared" si="44"/>
        <v>1</v>
      </c>
      <c r="AJ167" s="95">
        <f t="shared" si="45"/>
        <v>0.08</v>
      </c>
      <c r="AK167" s="8"/>
      <c r="AM167">
        <v>14</v>
      </c>
      <c r="AN167" s="73" t="str">
        <f t="shared" si="46"/>
        <v>Thiếu dây</v>
      </c>
      <c r="AO167" s="94">
        <f t="shared" si="47"/>
        <v>0</v>
      </c>
      <c r="AP167" s="95">
        <f t="shared" si="48"/>
        <v>0</v>
      </c>
      <c r="AQ167" s="8"/>
    </row>
    <row r="168" spans="4:43">
      <c r="D168">
        <v>16</v>
      </c>
      <c r="E168" s="73" t="str">
        <f t="shared" si="31"/>
        <v>Sai kích thước</v>
      </c>
      <c r="F168" s="94">
        <f t="shared" si="32"/>
        <v>0</v>
      </c>
      <c r="G168" s="95">
        <f t="shared" si="33"/>
        <v>0</v>
      </c>
      <c r="H168" s="8"/>
      <c r="J168">
        <v>16</v>
      </c>
      <c r="K168" s="73" t="str">
        <f t="shared" si="34"/>
        <v>Hở</v>
      </c>
      <c r="L168" s="94">
        <f t="shared" si="35"/>
        <v>0</v>
      </c>
      <c r="M168" s="95">
        <f t="shared" si="36"/>
        <v>0</v>
      </c>
      <c r="N168" s="8"/>
      <c r="S168">
        <v>15</v>
      </c>
      <c r="T168" s="73" t="str">
        <f t="shared" si="37"/>
        <v>Ngược nút bọc</v>
      </c>
      <c r="U168" s="94">
        <f t="shared" si="38"/>
        <v>0</v>
      </c>
      <c r="V168" s="95">
        <f t="shared" si="39"/>
        <v>0</v>
      </c>
      <c r="W168" s="8"/>
      <c r="X168">
        <v>15</v>
      </c>
      <c r="Y168" s="73" t="str">
        <f t="shared" si="40"/>
        <v>Sút</v>
      </c>
      <c r="Z168" s="94">
        <f t="shared" si="41"/>
        <v>0</v>
      </c>
      <c r="AA168" s="95">
        <f t="shared" si="42"/>
        <v>0</v>
      </c>
      <c r="AB168" s="8"/>
      <c r="AG168">
        <v>15</v>
      </c>
      <c r="AH168" s="73" t="str">
        <f t="shared" si="43"/>
        <v>Tuột mấu ôm vỏ do tán cạn 浅打ちで被覆カシメ外れ</v>
      </c>
      <c r="AI168" s="94">
        <f t="shared" si="44"/>
        <v>1</v>
      </c>
      <c r="AJ168" s="95">
        <f t="shared" si="45"/>
        <v>0.08</v>
      </c>
      <c r="AK168" s="8"/>
      <c r="AM168">
        <v>15</v>
      </c>
      <c r="AN168" s="73" t="str">
        <f t="shared" si="46"/>
        <v>Sai vị trí</v>
      </c>
      <c r="AO168" s="94">
        <f t="shared" si="47"/>
        <v>0</v>
      </c>
      <c r="AP168" s="95">
        <f t="shared" si="48"/>
        <v>0</v>
      </c>
      <c r="AQ168" s="8"/>
    </row>
    <row r="169" spans="4:43">
      <c r="D169">
        <v>17</v>
      </c>
      <c r="E169" s="73" t="str">
        <f t="shared" si="31"/>
        <v>Sút</v>
      </c>
      <c r="F169" s="94">
        <f t="shared" si="32"/>
        <v>0</v>
      </c>
      <c r="G169" s="95">
        <f t="shared" si="33"/>
        <v>0</v>
      </c>
      <c r="H169" s="8"/>
      <c r="J169">
        <v>17</v>
      </c>
      <c r="K169" s="73" t="str">
        <f t="shared" si="34"/>
        <v>Gờ tanshi bám ít vào gờ housing ランスのロックが不十分</v>
      </c>
      <c r="L169" s="94">
        <f t="shared" si="35"/>
        <v>0</v>
      </c>
      <c r="M169" s="95">
        <f t="shared" si="36"/>
        <v>0</v>
      </c>
      <c r="N169" s="8"/>
      <c r="S169">
        <v>16</v>
      </c>
      <c r="T169" s="73" t="str">
        <f t="shared" si="37"/>
        <v>Thông dòng NG</v>
      </c>
      <c r="U169" s="94">
        <f t="shared" si="38"/>
        <v>0</v>
      </c>
      <c r="V169" s="95">
        <f t="shared" si="39"/>
        <v>0</v>
      </c>
      <c r="W169" s="8"/>
      <c r="X169">
        <v>16</v>
      </c>
      <c r="Y169" s="73" t="str">
        <f t="shared" si="40"/>
        <v>Biến dạng</v>
      </c>
      <c r="Z169" s="94">
        <f t="shared" si="41"/>
        <v>0</v>
      </c>
      <c r="AA169" s="95">
        <f t="shared" si="42"/>
        <v>0</v>
      </c>
      <c r="AB169" s="8"/>
      <c r="AG169">
        <v>16</v>
      </c>
      <c r="AH169" s="73" t="str">
        <f t="shared" si="43"/>
        <v>Cháy dây</v>
      </c>
      <c r="AI169" s="94">
        <f t="shared" si="44"/>
        <v>1</v>
      </c>
      <c r="AJ169" s="95">
        <f t="shared" si="45"/>
        <v>0.08</v>
      </c>
      <c r="AK169" s="8"/>
      <c r="AM169">
        <v>16</v>
      </c>
      <c r="AN169" s="73" t="str">
        <f t="shared" si="46"/>
        <v>Sai kích thước</v>
      </c>
      <c r="AO169" s="94">
        <f t="shared" si="47"/>
        <v>0</v>
      </c>
      <c r="AP169" s="95">
        <f t="shared" si="48"/>
        <v>0</v>
      </c>
      <c r="AQ169" s="8"/>
    </row>
    <row r="170" spans="4:43">
      <c r="D170">
        <v>18</v>
      </c>
      <c r="E170" s="73" t="str">
        <f t="shared" si="31"/>
        <v>Biến dạng</v>
      </c>
      <c r="F170" s="94">
        <f t="shared" si="32"/>
        <v>0</v>
      </c>
      <c r="G170" s="95">
        <f t="shared" si="33"/>
        <v>0</v>
      </c>
      <c r="H170" s="8"/>
      <c r="J170">
        <v>18</v>
      </c>
      <c r="K170" s="73" t="str">
        <f t="shared" si="34"/>
        <v>Tuột mấu ôm vỏ do tán cạn 浅打ちで被覆カシメ外れ</v>
      </c>
      <c r="L170" s="94">
        <f t="shared" si="35"/>
        <v>0</v>
      </c>
      <c r="M170" s="95">
        <f t="shared" si="36"/>
        <v>0</v>
      </c>
      <c r="N170" s="8"/>
      <c r="S170">
        <v>17</v>
      </c>
      <c r="T170" s="73" t="str">
        <f t="shared" si="37"/>
        <v>Ngược Diode</v>
      </c>
      <c r="U170" s="94">
        <f t="shared" si="38"/>
        <v>0</v>
      </c>
      <c r="V170" s="95">
        <f t="shared" si="39"/>
        <v>0</v>
      </c>
      <c r="W170" s="8"/>
      <c r="X170">
        <v>17</v>
      </c>
      <c r="Y170" s="73" t="str">
        <f t="shared" si="40"/>
        <v>Hở</v>
      </c>
      <c r="Z170" s="94">
        <f t="shared" si="41"/>
        <v>0</v>
      </c>
      <c r="AA170" s="95">
        <f t="shared" si="42"/>
        <v>0</v>
      </c>
      <c r="AB170" s="8"/>
      <c r="AG170">
        <v>17</v>
      </c>
      <c r="AH170" s="73" t="str">
        <f t="shared" si="43"/>
        <v>Ngược nút bọc</v>
      </c>
      <c r="AI170" s="94">
        <f t="shared" si="44"/>
        <v>0</v>
      </c>
      <c r="AJ170" s="95">
        <f t="shared" si="45"/>
        <v>0</v>
      </c>
      <c r="AK170" s="8"/>
      <c r="AM170">
        <v>17</v>
      </c>
      <c r="AN170" s="73" t="str">
        <f t="shared" si="46"/>
        <v>Ngắn, dài</v>
      </c>
      <c r="AO170" s="94">
        <f t="shared" si="47"/>
        <v>0</v>
      </c>
      <c r="AP170" s="95">
        <f t="shared" si="48"/>
        <v>0</v>
      </c>
      <c r="AQ170" s="8"/>
    </row>
    <row r="171" spans="4:43">
      <c r="D171">
        <v>19</v>
      </c>
      <c r="E171" s="73" t="str">
        <f t="shared" si="31"/>
        <v>Hở</v>
      </c>
      <c r="F171" s="94">
        <f t="shared" si="32"/>
        <v>0</v>
      </c>
      <c r="G171" s="95">
        <f t="shared" si="33"/>
        <v>0</v>
      </c>
      <c r="H171" s="8"/>
      <c r="J171">
        <v>19</v>
      </c>
      <c r="K171" s="73" t="str">
        <f t="shared" si="34"/>
        <v>Thiếu ống</v>
      </c>
      <c r="L171" s="94">
        <f t="shared" si="35"/>
        <v>0</v>
      </c>
      <c r="M171" s="95">
        <f t="shared" si="36"/>
        <v>0</v>
      </c>
      <c r="N171" s="8"/>
      <c r="S171">
        <v>18</v>
      </c>
      <c r="T171" s="73" t="str">
        <f t="shared" si="37"/>
        <v>Sai vị trí</v>
      </c>
      <c r="U171" s="94">
        <f t="shared" si="38"/>
        <v>0</v>
      </c>
      <c r="V171" s="95">
        <f t="shared" si="39"/>
        <v>0</v>
      </c>
      <c r="W171" s="8"/>
      <c r="X171">
        <v>18</v>
      </c>
      <c r="Y171" s="73" t="str">
        <f t="shared" si="40"/>
        <v>Gờ tanshi bám ít vào gờ housing ランスのロックが不十分</v>
      </c>
      <c r="Z171" s="94">
        <f t="shared" si="41"/>
        <v>0</v>
      </c>
      <c r="AA171" s="95">
        <f t="shared" si="42"/>
        <v>0</v>
      </c>
      <c r="AB171" s="8"/>
      <c r="AG171">
        <v>18</v>
      </c>
      <c r="AH171" s="73" t="str">
        <f t="shared" si="43"/>
        <v>Ngược Diode</v>
      </c>
      <c r="AI171" s="94">
        <f t="shared" si="44"/>
        <v>0</v>
      </c>
      <c r="AJ171" s="95">
        <f t="shared" si="45"/>
        <v>0</v>
      </c>
      <c r="AK171" s="8"/>
      <c r="AM171">
        <v>18</v>
      </c>
      <c r="AN171" s="73" t="str">
        <f t="shared" si="46"/>
        <v>Sút</v>
      </c>
      <c r="AO171" s="94">
        <f t="shared" si="47"/>
        <v>0</v>
      </c>
      <c r="AP171" s="95">
        <f t="shared" si="48"/>
        <v>0</v>
      </c>
      <c r="AQ171" s="8"/>
    </row>
    <row r="172" spans="4:43">
      <c r="D172">
        <v>20</v>
      </c>
      <c r="E172" s="73" t="str">
        <f t="shared" si="31"/>
        <v>Gờ tanshi bám ít vào gờ housing ランスのロックが不十分</v>
      </c>
      <c r="F172" s="94">
        <f t="shared" si="32"/>
        <v>0</v>
      </c>
      <c r="G172" s="95">
        <f t="shared" si="33"/>
        <v>0</v>
      </c>
      <c r="H172" s="8"/>
      <c r="J172">
        <v>20</v>
      </c>
      <c r="K172" s="73" t="str">
        <f t="shared" si="34"/>
        <v>Dính dị vật 端子が異物付き</v>
      </c>
      <c r="L172" s="94">
        <f t="shared" si="35"/>
        <v>0</v>
      </c>
      <c r="M172" s="95">
        <f t="shared" si="36"/>
        <v>0</v>
      </c>
      <c r="N172" s="8"/>
      <c r="S172">
        <v>19</v>
      </c>
      <c r="T172" s="73" t="str">
        <f t="shared" si="37"/>
        <v>Sút</v>
      </c>
      <c r="U172" s="94">
        <f t="shared" si="38"/>
        <v>0</v>
      </c>
      <c r="V172" s="95">
        <f t="shared" si="39"/>
        <v>0</v>
      </c>
      <c r="W172" s="8"/>
      <c r="X172">
        <v>19</v>
      </c>
      <c r="Y172" s="73" t="str">
        <f t="shared" si="40"/>
        <v>Tuột mấu ôm vỏ do tán cạn 浅打ちで被覆カシメ外れ</v>
      </c>
      <c r="Z172" s="94">
        <f t="shared" si="41"/>
        <v>0</v>
      </c>
      <c r="AA172" s="95">
        <f t="shared" si="42"/>
        <v>0</v>
      </c>
      <c r="AB172" s="8"/>
      <c r="AG172">
        <v>19</v>
      </c>
      <c r="AH172" s="73" t="str">
        <f t="shared" si="43"/>
        <v>Sai vị trí</v>
      </c>
      <c r="AI172" s="94">
        <f t="shared" si="44"/>
        <v>0</v>
      </c>
      <c r="AJ172" s="95">
        <f t="shared" si="45"/>
        <v>0</v>
      </c>
      <c r="AK172" s="8"/>
      <c r="AM172">
        <v>19</v>
      </c>
      <c r="AN172" s="73" t="str">
        <f t="shared" si="46"/>
        <v>Hở</v>
      </c>
      <c r="AO172" s="94">
        <f t="shared" si="47"/>
        <v>0</v>
      </c>
      <c r="AP172" s="95">
        <f t="shared" si="48"/>
        <v>0</v>
      </c>
      <c r="AQ172" s="8"/>
    </row>
    <row r="173" spans="4:43">
      <c r="D173">
        <v>21</v>
      </c>
      <c r="E173" s="73" t="str">
        <f t="shared" si="31"/>
        <v>Tuột mấu ôm vỏ do tán cạn 浅打ちで被覆カシメ外れ</v>
      </c>
      <c r="F173" s="94">
        <f t="shared" si="32"/>
        <v>0</v>
      </c>
      <c r="G173" s="95">
        <f t="shared" si="33"/>
        <v>0</v>
      </c>
      <c r="H173" s="8"/>
      <c r="J173">
        <v>21</v>
      </c>
      <c r="K173" s="73" t="str">
        <f t="shared" si="34"/>
        <v>Tanshi biến dạng</v>
      </c>
      <c r="L173" s="94">
        <f t="shared" si="35"/>
        <v>0</v>
      </c>
      <c r="M173" s="95">
        <f t="shared" si="36"/>
        <v>0</v>
      </c>
      <c r="N173" s="8"/>
      <c r="S173">
        <v>20</v>
      </c>
      <c r="T173" s="73" t="str">
        <f t="shared" si="37"/>
        <v>Biến dạng</v>
      </c>
      <c r="U173" s="94">
        <f t="shared" si="38"/>
        <v>0</v>
      </c>
      <c r="V173" s="95">
        <f t="shared" si="39"/>
        <v>0</v>
      </c>
      <c r="W173" s="8"/>
      <c r="X173">
        <v>20</v>
      </c>
      <c r="Y173" s="73" t="str">
        <f t="shared" si="40"/>
        <v>Thiếu ống</v>
      </c>
      <c r="Z173" s="94">
        <f t="shared" si="41"/>
        <v>0</v>
      </c>
      <c r="AA173" s="95">
        <f t="shared" si="42"/>
        <v>0</v>
      </c>
      <c r="AB173" s="8"/>
      <c r="AG173">
        <v>20</v>
      </c>
      <c r="AH173" s="73" t="str">
        <f t="shared" si="43"/>
        <v>Sút</v>
      </c>
      <c r="AI173" s="94">
        <f t="shared" si="44"/>
        <v>0</v>
      </c>
      <c r="AJ173" s="95">
        <f t="shared" si="45"/>
        <v>0</v>
      </c>
      <c r="AK173" s="8"/>
      <c r="AM173">
        <v>20</v>
      </c>
      <c r="AN173" s="73" t="str">
        <f t="shared" si="46"/>
        <v>Gờ tanshi bám ít vào gờ housing ランスのロックが不十分</v>
      </c>
      <c r="AO173" s="94">
        <f t="shared" si="47"/>
        <v>0</v>
      </c>
      <c r="AP173" s="95">
        <f t="shared" si="48"/>
        <v>0</v>
      </c>
      <c r="AQ173" s="8"/>
    </row>
    <row r="174" spans="4:43">
      <c r="D174">
        <v>22</v>
      </c>
      <c r="E174" s="73" t="str">
        <f t="shared" si="31"/>
        <v>Thiếu ống</v>
      </c>
      <c r="F174" s="94">
        <f t="shared" si="32"/>
        <v>0</v>
      </c>
      <c r="G174" s="95">
        <f t="shared" si="33"/>
        <v>0</v>
      </c>
      <c r="H174" s="8"/>
      <c r="J174">
        <v>22</v>
      </c>
      <c r="K174" s="73" t="str">
        <f t="shared" si="34"/>
        <v>Bẩn, dơ</v>
      </c>
      <c r="L174" s="94">
        <f t="shared" si="35"/>
        <v>0</v>
      </c>
      <c r="M174" s="95">
        <f t="shared" si="36"/>
        <v>0</v>
      </c>
      <c r="N174" s="8"/>
      <c r="S174">
        <v>21</v>
      </c>
      <c r="T174" s="73" t="str">
        <f t="shared" si="37"/>
        <v>Hở</v>
      </c>
      <c r="U174" s="94">
        <f t="shared" si="38"/>
        <v>0</v>
      </c>
      <c r="V174" s="95">
        <f t="shared" si="39"/>
        <v>0</v>
      </c>
      <c r="W174" s="8"/>
      <c r="X174">
        <v>21</v>
      </c>
      <c r="Y174" s="73" t="str">
        <f t="shared" si="40"/>
        <v>Dính dị vật 端子が異物付き</v>
      </c>
      <c r="Z174" s="94">
        <f t="shared" si="41"/>
        <v>0</v>
      </c>
      <c r="AA174" s="95">
        <f t="shared" si="42"/>
        <v>0</v>
      </c>
      <c r="AB174" s="8"/>
      <c r="AG174">
        <v>21</v>
      </c>
      <c r="AH174" s="73" t="str">
        <f t="shared" si="43"/>
        <v>Biến dạng</v>
      </c>
      <c r="AI174" s="94">
        <f t="shared" si="44"/>
        <v>0</v>
      </c>
      <c r="AJ174" s="95">
        <f t="shared" si="45"/>
        <v>0</v>
      </c>
      <c r="AK174" s="8"/>
      <c r="AM174">
        <v>21</v>
      </c>
      <c r="AN174" s="73" t="str">
        <f t="shared" si="46"/>
        <v>Tuột mấu ôm vỏ do tán cạn 浅打ちで被覆カシメ外れ</v>
      </c>
      <c r="AO174" s="94">
        <f t="shared" si="47"/>
        <v>0</v>
      </c>
      <c r="AP174" s="95">
        <f t="shared" si="48"/>
        <v>0</v>
      </c>
      <c r="AQ174" s="8"/>
    </row>
    <row r="175" spans="4:43">
      <c r="D175">
        <v>23</v>
      </c>
      <c r="E175" s="73" t="str">
        <f t="shared" si="31"/>
        <v>Bẩn, dơ</v>
      </c>
      <c r="F175" s="94">
        <f t="shared" si="32"/>
        <v>0</v>
      </c>
      <c r="G175" s="95">
        <f t="shared" si="33"/>
        <v>0</v>
      </c>
      <c r="H175" s="8"/>
      <c r="J175">
        <v>23</v>
      </c>
      <c r="K175" s="73" t="str">
        <f t="shared" si="34"/>
        <v>Tưa lõi</v>
      </c>
      <c r="L175" s="94">
        <f t="shared" si="35"/>
        <v>0</v>
      </c>
      <c r="M175" s="95">
        <f t="shared" si="36"/>
        <v>0</v>
      </c>
      <c r="N175" s="8"/>
      <c r="S175">
        <v>22</v>
      </c>
      <c r="T175" s="73" t="str">
        <f t="shared" si="37"/>
        <v>Gờ tanshi bám ít vào gờ housing ランスのロックが不十分</v>
      </c>
      <c r="U175" s="94">
        <f t="shared" si="38"/>
        <v>0</v>
      </c>
      <c r="V175" s="95">
        <f t="shared" si="39"/>
        <v>0</v>
      </c>
      <c r="W175" s="8"/>
      <c r="X175">
        <v>22</v>
      </c>
      <c r="Y175" s="73" t="str">
        <f t="shared" si="40"/>
        <v>Tanshi biến dạng</v>
      </c>
      <c r="Z175" s="94">
        <f t="shared" si="41"/>
        <v>0</v>
      </c>
      <c r="AA175" s="95">
        <f t="shared" si="42"/>
        <v>0</v>
      </c>
      <c r="AB175" s="8"/>
      <c r="AG175">
        <v>22</v>
      </c>
      <c r="AH175" s="73" t="str">
        <f t="shared" si="43"/>
        <v>Hở</v>
      </c>
      <c r="AI175" s="94">
        <f t="shared" si="44"/>
        <v>0</v>
      </c>
      <c r="AJ175" s="95">
        <f t="shared" si="45"/>
        <v>0</v>
      </c>
      <c r="AK175" s="8"/>
      <c r="AM175">
        <v>22</v>
      </c>
      <c r="AN175" s="73" t="str">
        <f t="shared" si="46"/>
        <v>Thiếu ống</v>
      </c>
      <c r="AO175" s="94">
        <f t="shared" si="47"/>
        <v>0</v>
      </c>
      <c r="AP175" s="95">
        <f t="shared" si="48"/>
        <v>0</v>
      </c>
      <c r="AQ175" s="8"/>
    </row>
    <row r="176" spans="4:43">
      <c r="D176">
        <v>24</v>
      </c>
      <c r="E176" s="73" t="str">
        <f t="shared" si="31"/>
        <v>Cháy dây</v>
      </c>
      <c r="F176" s="94">
        <f t="shared" si="32"/>
        <v>0</v>
      </c>
      <c r="G176" s="95">
        <f t="shared" si="33"/>
        <v>0</v>
      </c>
      <c r="H176" s="8"/>
      <c r="J176">
        <v>24</v>
      </c>
      <c r="K176" s="73" t="str">
        <f t="shared" si="34"/>
        <v>Đứt Lõi</v>
      </c>
      <c r="L176" s="94">
        <f t="shared" si="35"/>
        <v>0</v>
      </c>
      <c r="M176" s="95">
        <f t="shared" si="36"/>
        <v>0</v>
      </c>
      <c r="N176" s="8"/>
      <c r="S176">
        <v>23</v>
      </c>
      <c r="T176" s="73" t="str">
        <f t="shared" si="37"/>
        <v>Thiếu ống</v>
      </c>
      <c r="U176" s="94">
        <f t="shared" si="38"/>
        <v>0</v>
      </c>
      <c r="V176" s="95">
        <f t="shared" si="39"/>
        <v>0</v>
      </c>
      <c r="W176" s="8"/>
      <c r="X176">
        <v>23</v>
      </c>
      <c r="Y176" s="73" t="str">
        <f t="shared" si="40"/>
        <v>Bẩn, dơ</v>
      </c>
      <c r="Z176" s="94">
        <f t="shared" si="41"/>
        <v>0</v>
      </c>
      <c r="AA176" s="95">
        <f t="shared" si="42"/>
        <v>0</v>
      </c>
      <c r="AB176" s="8"/>
      <c r="AG176">
        <v>23</v>
      </c>
      <c r="AH176" s="73" t="str">
        <f t="shared" si="43"/>
        <v>Gờ tanshi bám ít vào gờ housing ランスのロックが不十分</v>
      </c>
      <c r="AI176" s="94">
        <f t="shared" si="44"/>
        <v>0</v>
      </c>
      <c r="AJ176" s="95">
        <f t="shared" si="45"/>
        <v>0</v>
      </c>
      <c r="AK176" s="8"/>
      <c r="AM176">
        <v>23</v>
      </c>
      <c r="AN176" s="73" t="str">
        <f t="shared" si="46"/>
        <v>Dính dị vật 端子が異物付き</v>
      </c>
      <c r="AO176" s="94">
        <f t="shared" si="47"/>
        <v>0</v>
      </c>
      <c r="AP176" s="95">
        <f t="shared" si="48"/>
        <v>0</v>
      </c>
      <c r="AQ176" s="8"/>
    </row>
    <row r="177" spans="4:43">
      <c r="D177">
        <v>25</v>
      </c>
      <c r="E177" s="73" t="str">
        <f t="shared" si="31"/>
        <v>Tưa lõi</v>
      </c>
      <c r="F177" s="94">
        <f t="shared" si="32"/>
        <v>0</v>
      </c>
      <c r="G177" s="95">
        <f t="shared" si="33"/>
        <v>0</v>
      </c>
      <c r="H177" s="8"/>
      <c r="J177">
        <v>25</v>
      </c>
      <c r="K177" s="73" t="str">
        <f t="shared" si="34"/>
        <v>Thiếu dấu marking PS PSマーキング不足</v>
      </c>
      <c r="L177" s="94">
        <f t="shared" si="35"/>
        <v>0</v>
      </c>
      <c r="M177" s="95">
        <f t="shared" si="36"/>
        <v>0</v>
      </c>
      <c r="N177" s="8"/>
      <c r="S177">
        <v>24</v>
      </c>
      <c r="T177" s="73" t="str">
        <f t="shared" si="37"/>
        <v>Bẩn, dơ</v>
      </c>
      <c r="U177" s="94">
        <f t="shared" si="38"/>
        <v>0</v>
      </c>
      <c r="V177" s="95">
        <f t="shared" si="39"/>
        <v>0</v>
      </c>
      <c r="W177" s="8"/>
      <c r="X177">
        <v>24</v>
      </c>
      <c r="Y177" s="73" t="str">
        <f t="shared" si="40"/>
        <v>Tưa lõi</v>
      </c>
      <c r="Z177" s="94">
        <f t="shared" si="41"/>
        <v>0</v>
      </c>
      <c r="AA177" s="95">
        <f t="shared" si="42"/>
        <v>0</v>
      </c>
      <c r="AB177" s="8"/>
      <c r="AG177">
        <v>24</v>
      </c>
      <c r="AH177" s="73" t="str">
        <f t="shared" si="43"/>
        <v>Thiếu ống</v>
      </c>
      <c r="AI177" s="94">
        <f t="shared" si="44"/>
        <v>0</v>
      </c>
      <c r="AJ177" s="95">
        <f t="shared" si="45"/>
        <v>0</v>
      </c>
      <c r="AK177" s="8"/>
      <c r="AM177">
        <v>24</v>
      </c>
      <c r="AN177" s="73" t="str">
        <f t="shared" si="46"/>
        <v>Tanshi biến dạng</v>
      </c>
      <c r="AO177" s="94">
        <f t="shared" si="47"/>
        <v>0</v>
      </c>
      <c r="AP177" s="95">
        <f t="shared" si="48"/>
        <v>0</v>
      </c>
      <c r="AQ177" s="8"/>
    </row>
    <row r="178" spans="4:43">
      <c r="D178">
        <v>26</v>
      </c>
      <c r="E178" s="73" t="str">
        <f t="shared" si="31"/>
        <v>Đứt Lõi</v>
      </c>
      <c r="F178" s="94">
        <f t="shared" si="32"/>
        <v>0</v>
      </c>
      <c r="G178" s="95">
        <f t="shared" si="33"/>
        <v>0</v>
      </c>
      <c r="H178" s="8"/>
      <c r="J178">
        <v>26</v>
      </c>
      <c r="K178" s="73" t="str">
        <f t="shared" si="34"/>
        <v>Biến dạng vị trí Soket</v>
      </c>
      <c r="L178" s="94">
        <f t="shared" si="35"/>
        <v>0</v>
      </c>
      <c r="M178" s="95">
        <f t="shared" si="36"/>
        <v>0</v>
      </c>
      <c r="N178" s="8"/>
      <c r="S178">
        <v>25</v>
      </c>
      <c r="T178" s="73" t="str">
        <f t="shared" si="37"/>
        <v>Tưa lõi</v>
      </c>
      <c r="U178" s="94">
        <f t="shared" si="38"/>
        <v>0</v>
      </c>
      <c r="V178" s="95">
        <f t="shared" si="39"/>
        <v>0</v>
      </c>
      <c r="W178" s="8"/>
      <c r="X178">
        <v>25</v>
      </c>
      <c r="Y178" s="73" t="str">
        <f t="shared" si="40"/>
        <v>Thiếu dấu marking PS PSマーキング不足</v>
      </c>
      <c r="Z178" s="94">
        <f t="shared" si="41"/>
        <v>0</v>
      </c>
      <c r="AA178" s="95">
        <f t="shared" si="42"/>
        <v>0</v>
      </c>
      <c r="AB178" s="8"/>
      <c r="AG178">
        <v>25</v>
      </c>
      <c r="AH178" s="73" t="str">
        <f t="shared" si="43"/>
        <v>Bẩn, dơ</v>
      </c>
      <c r="AI178" s="94">
        <f t="shared" si="44"/>
        <v>0</v>
      </c>
      <c r="AJ178" s="95">
        <f t="shared" si="45"/>
        <v>0</v>
      </c>
      <c r="AK178" s="8"/>
      <c r="AM178">
        <v>25</v>
      </c>
      <c r="AN178" s="73" t="str">
        <f t="shared" si="46"/>
        <v>Bẩn, dơ</v>
      </c>
      <c r="AO178" s="94">
        <f t="shared" si="47"/>
        <v>0</v>
      </c>
      <c r="AP178" s="95">
        <f t="shared" si="48"/>
        <v>0</v>
      </c>
      <c r="AQ178" s="8"/>
    </row>
    <row r="179" spans="4:43">
      <c r="D179">
        <v>27</v>
      </c>
      <c r="E179" s="73" t="str">
        <f t="shared" si="31"/>
        <v>Thiếu dấu marking PS PSマーキング不足</v>
      </c>
      <c r="F179" s="94">
        <f t="shared" si="32"/>
        <v>0</v>
      </c>
      <c r="G179" s="95">
        <f t="shared" si="33"/>
        <v>0</v>
      </c>
      <c r="H179" s="8"/>
      <c r="J179">
        <v>27</v>
      </c>
      <c r="K179" s="73" t="str">
        <f t="shared" si="34"/>
        <v>Bị bể, mẻ, cấn</v>
      </c>
      <c r="L179" s="94">
        <f t="shared" si="35"/>
        <v>0</v>
      </c>
      <c r="M179" s="95">
        <f t="shared" si="36"/>
        <v>0</v>
      </c>
      <c r="N179" s="8"/>
      <c r="S179">
        <v>26</v>
      </c>
      <c r="T179" s="73" t="str">
        <f t="shared" si="37"/>
        <v>Đứt Lõi</v>
      </c>
      <c r="U179" s="94">
        <f t="shared" si="38"/>
        <v>0</v>
      </c>
      <c r="V179" s="95">
        <f t="shared" si="39"/>
        <v>0</v>
      </c>
      <c r="W179" s="8"/>
      <c r="X179">
        <v>26</v>
      </c>
      <c r="Y179" s="73" t="str">
        <f t="shared" si="40"/>
        <v>Biến dạng vị trí Soket</v>
      </c>
      <c r="Z179" s="94">
        <f t="shared" si="41"/>
        <v>0</v>
      </c>
      <c r="AA179" s="95">
        <f t="shared" si="42"/>
        <v>0</v>
      </c>
      <c r="AB179" s="8"/>
      <c r="AG179">
        <v>26</v>
      </c>
      <c r="AH179" s="73" t="str">
        <f t="shared" si="43"/>
        <v>Tưa lõi</v>
      </c>
      <c r="AI179" s="94">
        <f t="shared" si="44"/>
        <v>0</v>
      </c>
      <c r="AJ179" s="95">
        <f t="shared" si="45"/>
        <v>0</v>
      </c>
      <c r="AK179" s="8"/>
      <c r="AM179">
        <v>26</v>
      </c>
      <c r="AN179" s="73" t="str">
        <f t="shared" si="46"/>
        <v>Thiếu dấu marking PS PSマーキング不足</v>
      </c>
      <c r="AO179" s="94">
        <f t="shared" si="47"/>
        <v>0</v>
      </c>
      <c r="AP179" s="95">
        <f t="shared" si="48"/>
        <v>0</v>
      </c>
      <c r="AQ179" s="8"/>
    </row>
    <row r="180" spans="4:43">
      <c r="D180">
        <v>28</v>
      </c>
      <c r="E180" s="73" t="str">
        <f t="shared" si="31"/>
        <v>Biến dạng vị trí Soket</v>
      </c>
      <c r="F180" s="94">
        <f t="shared" si="32"/>
        <v>0</v>
      </c>
      <c r="G180" s="95">
        <f t="shared" si="33"/>
        <v>0</v>
      </c>
      <c r="H180" s="8"/>
      <c r="J180">
        <v>28</v>
      </c>
      <c r="K180" s="73" t="str">
        <f t="shared" si="34"/>
        <v>Xỏ ngược đầu</v>
      </c>
      <c r="L180" s="94">
        <f t="shared" si="35"/>
        <v>0</v>
      </c>
      <c r="M180" s="95">
        <f t="shared" si="36"/>
        <v>0</v>
      </c>
      <c r="N180" s="8"/>
      <c r="S180">
        <v>27</v>
      </c>
      <c r="T180" s="73" t="str">
        <f t="shared" si="37"/>
        <v>Thiếu dấu marking PS PSマーキング不足</v>
      </c>
      <c r="U180" s="94">
        <f t="shared" si="38"/>
        <v>0</v>
      </c>
      <c r="V180" s="95">
        <f t="shared" si="39"/>
        <v>0</v>
      </c>
      <c r="W180" s="8"/>
      <c r="X180">
        <v>27</v>
      </c>
      <c r="Y180" s="73" t="str">
        <f t="shared" si="40"/>
        <v>Bị bể, mẻ, cấn</v>
      </c>
      <c r="Z180" s="94">
        <f t="shared" si="41"/>
        <v>0</v>
      </c>
      <c r="AA180" s="95">
        <f t="shared" si="42"/>
        <v>0</v>
      </c>
      <c r="AB180" s="8"/>
      <c r="AG180">
        <v>27</v>
      </c>
      <c r="AH180" s="73" t="str">
        <f t="shared" si="43"/>
        <v>Đứt Lõi</v>
      </c>
      <c r="AI180" s="94">
        <f t="shared" si="44"/>
        <v>0</v>
      </c>
      <c r="AJ180" s="95">
        <f t="shared" si="45"/>
        <v>0</v>
      </c>
      <c r="AK180" s="8"/>
      <c r="AM180">
        <v>27</v>
      </c>
      <c r="AN180" s="73" t="str">
        <f t="shared" si="46"/>
        <v>Biến dạng vị trí Soket</v>
      </c>
      <c r="AO180" s="94">
        <f t="shared" si="47"/>
        <v>0</v>
      </c>
      <c r="AP180" s="95">
        <f t="shared" si="48"/>
        <v>0</v>
      </c>
      <c r="AQ180" s="8"/>
    </row>
    <row r="181" spans="4:43">
      <c r="D181">
        <v>29</v>
      </c>
      <c r="E181" s="73" t="str">
        <f t="shared" si="31"/>
        <v>Bị bể, mẻ, cấn</v>
      </c>
      <c r="F181" s="94">
        <f t="shared" si="32"/>
        <v>0</v>
      </c>
      <c r="G181" s="95">
        <f t="shared" si="33"/>
        <v>0</v>
      </c>
      <c r="H181" s="8"/>
      <c r="J181">
        <v>29</v>
      </c>
      <c r="K181" s="73" t="str">
        <f t="shared" si="34"/>
        <v>Bị trầy xước</v>
      </c>
      <c r="L181" s="94">
        <f t="shared" si="35"/>
        <v>0</v>
      </c>
      <c r="M181" s="95">
        <f t="shared" si="36"/>
        <v>0</v>
      </c>
      <c r="N181" s="8"/>
      <c r="S181">
        <v>28</v>
      </c>
      <c r="T181" s="73" t="str">
        <f t="shared" si="37"/>
        <v>Biến dạng vị trí Soket</v>
      </c>
      <c r="U181" s="94">
        <f t="shared" si="38"/>
        <v>0</v>
      </c>
      <c r="V181" s="95">
        <f t="shared" si="39"/>
        <v>0</v>
      </c>
      <c r="W181" s="8"/>
      <c r="X181">
        <v>28</v>
      </c>
      <c r="Y181" s="73" t="str">
        <f t="shared" si="40"/>
        <v>Xỏ ngược đầu</v>
      </c>
      <c r="Z181" s="94">
        <f t="shared" si="41"/>
        <v>0</v>
      </c>
      <c r="AA181" s="95">
        <f t="shared" si="42"/>
        <v>0</v>
      </c>
      <c r="AB181" s="8"/>
      <c r="AG181">
        <v>28</v>
      </c>
      <c r="AH181" s="73" t="str">
        <f t="shared" si="43"/>
        <v>Thiếu dấu marking PS PSマーキング不足</v>
      </c>
      <c r="AI181" s="94">
        <f t="shared" si="44"/>
        <v>0</v>
      </c>
      <c r="AJ181" s="95">
        <f t="shared" si="45"/>
        <v>0</v>
      </c>
      <c r="AK181" s="8"/>
      <c r="AM181">
        <v>28</v>
      </c>
      <c r="AN181" s="73" t="str">
        <f t="shared" si="46"/>
        <v>Bị bể, mẻ, cấn</v>
      </c>
      <c r="AO181" s="94">
        <f t="shared" si="47"/>
        <v>0</v>
      </c>
      <c r="AP181" s="95">
        <f t="shared" si="48"/>
        <v>0</v>
      </c>
      <c r="AQ181" s="8"/>
    </row>
    <row r="182" spans="4:43">
      <c r="D182">
        <v>30</v>
      </c>
      <c r="E182" s="73" t="str">
        <f t="shared" si="31"/>
        <v>Xỏ ngược đầu</v>
      </c>
      <c r="F182" s="94">
        <f t="shared" si="32"/>
        <v>0</v>
      </c>
      <c r="G182" s="95">
        <f t="shared" si="33"/>
        <v>0</v>
      </c>
      <c r="H182" s="8"/>
      <c r="J182">
        <v>30</v>
      </c>
      <c r="K182" s="73" t="str">
        <f t="shared" si="34"/>
        <v>Bị gãy khóa</v>
      </c>
      <c r="L182" s="94">
        <f t="shared" si="35"/>
        <v>0</v>
      </c>
      <c r="M182" s="95">
        <f t="shared" si="36"/>
        <v>0</v>
      </c>
      <c r="N182" s="8"/>
      <c r="S182">
        <v>29</v>
      </c>
      <c r="T182" s="73" t="str">
        <f t="shared" si="37"/>
        <v>Bị bể, mẻ, cấn</v>
      </c>
      <c r="U182" s="94">
        <f t="shared" si="38"/>
        <v>0</v>
      </c>
      <c r="V182" s="95">
        <f t="shared" si="39"/>
        <v>0</v>
      </c>
      <c r="W182" s="8"/>
      <c r="X182">
        <v>29</v>
      </c>
      <c r="Y182" s="73" t="str">
        <f t="shared" si="40"/>
        <v>Bị trầy xước</v>
      </c>
      <c r="Z182" s="94">
        <f t="shared" si="41"/>
        <v>0</v>
      </c>
      <c r="AA182" s="95">
        <f t="shared" si="42"/>
        <v>0</v>
      </c>
      <c r="AB182" s="8"/>
      <c r="AG182">
        <v>29</v>
      </c>
      <c r="AH182" s="73" t="str">
        <f t="shared" si="43"/>
        <v>Biến dạng vị trí Soket</v>
      </c>
      <c r="AI182" s="94">
        <f t="shared" si="44"/>
        <v>0</v>
      </c>
      <c r="AJ182" s="95">
        <f t="shared" si="45"/>
        <v>0</v>
      </c>
      <c r="AK182" s="8"/>
      <c r="AM182">
        <v>29</v>
      </c>
      <c r="AN182" s="73" t="str">
        <f t="shared" si="46"/>
        <v>Xỏ ngược đầu</v>
      </c>
      <c r="AO182" s="94">
        <f t="shared" si="47"/>
        <v>0</v>
      </c>
      <c r="AP182" s="95">
        <f t="shared" si="48"/>
        <v>0</v>
      </c>
      <c r="AQ182" s="8"/>
    </row>
    <row r="183" spans="4:43">
      <c r="D183">
        <v>31</v>
      </c>
      <c r="E183" s="73" t="str">
        <f t="shared" si="31"/>
        <v>Bị gãy khóa</v>
      </c>
      <c r="F183" s="94">
        <f t="shared" si="32"/>
        <v>0</v>
      </c>
      <c r="G183" s="95">
        <f t="shared" si="33"/>
        <v>0</v>
      </c>
      <c r="H183" s="8"/>
      <c r="J183">
        <v>31</v>
      </c>
      <c r="K183" s="73" t="str">
        <f t="shared" si="34"/>
        <v>Bk không đạt</v>
      </c>
      <c r="L183" s="94">
        <f t="shared" si="35"/>
        <v>0</v>
      </c>
      <c r="M183" s="95">
        <f t="shared" si="36"/>
        <v>0</v>
      </c>
      <c r="N183" s="8"/>
      <c r="S183">
        <v>30</v>
      </c>
      <c r="T183" s="73" t="str">
        <f t="shared" si="37"/>
        <v>Xỏ ngược đầu</v>
      </c>
      <c r="U183" s="94">
        <f t="shared" si="38"/>
        <v>0</v>
      </c>
      <c r="V183" s="95">
        <f t="shared" si="39"/>
        <v>0</v>
      </c>
      <c r="W183" s="8"/>
      <c r="X183">
        <v>30</v>
      </c>
      <c r="Y183" s="73" t="str">
        <f t="shared" si="40"/>
        <v>Bị gãy khóa</v>
      </c>
      <c r="Z183" s="94">
        <f t="shared" si="41"/>
        <v>0</v>
      </c>
      <c r="AA183" s="95">
        <f t="shared" si="42"/>
        <v>0</v>
      </c>
      <c r="AB183" s="8"/>
      <c r="AG183">
        <v>30</v>
      </c>
      <c r="AH183" s="73" t="str">
        <f t="shared" si="43"/>
        <v>Xỏ ngược đầu</v>
      </c>
      <c r="AI183" s="94">
        <f t="shared" si="44"/>
        <v>0</v>
      </c>
      <c r="AJ183" s="95">
        <f t="shared" si="45"/>
        <v>0</v>
      </c>
      <c r="AK183" s="8"/>
      <c r="AM183">
        <v>30</v>
      </c>
      <c r="AN183" s="73" t="str">
        <f t="shared" si="46"/>
        <v>Bị trầy xước</v>
      </c>
      <c r="AO183" s="94">
        <f t="shared" si="47"/>
        <v>0</v>
      </c>
      <c r="AP183" s="95">
        <f t="shared" si="48"/>
        <v>0</v>
      </c>
      <c r="AQ183" s="8"/>
    </row>
    <row r="184" spans="4:43">
      <c r="D184">
        <v>32</v>
      </c>
      <c r="E184" s="73" t="str">
        <f t="shared" si="31"/>
        <v>Bk không đạt</v>
      </c>
      <c r="F184" s="94">
        <f t="shared" si="32"/>
        <v>0</v>
      </c>
      <c r="G184" s="95">
        <f t="shared" si="33"/>
        <v>0</v>
      </c>
      <c r="H184" s="8"/>
      <c r="J184">
        <v>32</v>
      </c>
      <c r="K184" s="73" t="str">
        <f t="shared" si="34"/>
        <v>Rách</v>
      </c>
      <c r="L184" s="94">
        <f t="shared" si="35"/>
        <v>0</v>
      </c>
      <c r="M184" s="95">
        <f t="shared" si="36"/>
        <v>0</v>
      </c>
      <c r="N184" s="8"/>
      <c r="S184">
        <v>31</v>
      </c>
      <c r="T184" s="73" t="str">
        <f t="shared" si="37"/>
        <v>Bị gãy khóa</v>
      </c>
      <c r="U184" s="94">
        <f t="shared" si="38"/>
        <v>0</v>
      </c>
      <c r="V184" s="95">
        <f t="shared" si="39"/>
        <v>0</v>
      </c>
      <c r="W184" s="8"/>
      <c r="X184">
        <v>31</v>
      </c>
      <c r="Y184" s="73" t="str">
        <f t="shared" si="40"/>
        <v>Bk không đạt</v>
      </c>
      <c r="Z184" s="94">
        <f t="shared" si="41"/>
        <v>0</v>
      </c>
      <c r="AA184" s="95">
        <f t="shared" si="42"/>
        <v>0</v>
      </c>
      <c r="AB184" s="8"/>
      <c r="AG184">
        <v>31</v>
      </c>
      <c r="AH184" s="73" t="str">
        <f t="shared" si="43"/>
        <v>Bị gãy khóa</v>
      </c>
      <c r="AI184" s="94">
        <f t="shared" si="44"/>
        <v>0</v>
      </c>
      <c r="AJ184" s="95">
        <f t="shared" si="45"/>
        <v>0</v>
      </c>
      <c r="AK184" s="8"/>
      <c r="AM184">
        <v>31</v>
      </c>
      <c r="AN184" s="73" t="str">
        <f t="shared" si="46"/>
        <v>Bị gãy khóa</v>
      </c>
      <c r="AO184" s="94">
        <f t="shared" si="47"/>
        <v>0</v>
      </c>
      <c r="AP184" s="95">
        <f t="shared" si="48"/>
        <v>0</v>
      </c>
      <c r="AQ184" s="8"/>
    </row>
    <row r="185" spans="4:43">
      <c r="D185">
        <v>33</v>
      </c>
      <c r="E185" s="73" t="str">
        <f t="shared" si="31"/>
        <v>Rách</v>
      </c>
      <c r="F185" s="94">
        <f t="shared" si="32"/>
        <v>0</v>
      </c>
      <c r="G185" s="95">
        <f t="shared" si="33"/>
        <v>0</v>
      </c>
      <c r="H185" s="8"/>
      <c r="J185">
        <v>33</v>
      </c>
      <c r="K185" s="73" t="str">
        <f t="shared" si="34"/>
        <v>Contact bị cháy コン クト焼け</v>
      </c>
      <c r="L185" s="94">
        <f t="shared" si="35"/>
        <v>0</v>
      </c>
      <c r="M185" s="95">
        <f t="shared" si="36"/>
        <v>0</v>
      </c>
      <c r="N185" s="8"/>
      <c r="S185">
        <v>32</v>
      </c>
      <c r="T185" s="73" t="str">
        <f t="shared" si="37"/>
        <v>Bk không đạt</v>
      </c>
      <c r="U185" s="94">
        <f t="shared" si="38"/>
        <v>0</v>
      </c>
      <c r="V185" s="95">
        <f t="shared" si="39"/>
        <v>0</v>
      </c>
      <c r="W185" s="8"/>
      <c r="X185">
        <v>32</v>
      </c>
      <c r="Y185" s="73" t="str">
        <f t="shared" si="40"/>
        <v>Rách</v>
      </c>
      <c r="Z185" s="94">
        <f t="shared" si="41"/>
        <v>0</v>
      </c>
      <c r="AA185" s="95">
        <f t="shared" si="42"/>
        <v>0</v>
      </c>
      <c r="AB185" s="8"/>
      <c r="AG185">
        <v>32</v>
      </c>
      <c r="AH185" s="73" t="str">
        <f t="shared" si="43"/>
        <v>Bk không đạt</v>
      </c>
      <c r="AI185" s="94">
        <f t="shared" si="44"/>
        <v>0</v>
      </c>
      <c r="AJ185" s="95">
        <f t="shared" si="45"/>
        <v>0</v>
      </c>
      <c r="AK185" s="8"/>
      <c r="AM185">
        <v>32</v>
      </c>
      <c r="AN185" s="73" t="str">
        <f t="shared" si="46"/>
        <v>Bk không đạt</v>
      </c>
      <c r="AO185" s="94">
        <f t="shared" si="47"/>
        <v>0</v>
      </c>
      <c r="AP185" s="95">
        <f t="shared" si="48"/>
        <v>0</v>
      </c>
      <c r="AQ185" s="8"/>
    </row>
    <row r="186" spans="4:43">
      <c r="D186">
        <v>34</v>
      </c>
      <c r="E186" s="73" t="str">
        <f t="shared" si="31"/>
        <v>Contact bị cháy コン クト焼け</v>
      </c>
      <c r="F186" s="94">
        <f t="shared" si="32"/>
        <v>0</v>
      </c>
      <c r="G186" s="95">
        <f t="shared" si="33"/>
        <v>0</v>
      </c>
      <c r="H186" s="8"/>
      <c r="J186">
        <v>34</v>
      </c>
      <c r="K186" s="73" t="str">
        <f t="shared" si="34"/>
        <v>HKH NG</v>
      </c>
      <c r="L186" s="94">
        <f t="shared" si="35"/>
        <v>0</v>
      </c>
      <c r="M186" s="95">
        <f t="shared" si="36"/>
        <v>0</v>
      </c>
      <c r="N186" s="8"/>
      <c r="S186">
        <v>33</v>
      </c>
      <c r="T186" s="73" t="str">
        <f t="shared" si="37"/>
        <v>Rách</v>
      </c>
      <c r="U186" s="94">
        <f t="shared" si="38"/>
        <v>0</v>
      </c>
      <c r="V186" s="95">
        <f t="shared" si="39"/>
        <v>0</v>
      </c>
      <c r="W186" s="8"/>
      <c r="X186">
        <v>33</v>
      </c>
      <c r="Y186" s="73" t="str">
        <f t="shared" si="40"/>
        <v>Contact bị cháy コン クト焼け</v>
      </c>
      <c r="Z186" s="94">
        <f t="shared" si="41"/>
        <v>0</v>
      </c>
      <c r="AA186" s="95">
        <f t="shared" si="42"/>
        <v>0</v>
      </c>
      <c r="AB186" s="8"/>
      <c r="AG186">
        <v>33</v>
      </c>
      <c r="AH186" s="73" t="str">
        <f t="shared" si="43"/>
        <v>Rách</v>
      </c>
      <c r="AI186" s="94">
        <f t="shared" si="44"/>
        <v>0</v>
      </c>
      <c r="AJ186" s="95">
        <f t="shared" si="45"/>
        <v>0</v>
      </c>
      <c r="AK186" s="8"/>
      <c r="AM186">
        <v>33</v>
      </c>
      <c r="AN186" s="73" t="str">
        <f t="shared" si="46"/>
        <v>Rách</v>
      </c>
      <c r="AO186" s="94">
        <f t="shared" si="47"/>
        <v>0</v>
      </c>
      <c r="AP186" s="95">
        <f t="shared" si="48"/>
        <v>0</v>
      </c>
      <c r="AQ186" s="8"/>
    </row>
    <row r="187" spans="4:43">
      <c r="D187">
        <v>35</v>
      </c>
      <c r="E187" s="73" t="str">
        <f t="shared" si="31"/>
        <v>HKH NG</v>
      </c>
      <c r="F187" s="94">
        <f t="shared" si="32"/>
        <v>0</v>
      </c>
      <c r="G187" s="95">
        <f t="shared" si="33"/>
        <v>0</v>
      </c>
      <c r="H187" s="8"/>
      <c r="J187">
        <v>35</v>
      </c>
      <c r="K187" s="73" t="str">
        <f t="shared" si="34"/>
        <v>Tanshi dính HKH はん  着</v>
      </c>
      <c r="L187" s="94">
        <f t="shared" si="35"/>
        <v>0</v>
      </c>
      <c r="M187" s="95">
        <f t="shared" si="36"/>
        <v>0</v>
      </c>
      <c r="N187" s="8"/>
      <c r="S187">
        <v>34</v>
      </c>
      <c r="T187" s="73" t="str">
        <f t="shared" si="37"/>
        <v>Contact bị cháy コン クト焼け</v>
      </c>
      <c r="U187" s="94">
        <f t="shared" si="38"/>
        <v>0</v>
      </c>
      <c r="V187" s="95">
        <f t="shared" si="39"/>
        <v>0</v>
      </c>
      <c r="W187" s="8"/>
      <c r="X187">
        <v>34</v>
      </c>
      <c r="Y187" s="73" t="str">
        <f t="shared" si="40"/>
        <v>HKH NG</v>
      </c>
      <c r="Z187" s="94">
        <f t="shared" si="41"/>
        <v>0</v>
      </c>
      <c r="AA187" s="95">
        <f t="shared" si="42"/>
        <v>0</v>
      </c>
      <c r="AB187" s="8"/>
      <c r="AG187">
        <v>34</v>
      </c>
      <c r="AH187" s="73" t="str">
        <f t="shared" si="43"/>
        <v>Contact bị cháy コン クト焼け</v>
      </c>
      <c r="AI187" s="94">
        <f t="shared" si="44"/>
        <v>0</v>
      </c>
      <c r="AJ187" s="95">
        <f t="shared" si="45"/>
        <v>0</v>
      </c>
      <c r="AK187" s="8"/>
      <c r="AM187">
        <v>34</v>
      </c>
      <c r="AN187" s="73" t="str">
        <f t="shared" si="46"/>
        <v>Contact bị cháy コン クト焼け</v>
      </c>
      <c r="AO187" s="94">
        <f t="shared" si="47"/>
        <v>0</v>
      </c>
      <c r="AP187" s="95">
        <f t="shared" si="48"/>
        <v>0</v>
      </c>
      <c r="AQ187" s="8"/>
    </row>
    <row r="188" spans="4:43">
      <c r="D188">
        <v>36</v>
      </c>
      <c r="E188" s="73" t="str">
        <f t="shared" si="31"/>
        <v>Tanshi dính HKH はん  着</v>
      </c>
      <c r="F188" s="94">
        <f t="shared" si="32"/>
        <v>0</v>
      </c>
      <c r="G188" s="95">
        <f t="shared" si="33"/>
        <v>0</v>
      </c>
      <c r="H188" s="8"/>
      <c r="J188">
        <v>36</v>
      </c>
      <c r="K188" s="73" t="str">
        <f t="shared" si="34"/>
        <v>Hở hộp nối 端子勘合部(接点）が開いている</v>
      </c>
      <c r="L188" s="94">
        <f t="shared" si="35"/>
        <v>0</v>
      </c>
      <c r="M188" s="95">
        <f t="shared" si="36"/>
        <v>0</v>
      </c>
      <c r="N188" s="8"/>
      <c r="S188">
        <v>35</v>
      </c>
      <c r="T188" s="73" t="str">
        <f t="shared" si="37"/>
        <v>HKH NG</v>
      </c>
      <c r="U188" s="94">
        <f t="shared" si="38"/>
        <v>0</v>
      </c>
      <c r="V188" s="95">
        <f t="shared" si="39"/>
        <v>0</v>
      </c>
      <c r="W188" s="8"/>
      <c r="X188">
        <v>35</v>
      </c>
      <c r="Y188" s="73" t="str">
        <f t="shared" si="40"/>
        <v>Tanshi dính HKH はん  着</v>
      </c>
      <c r="Z188" s="94">
        <f t="shared" si="41"/>
        <v>0</v>
      </c>
      <c r="AA188" s="95">
        <f t="shared" si="42"/>
        <v>0</v>
      </c>
      <c r="AB188" s="8"/>
      <c r="AG188">
        <v>35</v>
      </c>
      <c r="AH188" s="73" t="str">
        <f t="shared" si="43"/>
        <v>HKH NG</v>
      </c>
      <c r="AI188" s="94">
        <f t="shared" si="44"/>
        <v>0</v>
      </c>
      <c r="AJ188" s="95">
        <f t="shared" si="45"/>
        <v>0</v>
      </c>
      <c r="AK188" s="8"/>
      <c r="AM188">
        <v>35</v>
      </c>
      <c r="AN188" s="73" t="str">
        <f t="shared" si="46"/>
        <v>HKH NG</v>
      </c>
      <c r="AO188" s="94">
        <f t="shared" si="47"/>
        <v>0</v>
      </c>
      <c r="AP188" s="95">
        <f t="shared" si="48"/>
        <v>0</v>
      </c>
      <c r="AQ188" s="8"/>
    </row>
    <row r="189" spans="4:43">
      <c r="D189">
        <v>37</v>
      </c>
      <c r="E189" s="74" t="str">
        <f t="shared" si="31"/>
        <v>Hở hộp nối 端子勘合部(接点）が開いている</v>
      </c>
      <c r="F189" s="96">
        <f t="shared" si="32"/>
        <v>0</v>
      </c>
      <c r="G189" s="97">
        <f t="shared" si="33"/>
        <v>0</v>
      </c>
      <c r="H189" s="9"/>
      <c r="J189">
        <v>37</v>
      </c>
      <c r="K189" s="74" t="str">
        <f t="shared" si="34"/>
        <v>Others for Processing</v>
      </c>
      <c r="L189" s="96">
        <f t="shared" si="35"/>
        <v>0</v>
      </c>
      <c r="M189" s="97">
        <f t="shared" si="36"/>
        <v>0</v>
      </c>
      <c r="N189" s="9"/>
      <c r="S189">
        <v>36</v>
      </c>
      <c r="T189" s="73" t="str">
        <f t="shared" si="37"/>
        <v>Tanshi dính HKH はん  着</v>
      </c>
      <c r="U189" s="94">
        <f t="shared" si="38"/>
        <v>0</v>
      </c>
      <c r="V189" s="95">
        <f t="shared" si="39"/>
        <v>0</v>
      </c>
      <c r="W189" s="8"/>
      <c r="X189">
        <v>36</v>
      </c>
      <c r="Y189" s="73" t="str">
        <f t="shared" si="40"/>
        <v>Hở hộp nối 端子勘合部(接点）が開いている</v>
      </c>
      <c r="Z189" s="94">
        <f t="shared" si="41"/>
        <v>0</v>
      </c>
      <c r="AA189" s="95">
        <f t="shared" si="42"/>
        <v>0</v>
      </c>
      <c r="AB189" s="8"/>
      <c r="AG189">
        <v>36</v>
      </c>
      <c r="AH189" s="73" t="str">
        <f t="shared" si="43"/>
        <v>Tanshi dính HKH はん  着</v>
      </c>
      <c r="AI189" s="94">
        <f t="shared" si="44"/>
        <v>0</v>
      </c>
      <c r="AJ189" s="95">
        <f t="shared" si="45"/>
        <v>0</v>
      </c>
      <c r="AK189" s="8"/>
      <c r="AM189">
        <v>36</v>
      </c>
      <c r="AN189" s="73" t="str">
        <f t="shared" si="46"/>
        <v>Tanshi dính HKH はん  着</v>
      </c>
      <c r="AO189" s="94">
        <f t="shared" si="47"/>
        <v>0</v>
      </c>
      <c r="AP189" s="95">
        <f t="shared" si="48"/>
        <v>0</v>
      </c>
      <c r="AQ189" s="8"/>
    </row>
    <row r="190" spans="4:43">
      <c r="S190">
        <v>37</v>
      </c>
      <c r="T190" s="74" t="str">
        <f t="shared" si="37"/>
        <v>Hở hộp nối 端子勘合部(接点）が開いている</v>
      </c>
      <c r="U190" s="96">
        <f t="shared" si="38"/>
        <v>0</v>
      </c>
      <c r="V190" s="97">
        <f t="shared" si="39"/>
        <v>0</v>
      </c>
      <c r="W190" s="9"/>
      <c r="X190">
        <v>37</v>
      </c>
      <c r="Y190" s="74" t="str">
        <f t="shared" si="40"/>
        <v>Others for Processing</v>
      </c>
      <c r="Z190" s="96">
        <f t="shared" si="41"/>
        <v>0</v>
      </c>
      <c r="AA190" s="97">
        <f t="shared" si="42"/>
        <v>0</v>
      </c>
      <c r="AB190" s="9"/>
      <c r="AG190">
        <v>37</v>
      </c>
      <c r="AH190" s="74" t="str">
        <f t="shared" si="43"/>
        <v>Hở hộp nối 端子勘合部(接点）が開いている</v>
      </c>
      <c r="AI190" s="96">
        <f t="shared" si="44"/>
        <v>0</v>
      </c>
      <c r="AJ190" s="97">
        <f t="shared" si="45"/>
        <v>0</v>
      </c>
      <c r="AK190" s="9"/>
      <c r="AM190">
        <v>37</v>
      </c>
      <c r="AN190" s="74" t="str">
        <f t="shared" si="46"/>
        <v>Hở hộp nối 端子勘合部(接点）が開いている</v>
      </c>
      <c r="AO190" s="96">
        <f t="shared" si="47"/>
        <v>0</v>
      </c>
      <c r="AP190" s="97">
        <f t="shared" si="48"/>
        <v>0</v>
      </c>
      <c r="AQ190" s="9"/>
    </row>
  </sheetData>
  <dataValidations count="4">
    <dataValidation type="list" allowBlank="1" showInputMessage="1" showErrorMessage="1" sqref="Q5 AE5 B5" xr:uid="{347BFE6E-D331-4CA9-A083-F0780D91EE28}">
      <formula1>OFFSET(#REF!,0,0,COUNTA(#REF!))</formula1>
    </dataValidation>
    <dataValidation type="list" allowBlank="1" showInputMessage="1" showErrorMessage="1" sqref="Q11 B11 B3 Q3 AE3" xr:uid="{B7B013CB-5B15-4894-B3BB-FA1F07DD55C1}">
      <formula1>OFFSET(#REF!,0,0,COUNTA(#REF!))</formula1>
    </dataValidation>
    <dataValidation type="list" allowBlank="1" showInputMessage="1" showErrorMessage="1" sqref="B9" xr:uid="{6D5656DD-EF5D-4714-9C94-A8917B4F777E}">
      <formula1>#REF!</formula1>
    </dataValidation>
    <dataValidation type="list" allowBlank="1" showInputMessage="1" showErrorMessage="1" sqref="AE11" xr:uid="{36AD180F-42A2-46EC-A4CE-D078047123F5}">
      <formula1>OFFSET(#REF!,0,0,COUNTA(Q36:Q43))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0143-CC02-4EFB-9E03-09DDF5FD4861}">
  <dimension ref="A1:A44"/>
  <sheetViews>
    <sheetView topLeftCell="A13" workbookViewId="0">
      <selection activeCell="AN109" sqref="AN109:AN145"/>
    </sheetView>
  </sheetViews>
  <sheetFormatPr defaultRowHeight="14.75"/>
  <sheetData>
    <row r="1" spans="1:1">
      <c r="A1" t="s">
        <v>169</v>
      </c>
    </row>
    <row r="2" spans="1:1">
      <c r="A2" t="s">
        <v>167</v>
      </c>
    </row>
    <row r="3" spans="1:1">
      <c r="A3" t="s">
        <v>170</v>
      </c>
    </row>
    <row r="4" spans="1:1">
      <c r="A4" t="s">
        <v>171</v>
      </c>
    </row>
    <row r="5" spans="1:1">
      <c r="A5" t="s">
        <v>229</v>
      </c>
    </row>
    <row r="6" spans="1:1">
      <c r="A6" t="s">
        <v>239</v>
      </c>
    </row>
    <row r="7" spans="1:1">
      <c r="A7" t="s">
        <v>122</v>
      </c>
    </row>
    <row r="8" spans="1:1">
      <c r="A8" t="s">
        <v>172</v>
      </c>
    </row>
    <row r="9" spans="1:1">
      <c r="A9" t="s">
        <v>173</v>
      </c>
    </row>
    <row r="10" spans="1:1">
      <c r="A10" t="s">
        <v>230</v>
      </c>
    </row>
    <row r="11" spans="1:1">
      <c r="A11" t="s">
        <v>174</v>
      </c>
    </row>
    <row r="12" spans="1:1">
      <c r="A12" t="s">
        <v>231</v>
      </c>
    </row>
    <row r="13" spans="1:1">
      <c r="A13" t="s">
        <v>175</v>
      </c>
    </row>
    <row r="14" spans="1:1">
      <c r="A14" t="s">
        <v>232</v>
      </c>
    </row>
    <row r="15" spans="1:1">
      <c r="A15" t="s">
        <v>176</v>
      </c>
    </row>
    <row r="16" spans="1:1">
      <c r="A16" t="s">
        <v>177</v>
      </c>
    </row>
    <row r="17" spans="1:1">
      <c r="A17" t="s">
        <v>178</v>
      </c>
    </row>
    <row r="18" spans="1:1">
      <c r="A18" t="s">
        <v>233</v>
      </c>
    </row>
    <row r="19" spans="1:1">
      <c r="A19" t="s">
        <v>179</v>
      </c>
    </row>
    <row r="20" spans="1:1">
      <c r="A20" t="s">
        <v>180</v>
      </c>
    </row>
    <row r="21" spans="1:1">
      <c r="A21" t="s">
        <v>181</v>
      </c>
    </row>
    <row r="22" spans="1:1">
      <c r="A22" t="s">
        <v>182</v>
      </c>
    </row>
    <row r="23" spans="1:1">
      <c r="A23" t="s">
        <v>183</v>
      </c>
    </row>
    <row r="24" spans="1:1">
      <c r="A24" t="s">
        <v>234</v>
      </c>
    </row>
    <row r="25" spans="1:1">
      <c r="A25" t="s">
        <v>184</v>
      </c>
    </row>
    <row r="26" spans="1:1">
      <c r="A26" t="s">
        <v>235</v>
      </c>
    </row>
    <row r="27" spans="1:1">
      <c r="A27" t="s">
        <v>185</v>
      </c>
    </row>
    <row r="28" spans="1:1">
      <c r="A28" t="s">
        <v>236</v>
      </c>
    </row>
    <row r="29" spans="1:1">
      <c r="A29" t="s">
        <v>168</v>
      </c>
    </row>
    <row r="30" spans="1:1">
      <c r="A30" t="s">
        <v>237</v>
      </c>
    </row>
    <row r="31" spans="1:1">
      <c r="A31" t="s">
        <v>238</v>
      </c>
    </row>
    <row r="32" spans="1:1">
      <c r="A32" t="s">
        <v>186</v>
      </c>
    </row>
    <row r="33" spans="1:1">
      <c r="A33" t="s">
        <v>187</v>
      </c>
    </row>
    <row r="34" spans="1:1">
      <c r="A34" t="s">
        <v>188</v>
      </c>
    </row>
    <row r="35" spans="1:1">
      <c r="A35" t="s">
        <v>189</v>
      </c>
    </row>
    <row r="36" spans="1:1">
      <c r="A36" t="s">
        <v>190</v>
      </c>
    </row>
    <row r="37" spans="1:1">
      <c r="A37" t="s">
        <v>191</v>
      </c>
    </row>
    <row r="38" spans="1:1">
      <c r="A38" t="s">
        <v>240</v>
      </c>
    </row>
    <row r="39" spans="1:1">
      <c r="A39" t="s">
        <v>192</v>
      </c>
    </row>
    <row r="40" spans="1:1">
      <c r="A40" t="s">
        <v>193</v>
      </c>
    </row>
    <row r="41" spans="1:1">
      <c r="A41" t="s">
        <v>241</v>
      </c>
    </row>
    <row r="42" spans="1:1">
      <c r="A42" t="s">
        <v>194</v>
      </c>
    </row>
    <row r="43" spans="1:1">
      <c r="A43" t="s">
        <v>195</v>
      </c>
    </row>
    <row r="44" spans="1:1">
      <c r="A44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6933-75D8-4278-8C45-3B3821C7B143}">
  <sheetPr codeName="Sheet3"/>
  <dimension ref="A1:E672"/>
  <sheetViews>
    <sheetView workbookViewId="0">
      <selection activeCell="F23" sqref="F23"/>
    </sheetView>
  </sheetViews>
  <sheetFormatPr defaultRowHeight="14.75"/>
  <sheetData>
    <row r="1" spans="1:5">
      <c r="A1" t="s">
        <v>25</v>
      </c>
      <c r="E1" t="s">
        <v>25</v>
      </c>
    </row>
    <row r="2" spans="1:5">
      <c r="A2" t="s">
        <v>57</v>
      </c>
      <c r="E2" t="s">
        <v>57</v>
      </c>
    </row>
    <row r="3" spans="1:5">
      <c r="A3" t="s">
        <v>57</v>
      </c>
      <c r="E3" t="s">
        <v>85</v>
      </c>
    </row>
    <row r="4" spans="1:5">
      <c r="A4" t="s">
        <v>57</v>
      </c>
      <c r="E4" t="s">
        <v>59</v>
      </c>
    </row>
    <row r="5" spans="1:5">
      <c r="A5" t="s">
        <v>57</v>
      </c>
      <c r="E5" t="s">
        <v>61</v>
      </c>
    </row>
    <row r="6" spans="1:5">
      <c r="A6" t="s">
        <v>57</v>
      </c>
      <c r="E6" t="s">
        <v>86</v>
      </c>
    </row>
    <row r="7" spans="1:5">
      <c r="A7" t="s">
        <v>57</v>
      </c>
      <c r="E7" t="s">
        <v>55</v>
      </c>
    </row>
    <row r="8" spans="1:5">
      <c r="A8" t="s">
        <v>57</v>
      </c>
      <c r="E8" t="s">
        <v>60</v>
      </c>
    </row>
    <row r="9" spans="1:5">
      <c r="A9" t="s">
        <v>57</v>
      </c>
      <c r="E9" t="s">
        <v>87</v>
      </c>
    </row>
    <row r="10" spans="1:5">
      <c r="A10" t="s">
        <v>57</v>
      </c>
      <c r="E10" t="s">
        <v>73</v>
      </c>
    </row>
    <row r="11" spans="1:5">
      <c r="A11" t="s">
        <v>57</v>
      </c>
      <c r="E11" t="s">
        <v>88</v>
      </c>
    </row>
    <row r="12" spans="1:5">
      <c r="A12" t="s">
        <v>57</v>
      </c>
      <c r="E12" t="s">
        <v>89</v>
      </c>
    </row>
    <row r="13" spans="1:5">
      <c r="A13" t="s">
        <v>57</v>
      </c>
      <c r="E13" t="s">
        <v>90</v>
      </c>
    </row>
    <row r="14" spans="1:5">
      <c r="A14" t="s">
        <v>57</v>
      </c>
      <c r="E14" t="s">
        <v>91</v>
      </c>
    </row>
    <row r="15" spans="1:5">
      <c r="A15" t="s">
        <v>57</v>
      </c>
      <c r="E15" t="s">
        <v>80</v>
      </c>
    </row>
    <row r="16" spans="1:5">
      <c r="A16" t="s">
        <v>57</v>
      </c>
      <c r="E16" t="s">
        <v>92</v>
      </c>
    </row>
    <row r="17" spans="1:5">
      <c r="A17" t="s">
        <v>57</v>
      </c>
      <c r="E17" t="s">
        <v>79</v>
      </c>
    </row>
    <row r="18" spans="1:5">
      <c r="A18" t="s">
        <v>85</v>
      </c>
      <c r="E18" t="s">
        <v>74</v>
      </c>
    </row>
    <row r="19" spans="1:5">
      <c r="A19" t="s">
        <v>85</v>
      </c>
      <c r="E19" t="s">
        <v>93</v>
      </c>
    </row>
    <row r="20" spans="1:5">
      <c r="A20" t="s">
        <v>59</v>
      </c>
      <c r="E20" t="s">
        <v>94</v>
      </c>
    </row>
    <row r="21" spans="1:5">
      <c r="A21" t="s">
        <v>59</v>
      </c>
      <c r="E21" t="s">
        <v>95</v>
      </c>
    </row>
    <row r="22" spans="1:5">
      <c r="A22" t="s">
        <v>59</v>
      </c>
      <c r="E22" t="s">
        <v>70</v>
      </c>
    </row>
    <row r="23" spans="1:5">
      <c r="A23" t="s">
        <v>59</v>
      </c>
      <c r="E23" t="s">
        <v>77</v>
      </c>
    </row>
    <row r="24" spans="1:5">
      <c r="A24" t="s">
        <v>59</v>
      </c>
      <c r="E24" t="s">
        <v>75</v>
      </c>
    </row>
    <row r="25" spans="1:5">
      <c r="A25" t="s">
        <v>59</v>
      </c>
      <c r="E25" t="s">
        <v>72</v>
      </c>
    </row>
    <row r="26" spans="1:5">
      <c r="A26" t="s">
        <v>61</v>
      </c>
      <c r="E26" t="s">
        <v>78</v>
      </c>
    </row>
    <row r="27" spans="1:5">
      <c r="A27" t="s">
        <v>61</v>
      </c>
      <c r="E27" t="s">
        <v>96</v>
      </c>
    </row>
    <row r="28" spans="1:5">
      <c r="A28" t="s">
        <v>61</v>
      </c>
      <c r="E28" t="s">
        <v>97</v>
      </c>
    </row>
    <row r="29" spans="1:5">
      <c r="A29" t="s">
        <v>61</v>
      </c>
      <c r="E29" t="s">
        <v>81</v>
      </c>
    </row>
    <row r="30" spans="1:5">
      <c r="A30" t="s">
        <v>61</v>
      </c>
      <c r="E30" t="s">
        <v>76</v>
      </c>
    </row>
    <row r="31" spans="1:5">
      <c r="A31" t="s">
        <v>61</v>
      </c>
      <c r="E31" t="s">
        <v>54</v>
      </c>
    </row>
    <row r="32" spans="1:5">
      <c r="A32" t="s">
        <v>61</v>
      </c>
      <c r="E32" t="s">
        <v>98</v>
      </c>
    </row>
    <row r="33" spans="1:5">
      <c r="A33" t="s">
        <v>61</v>
      </c>
      <c r="E33" t="s">
        <v>99</v>
      </c>
    </row>
    <row r="34" spans="1:5">
      <c r="A34" t="s">
        <v>61</v>
      </c>
      <c r="E34" t="s">
        <v>51</v>
      </c>
    </row>
    <row r="35" spans="1:5">
      <c r="A35" t="s">
        <v>61</v>
      </c>
      <c r="E35" t="s">
        <v>100</v>
      </c>
    </row>
    <row r="36" spans="1:5">
      <c r="A36" t="s">
        <v>61</v>
      </c>
      <c r="E36" t="s">
        <v>58</v>
      </c>
    </row>
    <row r="37" spans="1:5">
      <c r="A37" t="s">
        <v>61</v>
      </c>
      <c r="E37" t="s">
        <v>101</v>
      </c>
    </row>
    <row r="38" spans="1:5">
      <c r="A38" t="s">
        <v>61</v>
      </c>
    </row>
    <row r="39" spans="1:5">
      <c r="A39" t="s">
        <v>61</v>
      </c>
    </row>
    <row r="40" spans="1:5">
      <c r="A40" t="s">
        <v>61</v>
      </c>
    </row>
    <row r="41" spans="1:5">
      <c r="A41" t="s">
        <v>61</v>
      </c>
    </row>
    <row r="42" spans="1:5">
      <c r="A42" t="s">
        <v>61</v>
      </c>
    </row>
    <row r="43" spans="1:5">
      <c r="A43" t="s">
        <v>61</v>
      </c>
    </row>
    <row r="44" spans="1:5">
      <c r="A44" t="s">
        <v>61</v>
      </c>
    </row>
    <row r="45" spans="1:5">
      <c r="A45" t="s">
        <v>61</v>
      </c>
    </row>
    <row r="46" spans="1:5">
      <c r="A46" t="s">
        <v>61</v>
      </c>
    </row>
    <row r="47" spans="1:5">
      <c r="A47" t="s">
        <v>61</v>
      </c>
    </row>
    <row r="48" spans="1:5">
      <c r="A48" t="s">
        <v>61</v>
      </c>
    </row>
    <row r="49" spans="1:1">
      <c r="A49" t="s">
        <v>61</v>
      </c>
    </row>
    <row r="50" spans="1:1">
      <c r="A50" t="s">
        <v>61</v>
      </c>
    </row>
    <row r="51" spans="1:1">
      <c r="A51" t="s">
        <v>61</v>
      </c>
    </row>
    <row r="52" spans="1:1">
      <c r="A52" t="s">
        <v>61</v>
      </c>
    </row>
    <row r="53" spans="1:1">
      <c r="A53" t="s">
        <v>61</v>
      </c>
    </row>
    <row r="54" spans="1:1">
      <c r="A54" t="s">
        <v>61</v>
      </c>
    </row>
    <row r="55" spans="1:1">
      <c r="A55" t="s">
        <v>61</v>
      </c>
    </row>
    <row r="56" spans="1:1">
      <c r="A56" t="s">
        <v>61</v>
      </c>
    </row>
    <row r="57" spans="1:1">
      <c r="A57" t="s">
        <v>61</v>
      </c>
    </row>
    <row r="58" spans="1:1">
      <c r="A58" t="s">
        <v>61</v>
      </c>
    </row>
    <row r="59" spans="1:1">
      <c r="A59" t="s">
        <v>61</v>
      </c>
    </row>
    <row r="60" spans="1:1">
      <c r="A60" t="s">
        <v>61</v>
      </c>
    </row>
    <row r="61" spans="1:1">
      <c r="A61" t="s">
        <v>61</v>
      </c>
    </row>
    <row r="62" spans="1:1">
      <c r="A62" t="s">
        <v>61</v>
      </c>
    </row>
    <row r="63" spans="1:1">
      <c r="A63" t="s">
        <v>61</v>
      </c>
    </row>
    <row r="64" spans="1:1">
      <c r="A64" t="s">
        <v>61</v>
      </c>
    </row>
    <row r="65" spans="1:1">
      <c r="A65" t="s">
        <v>61</v>
      </c>
    </row>
    <row r="66" spans="1:1">
      <c r="A66" t="s">
        <v>61</v>
      </c>
    </row>
    <row r="67" spans="1:1">
      <c r="A67" t="s">
        <v>61</v>
      </c>
    </row>
    <row r="68" spans="1:1">
      <c r="A68" t="s">
        <v>61</v>
      </c>
    </row>
    <row r="69" spans="1:1">
      <c r="A69" t="s">
        <v>61</v>
      </c>
    </row>
    <row r="70" spans="1:1">
      <c r="A70" t="s">
        <v>61</v>
      </c>
    </row>
    <row r="71" spans="1:1">
      <c r="A71" t="s">
        <v>61</v>
      </c>
    </row>
    <row r="72" spans="1:1">
      <c r="A72" t="s">
        <v>61</v>
      </c>
    </row>
    <row r="73" spans="1:1">
      <c r="A73" t="s">
        <v>61</v>
      </c>
    </row>
    <row r="74" spans="1:1">
      <c r="A74" t="s">
        <v>61</v>
      </c>
    </row>
    <row r="75" spans="1:1">
      <c r="A75" t="s">
        <v>61</v>
      </c>
    </row>
    <row r="76" spans="1:1">
      <c r="A76" t="s">
        <v>61</v>
      </c>
    </row>
    <row r="77" spans="1:1">
      <c r="A77" t="s">
        <v>86</v>
      </c>
    </row>
    <row r="78" spans="1:1">
      <c r="A78" t="s">
        <v>86</v>
      </c>
    </row>
    <row r="79" spans="1:1">
      <c r="A79" t="s">
        <v>86</v>
      </c>
    </row>
    <row r="80" spans="1:1">
      <c r="A80" t="s">
        <v>86</v>
      </c>
    </row>
    <row r="81" spans="1:1">
      <c r="A81" t="s">
        <v>86</v>
      </c>
    </row>
    <row r="82" spans="1:1">
      <c r="A82" t="s">
        <v>86</v>
      </c>
    </row>
    <row r="83" spans="1:1">
      <c r="A83" t="s">
        <v>86</v>
      </c>
    </row>
    <row r="84" spans="1:1">
      <c r="A84" t="s">
        <v>86</v>
      </c>
    </row>
    <row r="85" spans="1:1">
      <c r="A85" t="s">
        <v>55</v>
      </c>
    </row>
    <row r="86" spans="1:1">
      <c r="A86" t="s">
        <v>55</v>
      </c>
    </row>
    <row r="87" spans="1:1">
      <c r="A87" t="s">
        <v>55</v>
      </c>
    </row>
    <row r="88" spans="1:1">
      <c r="A88" t="s">
        <v>55</v>
      </c>
    </row>
    <row r="89" spans="1:1">
      <c r="A89" t="s">
        <v>60</v>
      </c>
    </row>
    <row r="90" spans="1:1">
      <c r="A90" t="s">
        <v>60</v>
      </c>
    </row>
    <row r="91" spans="1:1">
      <c r="A91" t="s">
        <v>60</v>
      </c>
    </row>
    <row r="92" spans="1:1">
      <c r="A92" t="s">
        <v>60</v>
      </c>
    </row>
    <row r="93" spans="1:1">
      <c r="A93" t="s">
        <v>60</v>
      </c>
    </row>
    <row r="94" spans="1:1">
      <c r="A94" t="s">
        <v>60</v>
      </c>
    </row>
    <row r="95" spans="1:1">
      <c r="A95" t="s">
        <v>60</v>
      </c>
    </row>
    <row r="96" spans="1:1">
      <c r="A96" t="s">
        <v>60</v>
      </c>
    </row>
    <row r="97" spans="1:1">
      <c r="A97" t="s">
        <v>60</v>
      </c>
    </row>
    <row r="98" spans="1:1">
      <c r="A98" t="s">
        <v>60</v>
      </c>
    </row>
    <row r="99" spans="1:1">
      <c r="A99" t="s">
        <v>60</v>
      </c>
    </row>
    <row r="100" spans="1:1">
      <c r="A100" t="s">
        <v>60</v>
      </c>
    </row>
    <row r="101" spans="1:1">
      <c r="A101" t="s">
        <v>60</v>
      </c>
    </row>
    <row r="102" spans="1:1">
      <c r="A102" t="s">
        <v>60</v>
      </c>
    </row>
    <row r="103" spans="1:1">
      <c r="A103" t="s">
        <v>60</v>
      </c>
    </row>
    <row r="104" spans="1:1">
      <c r="A104" t="s">
        <v>60</v>
      </c>
    </row>
    <row r="105" spans="1:1">
      <c r="A105" t="s">
        <v>60</v>
      </c>
    </row>
    <row r="106" spans="1:1">
      <c r="A106" t="s">
        <v>60</v>
      </c>
    </row>
    <row r="107" spans="1:1">
      <c r="A107" t="s">
        <v>60</v>
      </c>
    </row>
    <row r="108" spans="1:1">
      <c r="A108" t="s">
        <v>60</v>
      </c>
    </row>
    <row r="109" spans="1:1">
      <c r="A109" t="s">
        <v>60</v>
      </c>
    </row>
    <row r="110" spans="1:1">
      <c r="A110" t="s">
        <v>60</v>
      </c>
    </row>
    <row r="111" spans="1:1">
      <c r="A111" t="s">
        <v>60</v>
      </c>
    </row>
    <row r="112" spans="1:1">
      <c r="A112" t="s">
        <v>60</v>
      </c>
    </row>
    <row r="113" spans="1:1">
      <c r="A113" t="s">
        <v>60</v>
      </c>
    </row>
    <row r="114" spans="1:1">
      <c r="A114" t="s">
        <v>60</v>
      </c>
    </row>
    <row r="115" spans="1:1">
      <c r="A115" t="s">
        <v>60</v>
      </c>
    </row>
    <row r="116" spans="1:1">
      <c r="A116" t="s">
        <v>60</v>
      </c>
    </row>
    <row r="117" spans="1:1">
      <c r="A117" t="s">
        <v>60</v>
      </c>
    </row>
    <row r="118" spans="1:1">
      <c r="A118" t="s">
        <v>60</v>
      </c>
    </row>
    <row r="119" spans="1:1">
      <c r="A119" t="s">
        <v>60</v>
      </c>
    </row>
    <row r="120" spans="1:1">
      <c r="A120" t="s">
        <v>60</v>
      </c>
    </row>
    <row r="121" spans="1:1">
      <c r="A121" t="s">
        <v>60</v>
      </c>
    </row>
    <row r="122" spans="1:1">
      <c r="A122" t="s">
        <v>60</v>
      </c>
    </row>
    <row r="123" spans="1:1">
      <c r="A123" t="s">
        <v>60</v>
      </c>
    </row>
    <row r="124" spans="1:1">
      <c r="A124" t="s">
        <v>60</v>
      </c>
    </row>
    <row r="125" spans="1:1">
      <c r="A125" t="s">
        <v>60</v>
      </c>
    </row>
    <row r="126" spans="1:1">
      <c r="A126" t="s">
        <v>60</v>
      </c>
    </row>
    <row r="127" spans="1:1">
      <c r="A127" t="s">
        <v>60</v>
      </c>
    </row>
    <row r="128" spans="1:1">
      <c r="A128" t="s">
        <v>60</v>
      </c>
    </row>
    <row r="129" spans="1:1">
      <c r="A129" t="s">
        <v>60</v>
      </c>
    </row>
    <row r="130" spans="1:1">
      <c r="A130" t="s">
        <v>60</v>
      </c>
    </row>
    <row r="131" spans="1:1">
      <c r="A131" t="s">
        <v>60</v>
      </c>
    </row>
    <row r="132" spans="1:1">
      <c r="A132" t="s">
        <v>60</v>
      </c>
    </row>
    <row r="133" spans="1:1">
      <c r="A133" t="s">
        <v>60</v>
      </c>
    </row>
    <row r="134" spans="1:1">
      <c r="A134" t="s">
        <v>60</v>
      </c>
    </row>
    <row r="135" spans="1:1">
      <c r="A135" t="s">
        <v>87</v>
      </c>
    </row>
    <row r="136" spans="1:1">
      <c r="A136" t="s">
        <v>87</v>
      </c>
    </row>
    <row r="137" spans="1:1">
      <c r="A137" t="s">
        <v>87</v>
      </c>
    </row>
    <row r="138" spans="1:1">
      <c r="A138" t="s">
        <v>87</v>
      </c>
    </row>
    <row r="139" spans="1:1">
      <c r="A139" t="s">
        <v>87</v>
      </c>
    </row>
    <row r="140" spans="1:1">
      <c r="A140" t="s">
        <v>87</v>
      </c>
    </row>
    <row r="141" spans="1:1">
      <c r="A141" t="s">
        <v>87</v>
      </c>
    </row>
    <row r="142" spans="1:1">
      <c r="A142" t="s">
        <v>87</v>
      </c>
    </row>
    <row r="143" spans="1:1">
      <c r="A143" t="s">
        <v>87</v>
      </c>
    </row>
    <row r="144" spans="1:1">
      <c r="A144" t="s">
        <v>87</v>
      </c>
    </row>
    <row r="145" spans="1:1">
      <c r="A145" t="s">
        <v>87</v>
      </c>
    </row>
    <row r="146" spans="1:1">
      <c r="A146" t="s">
        <v>87</v>
      </c>
    </row>
    <row r="147" spans="1:1">
      <c r="A147" t="s">
        <v>87</v>
      </c>
    </row>
    <row r="148" spans="1:1">
      <c r="A148" t="s">
        <v>87</v>
      </c>
    </row>
    <row r="149" spans="1:1">
      <c r="A149" t="s">
        <v>87</v>
      </c>
    </row>
    <row r="150" spans="1:1">
      <c r="A150" t="s">
        <v>87</v>
      </c>
    </row>
    <row r="151" spans="1:1">
      <c r="A151" t="s">
        <v>87</v>
      </c>
    </row>
    <row r="152" spans="1:1">
      <c r="A152" t="s">
        <v>87</v>
      </c>
    </row>
    <row r="153" spans="1:1">
      <c r="A153" t="s">
        <v>87</v>
      </c>
    </row>
    <row r="154" spans="1:1">
      <c r="A154" t="s">
        <v>87</v>
      </c>
    </row>
    <row r="155" spans="1:1">
      <c r="A155" t="s">
        <v>87</v>
      </c>
    </row>
    <row r="156" spans="1:1">
      <c r="A156" t="s">
        <v>87</v>
      </c>
    </row>
    <row r="157" spans="1:1">
      <c r="A157" t="s">
        <v>87</v>
      </c>
    </row>
    <row r="158" spans="1:1">
      <c r="A158" t="s">
        <v>87</v>
      </c>
    </row>
    <row r="159" spans="1:1">
      <c r="A159" t="s">
        <v>87</v>
      </c>
    </row>
    <row r="160" spans="1:1">
      <c r="A160" t="s">
        <v>87</v>
      </c>
    </row>
    <row r="161" spans="1:1">
      <c r="A161" t="s">
        <v>87</v>
      </c>
    </row>
    <row r="162" spans="1:1">
      <c r="A162" t="s">
        <v>87</v>
      </c>
    </row>
    <row r="163" spans="1:1">
      <c r="A163" t="s">
        <v>87</v>
      </c>
    </row>
    <row r="164" spans="1:1">
      <c r="A164" t="s">
        <v>87</v>
      </c>
    </row>
    <row r="165" spans="1:1">
      <c r="A165" t="s">
        <v>87</v>
      </c>
    </row>
    <row r="166" spans="1:1">
      <c r="A166" t="s">
        <v>87</v>
      </c>
    </row>
    <row r="167" spans="1:1">
      <c r="A167" t="s">
        <v>87</v>
      </c>
    </row>
    <row r="168" spans="1:1">
      <c r="A168" t="s">
        <v>87</v>
      </c>
    </row>
    <row r="169" spans="1:1">
      <c r="A169" t="s">
        <v>87</v>
      </c>
    </row>
    <row r="170" spans="1:1">
      <c r="A170" t="s">
        <v>87</v>
      </c>
    </row>
    <row r="171" spans="1:1">
      <c r="A171" t="s">
        <v>87</v>
      </c>
    </row>
    <row r="172" spans="1:1">
      <c r="A172" t="s">
        <v>87</v>
      </c>
    </row>
    <row r="173" spans="1:1">
      <c r="A173" t="s">
        <v>87</v>
      </c>
    </row>
    <row r="174" spans="1:1">
      <c r="A174" t="s">
        <v>87</v>
      </c>
    </row>
    <row r="175" spans="1:1">
      <c r="A175" t="s">
        <v>87</v>
      </c>
    </row>
    <row r="176" spans="1:1">
      <c r="A176" t="s">
        <v>87</v>
      </c>
    </row>
    <row r="177" spans="1:1">
      <c r="A177" t="s">
        <v>87</v>
      </c>
    </row>
    <row r="178" spans="1:1">
      <c r="A178" t="s">
        <v>87</v>
      </c>
    </row>
    <row r="179" spans="1:1">
      <c r="A179" t="s">
        <v>87</v>
      </c>
    </row>
    <row r="180" spans="1:1">
      <c r="A180" t="s">
        <v>87</v>
      </c>
    </row>
    <row r="181" spans="1:1">
      <c r="A181" t="s">
        <v>87</v>
      </c>
    </row>
    <row r="182" spans="1:1">
      <c r="A182" t="s">
        <v>87</v>
      </c>
    </row>
    <row r="183" spans="1:1">
      <c r="A183" t="s">
        <v>87</v>
      </c>
    </row>
    <row r="184" spans="1:1">
      <c r="A184" t="s">
        <v>87</v>
      </c>
    </row>
    <row r="185" spans="1:1">
      <c r="A185" t="s">
        <v>87</v>
      </c>
    </row>
    <row r="186" spans="1:1">
      <c r="A186" t="s">
        <v>87</v>
      </c>
    </row>
    <row r="187" spans="1:1">
      <c r="A187" t="s">
        <v>87</v>
      </c>
    </row>
    <row r="188" spans="1:1">
      <c r="A188" t="s">
        <v>87</v>
      </c>
    </row>
    <row r="189" spans="1:1">
      <c r="A189" t="s">
        <v>87</v>
      </c>
    </row>
    <row r="190" spans="1:1">
      <c r="A190" t="s">
        <v>87</v>
      </c>
    </row>
    <row r="191" spans="1:1">
      <c r="A191" t="s">
        <v>87</v>
      </c>
    </row>
    <row r="192" spans="1:1">
      <c r="A192" t="s">
        <v>87</v>
      </c>
    </row>
    <row r="193" spans="1:1">
      <c r="A193" t="s">
        <v>73</v>
      </c>
    </row>
    <row r="194" spans="1:1">
      <c r="A194" t="s">
        <v>73</v>
      </c>
    </row>
    <row r="195" spans="1:1">
      <c r="A195" t="s">
        <v>73</v>
      </c>
    </row>
    <row r="196" spans="1:1">
      <c r="A196" t="s">
        <v>73</v>
      </c>
    </row>
    <row r="197" spans="1:1">
      <c r="A197" t="s">
        <v>73</v>
      </c>
    </row>
    <row r="198" spans="1:1">
      <c r="A198" t="s">
        <v>73</v>
      </c>
    </row>
    <row r="199" spans="1:1">
      <c r="A199" t="s">
        <v>73</v>
      </c>
    </row>
    <row r="200" spans="1:1">
      <c r="A200" t="s">
        <v>73</v>
      </c>
    </row>
    <row r="201" spans="1:1">
      <c r="A201" t="s">
        <v>73</v>
      </c>
    </row>
    <row r="202" spans="1:1">
      <c r="A202" t="s">
        <v>73</v>
      </c>
    </row>
    <row r="203" spans="1:1">
      <c r="A203" t="s">
        <v>73</v>
      </c>
    </row>
    <row r="204" spans="1:1">
      <c r="A204" t="s">
        <v>73</v>
      </c>
    </row>
    <row r="205" spans="1:1">
      <c r="A205" t="s">
        <v>73</v>
      </c>
    </row>
    <row r="206" spans="1:1">
      <c r="A206" t="s">
        <v>73</v>
      </c>
    </row>
    <row r="207" spans="1:1">
      <c r="A207" t="s">
        <v>73</v>
      </c>
    </row>
    <row r="208" spans="1:1">
      <c r="A208" t="s">
        <v>73</v>
      </c>
    </row>
    <row r="209" spans="1:1">
      <c r="A209" t="s">
        <v>73</v>
      </c>
    </row>
    <row r="210" spans="1:1">
      <c r="A210" t="s">
        <v>73</v>
      </c>
    </row>
    <row r="211" spans="1:1">
      <c r="A211" t="s">
        <v>73</v>
      </c>
    </row>
    <row r="212" spans="1:1">
      <c r="A212" t="s">
        <v>73</v>
      </c>
    </row>
    <row r="213" spans="1:1">
      <c r="A213" t="s">
        <v>73</v>
      </c>
    </row>
    <row r="214" spans="1:1">
      <c r="A214" t="s">
        <v>73</v>
      </c>
    </row>
    <row r="215" spans="1:1">
      <c r="A215" t="s">
        <v>73</v>
      </c>
    </row>
    <row r="216" spans="1:1">
      <c r="A216" t="s">
        <v>73</v>
      </c>
    </row>
    <row r="217" spans="1:1">
      <c r="A217" t="s">
        <v>73</v>
      </c>
    </row>
    <row r="218" spans="1:1">
      <c r="A218" t="s">
        <v>73</v>
      </c>
    </row>
    <row r="219" spans="1:1">
      <c r="A219" t="s">
        <v>73</v>
      </c>
    </row>
    <row r="220" spans="1:1">
      <c r="A220" t="s">
        <v>73</v>
      </c>
    </row>
    <row r="221" spans="1:1">
      <c r="A221" t="s">
        <v>73</v>
      </c>
    </row>
    <row r="222" spans="1:1">
      <c r="A222" t="s">
        <v>73</v>
      </c>
    </row>
    <row r="223" spans="1:1">
      <c r="A223" t="s">
        <v>73</v>
      </c>
    </row>
    <row r="224" spans="1:1">
      <c r="A224" t="s">
        <v>73</v>
      </c>
    </row>
    <row r="225" spans="1:1">
      <c r="A225" t="s">
        <v>88</v>
      </c>
    </row>
    <row r="226" spans="1:1">
      <c r="A226" t="s">
        <v>88</v>
      </c>
    </row>
    <row r="227" spans="1:1">
      <c r="A227" t="s">
        <v>88</v>
      </c>
    </row>
    <row r="228" spans="1:1">
      <c r="A228" t="s">
        <v>73</v>
      </c>
    </row>
    <row r="229" spans="1:1">
      <c r="A229" t="s">
        <v>73</v>
      </c>
    </row>
    <row r="230" spans="1:1">
      <c r="A230" t="s">
        <v>73</v>
      </c>
    </row>
    <row r="231" spans="1:1">
      <c r="A231" t="s">
        <v>73</v>
      </c>
    </row>
    <row r="232" spans="1:1">
      <c r="A232" t="s">
        <v>73</v>
      </c>
    </row>
    <row r="233" spans="1:1">
      <c r="A233" t="s">
        <v>73</v>
      </c>
    </row>
    <row r="234" spans="1:1">
      <c r="A234" t="s">
        <v>73</v>
      </c>
    </row>
    <row r="235" spans="1:1">
      <c r="A235" t="s">
        <v>73</v>
      </c>
    </row>
    <row r="236" spans="1:1">
      <c r="A236" t="s">
        <v>73</v>
      </c>
    </row>
    <row r="237" spans="1:1">
      <c r="A237" t="s">
        <v>73</v>
      </c>
    </row>
    <row r="238" spans="1:1">
      <c r="A238" t="s">
        <v>73</v>
      </c>
    </row>
    <row r="239" spans="1:1">
      <c r="A239" t="s">
        <v>73</v>
      </c>
    </row>
    <row r="240" spans="1:1">
      <c r="A240" t="s">
        <v>73</v>
      </c>
    </row>
    <row r="241" spans="1:1">
      <c r="A241" t="s">
        <v>73</v>
      </c>
    </row>
    <row r="242" spans="1:1">
      <c r="A242" t="s">
        <v>73</v>
      </c>
    </row>
    <row r="243" spans="1:1">
      <c r="A243" t="s">
        <v>73</v>
      </c>
    </row>
    <row r="244" spans="1:1">
      <c r="A244" t="s">
        <v>73</v>
      </c>
    </row>
    <row r="245" spans="1:1">
      <c r="A245" t="s">
        <v>73</v>
      </c>
    </row>
    <row r="246" spans="1:1">
      <c r="A246" t="s">
        <v>73</v>
      </c>
    </row>
    <row r="247" spans="1:1">
      <c r="A247" t="s">
        <v>73</v>
      </c>
    </row>
    <row r="248" spans="1:1">
      <c r="A248" t="s">
        <v>73</v>
      </c>
    </row>
    <row r="249" spans="1:1">
      <c r="A249" t="s">
        <v>73</v>
      </c>
    </row>
    <row r="250" spans="1:1">
      <c r="A250" t="s">
        <v>73</v>
      </c>
    </row>
    <row r="251" spans="1:1">
      <c r="A251" t="s">
        <v>73</v>
      </c>
    </row>
    <row r="252" spans="1:1">
      <c r="A252" t="s">
        <v>73</v>
      </c>
    </row>
    <row r="253" spans="1:1">
      <c r="A253" t="s">
        <v>73</v>
      </c>
    </row>
    <row r="254" spans="1:1">
      <c r="A254" t="s">
        <v>73</v>
      </c>
    </row>
    <row r="255" spans="1:1">
      <c r="A255" t="s">
        <v>73</v>
      </c>
    </row>
    <row r="256" spans="1:1">
      <c r="A256" t="s">
        <v>73</v>
      </c>
    </row>
    <row r="257" spans="1:1">
      <c r="A257" t="s">
        <v>73</v>
      </c>
    </row>
    <row r="258" spans="1:1">
      <c r="A258" t="s">
        <v>73</v>
      </c>
    </row>
    <row r="259" spans="1:1">
      <c r="A259" t="s">
        <v>73</v>
      </c>
    </row>
    <row r="260" spans="1:1">
      <c r="A260" t="s">
        <v>73</v>
      </c>
    </row>
    <row r="261" spans="1:1">
      <c r="A261" t="s">
        <v>73</v>
      </c>
    </row>
    <row r="262" spans="1:1">
      <c r="A262" t="s">
        <v>73</v>
      </c>
    </row>
    <row r="263" spans="1:1">
      <c r="A263" t="s">
        <v>73</v>
      </c>
    </row>
    <row r="264" spans="1:1">
      <c r="A264" t="s">
        <v>73</v>
      </c>
    </row>
    <row r="265" spans="1:1">
      <c r="A265" t="s">
        <v>73</v>
      </c>
    </row>
    <row r="266" spans="1:1">
      <c r="A266" t="s">
        <v>73</v>
      </c>
    </row>
    <row r="267" spans="1:1">
      <c r="A267" t="s">
        <v>89</v>
      </c>
    </row>
    <row r="268" spans="1:1">
      <c r="A268" t="s">
        <v>90</v>
      </c>
    </row>
    <row r="269" spans="1:1">
      <c r="A269" t="s">
        <v>90</v>
      </c>
    </row>
    <row r="270" spans="1:1">
      <c r="A270" t="s">
        <v>90</v>
      </c>
    </row>
    <row r="271" spans="1:1">
      <c r="A271" t="s">
        <v>90</v>
      </c>
    </row>
    <row r="272" spans="1:1">
      <c r="A272" t="s">
        <v>90</v>
      </c>
    </row>
    <row r="273" spans="1:1">
      <c r="A273" t="s">
        <v>90</v>
      </c>
    </row>
    <row r="274" spans="1:1">
      <c r="A274" t="s">
        <v>90</v>
      </c>
    </row>
    <row r="275" spans="1:1">
      <c r="A275" t="s">
        <v>90</v>
      </c>
    </row>
    <row r="276" spans="1:1">
      <c r="A276" t="s">
        <v>90</v>
      </c>
    </row>
    <row r="277" spans="1:1">
      <c r="A277" t="s">
        <v>90</v>
      </c>
    </row>
    <row r="278" spans="1:1">
      <c r="A278" t="s">
        <v>90</v>
      </c>
    </row>
    <row r="279" spans="1:1">
      <c r="A279" t="s">
        <v>91</v>
      </c>
    </row>
    <row r="280" spans="1:1">
      <c r="A280" t="s">
        <v>80</v>
      </c>
    </row>
    <row r="281" spans="1:1">
      <c r="A281" t="s">
        <v>80</v>
      </c>
    </row>
    <row r="282" spans="1:1">
      <c r="A282" t="s">
        <v>80</v>
      </c>
    </row>
    <row r="283" spans="1:1">
      <c r="A283" t="s">
        <v>80</v>
      </c>
    </row>
    <row r="284" spans="1:1">
      <c r="A284" t="s">
        <v>92</v>
      </c>
    </row>
    <row r="285" spans="1:1">
      <c r="A285" t="s">
        <v>92</v>
      </c>
    </row>
    <row r="286" spans="1:1">
      <c r="A286" t="s">
        <v>92</v>
      </c>
    </row>
    <row r="287" spans="1:1">
      <c r="A287" t="s">
        <v>92</v>
      </c>
    </row>
    <row r="288" spans="1:1">
      <c r="A288" t="s">
        <v>92</v>
      </c>
    </row>
    <row r="289" spans="1:1">
      <c r="A289" t="s">
        <v>92</v>
      </c>
    </row>
    <row r="290" spans="1:1">
      <c r="A290" t="s">
        <v>79</v>
      </c>
    </row>
    <row r="291" spans="1:1">
      <c r="A291" t="s">
        <v>79</v>
      </c>
    </row>
    <row r="292" spans="1:1">
      <c r="A292" t="s">
        <v>79</v>
      </c>
    </row>
    <row r="293" spans="1:1">
      <c r="A293" t="s">
        <v>79</v>
      </c>
    </row>
    <row r="294" spans="1:1">
      <c r="A294" t="s">
        <v>79</v>
      </c>
    </row>
    <row r="295" spans="1:1">
      <c r="A295" t="s">
        <v>79</v>
      </c>
    </row>
    <row r="296" spans="1:1">
      <c r="A296" t="s">
        <v>79</v>
      </c>
    </row>
    <row r="297" spans="1:1">
      <c r="A297" t="s">
        <v>79</v>
      </c>
    </row>
    <row r="298" spans="1:1">
      <c r="A298" t="s">
        <v>79</v>
      </c>
    </row>
    <row r="299" spans="1:1">
      <c r="A299" t="s">
        <v>79</v>
      </c>
    </row>
    <row r="300" spans="1:1">
      <c r="A300" t="s">
        <v>79</v>
      </c>
    </row>
    <row r="301" spans="1:1">
      <c r="A301" t="s">
        <v>79</v>
      </c>
    </row>
    <row r="302" spans="1:1">
      <c r="A302" t="s">
        <v>79</v>
      </c>
    </row>
    <row r="303" spans="1:1">
      <c r="A303" t="s">
        <v>79</v>
      </c>
    </row>
    <row r="304" spans="1:1">
      <c r="A304" t="s">
        <v>79</v>
      </c>
    </row>
    <row r="305" spans="1:1">
      <c r="A305" t="s">
        <v>79</v>
      </c>
    </row>
    <row r="306" spans="1:1">
      <c r="A306" t="s">
        <v>79</v>
      </c>
    </row>
    <row r="307" spans="1:1">
      <c r="A307" t="s">
        <v>79</v>
      </c>
    </row>
    <row r="308" spans="1:1">
      <c r="A308" t="s">
        <v>79</v>
      </c>
    </row>
    <row r="309" spans="1:1">
      <c r="A309" t="s">
        <v>79</v>
      </c>
    </row>
    <row r="310" spans="1:1">
      <c r="A310" t="s">
        <v>60</v>
      </c>
    </row>
    <row r="311" spans="1:1">
      <c r="A311" t="s">
        <v>74</v>
      </c>
    </row>
    <row r="312" spans="1:1">
      <c r="A312" t="s">
        <v>74</v>
      </c>
    </row>
    <row r="313" spans="1:1">
      <c r="A313" t="s">
        <v>74</v>
      </c>
    </row>
    <row r="314" spans="1:1">
      <c r="A314" t="s">
        <v>74</v>
      </c>
    </row>
    <row r="315" spans="1:1">
      <c r="A315" t="s">
        <v>74</v>
      </c>
    </row>
    <row r="316" spans="1:1">
      <c r="A316" t="s">
        <v>74</v>
      </c>
    </row>
    <row r="317" spans="1:1">
      <c r="A317" t="s">
        <v>74</v>
      </c>
    </row>
    <row r="318" spans="1:1">
      <c r="A318" t="s">
        <v>74</v>
      </c>
    </row>
    <row r="319" spans="1:1">
      <c r="A319" t="s">
        <v>74</v>
      </c>
    </row>
    <row r="320" spans="1:1">
      <c r="A320" t="s">
        <v>74</v>
      </c>
    </row>
    <row r="321" spans="1:1">
      <c r="A321" t="s">
        <v>74</v>
      </c>
    </row>
    <row r="322" spans="1:1">
      <c r="A322" t="s">
        <v>74</v>
      </c>
    </row>
    <row r="323" spans="1:1">
      <c r="A323" t="s">
        <v>74</v>
      </c>
    </row>
    <row r="324" spans="1:1">
      <c r="A324" t="s">
        <v>74</v>
      </c>
    </row>
    <row r="325" spans="1:1">
      <c r="A325" t="s">
        <v>74</v>
      </c>
    </row>
    <row r="326" spans="1:1">
      <c r="A326" t="s">
        <v>74</v>
      </c>
    </row>
    <row r="327" spans="1:1">
      <c r="A327" t="s">
        <v>74</v>
      </c>
    </row>
    <row r="328" spans="1:1">
      <c r="A328" t="s">
        <v>74</v>
      </c>
    </row>
    <row r="329" spans="1:1">
      <c r="A329" t="s">
        <v>74</v>
      </c>
    </row>
    <row r="330" spans="1:1">
      <c r="A330" t="s">
        <v>74</v>
      </c>
    </row>
    <row r="331" spans="1:1">
      <c r="A331" t="s">
        <v>74</v>
      </c>
    </row>
    <row r="332" spans="1:1">
      <c r="A332" t="s">
        <v>74</v>
      </c>
    </row>
    <row r="333" spans="1:1">
      <c r="A333" t="s">
        <v>74</v>
      </c>
    </row>
    <row r="334" spans="1:1">
      <c r="A334" t="s">
        <v>74</v>
      </c>
    </row>
    <row r="335" spans="1:1">
      <c r="A335" t="s">
        <v>74</v>
      </c>
    </row>
    <row r="336" spans="1:1">
      <c r="A336" t="s">
        <v>74</v>
      </c>
    </row>
    <row r="337" spans="1:1">
      <c r="A337" t="s">
        <v>74</v>
      </c>
    </row>
    <row r="338" spans="1:1">
      <c r="A338" t="s">
        <v>74</v>
      </c>
    </row>
    <row r="339" spans="1:1">
      <c r="A339" t="s">
        <v>93</v>
      </c>
    </row>
    <row r="340" spans="1:1">
      <c r="A340" t="s">
        <v>74</v>
      </c>
    </row>
    <row r="341" spans="1:1">
      <c r="A341" t="s">
        <v>87</v>
      </c>
    </row>
    <row r="342" spans="1:1">
      <c r="A342" t="s">
        <v>87</v>
      </c>
    </row>
    <row r="343" spans="1:1">
      <c r="A343" t="s">
        <v>87</v>
      </c>
    </row>
    <row r="344" spans="1:1">
      <c r="A344" t="s">
        <v>87</v>
      </c>
    </row>
    <row r="345" spans="1:1">
      <c r="A345" t="s">
        <v>87</v>
      </c>
    </row>
    <row r="346" spans="1:1">
      <c r="A346" t="s">
        <v>87</v>
      </c>
    </row>
    <row r="347" spans="1:1">
      <c r="A347" t="s">
        <v>87</v>
      </c>
    </row>
    <row r="348" spans="1:1">
      <c r="A348" t="s">
        <v>94</v>
      </c>
    </row>
    <row r="349" spans="1:1">
      <c r="A349" t="s">
        <v>94</v>
      </c>
    </row>
    <row r="350" spans="1:1">
      <c r="A350" t="s">
        <v>94</v>
      </c>
    </row>
    <row r="351" spans="1:1">
      <c r="A351" t="s">
        <v>94</v>
      </c>
    </row>
    <row r="352" spans="1:1">
      <c r="A352" t="s">
        <v>95</v>
      </c>
    </row>
    <row r="353" spans="1:1">
      <c r="A353" t="s">
        <v>95</v>
      </c>
    </row>
    <row r="354" spans="1:1">
      <c r="A354" t="s">
        <v>95</v>
      </c>
    </row>
    <row r="355" spans="1:1">
      <c r="A355" t="s">
        <v>70</v>
      </c>
    </row>
    <row r="356" spans="1:1">
      <c r="A356" t="s">
        <v>70</v>
      </c>
    </row>
    <row r="357" spans="1:1">
      <c r="A357" t="s">
        <v>70</v>
      </c>
    </row>
    <row r="358" spans="1:1">
      <c r="A358" t="s">
        <v>70</v>
      </c>
    </row>
    <row r="359" spans="1:1">
      <c r="A359" t="s">
        <v>70</v>
      </c>
    </row>
    <row r="360" spans="1:1">
      <c r="A360" t="s">
        <v>70</v>
      </c>
    </row>
    <row r="361" spans="1:1">
      <c r="A361" t="s">
        <v>70</v>
      </c>
    </row>
    <row r="362" spans="1:1">
      <c r="A362" t="s">
        <v>70</v>
      </c>
    </row>
    <row r="363" spans="1:1">
      <c r="A363" t="s">
        <v>70</v>
      </c>
    </row>
    <row r="364" spans="1:1">
      <c r="A364" t="s">
        <v>70</v>
      </c>
    </row>
    <row r="365" spans="1:1">
      <c r="A365" t="s">
        <v>70</v>
      </c>
    </row>
    <row r="366" spans="1:1">
      <c r="A366" t="s">
        <v>70</v>
      </c>
    </row>
    <row r="367" spans="1:1">
      <c r="A367" t="s">
        <v>70</v>
      </c>
    </row>
    <row r="368" spans="1:1">
      <c r="A368" t="s">
        <v>70</v>
      </c>
    </row>
    <row r="369" spans="1:1">
      <c r="A369" t="s">
        <v>70</v>
      </c>
    </row>
    <row r="370" spans="1:1">
      <c r="A370" t="s">
        <v>70</v>
      </c>
    </row>
    <row r="371" spans="1:1">
      <c r="A371" t="s">
        <v>70</v>
      </c>
    </row>
    <row r="372" spans="1:1">
      <c r="A372" t="s">
        <v>70</v>
      </c>
    </row>
    <row r="373" spans="1:1">
      <c r="A373" t="s">
        <v>70</v>
      </c>
    </row>
    <row r="374" spans="1:1">
      <c r="A374" t="s">
        <v>70</v>
      </c>
    </row>
    <row r="375" spans="1:1">
      <c r="A375" t="s">
        <v>70</v>
      </c>
    </row>
    <row r="376" spans="1:1">
      <c r="A376" t="s">
        <v>70</v>
      </c>
    </row>
    <row r="377" spans="1:1">
      <c r="A377" t="s">
        <v>70</v>
      </c>
    </row>
    <row r="378" spans="1:1">
      <c r="A378" t="s">
        <v>70</v>
      </c>
    </row>
    <row r="379" spans="1:1">
      <c r="A379" t="s">
        <v>70</v>
      </c>
    </row>
    <row r="380" spans="1:1">
      <c r="A380" t="s">
        <v>70</v>
      </c>
    </row>
    <row r="381" spans="1:1">
      <c r="A381" t="s">
        <v>70</v>
      </c>
    </row>
    <row r="382" spans="1:1">
      <c r="A382" t="s">
        <v>70</v>
      </c>
    </row>
    <row r="383" spans="1:1">
      <c r="A383" t="s">
        <v>70</v>
      </c>
    </row>
    <row r="384" spans="1:1">
      <c r="A384" t="s">
        <v>77</v>
      </c>
    </row>
    <row r="385" spans="1:1">
      <c r="A385" t="s">
        <v>77</v>
      </c>
    </row>
    <row r="386" spans="1:1">
      <c r="A386" t="s">
        <v>77</v>
      </c>
    </row>
    <row r="387" spans="1:1">
      <c r="A387" t="s">
        <v>77</v>
      </c>
    </row>
    <row r="388" spans="1:1">
      <c r="A388" t="s">
        <v>77</v>
      </c>
    </row>
    <row r="389" spans="1:1">
      <c r="A389" t="s">
        <v>77</v>
      </c>
    </row>
    <row r="390" spans="1:1">
      <c r="A390" t="s">
        <v>77</v>
      </c>
    </row>
    <row r="391" spans="1:1">
      <c r="A391" t="s">
        <v>77</v>
      </c>
    </row>
    <row r="392" spans="1:1">
      <c r="A392" t="s">
        <v>77</v>
      </c>
    </row>
    <row r="393" spans="1:1">
      <c r="A393" t="s">
        <v>77</v>
      </c>
    </row>
    <row r="394" spans="1:1">
      <c r="A394" t="s">
        <v>77</v>
      </c>
    </row>
    <row r="395" spans="1:1">
      <c r="A395" t="s">
        <v>77</v>
      </c>
    </row>
    <row r="396" spans="1:1">
      <c r="A396" t="s">
        <v>77</v>
      </c>
    </row>
    <row r="397" spans="1:1">
      <c r="A397" t="s">
        <v>77</v>
      </c>
    </row>
    <row r="398" spans="1:1">
      <c r="A398" t="s">
        <v>77</v>
      </c>
    </row>
    <row r="399" spans="1:1">
      <c r="A399" t="s">
        <v>77</v>
      </c>
    </row>
    <row r="400" spans="1:1">
      <c r="A400" t="s">
        <v>77</v>
      </c>
    </row>
    <row r="401" spans="1:1">
      <c r="A401" t="s">
        <v>77</v>
      </c>
    </row>
    <row r="402" spans="1:1">
      <c r="A402" t="s">
        <v>77</v>
      </c>
    </row>
    <row r="403" spans="1:1">
      <c r="A403" t="s">
        <v>77</v>
      </c>
    </row>
    <row r="404" spans="1:1">
      <c r="A404" t="s">
        <v>77</v>
      </c>
    </row>
    <row r="405" spans="1:1">
      <c r="A405" t="s">
        <v>77</v>
      </c>
    </row>
    <row r="406" spans="1:1">
      <c r="A406" t="s">
        <v>77</v>
      </c>
    </row>
    <row r="407" spans="1:1">
      <c r="A407" t="s">
        <v>77</v>
      </c>
    </row>
    <row r="408" spans="1:1">
      <c r="A408" t="s">
        <v>77</v>
      </c>
    </row>
    <row r="409" spans="1:1">
      <c r="A409" t="s">
        <v>77</v>
      </c>
    </row>
    <row r="410" spans="1:1">
      <c r="A410" t="s">
        <v>77</v>
      </c>
    </row>
    <row r="411" spans="1:1">
      <c r="A411" t="s">
        <v>77</v>
      </c>
    </row>
    <row r="412" spans="1:1">
      <c r="A412" t="s">
        <v>77</v>
      </c>
    </row>
    <row r="413" spans="1:1">
      <c r="A413" t="s">
        <v>77</v>
      </c>
    </row>
    <row r="414" spans="1:1">
      <c r="A414" t="s">
        <v>77</v>
      </c>
    </row>
    <row r="415" spans="1:1">
      <c r="A415" t="s">
        <v>77</v>
      </c>
    </row>
    <row r="416" spans="1:1">
      <c r="A416" t="s">
        <v>77</v>
      </c>
    </row>
    <row r="417" spans="1:1">
      <c r="A417" t="s">
        <v>77</v>
      </c>
    </row>
    <row r="418" spans="1:1">
      <c r="A418" t="s">
        <v>77</v>
      </c>
    </row>
    <row r="419" spans="1:1">
      <c r="A419" t="s">
        <v>77</v>
      </c>
    </row>
    <row r="420" spans="1:1">
      <c r="A420" t="s">
        <v>77</v>
      </c>
    </row>
    <row r="421" spans="1:1">
      <c r="A421" t="s">
        <v>77</v>
      </c>
    </row>
    <row r="422" spans="1:1">
      <c r="A422" t="s">
        <v>77</v>
      </c>
    </row>
    <row r="423" spans="1:1">
      <c r="A423" t="s">
        <v>77</v>
      </c>
    </row>
    <row r="424" spans="1:1">
      <c r="A424" t="s">
        <v>77</v>
      </c>
    </row>
    <row r="425" spans="1:1">
      <c r="A425" t="s">
        <v>77</v>
      </c>
    </row>
    <row r="426" spans="1:1">
      <c r="A426" t="s">
        <v>77</v>
      </c>
    </row>
    <row r="427" spans="1:1">
      <c r="A427" t="s">
        <v>77</v>
      </c>
    </row>
    <row r="428" spans="1:1">
      <c r="A428" t="s">
        <v>77</v>
      </c>
    </row>
    <row r="429" spans="1:1">
      <c r="A429" t="s">
        <v>77</v>
      </c>
    </row>
    <row r="430" spans="1:1">
      <c r="A430" t="s">
        <v>77</v>
      </c>
    </row>
    <row r="431" spans="1:1">
      <c r="A431" t="s">
        <v>77</v>
      </c>
    </row>
    <row r="432" spans="1:1">
      <c r="A432" t="s">
        <v>77</v>
      </c>
    </row>
    <row r="433" spans="1:1">
      <c r="A433" t="s">
        <v>77</v>
      </c>
    </row>
    <row r="434" spans="1:1">
      <c r="A434" t="s">
        <v>77</v>
      </c>
    </row>
    <row r="435" spans="1:1">
      <c r="A435" t="s">
        <v>77</v>
      </c>
    </row>
    <row r="436" spans="1:1">
      <c r="A436" t="s">
        <v>77</v>
      </c>
    </row>
    <row r="437" spans="1:1">
      <c r="A437" t="s">
        <v>77</v>
      </c>
    </row>
    <row r="438" spans="1:1">
      <c r="A438" t="s">
        <v>77</v>
      </c>
    </row>
    <row r="439" spans="1:1">
      <c r="A439" t="s">
        <v>77</v>
      </c>
    </row>
    <row r="440" spans="1:1">
      <c r="A440" t="s">
        <v>77</v>
      </c>
    </row>
    <row r="441" spans="1:1">
      <c r="A441" t="s">
        <v>77</v>
      </c>
    </row>
    <row r="442" spans="1:1">
      <c r="A442" t="s">
        <v>77</v>
      </c>
    </row>
    <row r="443" spans="1:1">
      <c r="A443" t="s">
        <v>77</v>
      </c>
    </row>
    <row r="444" spans="1:1">
      <c r="A444" t="s">
        <v>77</v>
      </c>
    </row>
    <row r="445" spans="1:1">
      <c r="A445" t="s">
        <v>77</v>
      </c>
    </row>
    <row r="446" spans="1:1">
      <c r="A446" t="s">
        <v>77</v>
      </c>
    </row>
    <row r="447" spans="1:1">
      <c r="A447" t="s">
        <v>77</v>
      </c>
    </row>
    <row r="448" spans="1:1">
      <c r="A448" t="s">
        <v>77</v>
      </c>
    </row>
    <row r="449" spans="1:1">
      <c r="A449" t="s">
        <v>77</v>
      </c>
    </row>
    <row r="450" spans="1:1">
      <c r="A450" t="s">
        <v>77</v>
      </c>
    </row>
    <row r="451" spans="1:1">
      <c r="A451" t="s">
        <v>77</v>
      </c>
    </row>
    <row r="452" spans="1:1">
      <c r="A452" t="s">
        <v>77</v>
      </c>
    </row>
    <row r="453" spans="1:1">
      <c r="A453" t="s">
        <v>77</v>
      </c>
    </row>
    <row r="454" spans="1:1">
      <c r="A454" t="s">
        <v>77</v>
      </c>
    </row>
    <row r="455" spans="1:1">
      <c r="A455" t="s">
        <v>75</v>
      </c>
    </row>
    <row r="456" spans="1:1">
      <c r="A456" t="s">
        <v>75</v>
      </c>
    </row>
    <row r="457" spans="1:1">
      <c r="A457" t="s">
        <v>72</v>
      </c>
    </row>
    <row r="458" spans="1:1">
      <c r="A458" t="s">
        <v>72</v>
      </c>
    </row>
    <row r="459" spans="1:1">
      <c r="A459" t="s">
        <v>72</v>
      </c>
    </row>
    <row r="460" spans="1:1">
      <c r="A460" t="s">
        <v>72</v>
      </c>
    </row>
    <row r="461" spans="1:1">
      <c r="A461" t="s">
        <v>72</v>
      </c>
    </row>
    <row r="462" spans="1:1">
      <c r="A462" t="s">
        <v>72</v>
      </c>
    </row>
    <row r="463" spans="1:1">
      <c r="A463" t="s">
        <v>72</v>
      </c>
    </row>
    <row r="464" spans="1:1">
      <c r="A464" t="s">
        <v>72</v>
      </c>
    </row>
    <row r="465" spans="1:1">
      <c r="A465" t="s">
        <v>72</v>
      </c>
    </row>
    <row r="466" spans="1:1">
      <c r="A466" t="s">
        <v>72</v>
      </c>
    </row>
    <row r="467" spans="1:1">
      <c r="A467" t="s">
        <v>72</v>
      </c>
    </row>
    <row r="468" spans="1:1">
      <c r="A468" t="s">
        <v>72</v>
      </c>
    </row>
    <row r="469" spans="1:1">
      <c r="A469" t="s">
        <v>72</v>
      </c>
    </row>
    <row r="470" spans="1:1">
      <c r="A470" t="s">
        <v>72</v>
      </c>
    </row>
    <row r="471" spans="1:1">
      <c r="A471" t="s">
        <v>72</v>
      </c>
    </row>
    <row r="472" spans="1:1">
      <c r="A472" t="s">
        <v>72</v>
      </c>
    </row>
    <row r="473" spans="1:1">
      <c r="A473" t="s">
        <v>72</v>
      </c>
    </row>
    <row r="474" spans="1:1">
      <c r="A474" t="s">
        <v>72</v>
      </c>
    </row>
    <row r="475" spans="1:1">
      <c r="A475" t="s">
        <v>72</v>
      </c>
    </row>
    <row r="476" spans="1:1">
      <c r="A476" t="s">
        <v>72</v>
      </c>
    </row>
    <row r="477" spans="1:1">
      <c r="A477" t="s">
        <v>72</v>
      </c>
    </row>
    <row r="478" spans="1:1">
      <c r="A478" t="s">
        <v>72</v>
      </c>
    </row>
    <row r="479" spans="1:1">
      <c r="A479" t="s">
        <v>72</v>
      </c>
    </row>
    <row r="480" spans="1:1">
      <c r="A480" t="s">
        <v>72</v>
      </c>
    </row>
    <row r="481" spans="1:1">
      <c r="A481" t="s">
        <v>72</v>
      </c>
    </row>
    <row r="482" spans="1:1">
      <c r="A482" t="s">
        <v>72</v>
      </c>
    </row>
    <row r="483" spans="1:1">
      <c r="A483" t="s">
        <v>72</v>
      </c>
    </row>
    <row r="484" spans="1:1">
      <c r="A484" t="s">
        <v>72</v>
      </c>
    </row>
    <row r="485" spans="1:1">
      <c r="A485" t="s">
        <v>72</v>
      </c>
    </row>
    <row r="486" spans="1:1">
      <c r="A486" t="s">
        <v>72</v>
      </c>
    </row>
    <row r="487" spans="1:1">
      <c r="A487" t="s">
        <v>72</v>
      </c>
    </row>
    <row r="488" spans="1:1">
      <c r="A488" t="s">
        <v>72</v>
      </c>
    </row>
    <row r="489" spans="1:1">
      <c r="A489" t="s">
        <v>72</v>
      </c>
    </row>
    <row r="490" spans="1:1">
      <c r="A490" t="s">
        <v>72</v>
      </c>
    </row>
    <row r="491" spans="1:1">
      <c r="A491" t="s">
        <v>72</v>
      </c>
    </row>
    <row r="492" spans="1:1">
      <c r="A492" t="s">
        <v>72</v>
      </c>
    </row>
    <row r="493" spans="1:1">
      <c r="A493" t="s">
        <v>72</v>
      </c>
    </row>
    <row r="494" spans="1:1">
      <c r="A494" t="s">
        <v>72</v>
      </c>
    </row>
    <row r="495" spans="1:1">
      <c r="A495" t="s">
        <v>72</v>
      </c>
    </row>
    <row r="496" spans="1:1">
      <c r="A496" t="s">
        <v>72</v>
      </c>
    </row>
    <row r="497" spans="1:1">
      <c r="A497" t="s">
        <v>72</v>
      </c>
    </row>
    <row r="498" spans="1:1">
      <c r="A498" t="s">
        <v>72</v>
      </c>
    </row>
    <row r="499" spans="1:1">
      <c r="A499" t="s">
        <v>72</v>
      </c>
    </row>
    <row r="500" spans="1:1">
      <c r="A500" t="s">
        <v>72</v>
      </c>
    </row>
    <row r="501" spans="1:1">
      <c r="A501" t="s">
        <v>72</v>
      </c>
    </row>
    <row r="502" spans="1:1">
      <c r="A502" t="s">
        <v>72</v>
      </c>
    </row>
    <row r="503" spans="1:1">
      <c r="A503" t="s">
        <v>72</v>
      </c>
    </row>
    <row r="504" spans="1:1">
      <c r="A504" t="s">
        <v>72</v>
      </c>
    </row>
    <row r="505" spans="1:1">
      <c r="A505" t="s">
        <v>72</v>
      </c>
    </row>
    <row r="506" spans="1:1">
      <c r="A506" t="s">
        <v>72</v>
      </c>
    </row>
    <row r="507" spans="1:1">
      <c r="A507" t="s">
        <v>72</v>
      </c>
    </row>
    <row r="508" spans="1:1">
      <c r="A508" t="s">
        <v>72</v>
      </c>
    </row>
    <row r="509" spans="1:1">
      <c r="A509" t="s">
        <v>72</v>
      </c>
    </row>
    <row r="510" spans="1:1">
      <c r="A510" t="s">
        <v>72</v>
      </c>
    </row>
    <row r="511" spans="1:1">
      <c r="A511" t="s">
        <v>72</v>
      </c>
    </row>
    <row r="512" spans="1:1">
      <c r="A512" t="s">
        <v>72</v>
      </c>
    </row>
    <row r="513" spans="1:1">
      <c r="A513" t="s">
        <v>72</v>
      </c>
    </row>
    <row r="514" spans="1:1">
      <c r="A514" t="s">
        <v>72</v>
      </c>
    </row>
    <row r="515" spans="1:1">
      <c r="A515" t="s">
        <v>72</v>
      </c>
    </row>
    <row r="516" spans="1:1">
      <c r="A516" t="s">
        <v>72</v>
      </c>
    </row>
    <row r="517" spans="1:1">
      <c r="A517" t="s">
        <v>72</v>
      </c>
    </row>
    <row r="518" spans="1:1">
      <c r="A518" t="s">
        <v>72</v>
      </c>
    </row>
    <row r="519" spans="1:1">
      <c r="A519" t="s">
        <v>72</v>
      </c>
    </row>
    <row r="520" spans="1:1">
      <c r="A520" t="s">
        <v>72</v>
      </c>
    </row>
    <row r="521" spans="1:1">
      <c r="A521" t="s">
        <v>72</v>
      </c>
    </row>
    <row r="522" spans="1:1">
      <c r="A522" t="s">
        <v>72</v>
      </c>
    </row>
    <row r="523" spans="1:1">
      <c r="A523" t="s">
        <v>72</v>
      </c>
    </row>
    <row r="524" spans="1:1">
      <c r="A524" t="s">
        <v>72</v>
      </c>
    </row>
    <row r="525" spans="1:1">
      <c r="A525" t="s">
        <v>72</v>
      </c>
    </row>
    <row r="526" spans="1:1">
      <c r="A526" t="s">
        <v>72</v>
      </c>
    </row>
    <row r="527" spans="1:1">
      <c r="A527" t="s">
        <v>72</v>
      </c>
    </row>
    <row r="528" spans="1:1">
      <c r="A528" t="s">
        <v>72</v>
      </c>
    </row>
    <row r="529" spans="1:1">
      <c r="A529" t="s">
        <v>72</v>
      </c>
    </row>
    <row r="530" spans="1:1">
      <c r="A530" t="s">
        <v>72</v>
      </c>
    </row>
    <row r="531" spans="1:1">
      <c r="A531" t="s">
        <v>72</v>
      </c>
    </row>
    <row r="532" spans="1:1">
      <c r="A532" t="s">
        <v>72</v>
      </c>
    </row>
    <row r="533" spans="1:1">
      <c r="A533" t="s">
        <v>72</v>
      </c>
    </row>
    <row r="534" spans="1:1">
      <c r="A534" t="s">
        <v>72</v>
      </c>
    </row>
    <row r="535" spans="1:1">
      <c r="A535" t="s">
        <v>72</v>
      </c>
    </row>
    <row r="536" spans="1:1">
      <c r="A536" t="s">
        <v>72</v>
      </c>
    </row>
    <row r="537" spans="1:1">
      <c r="A537" t="s">
        <v>72</v>
      </c>
    </row>
    <row r="538" spans="1:1">
      <c r="A538" t="s">
        <v>72</v>
      </c>
    </row>
    <row r="539" spans="1:1">
      <c r="A539" t="s">
        <v>72</v>
      </c>
    </row>
    <row r="540" spans="1:1">
      <c r="A540" t="s">
        <v>72</v>
      </c>
    </row>
    <row r="541" spans="1:1">
      <c r="A541" t="s">
        <v>72</v>
      </c>
    </row>
    <row r="542" spans="1:1">
      <c r="A542" t="s">
        <v>72</v>
      </c>
    </row>
    <row r="543" spans="1:1">
      <c r="A543" t="s">
        <v>72</v>
      </c>
    </row>
    <row r="544" spans="1:1">
      <c r="A544" t="s">
        <v>72</v>
      </c>
    </row>
    <row r="545" spans="1:1">
      <c r="A545" t="s">
        <v>72</v>
      </c>
    </row>
    <row r="546" spans="1:1">
      <c r="A546" t="s">
        <v>72</v>
      </c>
    </row>
    <row r="547" spans="1:1">
      <c r="A547" t="s">
        <v>72</v>
      </c>
    </row>
    <row r="548" spans="1:1">
      <c r="A548" t="s">
        <v>72</v>
      </c>
    </row>
    <row r="549" spans="1:1">
      <c r="A549" t="s">
        <v>72</v>
      </c>
    </row>
    <row r="550" spans="1:1">
      <c r="A550" t="s">
        <v>72</v>
      </c>
    </row>
    <row r="551" spans="1:1">
      <c r="A551" t="s">
        <v>72</v>
      </c>
    </row>
    <row r="552" spans="1:1">
      <c r="A552" t="s">
        <v>72</v>
      </c>
    </row>
    <row r="553" spans="1:1">
      <c r="A553" t="s">
        <v>72</v>
      </c>
    </row>
    <row r="554" spans="1:1">
      <c r="A554" t="s">
        <v>72</v>
      </c>
    </row>
    <row r="555" spans="1:1">
      <c r="A555" t="s">
        <v>72</v>
      </c>
    </row>
    <row r="556" spans="1:1">
      <c r="A556" t="s">
        <v>72</v>
      </c>
    </row>
    <row r="557" spans="1:1">
      <c r="A557" t="s">
        <v>72</v>
      </c>
    </row>
    <row r="558" spans="1:1">
      <c r="A558" t="s">
        <v>72</v>
      </c>
    </row>
    <row r="559" spans="1:1">
      <c r="A559" t="s">
        <v>72</v>
      </c>
    </row>
    <row r="560" spans="1:1">
      <c r="A560" t="s">
        <v>78</v>
      </c>
    </row>
    <row r="561" spans="1:1">
      <c r="A561" t="s">
        <v>78</v>
      </c>
    </row>
    <row r="562" spans="1:1">
      <c r="A562" t="s">
        <v>78</v>
      </c>
    </row>
    <row r="563" spans="1:1">
      <c r="A563" t="s">
        <v>78</v>
      </c>
    </row>
    <row r="564" spans="1:1">
      <c r="A564" t="s">
        <v>78</v>
      </c>
    </row>
    <row r="565" spans="1:1">
      <c r="A565" t="s">
        <v>78</v>
      </c>
    </row>
    <row r="566" spans="1:1">
      <c r="A566" t="s">
        <v>78</v>
      </c>
    </row>
    <row r="567" spans="1:1">
      <c r="A567" t="s">
        <v>78</v>
      </c>
    </row>
    <row r="568" spans="1:1">
      <c r="A568" t="s">
        <v>78</v>
      </c>
    </row>
    <row r="569" spans="1:1">
      <c r="A569" t="s">
        <v>78</v>
      </c>
    </row>
    <row r="570" spans="1:1">
      <c r="A570" t="s">
        <v>78</v>
      </c>
    </row>
    <row r="571" spans="1:1">
      <c r="A571" t="s">
        <v>78</v>
      </c>
    </row>
    <row r="572" spans="1:1">
      <c r="A572" t="s">
        <v>78</v>
      </c>
    </row>
    <row r="573" spans="1:1">
      <c r="A573" t="s">
        <v>78</v>
      </c>
    </row>
    <row r="574" spans="1:1">
      <c r="A574" t="s">
        <v>78</v>
      </c>
    </row>
    <row r="575" spans="1:1">
      <c r="A575" t="s">
        <v>78</v>
      </c>
    </row>
    <row r="576" spans="1:1">
      <c r="A576" t="s">
        <v>78</v>
      </c>
    </row>
    <row r="577" spans="1:1">
      <c r="A577" t="s">
        <v>78</v>
      </c>
    </row>
    <row r="578" spans="1:1">
      <c r="A578" t="s">
        <v>78</v>
      </c>
    </row>
    <row r="579" spans="1:1">
      <c r="A579" t="s">
        <v>96</v>
      </c>
    </row>
    <row r="580" spans="1:1">
      <c r="A580" t="s">
        <v>96</v>
      </c>
    </row>
    <row r="581" spans="1:1">
      <c r="A581" t="s">
        <v>96</v>
      </c>
    </row>
    <row r="582" spans="1:1">
      <c r="A582" t="s">
        <v>96</v>
      </c>
    </row>
    <row r="583" spans="1:1">
      <c r="A583" t="s">
        <v>96</v>
      </c>
    </row>
    <row r="584" spans="1:1">
      <c r="A584" t="s">
        <v>96</v>
      </c>
    </row>
    <row r="585" spans="1:1">
      <c r="A585" t="s">
        <v>96</v>
      </c>
    </row>
    <row r="586" spans="1:1">
      <c r="A586" t="s">
        <v>96</v>
      </c>
    </row>
    <row r="587" spans="1:1">
      <c r="A587" t="s">
        <v>96</v>
      </c>
    </row>
    <row r="588" spans="1:1">
      <c r="A588" t="s">
        <v>96</v>
      </c>
    </row>
    <row r="589" spans="1:1">
      <c r="A589" t="s">
        <v>97</v>
      </c>
    </row>
    <row r="590" spans="1:1">
      <c r="A590" t="s">
        <v>97</v>
      </c>
    </row>
    <row r="591" spans="1:1">
      <c r="A591" t="s">
        <v>97</v>
      </c>
    </row>
    <row r="592" spans="1:1">
      <c r="A592" t="s">
        <v>81</v>
      </c>
    </row>
    <row r="593" spans="1:1">
      <c r="A593" t="s">
        <v>81</v>
      </c>
    </row>
    <row r="594" spans="1:1">
      <c r="A594" t="s">
        <v>81</v>
      </c>
    </row>
    <row r="595" spans="1:1">
      <c r="A595" t="s">
        <v>81</v>
      </c>
    </row>
    <row r="596" spans="1:1">
      <c r="A596" t="s">
        <v>81</v>
      </c>
    </row>
    <row r="597" spans="1:1">
      <c r="A597" t="s">
        <v>81</v>
      </c>
    </row>
    <row r="598" spans="1:1">
      <c r="A598" t="s">
        <v>81</v>
      </c>
    </row>
    <row r="599" spans="1:1">
      <c r="A599" t="s">
        <v>76</v>
      </c>
    </row>
    <row r="600" spans="1:1">
      <c r="A600" t="s">
        <v>76</v>
      </c>
    </row>
    <row r="601" spans="1:1">
      <c r="A601" t="s">
        <v>76</v>
      </c>
    </row>
    <row r="602" spans="1:1">
      <c r="A602" t="s">
        <v>76</v>
      </c>
    </row>
    <row r="603" spans="1:1">
      <c r="A603" t="s">
        <v>76</v>
      </c>
    </row>
    <row r="604" spans="1:1">
      <c r="A604" t="s">
        <v>76</v>
      </c>
    </row>
    <row r="605" spans="1:1">
      <c r="A605" t="s">
        <v>54</v>
      </c>
    </row>
    <row r="606" spans="1:1">
      <c r="A606" t="s">
        <v>54</v>
      </c>
    </row>
    <row r="607" spans="1:1">
      <c r="A607" t="s">
        <v>54</v>
      </c>
    </row>
    <row r="608" spans="1:1">
      <c r="A608" t="s">
        <v>54</v>
      </c>
    </row>
    <row r="609" spans="1:1">
      <c r="A609" t="s">
        <v>54</v>
      </c>
    </row>
    <row r="610" spans="1:1">
      <c r="A610" t="s">
        <v>54</v>
      </c>
    </row>
    <row r="611" spans="1:1">
      <c r="A611" t="s">
        <v>54</v>
      </c>
    </row>
    <row r="612" spans="1:1">
      <c r="A612" t="s">
        <v>54</v>
      </c>
    </row>
    <row r="613" spans="1:1">
      <c r="A613" t="s">
        <v>54</v>
      </c>
    </row>
    <row r="614" spans="1:1">
      <c r="A614" t="s">
        <v>54</v>
      </c>
    </row>
    <row r="615" spans="1:1">
      <c r="A615" t="s">
        <v>54</v>
      </c>
    </row>
    <row r="616" spans="1:1">
      <c r="A616" t="s">
        <v>54</v>
      </c>
    </row>
    <row r="617" spans="1:1">
      <c r="A617" t="s">
        <v>54</v>
      </c>
    </row>
    <row r="618" spans="1:1">
      <c r="A618" t="s">
        <v>54</v>
      </c>
    </row>
    <row r="619" spans="1:1">
      <c r="A619" t="s">
        <v>54</v>
      </c>
    </row>
    <row r="620" spans="1:1">
      <c r="A620" t="s">
        <v>54</v>
      </c>
    </row>
    <row r="621" spans="1:1">
      <c r="A621" t="s">
        <v>54</v>
      </c>
    </row>
    <row r="622" spans="1:1">
      <c r="A622" t="s">
        <v>54</v>
      </c>
    </row>
    <row r="623" spans="1:1">
      <c r="A623" t="s">
        <v>54</v>
      </c>
    </row>
    <row r="624" spans="1:1">
      <c r="A624" t="s">
        <v>54</v>
      </c>
    </row>
    <row r="625" spans="1:1">
      <c r="A625" t="s">
        <v>54</v>
      </c>
    </row>
    <row r="626" spans="1:1">
      <c r="A626" t="s">
        <v>54</v>
      </c>
    </row>
    <row r="627" spans="1:1">
      <c r="A627" t="s">
        <v>54</v>
      </c>
    </row>
    <row r="628" spans="1:1">
      <c r="A628" t="s">
        <v>54</v>
      </c>
    </row>
    <row r="629" spans="1:1">
      <c r="A629" t="s">
        <v>54</v>
      </c>
    </row>
    <row r="630" spans="1:1">
      <c r="A630" t="s">
        <v>54</v>
      </c>
    </row>
    <row r="631" spans="1:1">
      <c r="A631" t="s">
        <v>98</v>
      </c>
    </row>
    <row r="632" spans="1:1">
      <c r="A632" t="s">
        <v>99</v>
      </c>
    </row>
    <row r="633" spans="1:1">
      <c r="A633" t="s">
        <v>99</v>
      </c>
    </row>
    <row r="634" spans="1:1">
      <c r="A634" t="s">
        <v>99</v>
      </c>
    </row>
    <row r="635" spans="1:1">
      <c r="A635" t="s">
        <v>99</v>
      </c>
    </row>
    <row r="636" spans="1:1">
      <c r="A636" t="s">
        <v>99</v>
      </c>
    </row>
    <row r="637" spans="1:1">
      <c r="A637" t="s">
        <v>99</v>
      </c>
    </row>
    <row r="638" spans="1:1">
      <c r="A638" t="s">
        <v>51</v>
      </c>
    </row>
    <row r="639" spans="1:1">
      <c r="A639" t="s">
        <v>51</v>
      </c>
    </row>
    <row r="640" spans="1:1">
      <c r="A640" t="s">
        <v>51</v>
      </c>
    </row>
    <row r="641" spans="1:1">
      <c r="A641" t="s">
        <v>51</v>
      </c>
    </row>
    <row r="642" spans="1:1">
      <c r="A642" t="s">
        <v>51</v>
      </c>
    </row>
    <row r="643" spans="1:1">
      <c r="A643" t="s">
        <v>51</v>
      </c>
    </row>
    <row r="644" spans="1:1">
      <c r="A644" t="s">
        <v>51</v>
      </c>
    </row>
    <row r="645" spans="1:1">
      <c r="A645" t="s">
        <v>100</v>
      </c>
    </row>
    <row r="646" spans="1:1">
      <c r="A646" t="s">
        <v>100</v>
      </c>
    </row>
    <row r="647" spans="1:1">
      <c r="A647" t="s">
        <v>58</v>
      </c>
    </row>
    <row r="648" spans="1:1">
      <c r="A648" t="s">
        <v>58</v>
      </c>
    </row>
    <row r="649" spans="1:1">
      <c r="A649" t="s">
        <v>58</v>
      </c>
    </row>
    <row r="650" spans="1:1">
      <c r="A650" t="s">
        <v>58</v>
      </c>
    </row>
    <row r="651" spans="1:1">
      <c r="A651" t="s">
        <v>58</v>
      </c>
    </row>
    <row r="652" spans="1:1">
      <c r="A652" t="s">
        <v>58</v>
      </c>
    </row>
    <row r="653" spans="1:1">
      <c r="A653" t="s">
        <v>58</v>
      </c>
    </row>
    <row r="654" spans="1:1">
      <c r="A654" t="s">
        <v>58</v>
      </c>
    </row>
    <row r="655" spans="1:1">
      <c r="A655" t="s">
        <v>58</v>
      </c>
    </row>
    <row r="656" spans="1:1">
      <c r="A656" t="s">
        <v>58</v>
      </c>
    </row>
    <row r="657" spans="1:1">
      <c r="A657" t="s">
        <v>58</v>
      </c>
    </row>
    <row r="658" spans="1:1">
      <c r="A658" t="s">
        <v>58</v>
      </c>
    </row>
    <row r="659" spans="1:1">
      <c r="A659" t="s">
        <v>58</v>
      </c>
    </row>
    <row r="660" spans="1:1">
      <c r="A660" t="s">
        <v>58</v>
      </c>
    </row>
    <row r="661" spans="1:1">
      <c r="A661" t="s">
        <v>58</v>
      </c>
    </row>
    <row r="662" spans="1:1">
      <c r="A662" t="s">
        <v>58</v>
      </c>
    </row>
    <row r="663" spans="1:1">
      <c r="A663" t="s">
        <v>58</v>
      </c>
    </row>
    <row r="664" spans="1:1">
      <c r="A664" t="s">
        <v>58</v>
      </c>
    </row>
    <row r="665" spans="1:1">
      <c r="A665" t="s">
        <v>58</v>
      </c>
    </row>
    <row r="666" spans="1:1">
      <c r="A666" t="s">
        <v>58</v>
      </c>
    </row>
    <row r="667" spans="1:1">
      <c r="A667" t="s">
        <v>58</v>
      </c>
    </row>
    <row r="668" spans="1:1">
      <c r="A668" t="s">
        <v>58</v>
      </c>
    </row>
    <row r="669" spans="1:1">
      <c r="A669" t="s">
        <v>58</v>
      </c>
    </row>
    <row r="670" spans="1:1">
      <c r="A670" t="s">
        <v>54</v>
      </c>
    </row>
    <row r="671" spans="1:1">
      <c r="A671" t="s">
        <v>101</v>
      </c>
    </row>
    <row r="672" spans="1:1">
      <c r="A672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c f e 5 b 4 - 6 1 2 0 - 4 4 4 e - 8 a 7 f - 9 e 2 6 2 e c 2 f 6 1 f "   x m l n s = " h t t p : / / s c h e m a s . m i c r o s o f t . c o m / D a t a M a s h u p " > A A A A A P s J A A B Q S w M E F A A C A A g A Z 1 L P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Z 1 L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S z 1 a 8 L O 5 T 9 Q Y A A M o h A A A T A B w A R m 9 y b X V s Y X M v U 2 V j d G l v b j E u b S C i G A A o o B Q A A A A A A A A A A A A A A A A A A A A A A A A A A A D t W f 9 r 2 0 Y U / z 2 Q / + F w Y D j D 9 S L Z y V q 2 D l K 3 + U K b p M S B M p I w F O k S i 8 g 6 I 8 l t T A j U d r + l 6 y D Q d W U t G 0 2 6 b v 1 C 6 b q 0 p E 0 7 8 o N D f + o / Y V T n y 3 + x k 2 R Z 5 z v J d p J C y 0 g I 8 e W 9 d / d 5 9 + 7 0 e U / P O h Q N G a k g 6 X x y 3 7 S 3 t b f p K U G D E u g I n Y W a j C R Z F B Q l B z S Y Q Z o R A s e B A o 3 2 N o B / k i i r i R B L + p A i Q S 3 a J y t Q D 4 c m J r h j f J T r O R r l u q J 8 d 3 z C k h 9 J Q u 0 8 1 C Z i U V C 5 m d 9 Z f f x h 4 7 e d h 2 8 3 l 0 4 k z m B h N x a v P d h + + G P l y u U P r 3 7 a W X w G x g b K b 5 a G + 8 H p 0 n U w U L q I R / h 3 b H Q E / 0 2 U f s Z / N 5 d G y u v 3 h u 3 Z 3 Q D w X X x s Y k x Q 9 Z Q M E i k o z u o p C I 0 f h l N C B q Q F k D w 7 4 b e f z o i z l 4 7 Q K E y j 8 3 j f I 0 Y K a i C B l G x a 1 a 3 9 j g l T C o w m o Y K D V B W H n a 1 H 5 k M J p B p Q N U I R E B o W 0 j C 0 4 C 3 Y K 0 l 4 u U R W N 1 D a W w d L n U X C Q Z B 4 q e q k C I C C m A K n 5 k S o R M 8 h b X Y K o d n w e B V z s p N 1 n n H b U b h u U 0 4 1 9 v / U X E Z Q / b b g K O w x s x W / T c w 7 S 2 P R S c E Q r M 9 B A 1 q K 0 G l Z l a z P A R m 7 p Y Y W 9 m L b 5 O S 4 o K N j N 4 b D Y I P 5 7 d 1 W t L R z C t 3 b g R V k S 2 j L n C H v D W P e M O 4 N u 7 1 h j z f 8 2 h s e 9 Y b H v C H X R Y w J P I 4 A 5 A h E j o D k C E y O A O U I V I 6 A 5 Q h c n s D l y X 0 S u D y B y x O 4 P I H L E 7 g 8 g c s T u D y B G y N w Y w R u j A w w g R s j c G M E b o z A j R G 4 M Q I 3 R u D G C d w 4 g R s n c O P k y R K 4 c Q I 3 3 u P c + c M L c n h B A i 9 I I M t z w T R f z 1 8 R 9 4 b x z V Y e Q x k w i i 6 Q e W 9 W z r D 8 j r f E e b P P a i i N D K w d g A I u B I j Z V U 1 V H v Y B i o D x q l G v o i R x b h Y 0 / b i h Z e G k t 3 4 i J a g z 1 q R c B n p r j 2 k 4 2 U 8 j L e 3 4 Z C k t B M a Z y P x 8 6 B y E s 2 r W y i M G N g O C m r O f u y G c / V J H v o e C R m t G 4 Y y s G 5 j Q c Q A h M 6 2 v 3 1 f u t 5 A N Q Q t P C j l a l E A S s 5 6 T n 2 B t T Q P O G b Y C 7 1 H K i g Y Q i U k 1 5 T A y W K E 7 w 5 I y y i F c Z c g q d O J L K 8 e Q I S i 0 Z 7 b Q K s g G V R G l Z X U G l 1 g 4 W n I D y 2 l 8 L t j K R g o y Y u R O O T c l l 9 c 3 V J A u 3 c t 2 h J X p z u 0 n z y p P l y p / L O 4 s / h M w B c 3 J I F V a F T r C h j D V S c z a v f y q c u M X d p d a e f 2 v H J B K K 7 k I k N 4 t 2 y M g I T B 8 x p 6 8 e / f N 9 t q d S m E t A o A z 3 n p + x y z c C I W Y p f A V F 7 R Z M J g A X A M d 7 6 M T d F y L B 8 x z d e y 8 w Q E 3 Q F J 5 f V m d s f 3 F Q h y f y r 8 r z N U r r z / N A N G y t A 2 3 X l 7 e W r x p 5 p e Z d R 1 L v b T i B H 1 r 7 X m 9 Y S 3 i 7 / 4 W g F J 6 K d t m l Y 0 i D o 6 Z x 5 Z v r f j Q q 5 4 p r d L G u / f v m v n V y t V 1 M 3 + b s d 9 c K r 9 5 Z H h T d q 4 / s w 7 i 2 l W 8 u H n x I u 3 M Q P b 9 f W y N 3 h d l 4 O 7 P z F / y 9 3 x z K V t 6 I e N 7 Z 1 u a h S d m s W g W r 5 m F x 2 b x l l n Y M I v s R T k h n J c F x 7 6 4 Z B Y f s w Z Q y 6 a F b N X k V 7 O I V / 3 d L P x p F l 6 z t 6 7 u f h P H V 7 v h x A n W Z u G a f c Z b f t U s L p q F F d v 1 2 x F Q J 8 O o x W v s Z c K o W R 9 Q s / j I m l p 4 D Q K A T 6 d K L / C j L u I j N G z P 8 Q E Q 7 p r 5 G 9 u X l n G 0 g 6 6 S g L e q I H H W n W b / s 5 u / Z e a v s J x U X n + Q B a U X a Y I W 6 M d o i H h U P O J 2 V Y F P 2 F C D J 4 y Z F / B C x / m / 0 d V l K p x r M 5 n a W 9 y 4 S 3 K T X z n D y S + 5 L v u H T M N I w z n L / 0 X O V v m / y X F W i v d y X H 1 e Y 3 I Z m b / c n F X L U 9 X c 5 O Y j M g f R a c f N N H R y o f N J L Y U 0 T h u B q Y J M D 9 W I t p g Z W s 8 G B 0 s A F O d T N E 8 x O 0 X m z f m 7 I W c 3 o u m m 1 N w C G 7 d A w E 1 J t 0 W i 9 e P W J n T a M o P u g z T 3 w p N 7 o c b W 2 J A m Q I r z K J 6 j q K 2 O z Q g G 6 5 M V w 6 Y X q s a 3 G y S W L O z H Q V U C C 4 + 7 v D E J v v 0 O q F l F w a w r g X q x R y 6 d / g U 8 1 7 S C r / f S K t / Z O l 3 C C M G F e k 1 L V + q 2 g g h I E m k G G w 4 s D N N O 1 7 9 F j F g h i v b q I l Q l T G N 4 y f Y 2 W f V b l W y p 9 u o 6 T E 8 p u Z a a q J 9 T F 3 V i G F 4 A 0 7 a D + E L 9 z 3 q m r b Y N m d a p M z p o x 5 T t G 3 7 a x i n / S R u n P L G D w 7 7 Y x + i L H T Y Y P 1 Y g 9 9 A u o / p v 3 D 6 + q W E 7 Z f P + / i 4 c q B H n M e i n 7 M P 1 9 X / h 1 w A 7 7 M 8 R 7 T H H p O X e W T I D R X l a F k F v G m X t b N u w L 3 e A 7 p 1 V U f i 5 n U D p T J S V Y q g Z p O X Y u P T j e L m V A f 1 y b l W z + I 4 5 y U L 3 M b C q Y R 8 P a s + L r 6 I n F P C q 3 0 q h T L 3 r V 2 t k 9 0 5 Q N X K d 2 L s 4 H 7 F G D j q q Q d X o i U e t e Y 3 P n b J j r 0 / A Q k E a 7 7 o S 6 n 1 9 m U E X 4 h 5 d L P i H j 2 8 a P v b r j M / h L Y P f / 1 v G f 1 B L A Q I t A B Q A A g A I A G d S z 1 Y 4 s h n d p A A A A P Y A A A A S A A A A A A A A A A A A A A A A A A A A A A B D b 2 5 m a W c v U G F j a 2 F n Z S 5 4 b W x Q S w E C L Q A U A A I A C A B n U s 9 W D 8 r p q 6 Q A A A D p A A A A E w A A A A A A A A A A A A A A A A D w A A A A W 0 N v b n R l b n R f V H l w Z X N d L n h t b F B L A Q I t A B Q A A g A I A G d S z 1 a 8 L O 5 T 9 Q Y A A M o h A A A T A A A A A A A A A A A A A A A A A O E B A A B G b 3 J t d W x h c y 9 T Z W N 0 a W 9 u M S 5 t U E s F B g A A A A A D A A M A w g A A A C M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V N A A A A A A A A c 0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m l v Z G l j Y W x s e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l a 2 5 1 b S Z x d W 9 0 O y w m c X V v d D t N b 2 5 0 a C 1 Z Z W F y J n F 1 b 3 Q 7 L C Z x d W 9 0 O 1 J l Z 2 l z d G V y I E R h d G U m c X V v d D s s J n F 1 b 3 Q 7 T U Z H I E R h d G U m c X V v d D s s J n F 1 b 3 Q 7 W W V h c i Z x d W 9 0 O y w m c X V v d D t N b 2 5 0 a C Z x d W 9 0 O y w m c X V v d D t E Y X k m c X V v d D s s J n F 1 b 3 Q 7 Q 2 9 k Z S Z x d W 9 0 O y w m c X V v d D t D d X N 0 b 2 1 l c i Z x d W 9 0 O y w m c X V v d D t Q c m 9 k d W N 0 I G N v Z G U m c X V v d D s s J n F 1 b 3 Q 7 T m 9 0 Z S Z x d W 9 0 O y w m c X V v d D t Q c m 9 k d W N 0 I H R 5 c G U m c X V v d D s s J n F 1 b 3 Q 7 T W F j a G l u Z S B U e X B l J n F 1 b 3 Q 7 L C Z x d W 9 0 O 1 R v d G F s J n F 1 b 3 Q 7 L C Z x d W 9 0 O 1 R v d G F s I E 5 H I E l u Y 2 9 t a W 5 n I G 1 h d G V y a W F s J n F 1 b 3 Q 7 L C Z x d W 9 0 O 1 R v d G F s I E 5 H I G Z y b 2 0 g b W F j a G l u Z S Z x d W 9 0 O y w m c X V v d D t U b 3 R h b C B O R y Z x d W 9 0 O y w m c X V v d D t w c G 0 m c X V v d D s s J n F 1 b 3 Q 7 V G F u c 2 h p I G J p 4 b q / b i B t w 6 B 1 X G 7 n q 6 / l r Z D l p I n o i b I m c X V v d D s s J n F 1 b 3 Q 7 V G F u c 2 h p I G 9 4 a S B o w 7 N h X H R c b u e r r + W t k O m F u O W M l i Z x d W 9 0 O y w m c X V v d D t U c u G 6 p 3 k g Z M O i e S w g Z M a h I G T D o n k g Z G 8 g T k x c b u m b u + e 3 m u W C t y w g I O m b u + e 3 m u a x m u O C j F w m c X V v d D s m c X V v d D s s J n F 1 b 3 Q 7 U m V t Y X J r I E l D I D E m c X V v d D s s J n F 1 b 3 Q 7 U m V t Y X J r I E l D I D I m c X V v d D s s J n F 1 b 3 Q 7 U m V h c 2 9 u I E l D I D E m c X V v d D s s J n F 1 b 3 Q 7 U m V h c 2 9 u I E l D I D I m c X V v d D s s J n F 1 b 3 Q 7 S U g g Y m n h u r 9 u I G T h u q F u Z 1 x u S U g g 5 a S J 5 b 2 i J n F 1 b 3 Q 7 L C Z x d W 9 0 O 0 T h u q 1 w I G P h u q F u X G 7 m t Y X m i Z P j g a E m c X V v d D s s J n F 1 b 3 Q 7 R O G 6 r X A g c 8 O i d V x u 5 r e x 5 o m T 4 4 G h J n F 1 b 3 Q 7 L C Z x d W 9 0 O 1 T G s G E g b M O 1 a V x u 5 b + D 5 7 e a 4 4 G T 4 4 G 8 4 4 K M J n F 1 b 3 Q 7 L C Z x d W 9 0 O 0 z D s y B s w 7 V p X G 7 l v 4 P n t 5 r p o 5 v j g b P l h 7 r j g Z c m c X V v d D s s J n F 1 b 3 Q 7 x J D h u 6 l 0 I G z D t W l c b u i K r + e 3 m u W I h + O C j O O A g C Z x d W 9 0 O y w m c X V v d D t I d c y j d C B s b 8 y D a S B c b u a 1 h e O B h O a J k + O B o S Z x d W 9 0 O y w m c X V v d D v E k H X D t G k g T k d c b u O C q + O D g + O D i O O C q u O D l e O C v + O D l i Z x d W 9 0 O y w m c X V v d D t C Y X Z p Y V x u 4 4 O Q 4 4 O q J n F 1 b 3 Q 7 L C Z x d W 9 0 O 0 J l c n V t Y X V c b u O D m e O D q + O D n u O C p u O C u S Z x d W 9 0 O y w m c X V v d D t U Y W 5 z a G k g Y m n h u r 9 u I G T h u q F u Z 1 x u 5 6 u v 5 a 2 Q 5 a S J 5 b 2 i J n F 1 b 3 Q 7 L C Z x d W 9 0 O 0 N v b m d c b u O D m e O D s + O D i e O C o u O D g + O D l y w g 4 4 O Z 4 4 O z 4 4 O J 4 4 K i 4 4 K m 4 4 O I J n F 1 b 3 Q 7 L C Z x d W 9 0 O 1 J h b n N 1 I G J p 4 b q / b i B k 4 b q h b m d c b u O D q e O D s + O C u S D l p I n l v a I m c X V v d D s s J n F 1 b 3 Q 7 S 2 j D t G 5 n I G P D s y B 0 Y W 5 z a G n j g I B c b u e r r + W t k O O B j O e E o e O B h C Z x d W 9 0 O y w m c X V v d D t E 4 b q t c C B z Y W k g Y m x v Y 2 v j g I B c b m J s b 2 N r 6 Y G V 4 4 G G J n F 1 b 3 Q 7 L C Z x d W 9 0 O 0 3 h u q V 1 I M O 0 b S B O R y Z x d W 9 0 O y w m c X V v d D t S Z W 1 h c m s g T U M g M S Z x d W 9 0 O y w m c X V v d D t S Z W 1 h c m s g T U M g M i Z x d W 9 0 O y w m c X V v d D t S Z W F z b 2 4 g T U M g M S Z x d W 9 0 O y w m c X V v d D t S Z W F z b 2 4 g T U M g M i Z x d W 9 0 O 1 0 i I C 8 + P E V u d H J 5 I F R 5 c G U 9 I k Z p b G x D b 2 x 1 b W 5 U e X B l c y I g V m F s d W U 9 I n N B Q W t K Q 1 F B Q U F B Q U d C Z 1 l H Q m d B Q U F B Q U F B Q V l H Q m d Z R 0 J n Q U d B Q V l H Q U F B R 0 J n W U d C Z 1 l H Q m d Z Q U J n W U c i I C 8 + P E V u d H J 5 I F R 5 c G U 9 I k Z p b G x M Y X N 0 V X B k Y X R l Z C I g V m F s d W U 9 I m Q y M D I z L T A 0 L T E 4 V D A z O j M 2 O j I z L j I z N z I z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l v Z G l j Y W x s e S B y Z X B v c n Q v Q 2 h h b m d l Z C B U e X B l L n t X Z W V r b n V t L D B 9 J n F 1 b 3 Q 7 L C Z x d W 9 0 O 1 N l Y 3 R p b 2 4 x L 1 B l c m l v Z G l j Y W x s e S B y Z X B v c n Q v Q 2 h h b m d l Z C B U e X B l M S 5 7 T W 9 u d G g t W W V h c i w x f S Z x d W 9 0 O y w m c X V v d D t T Z W N 0 a W 9 u M S 9 Q Z X J p b 2 R p Y 2 F s b H k g c m V w b 3 J 0 L 0 N o Y W 5 n Z W Q g V H l w Z T E u e 1 J l Z 2 l z d G V y I E R h d G U s M n 0 m c X V v d D s s J n F 1 b 3 Q 7 U 2 V j d G l v b j E v U G V y a W 9 k a W N h b G x 5 I H J l c G 9 y d C 9 D a G F u Z 2 V k I F R 5 c G U x L n t N R k c g R G F 0 Z S w z f S Z x d W 9 0 O y w m c X V v d D t T Z W N 0 a W 9 u M S 9 Q Z X J p b 2 R p Y 2 F s b H k g c m V w b 3 J 0 L 0 N o Y W 5 n Z W Q g V H l w Z S 5 7 W W V h c i w 0 f S Z x d W 9 0 O y w m c X V v d D t T Z W N 0 a W 9 u M S 9 Q Z X J p b 2 R p Y 2 F s b H k g c m V w b 3 J 0 L 0 N o Y W 5 n Z W Q g V H l w Z S 5 7 T W 9 u d G g s N X 0 m c X V v d D s s J n F 1 b 3 Q 7 U 2 V j d G l v b j E v U G V y a W 9 k a W N h b G x 5 I H J l c G 9 y d C 9 D a G F u Z 2 V k I F R 5 c G U u e 0 R h e S w 2 f S Z x d W 9 0 O y w m c X V v d D t T Z W N 0 a W 9 u M S 9 Q Z X J p b 2 R p Y 2 F s b H k g c m V w b 3 J 0 L 0 N o Y W 5 n Z W Q g V H l w Z S 5 7 Q 2 9 k Z S w 3 f S Z x d W 9 0 O y w m c X V v d D t T Z W N 0 a W 9 u M S 9 Q Z X J p b 2 R p Y 2 F s b H k g c m V w b 3 J 0 L 0 N o Y W 5 n Z W Q g V H l w Z S 5 7 Q 3 V z d G 9 t Z X I s O H 0 m c X V v d D s s J n F 1 b 3 Q 7 U 2 V j d G l v b j E v U G V y a W 9 k a W N h b G x 5 I H J l c G 9 y d C 9 D a G F u Z 2 V k I F R 5 c G U u e 1 B y b 2 R 1 Y 3 Q g Y 2 9 k Z S w 5 f S Z x d W 9 0 O y w m c X V v d D t T Z W N 0 a W 9 u M S 9 Q Z X J p b 2 R p Y 2 F s b H k g c m V w b 3 J 0 L 0 N o Y W 5 n Z W Q g V H l w Z S 5 7 T m 9 0 Z S w x M H 0 m c X V v d D s s J n F 1 b 3 Q 7 U 2 V j d G l v b j E v U G V y a W 9 k a W N h b G x 5 I H J l c G 9 y d C 9 D a G F u Z 2 V k I F R 5 c G U u e 1 B y b 2 R 1 Y 3 Q g d H l w Z S w x M X 0 m c X V v d D s s J n F 1 b 3 Q 7 U 2 V j d G l v b j E v U G V y a W 9 k a W N h b G x 5 I H J l c G 9 y d C 9 D a G F u Z 2 V k I F R 5 c G U u e 0 1 h Y 2 h p b m U g V H l w Z S w x M n 0 m c X V v d D s s J n F 1 b 3 Q 7 U 2 V j d G l v b j E v U G V y a W 9 k a W N h b G x 5 I H J l c G 9 y d C 9 D a G F u Z 2 V k I F R 5 c G U u e 1 R v d G F s L D E z f S Z x d W 9 0 O y w m c X V v d D t T Z W N 0 a W 9 u M S 9 Q Z X J p b 2 R p Y 2 F s b H k g c m V w b 3 J 0 L 0 N o Y W 5 n Z W Q g V H l w Z S 5 7 V G 9 0 Y W w g T k c g S W 5 j b 2 1 p b m c g b W F 0 Z X J p Y W w s M T R 9 J n F 1 b 3 Q 7 L C Z x d W 9 0 O 1 N l Y 3 R p b 2 4 x L 1 B l c m l v Z G l j Y W x s e S B y Z X B v c n Q v Q 2 h h b m d l Z C B U e X B l L n t U b 3 R h b C B O R y B m c m 9 t I G 1 h Y 2 h p b m U s M T V 9 J n F 1 b 3 Q 7 L C Z x d W 9 0 O 1 N l Y 3 R p b 2 4 x L 1 B l c m l v Z G l j Y W x s e S B y Z X B v c n Q v Q 2 h h b m d l Z C B U e X B l L n t U b 3 R h b C B O R y w x N n 0 m c X V v d D s s J n F 1 b 3 Q 7 U 2 V j d G l v b j E v U G V y a W 9 k a W N h b G x 5 I H J l c G 9 y d C 9 B Z G R l Z C B D d X N 0 b 2 0 x L n t w c G 0 s N D R 9 J n F 1 b 3 Q 7 L C Z x d W 9 0 O 1 N l Y 3 R p b 2 4 x L 1 B l c m l v Z G l j Y W x s e S B y Z X B v c n Q v Q 2 h h b m d l Z C B U e X B l L n t U Y W 5 z a G k g Y m n h u r 9 u I G 3 D o H V c b u e r r + W t k O W k i e i J s i w x N 3 0 m c X V v d D s s J n F 1 b 3 Q 7 U 2 V j d G l v b j E v U G V y a W 9 k a W N h b G x 5 I H J l c G 9 y d C 9 D a G F u Z 2 V k I F R 5 c G U u e 1 R h b n N o a S B v e G k g a M O z Y V x 0 X G 7 n q 6 / l r Z D p h b j l j J Y s M T h 9 J n F 1 b 3 Q 7 L C Z x d W 9 0 O 1 N l Y 3 R p b 2 4 x L 1 B l c m l v Z G l j Y W x s e S B y Z X B v c n Q v Q 2 h h b m d l Z C B U e X B l L n t U c u G 6 p 3 k g Z M O i e S w g Z M a h I G T D o n k g Z G 8 g T k x c b u m b u + e 3 m u W C t y w g I O m b u + e 3 m u a x m u O C j F w m c X V v d D s s M T l 9 J n F 1 b 3 Q 7 L C Z x d W 9 0 O 1 N l Y 3 R p b 2 4 x L 1 B l c m l v Z G l j Y W x s e S B y Z X B v c n Q v Q 2 h h b m d l Z C B U e X B l L n t S Z W 1 h c m s g S U M g M S w y M H 0 m c X V v d D s s J n F 1 b 3 Q 7 U 2 V j d G l v b j E v U G V y a W 9 k a W N h b G x 5 I H J l c G 9 y d C 9 D a G F u Z 2 V k I F R 5 c G U u e 1 J l b W F y a y B J Q y A y L D I x f S Z x d W 9 0 O y w m c X V v d D t T Z W N 0 a W 9 u M S 9 Q Z X J p b 2 R p Y 2 F s b H k g c m V w b 3 J 0 L 0 N o Y W 5 n Z W Q g V H l w Z S 5 7 U m V h c 2 9 u I E l D I D E s M j J 9 J n F 1 b 3 Q 7 L C Z x d W 9 0 O 1 N l Y 3 R p b 2 4 x L 1 B l c m l v Z G l j Y W x s e S B y Z X B v c n Q v Q 2 h h b m d l Z C B U e X B l L n t S Z W F z b 2 4 g S U M g M i w y M 3 0 m c X V v d D s s J n F 1 b 3 Q 7 U 2 V j d G l v b j E v U G V y a W 9 k a W N h b G x 5 I H J l c G 9 y d C 9 D a G F u Z 2 V k I F R 5 c G U u e 0 l I I G J p 4 b q / b i B k 4 b q h b m d c b k l I I O W k i e W 9 o i w y N H 0 m c X V v d D s s J n F 1 b 3 Q 7 U 2 V j d G l v b j E v U G V y a W 9 k a W N h b G x 5 I H J l c G 9 y d C 9 D a G F u Z 2 V k I F R 5 c G U u e 0 T h u q 1 w I G P h u q F u X G 7 m t Y X m i Z P j g a E s M j V 9 J n F 1 b 3 Q 7 L C Z x d W 9 0 O 1 N l Y 3 R p b 2 4 x L 1 B l c m l v Z G l j Y W x s e S B y Z X B v c n Q v Q 2 h h b m d l Z C B U e X B l L n t E 4 b q t c C B z w 6 J 1 X G 7 m t 7 H m i Z P j g a E s M j Z 9 J n F 1 b 3 Q 7 L C Z x d W 9 0 O 1 N l Y 3 R p b 2 4 x L 1 B l c m l v Z G l j Y W x s e S B y Z X B v c n Q v Q 2 h h b m d l Z C B U e X B l L n t U x r B h I G z D t W l c b u W / g + e 3 m u O B k + O B v O O C j C w y N 3 0 m c X V v d D s s J n F 1 b 3 Q 7 U 2 V j d G l v b j E v U G V y a W 9 k a W N h b G x 5 I H J l c G 9 y d C 9 D a G F u Z 2 V k I F R 5 c G U u e 0 z D s y B s w 7 V p X G 7 l v 4 P n t 5 r p o 5 v j g b P l h 7 r j g Z c s M j h 9 J n F 1 b 3 Q 7 L C Z x d W 9 0 O 1 N l Y 3 R p b 2 4 x L 1 B l c m l v Z G l j Y W x s e S B y Z X B v c n Q v Q 2 h h b m d l Z C B U e X B l L n v E k O G 7 q X Q g b M O 1 a V x u 6 I q v 5 7 e a 5 Y i H 4 4 K M 4 4 C A L D I 5 f S Z x d W 9 0 O y w m c X V v d D t T Z W N 0 a W 9 u M S 9 Q Z X J p b 2 R p Y 2 F s b H k g c m V w b 3 J 0 L 0 N o Y W 5 n Z W Q g V H l w Z S 5 7 S H X M o 3 Q g b G / M g 2 k g X G 7 m t Y X j g Y T m i Z P j g a E s M z B 9 J n F 1 b 3 Q 7 L C Z x d W 9 0 O 1 N l Y 3 R p b 2 4 x L 1 B l c m l v Z G l j Y W x s e S B y Z X B v c n Q v Q 2 h h b m d l Z C B U e X B l L n v E k H X D t G k g T k d c b u O C q + O D g + O D i O O C q u O D l e O C v + O D l i w z M X 0 m c X V v d D s s J n F 1 b 3 Q 7 U 2 V j d G l v b j E v U G V y a W 9 k a W N h b G x 5 I H J l c G 9 y d C 9 D a G F u Z 2 V k I F R 5 c G U u e 0 J h d m l h X G 7 j g 5 D j g 6 o s M z J 9 J n F 1 b 3 Q 7 L C Z x d W 9 0 O 1 N l Y 3 R p b 2 4 x L 1 B l c m l v Z G l j Y W x s e S B y Z X B v c n Q v Q 2 h h b m d l Z C B U e X B l L n t C Z X J 1 b W F 1 X G 7 j g 5 n j g 6 v j g 5 7 j g q b j g r k s M z N 9 J n F 1 b 3 Q 7 L C Z x d W 9 0 O 1 N l Y 3 R p b 2 4 x L 1 B l c m l v Z G l j Y W x s e S B y Z X B v c n Q v Q 2 h h b m d l Z C B U e X B l L n t U Y W 5 z a G k g Y m n h u r 9 u I G T h u q F u Z 1 x u 5 6 u v 5 a 2 Q 5 a S J 5 b 2 i L D M 0 f S Z x d W 9 0 O y w m c X V v d D t T Z W N 0 a W 9 u M S 9 Q Z X J p b 2 R p Y 2 F s b H k g c m V w b 3 J 0 L 0 N o Y W 5 n Z W Q g V H l w Z S 5 7 Q 2 9 u Z 1 x u 4 4 O Z 4 4 O z 4 4 O J 4 4 K i 4 4 O D 4 4 O X L C D j g 5 n j g 7 P j g 4 n j g q L j g q b j g 4 g s M z V 9 J n F 1 b 3 Q 7 L C Z x d W 9 0 O 1 N l Y 3 R p b 2 4 x L 1 B l c m l v Z G l j Y W x s e S B y Z X B v c n Q v Q 2 h h b m d l Z C B U e X B l L n t S Y W 5 z d S B i a e G 6 v 2 4 g Z O G 6 o W 5 n X G 7 j g 6 n j g 7 P j g r k g 5 a S J 5 b 2 i L D M 2 f S Z x d W 9 0 O y w m c X V v d D t T Z W N 0 a W 9 u M S 9 Q Z X J p b 2 R p Y 2 F s b H k g c m V w b 3 J 0 L 0 N o Y W 5 n Z W Q g V H l w Z S 5 7 S 2 j D t G 5 n I G P D s y B 0 Y W 5 z a G n j g I B c b u e r r + W t k O O B j O e E o e O B h C w z N 3 0 m c X V v d D s s J n F 1 b 3 Q 7 U 2 V j d G l v b j E v U G V y a W 9 k a W N h b G x 5 I H J l c G 9 y d C 9 D a G F u Z 2 V k I F R 5 c G U u e 0 T h u q 1 w I H N h a S B i b G 9 j a + O A g F x u Y m x v Y 2 v p g Z X j g Y Y s M z h 9 J n F 1 b 3 Q 7 L C Z x d W 9 0 O 1 N l Y 3 R p b 2 4 x L 1 B l c m l v Z G l j Y W x s e S B y Z X B v c n Q v Q 2 h h b m d l Z C B U e X B l L n t N 4 b q l d S D D t G 0 g T k c s M z l 9 J n F 1 b 3 Q 7 L C Z x d W 9 0 O 1 N l Y 3 R p b 2 4 x L 1 B l c m l v Z G l j Y W x s e S B y Z X B v c n Q v Q 2 h h b m d l Z C B U e X B l L n t S Z W 1 h c m s g T U M g M S w 0 M H 0 m c X V v d D s s J n F 1 b 3 Q 7 U 2 V j d G l v b j E v U G V y a W 9 k a W N h b G x 5 I H J l c G 9 y d C 9 D a G F u Z 2 V k I F R 5 c G U u e 1 J l b W F y a y B N Q y A y L D Q x f S Z x d W 9 0 O y w m c X V v d D t T Z W N 0 a W 9 u M S 9 Q Z X J p b 2 R p Y 2 F s b H k g c m V w b 3 J 0 L 0 N o Y W 5 n Z W Q g V H l w Z S 5 7 U m V h c 2 9 u I E 1 D I D E s N D J 9 J n F 1 b 3 Q 7 L C Z x d W 9 0 O 1 N l Y 3 R p b 2 4 x L 1 B l c m l v Z G l j Y W x s e S B y Z X B v c n Q v Q 2 h h b m d l Z C B U e X B l L n t S Z W F z b 2 4 g T U M g M i w 0 M 3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1 B l c m l v Z G l j Y W x s e S B y Z X B v c n Q v Q 2 h h b m d l Z C B U e X B l L n t X Z W V r b n V t L D B 9 J n F 1 b 3 Q 7 L C Z x d W 9 0 O 1 N l Y 3 R p b 2 4 x L 1 B l c m l v Z G l j Y W x s e S B y Z X B v c n Q v Q 2 h h b m d l Z C B U e X B l M S 5 7 T W 9 u d G g t W W V h c i w x f S Z x d W 9 0 O y w m c X V v d D t T Z W N 0 a W 9 u M S 9 Q Z X J p b 2 R p Y 2 F s b H k g c m V w b 3 J 0 L 0 N o Y W 5 n Z W Q g V H l w Z T E u e 1 J l Z 2 l z d G V y I E R h d G U s M n 0 m c X V v d D s s J n F 1 b 3 Q 7 U 2 V j d G l v b j E v U G V y a W 9 k a W N h b G x 5 I H J l c G 9 y d C 9 D a G F u Z 2 V k I F R 5 c G U x L n t N R k c g R G F 0 Z S w z f S Z x d W 9 0 O y w m c X V v d D t T Z W N 0 a W 9 u M S 9 Q Z X J p b 2 R p Y 2 F s b H k g c m V w b 3 J 0 L 0 N o Y W 5 n Z W Q g V H l w Z S 5 7 W W V h c i w 0 f S Z x d W 9 0 O y w m c X V v d D t T Z W N 0 a W 9 u M S 9 Q Z X J p b 2 R p Y 2 F s b H k g c m V w b 3 J 0 L 0 N o Y W 5 n Z W Q g V H l w Z S 5 7 T W 9 u d G g s N X 0 m c X V v d D s s J n F 1 b 3 Q 7 U 2 V j d G l v b j E v U G V y a W 9 k a W N h b G x 5 I H J l c G 9 y d C 9 D a G F u Z 2 V k I F R 5 c G U u e 0 R h e S w 2 f S Z x d W 9 0 O y w m c X V v d D t T Z W N 0 a W 9 u M S 9 Q Z X J p b 2 R p Y 2 F s b H k g c m V w b 3 J 0 L 0 N o Y W 5 n Z W Q g V H l w Z S 5 7 Q 2 9 k Z S w 3 f S Z x d W 9 0 O y w m c X V v d D t T Z W N 0 a W 9 u M S 9 Q Z X J p b 2 R p Y 2 F s b H k g c m V w b 3 J 0 L 0 N o Y W 5 n Z W Q g V H l w Z S 5 7 Q 3 V z d G 9 t Z X I s O H 0 m c X V v d D s s J n F 1 b 3 Q 7 U 2 V j d G l v b j E v U G V y a W 9 k a W N h b G x 5 I H J l c G 9 y d C 9 D a G F u Z 2 V k I F R 5 c G U u e 1 B y b 2 R 1 Y 3 Q g Y 2 9 k Z S w 5 f S Z x d W 9 0 O y w m c X V v d D t T Z W N 0 a W 9 u M S 9 Q Z X J p b 2 R p Y 2 F s b H k g c m V w b 3 J 0 L 0 N o Y W 5 n Z W Q g V H l w Z S 5 7 T m 9 0 Z S w x M H 0 m c X V v d D s s J n F 1 b 3 Q 7 U 2 V j d G l v b j E v U G V y a W 9 k a W N h b G x 5 I H J l c G 9 y d C 9 D a G F u Z 2 V k I F R 5 c G U u e 1 B y b 2 R 1 Y 3 Q g d H l w Z S w x M X 0 m c X V v d D s s J n F 1 b 3 Q 7 U 2 V j d G l v b j E v U G V y a W 9 k a W N h b G x 5 I H J l c G 9 y d C 9 D a G F u Z 2 V k I F R 5 c G U u e 0 1 h Y 2 h p b m U g V H l w Z S w x M n 0 m c X V v d D s s J n F 1 b 3 Q 7 U 2 V j d G l v b j E v U G V y a W 9 k a W N h b G x 5 I H J l c G 9 y d C 9 D a G F u Z 2 V k I F R 5 c G U u e 1 R v d G F s L D E z f S Z x d W 9 0 O y w m c X V v d D t T Z W N 0 a W 9 u M S 9 Q Z X J p b 2 R p Y 2 F s b H k g c m V w b 3 J 0 L 0 N o Y W 5 n Z W Q g V H l w Z S 5 7 V G 9 0 Y W w g T k c g S W 5 j b 2 1 p b m c g b W F 0 Z X J p Y W w s M T R 9 J n F 1 b 3 Q 7 L C Z x d W 9 0 O 1 N l Y 3 R p b 2 4 x L 1 B l c m l v Z G l j Y W x s e S B y Z X B v c n Q v Q 2 h h b m d l Z C B U e X B l L n t U b 3 R h b C B O R y B m c m 9 t I G 1 h Y 2 h p b m U s M T V 9 J n F 1 b 3 Q 7 L C Z x d W 9 0 O 1 N l Y 3 R p b 2 4 x L 1 B l c m l v Z G l j Y W x s e S B y Z X B v c n Q v Q 2 h h b m d l Z C B U e X B l L n t U b 3 R h b C B O R y w x N n 0 m c X V v d D s s J n F 1 b 3 Q 7 U 2 V j d G l v b j E v U G V y a W 9 k a W N h b G x 5 I H J l c G 9 y d C 9 B Z G R l Z C B D d X N 0 b 2 0 x L n t w c G 0 s N D R 9 J n F 1 b 3 Q 7 L C Z x d W 9 0 O 1 N l Y 3 R p b 2 4 x L 1 B l c m l v Z G l j Y W x s e S B y Z X B v c n Q v Q 2 h h b m d l Z C B U e X B l L n t U Y W 5 z a G k g Y m n h u r 9 u I G 3 D o H V c b u e r r + W t k O W k i e i J s i w x N 3 0 m c X V v d D s s J n F 1 b 3 Q 7 U 2 V j d G l v b j E v U G V y a W 9 k a W N h b G x 5 I H J l c G 9 y d C 9 D a G F u Z 2 V k I F R 5 c G U u e 1 R h b n N o a S B v e G k g a M O z Y V x 0 X G 7 n q 6 / l r Z D p h b j l j J Y s M T h 9 J n F 1 b 3 Q 7 L C Z x d W 9 0 O 1 N l Y 3 R p b 2 4 x L 1 B l c m l v Z G l j Y W x s e S B y Z X B v c n Q v Q 2 h h b m d l Z C B U e X B l L n t U c u G 6 p 3 k g Z M O i e S w g Z M a h I G T D o n k g Z G 8 g T k x c b u m b u + e 3 m u W C t y w g I O m b u + e 3 m u a x m u O C j F w m c X V v d D s s M T l 9 J n F 1 b 3 Q 7 L C Z x d W 9 0 O 1 N l Y 3 R p b 2 4 x L 1 B l c m l v Z G l j Y W x s e S B y Z X B v c n Q v Q 2 h h b m d l Z C B U e X B l L n t S Z W 1 h c m s g S U M g M S w y M H 0 m c X V v d D s s J n F 1 b 3 Q 7 U 2 V j d G l v b j E v U G V y a W 9 k a W N h b G x 5 I H J l c G 9 y d C 9 D a G F u Z 2 V k I F R 5 c G U u e 1 J l b W F y a y B J Q y A y L D I x f S Z x d W 9 0 O y w m c X V v d D t T Z W N 0 a W 9 u M S 9 Q Z X J p b 2 R p Y 2 F s b H k g c m V w b 3 J 0 L 0 N o Y W 5 n Z W Q g V H l w Z S 5 7 U m V h c 2 9 u I E l D I D E s M j J 9 J n F 1 b 3 Q 7 L C Z x d W 9 0 O 1 N l Y 3 R p b 2 4 x L 1 B l c m l v Z G l j Y W x s e S B y Z X B v c n Q v Q 2 h h b m d l Z C B U e X B l L n t S Z W F z b 2 4 g S U M g M i w y M 3 0 m c X V v d D s s J n F 1 b 3 Q 7 U 2 V j d G l v b j E v U G V y a W 9 k a W N h b G x 5 I H J l c G 9 y d C 9 D a G F u Z 2 V k I F R 5 c G U u e 0 l I I G J p 4 b q / b i B k 4 b q h b m d c b k l I I O W k i e W 9 o i w y N H 0 m c X V v d D s s J n F 1 b 3 Q 7 U 2 V j d G l v b j E v U G V y a W 9 k a W N h b G x 5 I H J l c G 9 y d C 9 D a G F u Z 2 V k I F R 5 c G U u e 0 T h u q 1 w I G P h u q F u X G 7 m t Y X m i Z P j g a E s M j V 9 J n F 1 b 3 Q 7 L C Z x d W 9 0 O 1 N l Y 3 R p b 2 4 x L 1 B l c m l v Z G l j Y W x s e S B y Z X B v c n Q v Q 2 h h b m d l Z C B U e X B l L n t E 4 b q t c C B z w 6 J 1 X G 7 m t 7 H m i Z P j g a E s M j Z 9 J n F 1 b 3 Q 7 L C Z x d W 9 0 O 1 N l Y 3 R p b 2 4 x L 1 B l c m l v Z G l j Y W x s e S B y Z X B v c n Q v Q 2 h h b m d l Z C B U e X B l L n t U x r B h I G z D t W l c b u W / g + e 3 m u O B k + O B v O O C j C w y N 3 0 m c X V v d D s s J n F 1 b 3 Q 7 U 2 V j d G l v b j E v U G V y a W 9 k a W N h b G x 5 I H J l c G 9 y d C 9 D a G F u Z 2 V k I F R 5 c G U u e 0 z D s y B s w 7 V p X G 7 l v 4 P n t 5 r p o 5 v j g b P l h 7 r j g Z c s M j h 9 J n F 1 b 3 Q 7 L C Z x d W 9 0 O 1 N l Y 3 R p b 2 4 x L 1 B l c m l v Z G l j Y W x s e S B y Z X B v c n Q v Q 2 h h b m d l Z C B U e X B l L n v E k O G 7 q X Q g b M O 1 a V x u 6 I q v 5 7 e a 5 Y i H 4 4 K M 4 4 C A L D I 5 f S Z x d W 9 0 O y w m c X V v d D t T Z W N 0 a W 9 u M S 9 Q Z X J p b 2 R p Y 2 F s b H k g c m V w b 3 J 0 L 0 N o Y W 5 n Z W Q g V H l w Z S 5 7 S H X M o 3 Q g b G / M g 2 k g X G 7 m t Y X j g Y T m i Z P j g a E s M z B 9 J n F 1 b 3 Q 7 L C Z x d W 9 0 O 1 N l Y 3 R p b 2 4 x L 1 B l c m l v Z G l j Y W x s e S B y Z X B v c n Q v Q 2 h h b m d l Z C B U e X B l L n v E k H X D t G k g T k d c b u O C q + O D g + O D i O O C q u O D l e O C v + O D l i w z M X 0 m c X V v d D s s J n F 1 b 3 Q 7 U 2 V j d G l v b j E v U G V y a W 9 k a W N h b G x 5 I H J l c G 9 y d C 9 D a G F u Z 2 V k I F R 5 c G U u e 0 J h d m l h X G 7 j g 5 D j g 6 o s M z J 9 J n F 1 b 3 Q 7 L C Z x d W 9 0 O 1 N l Y 3 R p b 2 4 x L 1 B l c m l v Z G l j Y W x s e S B y Z X B v c n Q v Q 2 h h b m d l Z C B U e X B l L n t C Z X J 1 b W F 1 X G 7 j g 5 n j g 6 v j g 5 7 j g q b j g r k s M z N 9 J n F 1 b 3 Q 7 L C Z x d W 9 0 O 1 N l Y 3 R p b 2 4 x L 1 B l c m l v Z G l j Y W x s e S B y Z X B v c n Q v Q 2 h h b m d l Z C B U e X B l L n t U Y W 5 z a G k g Y m n h u r 9 u I G T h u q F u Z 1 x u 5 6 u v 5 a 2 Q 5 a S J 5 b 2 i L D M 0 f S Z x d W 9 0 O y w m c X V v d D t T Z W N 0 a W 9 u M S 9 Q Z X J p b 2 R p Y 2 F s b H k g c m V w b 3 J 0 L 0 N o Y W 5 n Z W Q g V H l w Z S 5 7 Q 2 9 u Z 1 x u 4 4 O Z 4 4 O z 4 4 O J 4 4 K i 4 4 O D 4 4 O X L C D j g 5 n j g 7 P j g 4 n j g q L j g q b j g 4 g s M z V 9 J n F 1 b 3 Q 7 L C Z x d W 9 0 O 1 N l Y 3 R p b 2 4 x L 1 B l c m l v Z G l j Y W x s e S B y Z X B v c n Q v Q 2 h h b m d l Z C B U e X B l L n t S Y W 5 z d S B i a e G 6 v 2 4 g Z O G 6 o W 5 n X G 7 j g 6 n j g 7 P j g r k g 5 a S J 5 b 2 i L D M 2 f S Z x d W 9 0 O y w m c X V v d D t T Z W N 0 a W 9 u M S 9 Q Z X J p b 2 R p Y 2 F s b H k g c m V w b 3 J 0 L 0 N o Y W 5 n Z W Q g V H l w Z S 5 7 S 2 j D t G 5 n I G P D s y B 0 Y W 5 z a G n j g I B c b u e r r + W t k O O B j O e E o e O B h C w z N 3 0 m c X V v d D s s J n F 1 b 3 Q 7 U 2 V j d G l v b j E v U G V y a W 9 k a W N h b G x 5 I H J l c G 9 y d C 9 D a G F u Z 2 V k I F R 5 c G U u e 0 T h u q 1 w I H N h a S B i b G 9 j a + O A g F x u Y m x v Y 2 v p g Z X j g Y Y s M z h 9 J n F 1 b 3 Q 7 L C Z x d W 9 0 O 1 N l Y 3 R p b 2 4 x L 1 B l c m l v Z G l j Y W x s e S B y Z X B v c n Q v Q 2 h h b m d l Z C B U e X B l L n t N 4 b q l d S D D t G 0 g T k c s M z l 9 J n F 1 b 3 Q 7 L C Z x d W 9 0 O 1 N l Y 3 R p b 2 4 x L 1 B l c m l v Z G l j Y W x s e S B y Z X B v c n Q v Q 2 h h b m d l Z C B U e X B l L n t S Z W 1 h c m s g T U M g M S w 0 M H 0 m c X V v d D s s J n F 1 b 3 Q 7 U 2 V j d G l v b j E v U G V y a W 9 k a W N h b G x 5 I H J l c G 9 y d C 9 D a G F u Z 2 V k I F R 5 c G U u e 1 J l b W F y a y B N Q y A y L D Q x f S Z x d W 9 0 O y w m c X V v d D t T Z W N 0 a W 9 u M S 9 Q Z X J p b 2 R p Y 2 F s b H k g c m V w b 3 J 0 L 0 N o Y W 5 n Z W Q g V H l w Z S 5 7 U m V h c 2 9 u I E 1 D I D E s N D J 9 J n F 1 b 3 Q 7 L C Z x d W 9 0 O 1 N l Y 3 R p b 2 4 x L 1 B l c m l v Z G l j Y W x s e S B y Z X B v c n Q v Q 2 h h b m d l Z C B U e X B l L n t S Z W F z b 2 4 g T U M g M i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l v Z G l j Y W x s e S U y M H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R p Y 2 F s b H k l M j B y Z X B v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R p Y 2 F s b H k l M j B y Z X B v c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a W N h b G x 5 J T I w c m V w b 3 J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a W N h b G x 5 J T I w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R p Y 2 F s b H k l M j B y Z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G l j Y W x s e S U y M H J l c G 9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R p Y 2 F s b H k l M j B y Z X B v c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a W N h b G x 5 J T I w c m V w b 3 J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c 3 N l b W J s e S I g L z 4 8 R W 5 0 c n k g V H l w Z T 0 i R m l s b G V k Q 2 9 t c G x l d G V S Z X N 1 b H R U b 1 d v c m t z a G V l d C I g V m F s d W U 9 I m w x I i A v P j x F b n R y e S B U e X B l P S J R d W V y e U l E I i B W Y W x 1 Z T 0 i c z Y 3 N z U 0 N T I x L T A y Z T M t N G Q 0 N S 1 h O G M y L T Y 3 N W N j Z G Q 3 Y W I 5 N i I g L z 4 8 R W 5 0 c n k g V H l w Z T 0 i R m l s b E x h c 3 R V c G R h d G V k I i B W Y W x 1 Z T 0 i Z D I w M j M t M D Y t M T V U M D M 6 M T k 6 M T M u O T Q z N z g y M 1 o i I C 8 + P E V u d H J 5 I F R 5 c G U 9 I k Z p b G x F c n J v c k N v d W 5 0 I i B W Y W x 1 Z T 0 i b D A i I C 8 + P E V u d H J 5 I F R 5 c G U 9 I k Z p b G x D b 2 x 1 b W 5 U e X B l c y I g V m F s d W U 9 I n N B Q W t K Q 1 F B Q U F B Q U d C Z 1 l H Q X d N R E F 3 T U d C Z 1 l H Q m d Z R 0 J n P T 0 i I C 8 + P E V u d H J 5 I F R 5 c G U 9 I k Z p b G x D b 2 x 1 b W 5 O Y W 1 l c y I g V m F s d W U 9 I n N b J n F 1 b 3 Q 7 V 2 V l a 2 5 1 b S Z x d W 9 0 O y w m c X V v d D t N b 2 5 0 a C 1 Z Z W F y J n F 1 b 3 Q 7 L C Z x d W 9 0 O 1 J l Z 2 l z d G V y I E R h d G U m c X V v d D s s J n F 1 b 3 Q 7 T U Z H I E R h d G U m c X V v d D s s J n F 1 b 3 Q 7 W W V h c i Z x d W 9 0 O y w m c X V v d D t N b 2 5 0 a C Z x d W 9 0 O y w m c X V v d D t E Y X k m c X V v d D s s J n F 1 b 3 Q 7 Q 2 9 k Z S Z x d W 9 0 O y w m c X V v d D t D d X N 0 b 2 1 l c i Z x d W 9 0 O y w m c X V v d D t Q c m 9 k d W N 0 I G N v Z G U m c X V v d D s s J n F 1 b 3 Q 7 T m 9 0 Z S Z x d W 9 0 O y w m c X V v d D t Q c m 9 k d W N 0 I H R 5 c G U m c X V v d D s s J n F 1 b 3 Q 7 V G 9 0 Y W w g U H J v Z H V j Z S Z x d W 9 0 O y w m c X V v d D t U b 3 R h b C B O R y Z x d W 9 0 O y w m c X V v d D t T c G V j a W Z p Y y B B b W 9 1 b n Q m c X V v d D s s J n F 1 b 3 Q 7 V G 9 0 Y W w g T k c g Z n J v b S B t Y X R l c m l h b C Z x d W 9 0 O y w m c X V v d D t U b 3 R h b C B O R y B m c m 9 t I G 1 h Y 2 h p b m U m c X V v d D s s J n F 1 b 3 Q 7 T k c g V H l w Z S Z x d W 9 0 O y w m c X V v d D t D b 2 1 w L i Z x d W 9 0 O y w m c X V v d D t D Y X R l Z 2 9 y e S Z x d W 9 0 O y w m c X V v d D t O R y B j b 2 5 0 Z W 5 0 J n F 1 b 3 Q 7 L C Z x d W 9 0 O 1 J l c 2 9 u I G Z v c i B P d G h l c n M m c X V v d D s s J n F 1 b 3 Q 7 U m V t Y X J r J n F 1 b 3 Q 7 L C Z x d W 9 0 O 0 N v b H V t b j I 1 J n F 1 b 3 Q 7 L C Z x d W 9 0 O 0 N v b H V t b j I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E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z Z W 1 i b H k v Q 2 h h b m d l Z C B U e X B l L n t X Z W V r b n V t L D B 9 J n F 1 b 3 Q 7 L C Z x d W 9 0 O 1 N l Y 3 R p b 2 4 x L 0 F z c 2 V t Y m x 5 L 0 N o Y W 5 n Z W Q g V H l w Z T I u e 0 1 v b n R o L V l l Y X I s M X 0 m c X V v d D s s J n F 1 b 3 Q 7 U 2 V j d G l v b j E v Q X N z Z W 1 i b H k v Q 2 h h b m d l Z C B U e X B l M i 5 7 U m V n a X N 0 Z X I g R G F 0 Z S w y f S Z x d W 9 0 O y w m c X V v d D t T Z W N 0 a W 9 u M S 9 B c 3 N l b W J s e S 9 D a G F u Z 2 V k I F R 5 c G U y L n t N R k c g R G F 0 Z S w z f S Z x d W 9 0 O y w m c X V v d D t T Z W N 0 a W 9 u M S 9 B c 3 N l b W J s e S 9 D a G F u Z 2 V k I F R 5 c G U u e 1 l l Y X I s N X 0 m c X V v d D s s J n F 1 b 3 Q 7 U 2 V j d G l v b j E v Q X N z Z W 1 i b H k v Q 2 h h b m d l Z C B U e X B l L n t N b 2 5 0 a C w 2 f S Z x d W 9 0 O y w m c X V v d D t T Z W N 0 a W 9 u M S 9 B c 3 N l b W J s e S 9 D a G F u Z 2 V k I F R 5 c G U u e 0 R h e S w 3 f S Z x d W 9 0 O y w m c X V v d D t T Z W N 0 a W 9 u M S 9 B c 3 N l b W J s e S 9 D a G F u Z 2 V k I F R 5 c G U u e 0 N v Z G U s O H 0 m c X V v d D s s J n F 1 b 3 Q 7 U 2 V j d G l v b j E v Q X N z Z W 1 i b H k v Q 2 h h b m d l Z C B U e X B l L n t D d X N 0 b 2 1 l c i w 5 f S Z x d W 9 0 O y w m c X V v d D t T Z W N 0 a W 9 u M S 9 B c 3 N l b W J s e S 9 D a G F u Z 2 V k I F R 5 c G U u e 1 B y b 2 R 1 Y 3 Q g Y 2 9 k Z S w x M H 0 m c X V v d D s s J n F 1 b 3 Q 7 U 2 V j d G l v b j E v Q X N z Z W 1 i b H k v Q 2 h h b m d l Z C B U e X B l L n t O b 3 R l L D E x f S Z x d W 9 0 O y w m c X V v d D t T Z W N 0 a W 9 u M S 9 B c 3 N l b W J s e S 9 D a G F u Z 2 V k I F R 5 c G U u e 1 B y b 2 R 1 Y 3 Q g d H l w Z S w x M n 0 m c X V v d D s s J n F 1 b 3 Q 7 U 2 V j d G l v b j E v Q X N z Z W 1 i b H k v Q 2 h h b m d l Z C B U e X B l M S 5 7 V G 9 0 Y W w g U H J v Z H V j Z S w x M 3 0 m c X V v d D s s J n F 1 b 3 Q 7 U 2 V j d G l v b j E v Q X N z Z W 1 i b H k v Q 2 h h b m d l Z C B U e X B l M S 5 7 V G 9 0 Y W w g T k c s M T R 9 J n F 1 b 3 Q 7 L C Z x d W 9 0 O 1 N l Y 3 R p b 2 4 x L 0 F z c 2 V t Y m x 5 L 0 N o Y W 5 n Z W Q g V H l w Z T E u e 1 N w Z W N p Z m l j I E F t b 3 V u d C w x N X 0 m c X V v d D s s J n F 1 b 3 Q 7 U 2 V j d G l v b j E v Q X N z Z W 1 i b H k v Q 2 h h b m d l Z C B U e X B l M S 5 7 V G 9 0 Y W w g T k c g Z n J v b S B t Y X R l c m l h b C w x N n 0 m c X V v d D s s J n F 1 b 3 Q 7 U 2 V j d G l v b j E v Q X N z Z W 1 i b H k v Q 2 h h b m d l Z C B U e X B l M S 5 7 V G 9 0 Y W w g T k c g Z n J v b S B t Y W N o a W 5 l L D E 3 f S Z x d W 9 0 O y w m c X V v d D t T Z W N 0 a W 9 u M S 9 B c 3 N l b W J s e S 9 D a G F u Z 2 V k I F R 5 c G U u e 0 5 H I F R 5 c G U s M T h 9 J n F 1 b 3 Q 7 L C Z x d W 9 0 O 1 N l Y 3 R p b 2 4 x L 0 F z c 2 V t Y m x 5 L 0 N o Y W 5 n Z W Q g V H l w Z S 5 7 Q 2 9 t c C 4 s M T l 9 J n F 1 b 3 Q 7 L C Z x d W 9 0 O 1 N l Y 3 R p b 2 4 x L 0 F z c 2 V t Y m x 5 L 0 N o Y W 5 n Z W Q g V H l w Z S 5 7 Q 2 F 0 Z W d v c n k s M j B 9 J n F 1 b 3 Q 7 L C Z x d W 9 0 O 1 N l Y 3 R p b 2 4 x L 0 F z c 2 V t Y m x 5 L 0 N o Y W 5 n Z W Q g V H l w Z S 5 7 T k c g Y 2 9 u d G V u d C w y M X 0 m c X V v d D s s J n F 1 b 3 Q 7 U 2 V j d G l v b j E v Q X N z Z W 1 i b H k v Q 2 h h b m d l Z C B U e X B l L n t S Z X N v b i B m b 3 I g T 3 R o Z X J z L D I y f S Z x d W 9 0 O y w m c X V v d D t T Z W N 0 a W 9 u M S 9 B c 3 N l b W J s e S 9 D a G F u Z 2 V k I F R 5 c G U u e 1 J l b W F y a y w y M 3 0 m c X V v d D s s J n F 1 b 3 Q 7 U 2 V j d G l v b j E v Q X N z Z W 1 i b H k v Q 2 h h b m d l Z C B U e X B l L n t D b 2 x 1 b W 4 y N S w y N H 0 m c X V v d D s s J n F 1 b 3 Q 7 U 2 V j d G l v b j E v Q X N z Z W 1 i b H k v Q 2 h h b m d l Z C B U e X B l L n t D b 2 x 1 b W 4 y N i w y N X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F z c 2 V t Y m x 5 L 0 N o Y W 5 n Z W Q g V H l w Z S 5 7 V 2 V l a 2 5 1 b S w w f S Z x d W 9 0 O y w m c X V v d D t T Z W N 0 a W 9 u M S 9 B c 3 N l b W J s e S 9 D a G F u Z 2 V k I F R 5 c G U y L n t N b 2 5 0 a C 1 Z Z W F y L D F 9 J n F 1 b 3 Q 7 L C Z x d W 9 0 O 1 N l Y 3 R p b 2 4 x L 0 F z c 2 V t Y m x 5 L 0 N o Y W 5 n Z W Q g V H l w Z T I u e 1 J l Z 2 l z d G V y I E R h d G U s M n 0 m c X V v d D s s J n F 1 b 3 Q 7 U 2 V j d G l v b j E v Q X N z Z W 1 i b H k v Q 2 h h b m d l Z C B U e X B l M i 5 7 T U Z H I E R h d G U s M 3 0 m c X V v d D s s J n F 1 b 3 Q 7 U 2 V j d G l v b j E v Q X N z Z W 1 i b H k v Q 2 h h b m d l Z C B U e X B l L n t Z Z W F y L D V 9 J n F 1 b 3 Q 7 L C Z x d W 9 0 O 1 N l Y 3 R p b 2 4 x L 0 F z c 2 V t Y m x 5 L 0 N o Y W 5 n Z W Q g V H l w Z S 5 7 T W 9 u d G g s N n 0 m c X V v d D s s J n F 1 b 3 Q 7 U 2 V j d G l v b j E v Q X N z Z W 1 i b H k v Q 2 h h b m d l Z C B U e X B l L n t E Y X k s N 3 0 m c X V v d D s s J n F 1 b 3 Q 7 U 2 V j d G l v b j E v Q X N z Z W 1 i b H k v Q 2 h h b m d l Z C B U e X B l L n t D b 2 R l L D h 9 J n F 1 b 3 Q 7 L C Z x d W 9 0 O 1 N l Y 3 R p b 2 4 x L 0 F z c 2 V t Y m x 5 L 0 N o Y W 5 n Z W Q g V H l w Z S 5 7 Q 3 V z d G 9 t Z X I s O X 0 m c X V v d D s s J n F 1 b 3 Q 7 U 2 V j d G l v b j E v Q X N z Z W 1 i b H k v Q 2 h h b m d l Z C B U e X B l L n t Q c m 9 k d W N 0 I G N v Z G U s M T B 9 J n F 1 b 3 Q 7 L C Z x d W 9 0 O 1 N l Y 3 R p b 2 4 x L 0 F z c 2 V t Y m x 5 L 0 N o Y W 5 n Z W Q g V H l w Z S 5 7 T m 9 0 Z S w x M X 0 m c X V v d D s s J n F 1 b 3 Q 7 U 2 V j d G l v b j E v Q X N z Z W 1 i b H k v Q 2 h h b m d l Z C B U e X B l L n t Q c m 9 k d W N 0 I H R 5 c G U s M T J 9 J n F 1 b 3 Q 7 L C Z x d W 9 0 O 1 N l Y 3 R p b 2 4 x L 0 F z c 2 V t Y m x 5 L 0 N o Y W 5 n Z W Q g V H l w Z T E u e 1 R v d G F s I F B y b 2 R 1 Y 2 U s M T N 9 J n F 1 b 3 Q 7 L C Z x d W 9 0 O 1 N l Y 3 R p b 2 4 x L 0 F z c 2 V t Y m x 5 L 0 N o Y W 5 n Z W Q g V H l w Z T E u e 1 R v d G F s I E 5 H L D E 0 f S Z x d W 9 0 O y w m c X V v d D t T Z W N 0 a W 9 u M S 9 B c 3 N l b W J s e S 9 D a G F u Z 2 V k I F R 5 c G U x L n t T c G V j a W Z p Y y B B b W 9 1 b n Q s M T V 9 J n F 1 b 3 Q 7 L C Z x d W 9 0 O 1 N l Y 3 R p b 2 4 x L 0 F z c 2 V t Y m x 5 L 0 N o Y W 5 n Z W Q g V H l w Z T E u e 1 R v d G F s I E 5 H I G Z y b 2 0 g b W F 0 Z X J p Y W w s M T Z 9 J n F 1 b 3 Q 7 L C Z x d W 9 0 O 1 N l Y 3 R p b 2 4 x L 0 F z c 2 V t Y m x 5 L 0 N o Y W 5 n Z W Q g V H l w Z T E u e 1 R v d G F s I E 5 H I G Z y b 2 0 g b W F j a G l u Z S w x N 3 0 m c X V v d D s s J n F 1 b 3 Q 7 U 2 V j d G l v b j E v Q X N z Z W 1 i b H k v Q 2 h h b m d l Z C B U e X B l L n t O R y B U e X B l L D E 4 f S Z x d W 9 0 O y w m c X V v d D t T Z W N 0 a W 9 u M S 9 B c 3 N l b W J s e S 9 D a G F u Z 2 V k I F R 5 c G U u e 0 N v b X A u L D E 5 f S Z x d W 9 0 O y w m c X V v d D t T Z W N 0 a W 9 u M S 9 B c 3 N l b W J s e S 9 D a G F u Z 2 V k I F R 5 c G U u e 0 N h d G V n b 3 J 5 L D I w f S Z x d W 9 0 O y w m c X V v d D t T Z W N 0 a W 9 u M S 9 B c 3 N l b W J s e S 9 D a G F u Z 2 V k I F R 5 c G U u e 0 5 H I G N v b n R l b n Q s M j F 9 J n F 1 b 3 Q 7 L C Z x d W 9 0 O 1 N l Y 3 R p b 2 4 x L 0 F z c 2 V t Y m x 5 L 0 N o Y W 5 n Z W Q g V H l w Z S 5 7 U m V z b 2 4 g Z m 9 y I E 9 0 a G V y c y w y M n 0 m c X V v d D s s J n F 1 b 3 Q 7 U 2 V j d G l v b j E v Q X N z Z W 1 i b H k v Q 2 h h b m d l Z C B U e X B l L n t S Z W 1 h c m s s M j N 9 J n F 1 b 3 Q 7 L C Z x d W 9 0 O 1 N l Y 3 R p b 2 4 x L 0 F z c 2 V t Y m x 5 L 0 N o Y W 5 n Z W Q g V H l w Z S 5 7 Q 2 9 s d W 1 u M j U s M j R 9 J n F 1 b 3 Q 7 L C Z x d W 9 0 O 1 N l Y 3 R p b 2 4 x L 0 F z c 2 V t Y m x 5 L 0 N o Y W 5 n Z W Q g V H l w Z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3 N l b W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r U i d I 6 P x A k J W f k y i W D s k A A A A A A g A A A A A A E G Y A A A A B A A A g A A A A G e r 9 E q f M f 4 J b y o e c q / h X I v z y V Y P y Y Q n 3 V S 3 h H q H r T R U A A A A A D o A A A A A C A A A g A A A A n q w u P k O F k N P 7 L k y b 3 k + y m M N 2 L s P s m i 7 K c C U Z o / v 2 L j 9 Q A A A A Y H W T + p G e D r V 8 1 2 I Z B P c E s N N u j i M w b t Q m e L e Y J h W o y H e I W K b 2 4 l A Z 7 s w r o Z r H Y n C i v d c m f I H H F 3 A F O c L K V x s k S 1 F x 8 2 m 1 H s k G Y h p A c q q n h k R A A A A A c p 8 o M S 5 2 Q D b 4 0 f 8 5 R z f r l b v 9 U E 4 2 x R r 7 i b S U 6 1 W p 0 E r / c 6 w e P 0 F 7 m j P H I 9 D 0 S o Z y + + 1 3 w 8 3 5 t K / T 2 O b b k 7 5 D B A = = < / D a t a M a s h u p > 
</file>

<file path=customXml/itemProps1.xml><?xml version="1.0" encoding="utf-8"?>
<ds:datastoreItem xmlns:ds="http://schemas.openxmlformats.org/officeDocument/2006/customXml" ds:itemID="{7C9E4D83-6084-4CE2-ADE7-D5F435A2CB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Weekly Report</vt:lpstr>
      <vt:lpstr>Monthly Report</vt:lpstr>
      <vt:lpstr>Annual Report</vt:lpstr>
      <vt:lpstr>Database</vt:lpstr>
      <vt:lpstr>Pareto</vt:lpstr>
      <vt:lpstr>Sheet2</vt:lpstr>
      <vt:lpstr>Sheet1</vt:lpstr>
      <vt:lpstr>Sheet1!Extract</vt:lpstr>
      <vt:lpstr>'Monthly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NITTO-01</dc:creator>
  <cp:lastModifiedBy>XPS</cp:lastModifiedBy>
  <cp:lastPrinted>2023-04-13T06:19:07Z</cp:lastPrinted>
  <dcterms:created xsi:type="dcterms:W3CDTF">2015-06-05T18:17:20Z</dcterms:created>
  <dcterms:modified xsi:type="dcterms:W3CDTF">2023-06-24T15:46:43Z</dcterms:modified>
</cp:coreProperties>
</file>