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5BF13A-48EB-411C-A0C5-C6339E4E72D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รามอินทรา" sheetId="16" r:id="rId1"/>
    <sheet name="Dนนทบุรี" sheetId="17" r:id="rId2"/>
    <sheet name="Dครัวกลาง" sheetId="13" r:id="rId3"/>
    <sheet name="Dกัลปพฤกษ์" sheetId="18" r:id="rId4"/>
    <sheet name="สลิป" sheetId="12" r:id="rId5"/>
    <sheet name="qrcode" sheetId="15" r:id="rId6"/>
  </sheets>
  <definedNames>
    <definedName name="_xlnm.Print_Area" localSheetId="3">Dกัลปพฤกษ์!$A$1:$AF$37</definedName>
    <definedName name="_xlnm.Print_Area" localSheetId="2">Dครัวกลาง!$A$1:$AF$12</definedName>
    <definedName name="_xlnm.Print_Area" localSheetId="1">Dนนทบุรี!$A$2:$AF$40</definedName>
    <definedName name="_xlnm.Print_Area" localSheetId="0">Dรามอินทรา!$A$1:$AE$38</definedName>
    <definedName name="ชื่อ" localSheetId="3">Dกัลปพฤกษ์!$B$3:$B$33</definedName>
    <definedName name="ชื่อ" localSheetId="2">Dครัวกลาง!$B$3:$B$8</definedName>
    <definedName name="ชื่อ" localSheetId="1">Dนนทบุรี!$B$3:$B$36</definedName>
    <definedName name="ชื่อ">#REF!</definedName>
    <definedName name="ลำดับ" localSheetId="3">Dกัลปพฤกษ์!$A$3:$A$4</definedName>
    <definedName name="ลำดับ" localSheetId="2">Dครัวกลาง!$A$3:$A$4</definedName>
    <definedName name="ลำดับ" localSheetId="1">Dนนทบุรี!$A$3:$A$7</definedName>
    <definedName name="ลำดับ">#REF!</definedName>
    <definedName name="อิ" localSheetId="3">Dกัลปพฤกษ์!$A$3:$A$4</definedName>
    <definedName name="อิ" localSheetId="2">Dครัวกลาง!$A$3:$A$4</definedName>
    <definedName name="อิ" localSheetId="1">Dนนทบุรี!$A$3:$A$7</definedName>
    <definedName name="อ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16" l="1"/>
  <c r="K34" i="16"/>
  <c r="J34" i="16"/>
  <c r="F34" i="16"/>
  <c r="P14" i="16"/>
  <c r="K36" i="17"/>
  <c r="T36" i="17"/>
  <c r="S36" i="17"/>
  <c r="R34" i="17"/>
  <c r="I34" i="17"/>
  <c r="H34" i="17"/>
  <c r="G34" i="17"/>
  <c r="R31" i="17"/>
  <c r="I31" i="17"/>
  <c r="H31" i="17"/>
  <c r="G31" i="17"/>
  <c r="G11" i="17"/>
  <c r="E3" i="17"/>
  <c r="T33" i="18"/>
  <c r="S33" i="18"/>
  <c r="K33" i="18"/>
  <c r="J33" i="18"/>
  <c r="F33" i="18"/>
  <c r="E3" i="16"/>
  <c r="D12" i="13"/>
  <c r="U3" i="15" a="1"/>
  <c r="U3" i="15" s="1"/>
  <c r="T3" i="15" a="1"/>
  <c r="T3" i="15" s="1"/>
  <c r="S3" i="15" a="1"/>
  <c r="S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G3" i="15" a="1"/>
  <c r="G3" i="15" s="1"/>
  <c r="U34" i="17" l="1"/>
  <c r="U31" i="17"/>
  <c r="C3" i="15" a="1"/>
  <c r="C3" i="15" s="1"/>
  <c r="B3" i="15" a="1"/>
  <c r="B3" i="15" s="1"/>
  <c r="A3" i="15" a="1"/>
  <c r="A3" i="15" s="1"/>
  <c r="R32" i="16"/>
  <c r="I32" i="16"/>
  <c r="H32" i="16"/>
  <c r="G32" i="16"/>
  <c r="R30" i="16"/>
  <c r="I30" i="16"/>
  <c r="H30" i="16"/>
  <c r="G30" i="16"/>
  <c r="H23" i="17"/>
  <c r="U30" i="16" l="1"/>
  <c r="U32" i="16"/>
  <c r="G31" i="16"/>
  <c r="H31" i="16"/>
  <c r="I31" i="16"/>
  <c r="R31" i="16"/>
  <c r="R31" i="18"/>
  <c r="I31" i="18"/>
  <c r="H31" i="18"/>
  <c r="G31" i="18"/>
  <c r="R30" i="18"/>
  <c r="I30" i="18"/>
  <c r="H30" i="18"/>
  <c r="G30" i="18"/>
  <c r="E23" i="18"/>
  <c r="E4" i="17"/>
  <c r="E6" i="16"/>
  <c r="H6" i="16" s="1"/>
  <c r="R29" i="18"/>
  <c r="I29" i="18"/>
  <c r="H29" i="18"/>
  <c r="G29" i="18"/>
  <c r="R28" i="18"/>
  <c r="I28" i="18"/>
  <c r="H28" i="18"/>
  <c r="G28" i="18"/>
  <c r="R27" i="18"/>
  <c r="I27" i="18"/>
  <c r="H27" i="18"/>
  <c r="G27" i="18"/>
  <c r="R26" i="18"/>
  <c r="I26" i="18"/>
  <c r="H26" i="18"/>
  <c r="G26" i="18"/>
  <c r="R25" i="18"/>
  <c r="I25" i="18"/>
  <c r="H25" i="18"/>
  <c r="G25" i="18"/>
  <c r="R24" i="18"/>
  <c r="I24" i="18"/>
  <c r="H24" i="18"/>
  <c r="G24" i="18"/>
  <c r="R22" i="18"/>
  <c r="I22" i="18"/>
  <c r="H22" i="18"/>
  <c r="G22" i="18"/>
  <c r="R21" i="18"/>
  <c r="I21" i="18"/>
  <c r="H21" i="18"/>
  <c r="G21" i="18"/>
  <c r="R20" i="18"/>
  <c r="I20" i="18"/>
  <c r="H20" i="18"/>
  <c r="G20" i="18"/>
  <c r="R19" i="18"/>
  <c r="I19" i="18"/>
  <c r="H19" i="18"/>
  <c r="G19" i="18"/>
  <c r="R18" i="18"/>
  <c r="I18" i="18"/>
  <c r="H18" i="18"/>
  <c r="G18" i="18"/>
  <c r="R17" i="18"/>
  <c r="I17" i="18"/>
  <c r="H17" i="18"/>
  <c r="G17" i="18"/>
  <c r="R16" i="18"/>
  <c r="I16" i="18"/>
  <c r="H16" i="18"/>
  <c r="G16" i="18"/>
  <c r="R15" i="18"/>
  <c r="I15" i="18"/>
  <c r="H15" i="18"/>
  <c r="G15" i="18"/>
  <c r="R14" i="18"/>
  <c r="I14" i="18"/>
  <c r="H14" i="18"/>
  <c r="G14" i="18"/>
  <c r="R13" i="18"/>
  <c r="I13" i="18"/>
  <c r="H13" i="18"/>
  <c r="G13" i="18"/>
  <c r="R12" i="18"/>
  <c r="I12" i="18"/>
  <c r="H12" i="18"/>
  <c r="G12" i="18"/>
  <c r="R11" i="18"/>
  <c r="I11" i="18"/>
  <c r="H11" i="18"/>
  <c r="G11" i="18"/>
  <c r="E10" i="18"/>
  <c r="I10" i="18" s="1"/>
  <c r="E9" i="18"/>
  <c r="E8" i="18"/>
  <c r="H8" i="18" s="1"/>
  <c r="R7" i="18"/>
  <c r="I7" i="18"/>
  <c r="H7" i="18"/>
  <c r="G7" i="18"/>
  <c r="R6" i="18"/>
  <c r="I6" i="18"/>
  <c r="H6" i="18"/>
  <c r="G6" i="18"/>
  <c r="E5" i="18"/>
  <c r="R5" i="18" s="1"/>
  <c r="E4" i="18"/>
  <c r="I4" i="18" s="1"/>
  <c r="E3" i="18"/>
  <c r="J36" i="17"/>
  <c r="F36" i="17"/>
  <c r="R33" i="17"/>
  <c r="I33" i="17"/>
  <c r="H33" i="17"/>
  <c r="G33" i="17"/>
  <c r="R32" i="17"/>
  <c r="I32" i="17"/>
  <c r="H32" i="17"/>
  <c r="G32" i="17"/>
  <c r="R30" i="17"/>
  <c r="I30" i="17"/>
  <c r="H30" i="17"/>
  <c r="G30" i="17"/>
  <c r="R29" i="17"/>
  <c r="I29" i="17"/>
  <c r="H29" i="17"/>
  <c r="G29" i="17"/>
  <c r="R28" i="17"/>
  <c r="I28" i="17"/>
  <c r="H28" i="17"/>
  <c r="G28" i="17"/>
  <c r="R27" i="17"/>
  <c r="I27" i="17"/>
  <c r="H27" i="17"/>
  <c r="G27" i="17"/>
  <c r="R26" i="17"/>
  <c r="I26" i="17"/>
  <c r="H26" i="17"/>
  <c r="G26" i="17"/>
  <c r="R25" i="17"/>
  <c r="I25" i="17"/>
  <c r="H25" i="17"/>
  <c r="G25" i="17"/>
  <c r="R24" i="17"/>
  <c r="I24" i="17"/>
  <c r="H24" i="17"/>
  <c r="G24" i="17"/>
  <c r="R23" i="17"/>
  <c r="I23" i="17"/>
  <c r="G23" i="17"/>
  <c r="R22" i="17"/>
  <c r="I22" i="17"/>
  <c r="H22" i="17"/>
  <c r="G22" i="17"/>
  <c r="R21" i="17"/>
  <c r="I21" i="17"/>
  <c r="H21" i="17"/>
  <c r="G21" i="17"/>
  <c r="R20" i="17"/>
  <c r="I20" i="17"/>
  <c r="H20" i="17"/>
  <c r="G20" i="17"/>
  <c r="R19" i="17"/>
  <c r="I19" i="17"/>
  <c r="H19" i="17"/>
  <c r="G19" i="17"/>
  <c r="R18" i="17"/>
  <c r="I18" i="17"/>
  <c r="H18" i="17"/>
  <c r="G18" i="17"/>
  <c r="R17" i="17"/>
  <c r="I17" i="17"/>
  <c r="H17" i="17"/>
  <c r="G17" i="17"/>
  <c r="E16" i="17"/>
  <c r="R15" i="17"/>
  <c r="I15" i="17"/>
  <c r="H15" i="17"/>
  <c r="G15" i="17"/>
  <c r="E14" i="17"/>
  <c r="H14" i="17" s="1"/>
  <c r="R13" i="17"/>
  <c r="I13" i="17"/>
  <c r="H13" i="17"/>
  <c r="G13" i="17"/>
  <c r="R12" i="17"/>
  <c r="I12" i="17"/>
  <c r="H12" i="17"/>
  <c r="G12" i="17"/>
  <c r="R11" i="17"/>
  <c r="I11" i="17"/>
  <c r="H11" i="17"/>
  <c r="R10" i="17"/>
  <c r="I10" i="17"/>
  <c r="H10" i="17"/>
  <c r="G10" i="17"/>
  <c r="R9" i="17"/>
  <c r="I9" i="17"/>
  <c r="H9" i="17"/>
  <c r="G9" i="17"/>
  <c r="E8" i="17"/>
  <c r="E7" i="17"/>
  <c r="R6" i="17"/>
  <c r="I6" i="17"/>
  <c r="H6" i="17"/>
  <c r="G6" i="17"/>
  <c r="E5" i="17"/>
  <c r="R3" i="17"/>
  <c r="T34" i="16"/>
  <c r="S34" i="16"/>
  <c r="R29" i="16"/>
  <c r="I29" i="16"/>
  <c r="H29" i="16"/>
  <c r="G29" i="16"/>
  <c r="R28" i="16"/>
  <c r="I28" i="16"/>
  <c r="H28" i="16"/>
  <c r="G28" i="16"/>
  <c r="R27" i="16"/>
  <c r="I27" i="16"/>
  <c r="H27" i="16"/>
  <c r="G27" i="16"/>
  <c r="R26" i="16"/>
  <c r="I26" i="16"/>
  <c r="H26" i="16"/>
  <c r="G26" i="16"/>
  <c r="R25" i="16"/>
  <c r="I25" i="16"/>
  <c r="H25" i="16"/>
  <c r="G25" i="16"/>
  <c r="R24" i="16"/>
  <c r="I24" i="16"/>
  <c r="H24" i="16"/>
  <c r="G24" i="16"/>
  <c r="R23" i="16"/>
  <c r="I23" i="16"/>
  <c r="H23" i="16"/>
  <c r="G23" i="16"/>
  <c r="R22" i="16"/>
  <c r="I22" i="16"/>
  <c r="H22" i="16"/>
  <c r="G22" i="16"/>
  <c r="R21" i="16"/>
  <c r="I21" i="16"/>
  <c r="H21" i="16"/>
  <c r="G21" i="16"/>
  <c r="R20" i="16"/>
  <c r="I20" i="16"/>
  <c r="H20" i="16"/>
  <c r="G20" i="16"/>
  <c r="R19" i="16"/>
  <c r="I19" i="16"/>
  <c r="H19" i="16"/>
  <c r="G19" i="16"/>
  <c r="R18" i="16"/>
  <c r="I18" i="16"/>
  <c r="H18" i="16"/>
  <c r="G18" i="16"/>
  <c r="E17" i="16"/>
  <c r="I17" i="16" s="1"/>
  <c r="R16" i="16"/>
  <c r="I16" i="16"/>
  <c r="H16" i="16"/>
  <c r="G16" i="16"/>
  <c r="E15" i="16"/>
  <c r="R15" i="16" s="1"/>
  <c r="R14" i="16"/>
  <c r="I14" i="16"/>
  <c r="H14" i="16"/>
  <c r="G14" i="16"/>
  <c r="R13" i="16"/>
  <c r="I13" i="16"/>
  <c r="H13" i="16"/>
  <c r="G13" i="16"/>
  <c r="E12" i="16"/>
  <c r="R12" i="16" s="1"/>
  <c r="R11" i="16"/>
  <c r="I11" i="16"/>
  <c r="H11" i="16"/>
  <c r="G11" i="16"/>
  <c r="E10" i="16"/>
  <c r="E9" i="16"/>
  <c r="R9" i="16" s="1"/>
  <c r="E8" i="16"/>
  <c r="E7" i="16"/>
  <c r="G7" i="16" s="1"/>
  <c r="E5" i="16"/>
  <c r="I5" i="16" s="1"/>
  <c r="E4" i="16"/>
  <c r="G4" i="16" l="1"/>
  <c r="E34" i="16"/>
  <c r="I23" i="18"/>
  <c r="R3" i="18"/>
  <c r="E33" i="18"/>
  <c r="U31" i="16"/>
  <c r="U23" i="17"/>
  <c r="R3" i="16"/>
  <c r="U31" i="18"/>
  <c r="U30" i="18"/>
  <c r="H17" i="16"/>
  <c r="R17" i="16"/>
  <c r="U18" i="16"/>
  <c r="U22" i="16"/>
  <c r="U26" i="17"/>
  <c r="U25" i="17"/>
  <c r="U6" i="18"/>
  <c r="U27" i="18"/>
  <c r="U11" i="18"/>
  <c r="U15" i="18"/>
  <c r="U19" i="18"/>
  <c r="U10" i="17"/>
  <c r="U17" i="18"/>
  <c r="U22" i="17"/>
  <c r="I6" i="16"/>
  <c r="H23" i="18"/>
  <c r="R23" i="18"/>
  <c r="G23" i="18"/>
  <c r="U23" i="18" s="1"/>
  <c r="U9" i="17"/>
  <c r="U29" i="16"/>
  <c r="U7" i="18"/>
  <c r="U16" i="16"/>
  <c r="I14" i="17"/>
  <c r="R14" i="17"/>
  <c r="U12" i="18"/>
  <c r="U24" i="18"/>
  <c r="U28" i="18"/>
  <c r="H4" i="16"/>
  <c r="U19" i="16"/>
  <c r="U20" i="18"/>
  <c r="U27" i="17"/>
  <c r="U32" i="17"/>
  <c r="G4" i="18"/>
  <c r="G17" i="16"/>
  <c r="R4" i="18"/>
  <c r="U16" i="18"/>
  <c r="U25" i="18"/>
  <c r="U21" i="18"/>
  <c r="U29" i="18"/>
  <c r="I4" i="16"/>
  <c r="U13" i="18"/>
  <c r="R4" i="16"/>
  <c r="U13" i="16"/>
  <c r="U33" i="17"/>
  <c r="U14" i="18"/>
  <c r="U18" i="18"/>
  <c r="U13" i="17"/>
  <c r="U18" i="17"/>
  <c r="U22" i="18"/>
  <c r="U26" i="18"/>
  <c r="H10" i="18"/>
  <c r="G3" i="18"/>
  <c r="G9" i="18"/>
  <c r="I8" i="18"/>
  <c r="H3" i="18"/>
  <c r="R10" i="18"/>
  <c r="I3" i="18"/>
  <c r="H9" i="18"/>
  <c r="I9" i="18"/>
  <c r="G8" i="18"/>
  <c r="G10" i="18"/>
  <c r="R8" i="18"/>
  <c r="R9" i="18"/>
  <c r="H5" i="18"/>
  <c r="I5" i="18"/>
  <c r="H4" i="18"/>
  <c r="G5" i="18"/>
  <c r="G9" i="16"/>
  <c r="H9" i="16"/>
  <c r="U14" i="16"/>
  <c r="U12" i="17"/>
  <c r="U26" i="16"/>
  <c r="U24" i="17"/>
  <c r="U28" i="17"/>
  <c r="U6" i="17"/>
  <c r="U20" i="17"/>
  <c r="I9" i="16"/>
  <c r="U21" i="17"/>
  <c r="U27" i="16"/>
  <c r="U17" i="17"/>
  <c r="U11" i="16"/>
  <c r="U24" i="16"/>
  <c r="U28" i="16"/>
  <c r="U29" i="17"/>
  <c r="U23" i="16"/>
  <c r="U20" i="16"/>
  <c r="G6" i="16"/>
  <c r="U19" i="17"/>
  <c r="U11" i="17"/>
  <c r="U30" i="17"/>
  <c r="R6" i="16"/>
  <c r="U21" i="16"/>
  <c r="U25" i="16"/>
  <c r="U15" i="17"/>
  <c r="G4" i="17"/>
  <c r="H4" i="17"/>
  <c r="G7" i="17"/>
  <c r="E36" i="17"/>
  <c r="I4" i="17"/>
  <c r="H7" i="17"/>
  <c r="R4" i="17"/>
  <c r="I7" i="17"/>
  <c r="R7" i="17"/>
  <c r="G5" i="17"/>
  <c r="H5" i="17"/>
  <c r="G8" i="17"/>
  <c r="G16" i="17"/>
  <c r="I5" i="17"/>
  <c r="H8" i="17"/>
  <c r="H16" i="17"/>
  <c r="R5" i="17"/>
  <c r="I8" i="17"/>
  <c r="I16" i="17"/>
  <c r="G3" i="17"/>
  <c r="R8" i="17"/>
  <c r="R16" i="17"/>
  <c r="H3" i="17"/>
  <c r="I3" i="17"/>
  <c r="G14" i="17"/>
  <c r="I7" i="16"/>
  <c r="R7" i="16"/>
  <c r="G12" i="16"/>
  <c r="H12" i="16"/>
  <c r="I12" i="16"/>
  <c r="I15" i="16"/>
  <c r="R5" i="16"/>
  <c r="H8" i="16"/>
  <c r="G3" i="16"/>
  <c r="I8" i="16"/>
  <c r="H3" i="16"/>
  <c r="R8" i="16"/>
  <c r="H7" i="16"/>
  <c r="G10" i="16"/>
  <c r="H10" i="16"/>
  <c r="G15" i="16"/>
  <c r="G5" i="16"/>
  <c r="I10" i="16"/>
  <c r="H15" i="16"/>
  <c r="H5" i="16"/>
  <c r="R10" i="16"/>
  <c r="G8" i="16"/>
  <c r="I3" i="16"/>
  <c r="C39" i="17" l="1"/>
  <c r="C36" i="18"/>
  <c r="G33" i="18"/>
  <c r="D36" i="18"/>
  <c r="U17" i="16"/>
  <c r="U7" i="16"/>
  <c r="U5" i="18"/>
  <c r="U3" i="18"/>
  <c r="U4" i="16"/>
  <c r="U9" i="18"/>
  <c r="U4" i="18"/>
  <c r="U8" i="17"/>
  <c r="U5" i="16"/>
  <c r="U15" i="16"/>
  <c r="C37" i="16" s="1"/>
  <c r="U12" i="16"/>
  <c r="U16" i="17"/>
  <c r="U6" i="16"/>
  <c r="U9" i="16"/>
  <c r="U10" i="18"/>
  <c r="U14" i="17"/>
  <c r="U8" i="18"/>
  <c r="H33" i="18"/>
  <c r="H36" i="17"/>
  <c r="U5" i="17"/>
  <c r="U8" i="16"/>
  <c r="U3" i="16"/>
  <c r="U10" i="16"/>
  <c r="U7" i="17"/>
  <c r="U4" i="17"/>
  <c r="G36" i="17"/>
  <c r="U3" i="17"/>
  <c r="E6" i="13"/>
  <c r="T8" i="13"/>
  <c r="S8" i="13"/>
  <c r="O8" i="13"/>
  <c r="K8" i="13"/>
  <c r="J8" i="13"/>
  <c r="F8" i="13"/>
  <c r="R7" i="13"/>
  <c r="I7" i="13"/>
  <c r="H7" i="13"/>
  <c r="G7" i="13"/>
  <c r="E5" i="13"/>
  <c r="R5" i="13" s="1"/>
  <c r="E4" i="13"/>
  <c r="E3" i="13"/>
  <c r="I3" i="13" s="1"/>
  <c r="L12" i="12"/>
  <c r="G17" i="12"/>
  <c r="C15" i="12"/>
  <c r="L18" i="12"/>
  <c r="C14" i="12"/>
  <c r="C11" i="12"/>
  <c r="C6" i="12"/>
  <c r="G15" i="12"/>
  <c r="C16" i="12"/>
  <c r="C18" i="12"/>
  <c r="L13" i="12"/>
  <c r="G16" i="12"/>
  <c r="G12" i="12"/>
  <c r="C17" i="12"/>
  <c r="C13" i="12"/>
  <c r="L14" i="12"/>
  <c r="C7" i="12"/>
  <c r="C12" i="12"/>
  <c r="G11" i="12"/>
  <c r="L16" i="12"/>
  <c r="G14" i="12"/>
  <c r="L11" i="12"/>
  <c r="C19" i="12"/>
  <c r="G13" i="12"/>
  <c r="L17" i="12"/>
  <c r="L15" i="12"/>
  <c r="C36" i="16" l="1"/>
  <c r="U34" i="16"/>
  <c r="C38" i="16" s="1"/>
  <c r="U36" i="17"/>
  <c r="D38" i="17"/>
  <c r="C40" i="17"/>
  <c r="U33" i="18"/>
  <c r="C37" i="18" s="1"/>
  <c r="C38" i="17"/>
  <c r="C35" i="18"/>
  <c r="L38" i="16"/>
  <c r="D40" i="17"/>
  <c r="E40" i="17" s="1"/>
  <c r="D37" i="18"/>
  <c r="D38" i="16"/>
  <c r="L3" i="15" a="1"/>
  <c r="L3" i="15" s="1"/>
  <c r="D35" i="18"/>
  <c r="E3" i="15" a="1"/>
  <c r="E3" i="15" s="1"/>
  <c r="D36" i="16"/>
  <c r="W3" i="15" a="1"/>
  <c r="W3" i="15" s="1"/>
  <c r="V3" i="15" a="1"/>
  <c r="V3" i="15" s="1"/>
  <c r="K3" i="15" a="1"/>
  <c r="K3" i="15" s="1"/>
  <c r="J3" i="15" a="1"/>
  <c r="J3" i="15" s="1"/>
  <c r="D3" i="15" a="1"/>
  <c r="D3" i="15" s="1"/>
  <c r="O37" i="18"/>
  <c r="O40" i="17"/>
  <c r="U7" i="13"/>
  <c r="C11" i="13" s="1"/>
  <c r="C21" i="12"/>
  <c r="C22" i="12" s="1"/>
  <c r="G21" i="12"/>
  <c r="E8" i="13"/>
  <c r="R3" i="13"/>
  <c r="H6" i="13"/>
  <c r="I6" i="13"/>
  <c r="G3" i="13"/>
  <c r="G5" i="13"/>
  <c r="H5" i="13"/>
  <c r="I5" i="13"/>
  <c r="R6" i="13"/>
  <c r="G4" i="13"/>
  <c r="H4" i="13"/>
  <c r="I4" i="13"/>
  <c r="H3" i="13"/>
  <c r="G6" i="13"/>
  <c r="R4" i="13"/>
  <c r="C23" i="12"/>
  <c r="D41" i="17" l="1"/>
  <c r="D38" i="18"/>
  <c r="D39" i="16"/>
  <c r="U6" i="13"/>
  <c r="U4" i="13"/>
  <c r="U5" i="13"/>
  <c r="H8" i="13"/>
  <c r="G8" i="13"/>
  <c r="U3" i="13"/>
  <c r="U8" i="13" l="1"/>
  <c r="C10" i="13"/>
  <c r="D10" i="13"/>
  <c r="Q3" i="15" a="1"/>
  <c r="Q3" i="15" s="1"/>
  <c r="P3" i="15" a="1"/>
  <c r="P3" i="15" s="1"/>
  <c r="C1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</futureMetadata>
  <cellMetadata count="1">
    <bk>
      <rc t="1" v="0"/>
    </bk>
  </cellMetadata>
  <valueMetadata count="4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</valueMetadata>
</metadata>
</file>

<file path=xl/sharedStrings.xml><?xml version="1.0" encoding="utf-8"?>
<sst xmlns="http://schemas.openxmlformats.org/spreadsheetml/2006/main" count="730" uniqueCount="408">
  <si>
    <t>ลำดับ</t>
  </si>
  <si>
    <t>ชื่อ-นามสกุล</t>
  </si>
  <si>
    <t>ชื่อเล่น</t>
  </si>
  <si>
    <t>ตำแหน่ง</t>
  </si>
  <si>
    <t>อัตราเงินเดือน</t>
  </si>
  <si>
    <t>ค่าตำแหน่ง</t>
  </si>
  <si>
    <t>โอที/วัน</t>
  </si>
  <si>
    <t>โอที/ชม.</t>
  </si>
  <si>
    <t>เบี้ยขยัน</t>
  </si>
  <si>
    <t>เบิก</t>
  </si>
  <si>
    <t>ปกส.</t>
  </si>
  <si>
    <t>ยอดจ่ายเงินกู้</t>
  </si>
  <si>
    <t>เงินกู้ค้าง</t>
  </si>
  <si>
    <t>สวัสดิการอื่นๆ</t>
  </si>
  <si>
    <t>หนี้</t>
  </si>
  <si>
    <t>สาย</t>
  </si>
  <si>
    <t>ลา</t>
  </si>
  <si>
    <t>ยอดเป้า</t>
  </si>
  <si>
    <t>โบนัส</t>
  </si>
  <si>
    <t>รายได้สุทธิ</t>
  </si>
  <si>
    <t>Email</t>
  </si>
  <si>
    <t>ขาด (วัน)</t>
  </si>
  <si>
    <t>สาย (นาที)</t>
  </si>
  <si>
    <t>ลาป่วย (วัน)</t>
  </si>
  <si>
    <t>ลากิจ (วัน)</t>
  </si>
  <si>
    <t>ลาพักร้อน (วัน)</t>
  </si>
  <si>
    <t>OT (วัน)</t>
  </si>
  <si>
    <t>ค่าล่วงเวลา (ชั่วโมง)</t>
  </si>
  <si>
    <t>ภาษา</t>
  </si>
  <si>
    <t>นาย อดิสรณ์ มีพบ</t>
  </si>
  <si>
    <t>รอน</t>
  </si>
  <si>
    <t>รองผู้จัดการ</t>
  </si>
  <si>
    <t>adisornn1996@gmail.com</t>
  </si>
  <si>
    <t>th</t>
  </si>
  <si>
    <t xml:space="preserve">ต่วนมีด๊ะ  เสะอุเซ็ง </t>
  </si>
  <si>
    <t>ซันเดย์</t>
  </si>
  <si>
    <t>บริการ</t>
  </si>
  <si>
    <t>love_sun8297@hotmail.com</t>
  </si>
  <si>
    <t>Channy La</t>
  </si>
  <si>
    <t>น้ำ</t>
  </si>
  <si>
    <t>TAK</t>
  </si>
  <si>
    <t>ตั๊ก</t>
  </si>
  <si>
    <t>หัวหน้าครัว</t>
  </si>
  <si>
    <t>takkyvillai@gmail.com</t>
  </si>
  <si>
    <t>เจี๊ยบ</t>
  </si>
  <si>
    <t>ครัว</t>
  </si>
  <si>
    <t>ahla78453@gmail.com</t>
  </si>
  <si>
    <t>faisniheng@gmail.com</t>
  </si>
  <si>
    <t>ดาวี</t>
  </si>
  <si>
    <t>ladavi884@gmail.com</t>
  </si>
  <si>
    <t>นางสาว จิราภา มั่งมีทรัพย์</t>
  </si>
  <si>
    <t xml:space="preserve"> แนท</t>
  </si>
  <si>
    <t>jirapa1999nat@gmail.com</t>
  </si>
  <si>
    <t>นาย ซุกรี แดเบาะ</t>
  </si>
  <si>
    <t>กรี</t>
  </si>
  <si>
    <t>รองหัวหน้าบริการ</t>
  </si>
  <si>
    <t>leescreamoemopunk@hotmail.com</t>
  </si>
  <si>
    <t>LAN LATH</t>
  </si>
  <si>
    <t>LAN</t>
  </si>
  <si>
    <t>รองหัวหน้าครัว</t>
  </si>
  <si>
    <t>latlan98@gmail.com</t>
  </si>
  <si>
    <t>จิตา</t>
  </si>
  <si>
    <t>jta875094@gmail.com</t>
  </si>
  <si>
    <t>พิมพ์</t>
  </si>
  <si>
    <t>serypim279@gmail.com</t>
  </si>
  <si>
    <t>ต่าย</t>
  </si>
  <si>
    <t>ครัวเย็น</t>
  </si>
  <si>
    <t>นาย เมธาวี ทัศน์จันดา</t>
  </si>
  <si>
    <t>แม็ก</t>
  </si>
  <si>
    <t>maxwwecom@gmail.com</t>
  </si>
  <si>
    <t xml:space="preserve"> </t>
  </si>
  <si>
    <t>นางสาว รัชนี รอดภิบัติ</t>
  </si>
  <si>
    <t>เบียร์</t>
  </si>
  <si>
    <t>นาย พีรพัฒน์ พรมมนต์</t>
  </si>
  <si>
    <t>เต้</t>
  </si>
  <si>
    <t>peerapattae80s@gmail.com</t>
  </si>
  <si>
    <t>ใหม่</t>
  </si>
  <si>
    <t>bunthoeurn08092@gmail.com</t>
  </si>
  <si>
    <t>นาย ชัยชาญ สนธิรอด</t>
  </si>
  <si>
    <t>อั้ม</t>
  </si>
  <si>
    <t>ผู้จัดการ</t>
  </si>
  <si>
    <t xml:space="preserve"> นางสาว ฟารีดา นิแห</t>
  </si>
  <si>
    <t>ดา</t>
  </si>
  <si>
    <t>หัวหน้าบริการ</t>
  </si>
  <si>
    <t>fareeda426677@gmail.com</t>
  </si>
  <si>
    <t>ป้าน้อย</t>
  </si>
  <si>
    <t>cfdd4726@gmail.com</t>
  </si>
  <si>
    <t>Mi Kommaly Vongphila</t>
  </si>
  <si>
    <t>กลม</t>
  </si>
  <si>
    <t>oo7419074@gmail.com</t>
  </si>
  <si>
    <t>สแตมป์</t>
  </si>
  <si>
    <t>paponpatrojjanadara@gmail.com</t>
  </si>
  <si>
    <t>นางสาว คำนัน บุญเพ็ญ</t>
  </si>
  <si>
    <t>นันหญิง</t>
  </si>
  <si>
    <t>khamnanboonpen7@gmail.com</t>
  </si>
  <si>
    <t>นาย อิบรอเฮง มะแซ</t>
  </si>
  <si>
    <t>จู</t>
  </si>
  <si>
    <t>ibrohengmasae280742@gmail.com</t>
  </si>
  <si>
    <t>นาย มูฮำหมัดอิกควาล เต๊ะหมะ</t>
  </si>
  <si>
    <t>วัน</t>
  </si>
  <si>
    <t>วิภาภรณ์ ประสงค์</t>
  </si>
  <si>
    <t>แอน</t>
  </si>
  <si>
    <t>Wipaporn.pra50@gmail.com</t>
  </si>
  <si>
    <t xml:space="preserve">YE KHANT KO KO </t>
  </si>
  <si>
    <t>ตะวัน</t>
  </si>
  <si>
    <t>tawan.yekoko@gmail.com</t>
  </si>
  <si>
    <t>ฮานาฟี เจะโดง</t>
  </si>
  <si>
    <t>ฟี</t>
  </si>
  <si>
    <t>บริษัท ไอแอมฟู้ด จำกัด 
63/34 ซอย1 แขวง คันนายาว เขตคันนายาว กรุงเทพมหานคร 10230 
เลขที่ผู้เสียภาษี 0125562015764</t>
  </si>
  <si>
    <t>สลิปเงินเดือน / Pay Slip</t>
  </si>
  <si>
    <t>63/34 ซอย1 แขวง คันนายาว เขตคันนายาว กรุงเทพมหานคร 10230</t>
  </si>
  <si>
    <t>เลขที่ผู้เสียภาษี 0125562015764</t>
  </si>
  <si>
    <t>สาขาที่ทำงาน:</t>
  </si>
  <si>
    <t>รหัสพนักงาน :</t>
  </si>
  <si>
    <t>ชื่อ - นามสกุล :</t>
  </si>
  <si>
    <t>ตำแหน่ง :</t>
  </si>
  <si>
    <t>ประจำเดือน กุมพาพันธ์ 2566</t>
  </si>
  <si>
    <t>เงินได้</t>
  </si>
  <si>
    <t>รายการหัก</t>
  </si>
  <si>
    <t>รายละเอียด</t>
  </si>
  <si>
    <t>ขาด</t>
  </si>
  <si>
    <t>ประกันสังคม</t>
  </si>
  <si>
    <t>นาที</t>
  </si>
  <si>
    <t>ลาป่วย</t>
  </si>
  <si>
    <t>OT (ชั่วโมง)</t>
  </si>
  <si>
    <t>ลากิจ</t>
  </si>
  <si>
    <t>ลาพักร้อน</t>
  </si>
  <si>
    <t>ยอดเงินกู้คงเหลือ</t>
  </si>
  <si>
    <t>ชั่วโมง</t>
  </si>
  <si>
    <t>รวมเงินได้</t>
  </si>
  <si>
    <t>รวมรายการหัก</t>
  </si>
  <si>
    <t>ข้อมูลเงินเดือนและค่าจ้างเป็นข้อมูลส่วนบุคคล ห้ามเปิดเผยโดยเด็ดขาดเอกสารนี้จะสมบูรณ์เมื่อมีลายเซ็นผู้มีอำนาจ และตราประทับเท่านั้น
Salary and wages are confidential infomation. Disclosure is strictly prohibited. This document is only valid with an autorized signature and company stamp</t>
  </si>
  <si>
    <t>เซน</t>
  </si>
  <si>
    <t>mew29052545@gmail.com</t>
  </si>
  <si>
    <t>ไม้</t>
  </si>
  <si>
    <t>เจ็ก</t>
  </si>
  <si>
    <t>บีม</t>
  </si>
  <si>
    <t>แจ็ค</t>
  </si>
  <si>
    <t>CHAOCHEK PROEURN</t>
  </si>
  <si>
    <t>โอ</t>
  </si>
  <si>
    <t>เชษฐ์ฐา ประสงค์</t>
  </si>
  <si>
    <t>บังเลาะ</t>
  </si>
  <si>
    <t>ราเชนทร์ วุฒิวงศ์</t>
  </si>
  <si>
    <t>อับดุลเลาะห์ อาแว</t>
  </si>
  <si>
    <t>เมาเล่</t>
  </si>
  <si>
    <t>KEOVILAVONG SUNTISOUK</t>
  </si>
  <si>
    <t>abdullohawae141997@gmail.com</t>
  </si>
  <si>
    <t>chen.wutthiwong4@gmail.com</t>
  </si>
  <si>
    <t>bi8079454@gmail.com</t>
  </si>
  <si>
    <t>นนท์</t>
  </si>
  <si>
    <t>หนูนา</t>
  </si>
  <si>
    <t>lac98839@gmail.com</t>
  </si>
  <si>
    <t>rodpibat1992@gmail.com</t>
  </si>
  <si>
    <t>beempailin27@gmail.com</t>
  </si>
  <si>
    <t>เจมส์</t>
  </si>
  <si>
    <t>นาย ปพนพัทธ์ โรจนดารา</t>
  </si>
  <si>
    <t xml:space="preserve">Mrs.Vat Loar </t>
  </si>
  <si>
    <t>Sokcheat chhoeurm</t>
  </si>
  <si>
    <t xml:space="preserve"> SAW DIT MIKE MIKE </t>
  </si>
  <si>
    <t>Leng Sitra</t>
  </si>
  <si>
    <t>Che ta la</t>
  </si>
  <si>
    <t xml:space="preserve"> Reaksmey Bunthoeurn</t>
  </si>
  <si>
    <t>Kyaw Ye Htut</t>
  </si>
  <si>
    <t>DAVY LAY</t>
  </si>
  <si>
    <t>บอส</t>
  </si>
  <si>
    <t>ไอซ์น้องใหม่</t>
  </si>
  <si>
    <t>yago23my@gmail.com</t>
  </si>
  <si>
    <t>อาทิตย์  พรมเย็น</t>
  </si>
  <si>
    <t>chetthaprgg@gmail.com</t>
  </si>
  <si>
    <t>เอกกวิน นุรักษ์ดีศรี</t>
  </si>
  <si>
    <t>Akekawin05s@gmail.com</t>
  </si>
  <si>
    <t>SIDACHANH PHOMSOUPHA</t>
  </si>
  <si>
    <t>กั๊ก</t>
  </si>
  <si>
    <t>เจมมี่ พลพรรคดี Chemmy phonphakdy</t>
  </si>
  <si>
    <t>Somean Phen</t>
  </si>
  <si>
    <t>ภานุพล ทาลี</t>
  </si>
  <si>
    <t>หนิง</t>
  </si>
  <si>
    <t>ค่าล่วงเวลา (ชั่วโมง)คูณ 3</t>
  </si>
  <si>
    <t>ค่าล่วงเวลา (ชั่วโมง) คูณ 3</t>
  </si>
  <si>
    <t>โอที/ชม. X 3</t>
  </si>
  <si>
    <t>OT (ชั่วโมงวันขัตฤกษ์)</t>
  </si>
  <si>
    <t>OT (วันขัตฤกษ์)</t>
  </si>
  <si>
    <t>panupol123za@gmail.com</t>
  </si>
  <si>
    <t>suthasinee2817@gmail.com</t>
  </si>
  <si>
    <t>นก</t>
  </si>
  <si>
    <t>แนน</t>
  </si>
  <si>
    <t>อัสริ</t>
  </si>
  <si>
    <t>มยุฤดี ภู่ทอง</t>
  </si>
  <si>
    <t>สุขสัตน์ ระยับ</t>
  </si>
  <si>
    <t>รุ่งทวี ศรีงาม</t>
  </si>
  <si>
    <t>Dนนทบุรี</t>
  </si>
  <si>
    <t>mayurudee2528@gmail.com</t>
  </si>
  <si>
    <t>suksan.nick004@gmail.com</t>
  </si>
  <si>
    <t>นิค</t>
  </si>
  <si>
    <t>rungtavee076@gmail.com</t>
  </si>
  <si>
    <t>กีกี้</t>
  </si>
  <si>
    <t>สุธาสินี สาทอง</t>
  </si>
  <si>
    <t>ดวงกมล แก้วอุดร</t>
  </si>
  <si>
    <t>เว่น</t>
  </si>
  <si>
    <t>เฟิร์น</t>
  </si>
  <si>
    <t>มายด์</t>
  </si>
  <si>
    <t>อีท</t>
  </si>
  <si>
    <t>ฟา</t>
  </si>
  <si>
    <t>ฟาอีส  นิเฮง</t>
  </si>
  <si>
    <t>fatihah.yihama@gmail.com</t>
  </si>
  <si>
    <t>ฟาตีฮะ  ยีหะมะ</t>
  </si>
  <si>
    <t>ทิพย์</t>
  </si>
  <si>
    <t>ทิพย์ธิดา ลังบุบผา</t>
  </si>
  <si>
    <t>กิจ</t>
  </si>
  <si>
    <t>น.ส.เพ็ญนภา ใจฉ่ำ</t>
  </si>
  <si>
    <t>pennapa.jaicham45@gmail.com</t>
  </si>
  <si>
    <t>เงินสด</t>
  </si>
  <si>
    <t>โอน</t>
  </si>
  <si>
    <t>นีม</t>
  </si>
  <si>
    <t>ชาติ</t>
  </si>
  <si>
    <t>โจ</t>
  </si>
  <si>
    <t>เอมมี่</t>
  </si>
  <si>
    <t>h52809590@gmail.com</t>
  </si>
  <si>
    <t>duungkamon1234@gmail.com</t>
  </si>
  <si>
    <t>หัวหน้าครัวเย็น</t>
  </si>
  <si>
    <t>เก้า</t>
  </si>
  <si>
    <t>เฟริ์น</t>
  </si>
  <si>
    <t>พันมะหา พรมสุภา</t>
  </si>
  <si>
    <t>มณีวรรณ</t>
  </si>
  <si>
    <t>อริศรา สวัสดิชัย</t>
  </si>
  <si>
    <t>สุชาติ</t>
  </si>
  <si>
    <t>โจอี้บอย มนพักดี</t>
  </si>
  <si>
    <t>เอมฤดี สมรักษ์</t>
  </si>
  <si>
    <t>สหรัฐ มิ่งแม้น</t>
  </si>
  <si>
    <t>น่อพอพะ</t>
  </si>
  <si>
    <t>ศิริพงษ์  พยุงวงษ์</t>
  </si>
  <si>
    <t>ฮีม</t>
  </si>
  <si>
    <t>ปาน</t>
  </si>
  <si>
    <t>มูฮัมหมัด นิโซะ</t>
  </si>
  <si>
    <t>มะ</t>
  </si>
  <si>
    <t>มาหามะชารีฟ นาแว</t>
  </si>
  <si>
    <t>ชารีฟ</t>
  </si>
  <si>
    <t>พตีเมาะ  ลีมาดาอิ</t>
  </si>
  <si>
    <t>กะมี</t>
  </si>
  <si>
    <t>ปาร์ค</t>
  </si>
  <si>
    <t>ฟ้า</t>
  </si>
  <si>
    <t>https://promptpay.io/</t>
  </si>
  <si>
    <t>ชื่อ (รามอินทรา)</t>
  </si>
  <si>
    <t>จำนวน</t>
  </si>
  <si>
    <t>QR</t>
  </si>
  <si>
    <t>ชื่อ (ปากเกร็ด)</t>
  </si>
  <si>
    <t>ชื่อ (ครัวกลาง)</t>
  </si>
  <si>
    <t>ชื่อ (กัลปพฤก)</t>
  </si>
  <si>
    <t>Promtpay</t>
  </si>
  <si>
    <t>1104400039509</t>
  </si>
  <si>
    <t>1421000025386</t>
  </si>
  <si>
    <t>0955349372</t>
  </si>
  <si>
    <t>0801520766</t>
  </si>
  <si>
    <t>เศรษฐิโชค เฮ้าประมงค์</t>
  </si>
  <si>
    <t>0644536103</t>
  </si>
  <si>
    <t>jjt0956@gmail.com</t>
  </si>
  <si>
    <t>เซยา ลิน</t>
  </si>
  <si>
    <t>ยาย่า</t>
  </si>
  <si>
    <t>yya665048@gmail.com</t>
  </si>
  <si>
    <t>xrisraswasdichay031@gmail.com</t>
  </si>
  <si>
    <t>suchat349763@gmail.com</t>
  </si>
  <si>
    <t>emrudee2419@gmail.com</t>
  </si>
  <si>
    <t>Fern090362@gmail.com</t>
  </si>
  <si>
    <t>sretthichok1@gmail.com</t>
  </si>
  <si>
    <t>น.ส นภัส เนตรสว่าง</t>
  </si>
  <si>
    <t>nonatee647@gmail.com</t>
  </si>
  <si>
    <t>1104300936827</t>
  </si>
  <si>
    <t>3330300904381</t>
  </si>
  <si>
    <t>0630689101761</t>
  </si>
  <si>
    <t>0941562241</t>
  </si>
  <si>
    <t>0986281197</t>
  </si>
  <si>
    <t>0642036364</t>
  </si>
  <si>
    <t>0932545571</t>
  </si>
  <si>
    <t>0630789048056</t>
  </si>
  <si>
    <t>0628877352</t>
  </si>
  <si>
    <t>0616370745</t>
  </si>
  <si>
    <t>0627473734</t>
  </si>
  <si>
    <t>0620322145</t>
  </si>
  <si>
    <t>0993787826</t>
  </si>
  <si>
    <t>0987343018</t>
  </si>
  <si>
    <t>muqerdee1981@gmail.com</t>
  </si>
  <si>
    <t>jackke.05032003@gmail.com</t>
  </si>
  <si>
    <t>0621074597</t>
  </si>
  <si>
    <t>kitsna5453@gmail.com</t>
  </si>
  <si>
    <t>cemmiphnphakdi@gmail.com</t>
  </si>
  <si>
    <t>suks7206@gmail.com</t>
  </si>
  <si>
    <t>siripongplyungwong@gmail.com</t>
  </si>
  <si>
    <t>Joeeboyphonphakdee@gmail.com</t>
  </si>
  <si>
    <t>0658394826</t>
  </si>
  <si>
    <t>mahamacharifnawae@gmail.com</t>
  </si>
  <si>
    <t>pateemohleemadae@gmail.com</t>
  </si>
  <si>
    <t>ครัวร้อน</t>
  </si>
  <si>
    <t>รองบริการ</t>
  </si>
  <si>
    <t>ครัวกลาง</t>
  </si>
  <si>
    <t>ส่วนกลางออฟฟิศ</t>
  </si>
  <si>
    <t>ปู</t>
  </si>
  <si>
    <t>ไข่</t>
  </si>
  <si>
    <t>อรุณ</t>
  </si>
  <si>
    <t>ซูน</t>
  </si>
  <si>
    <t>ฟาร่า</t>
  </si>
  <si>
    <t>หนุ่ย</t>
  </si>
  <si>
    <t>ลับ</t>
  </si>
  <si>
    <t>ออย</t>
  </si>
  <si>
    <t>Pou Chanthalath</t>
  </si>
  <si>
    <t>Nan Maaye</t>
  </si>
  <si>
    <t>Loun Xyyade</t>
  </si>
  <si>
    <t>Aung Thu</t>
  </si>
  <si>
    <t>พาราวาฮีมา มะลี</t>
  </si>
  <si>
    <t>Nway Mar</t>
  </si>
  <si>
    <t>Saw Lar</t>
  </si>
  <si>
    <t>พันธกานต์  สืบสุนการ</t>
  </si>
  <si>
    <t>หัวหน้าครัวกลาง</t>
  </si>
  <si>
    <t>นาย</t>
  </si>
  <si>
    <t>ปานทอง อิงพามิด Panthong Vongphanith</t>
  </si>
  <si>
    <t>Thiha Naing</t>
  </si>
  <si>
    <t>สมเกียรติ  ยังเยี่ยม</t>
  </si>
  <si>
    <t>สิงห์</t>
  </si>
  <si>
    <t>วาส</t>
  </si>
  <si>
    <t>วาสนา  สิทประเสริฐ</t>
  </si>
  <si>
    <t>นิไม</t>
  </si>
  <si>
    <t>สุจิตรา  เพียรมานะ</t>
  </si>
  <si>
    <t>ปลายฟ้า  นิรันสุข</t>
  </si>
  <si>
    <t>ไชยสิทธิ์  ลัดตะนะ</t>
  </si>
  <si>
    <t>น้อย</t>
  </si>
  <si>
    <t>อุ๋มอิ๋ม</t>
  </si>
  <si>
    <t>ดอน</t>
  </si>
  <si>
    <t>มาเลย์</t>
  </si>
  <si>
    <t>ชมพู่</t>
  </si>
  <si>
    <t>โซ</t>
  </si>
  <si>
    <t>วราภรณ์  โดต่อเนตร</t>
  </si>
  <si>
    <t>Sein Than</t>
  </si>
  <si>
    <t>ธนากร  เลืองนุกูล</t>
  </si>
  <si>
    <t>Nan Shan ma lay</t>
  </si>
  <si>
    <t>ดาววัน</t>
  </si>
  <si>
    <t>Thet chit Soe</t>
  </si>
  <si>
    <t>Muhammadnisoh2005@gmail.com</t>
  </si>
  <si>
    <t>nicephone878@gmail.com</t>
  </si>
  <si>
    <t>oppo064498@gmail.com</t>
  </si>
  <si>
    <t>plusmobile67p@gmail.com</t>
  </si>
  <si>
    <t>kyawkyawaungthu7@gmail.com</t>
  </si>
  <si>
    <t>parawahidamalee@gmail.com</t>
  </si>
  <si>
    <t>pantakan369@gmail.com</t>
  </si>
  <si>
    <t>maekin2681@gmail.com</t>
  </si>
  <si>
    <t>aumaim0808aumaim@gmail.com</t>
  </si>
  <si>
    <t>xamzsaers@gmail.com</t>
  </si>
  <si>
    <t>Dawwanchom@gmail.com</t>
  </si>
  <si>
    <t>thetchitsoethetchitsoe@gmail.com</t>
  </si>
  <si>
    <t>vatsana1061995@gmail.com</t>
  </si>
  <si>
    <t>Phetvilaisin13@gmail.com</t>
  </si>
  <si>
    <t>saharatmingman990@gmail.com</t>
  </si>
  <si>
    <t>nnay64204@gmail.com</t>
  </si>
  <si>
    <t>paju1595@gmail.com</t>
  </si>
  <si>
    <t>playfaniransukh@gmail.com</t>
  </si>
  <si>
    <t>0949355572</t>
  </si>
  <si>
    <t>muhammatikwaltehmah@gmail.com</t>
  </si>
  <si>
    <t>0954392646</t>
  </si>
  <si>
    <t>0980948135</t>
  </si>
  <si>
    <t>0951298548</t>
  </si>
  <si>
    <t>0641517476</t>
  </si>
  <si>
    <t>1470200083737</t>
  </si>
  <si>
    <t>0825312601</t>
  </si>
  <si>
    <t>0656054856</t>
  </si>
  <si>
    <t>0633767666</t>
  </si>
  <si>
    <t>0942820321</t>
  </si>
  <si>
    <t>0648867946</t>
  </si>
  <si>
    <t xml:space="preserve">Phetvilaisin NETHMANYSONE </t>
  </si>
  <si>
    <t>0824728676</t>
  </si>
  <si>
    <t>กฤษณา สีพรมมา (pitsana siphomma)</t>
  </si>
  <si>
    <t>ชานน ไชยะสาน (Chanon Chaisan) nam xayyasane</t>
  </si>
  <si>
    <t>ใต้หล้า</t>
  </si>
  <si>
    <t>Amkha Phimphaka</t>
  </si>
  <si>
    <t>เบนซ์</t>
  </si>
  <si>
    <t>อัคคเดช คล้ายสุบรรณ</t>
  </si>
  <si>
    <t>พลอย</t>
  </si>
  <si>
    <t>บี</t>
  </si>
  <si>
    <t>ซู</t>
  </si>
  <si>
    <t>พลอยนภา  เจริญรัตน์</t>
  </si>
  <si>
    <t>Nan Su Su Nyein</t>
  </si>
  <si>
    <t>Su Su Win</t>
  </si>
  <si>
    <t>hanafeechedong282546@gmail.com</t>
  </si>
  <si>
    <t>0659598646</t>
  </si>
  <si>
    <t>0826120143</t>
  </si>
  <si>
    <t>amkppkpimphaka@gmail.com</t>
  </si>
  <si>
    <t>aukkadat555@gmail.com</t>
  </si>
  <si>
    <t>ploy3plus@gmail.com</t>
  </si>
  <si>
    <t>0844651499</t>
  </si>
  <si>
    <t>0990826695</t>
  </si>
  <si>
    <t>0825849199</t>
  </si>
  <si>
    <t>ธีรเดช​ แสงวิไร</t>
  </si>
  <si>
    <t>ออก</t>
  </si>
  <si>
    <t>พฤษภาคม 2568</t>
  </si>
  <si>
    <t xml:space="preserve"> ไพลิน</t>
  </si>
  <si>
    <t>ลี</t>
  </si>
  <si>
    <t>SEYLY  RASMEY</t>
  </si>
  <si>
    <t>หัวหน้าครัวร้อน</t>
  </si>
  <si>
    <t>mim648890@gmail.com</t>
  </si>
  <si>
    <t>0652136005</t>
  </si>
  <si>
    <t>lysey052@gmail.com</t>
  </si>
  <si>
    <t>jackphommajun@gmail.com</t>
  </si>
  <si>
    <t>พรมณี พรหมจรรย์</t>
  </si>
  <si>
    <t>khunthai0503@gmail.com</t>
  </si>
  <si>
    <t>saelimxe879@gmail.com</t>
  </si>
  <si>
    <t>บอล</t>
  </si>
  <si>
    <t>0980296269</t>
  </si>
  <si>
    <t>45</t>
  </si>
  <si>
    <t>nachiyasan713@gmail.com</t>
  </si>
  <si>
    <t>0657249296</t>
  </si>
  <si>
    <t>susuwin1900@gmail.com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</si>
</sst>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(* #,##0.00_);_(* \(#,##0.00\);_(* &quot;-&quot;??_);_(@_)"/>
    <numFmt numFmtId="188" formatCode="0.0"/>
  </numFmts>
  <fonts count="39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 New"/>
      <family val="2"/>
    </font>
    <font>
      <sz val="12"/>
      <color theme="1"/>
      <name val="TH Sarabun New"/>
      <family val="2"/>
    </font>
    <font>
      <b/>
      <sz val="12"/>
      <color theme="1"/>
      <name val="TH Sarabun New"/>
      <family val="2"/>
    </font>
    <font>
      <u/>
      <sz val="11"/>
      <color theme="10"/>
      <name val="Tahoma"/>
      <family val="2"/>
      <charset val="222"/>
      <scheme val="minor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u/>
      <sz val="12"/>
      <color theme="10"/>
      <name val="TH SarabunPSK"/>
      <family val="2"/>
    </font>
    <font>
      <sz val="12"/>
      <color rgb="FFFF0000"/>
      <name val="TH SarabunPSK"/>
      <family val="2"/>
    </font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scheme val="minor"/>
    </font>
    <font>
      <b/>
      <sz val="12"/>
      <color theme="1"/>
      <name val="TH SarabunPSK"/>
      <family val="2"/>
      <charset val="222"/>
    </font>
    <font>
      <b/>
      <sz val="11"/>
      <color theme="1"/>
      <name val="TH Sarabun New"/>
      <family val="2"/>
    </font>
    <font>
      <b/>
      <sz val="12"/>
      <color rgb="FFFF0000"/>
      <name val="TH SarabunPSK"/>
      <family val="2"/>
    </font>
    <font>
      <u/>
      <sz val="11"/>
      <color theme="10"/>
      <name val="TH SarabunPSK"/>
      <family val="2"/>
    </font>
    <font>
      <sz val="12"/>
      <name val="TH Sarabun New"/>
      <family val="2"/>
    </font>
    <font>
      <b/>
      <sz val="20"/>
      <color theme="1"/>
      <name val="TH Sarabun New"/>
      <family val="2"/>
    </font>
    <font>
      <sz val="14"/>
      <color theme="1"/>
      <name val="TH Sarabun New"/>
      <family val="2"/>
    </font>
    <font>
      <vertAlign val="subscript"/>
      <sz val="12"/>
      <color theme="1"/>
      <name val="TH Sarabun New"/>
      <family val="2"/>
    </font>
    <font>
      <b/>
      <sz val="16"/>
      <color theme="1"/>
      <name val="TH SarabunPSK"/>
      <family val="2"/>
      <charset val="222"/>
    </font>
    <font>
      <sz val="14"/>
      <color theme="1"/>
      <name val="Angsana New"/>
      <family val="1"/>
    </font>
    <font>
      <sz val="14"/>
      <name val="Angsana New"/>
      <family val="1"/>
    </font>
    <font>
      <sz val="14"/>
      <color rgb="FFFF0000"/>
      <name val="Angsana New"/>
      <family val="1"/>
    </font>
    <font>
      <sz val="12"/>
      <color rgb="FFFF0000"/>
      <name val="TH Sarabun New"/>
      <family val="2"/>
    </font>
    <font>
      <sz val="12"/>
      <name val="TH SarabunPSK"/>
      <family val="2"/>
    </font>
    <font>
      <sz val="16"/>
      <color theme="1"/>
      <name val="TH Sarabun New"/>
      <family val="2"/>
    </font>
    <font>
      <b/>
      <sz val="18"/>
      <color rgb="FFFF0000"/>
      <name val="TH SarabunPSK"/>
      <family val="2"/>
      <charset val="222"/>
    </font>
    <font>
      <u/>
      <sz val="14"/>
      <color theme="10"/>
      <name val="TH SarabunPSK"/>
      <family val="2"/>
    </font>
    <font>
      <u/>
      <sz val="18"/>
      <color theme="10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8"/>
      <color theme="1"/>
      <name val="TH Sarabun New"/>
      <family val="2"/>
    </font>
    <font>
      <b/>
      <sz val="14"/>
      <color theme="1"/>
      <name val="Angsana New"/>
      <family val="1"/>
    </font>
    <font>
      <sz val="14"/>
      <color rgb="FF000000"/>
      <name val="Angsana New"/>
      <family val="1"/>
    </font>
    <font>
      <sz val="14"/>
      <color rgb="FFC00000"/>
      <name val="Angsana New"/>
      <family val="1"/>
    </font>
    <font>
      <sz val="11"/>
      <color rgb="FF000000"/>
      <name val="Angsana New"/>
      <family val="1"/>
    </font>
    <font>
      <sz val="12"/>
      <color rgb="FFFFFF00"/>
      <name val="TH SarabunPSK"/>
      <family val="2"/>
    </font>
    <font>
      <sz val="10"/>
      <color rgb="FF434343"/>
      <name val="Roboto"/>
    </font>
    <font>
      <b/>
      <sz val="12"/>
      <color rgb="FFFF0000"/>
      <name val="TH SarabunPSK"/>
      <family val="2"/>
      <charset val="222"/>
    </font>
    <font>
      <sz val="8"/>
      <name val="Tahoma"/>
      <family val="2"/>
      <charset val="22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187" fontId="9" fillId="0" borderId="0" applyFont="0" applyFill="0" applyBorder="0" applyAlignment="0" applyProtection="0"/>
  </cellStyleXfs>
  <cellXfs count="38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3" fontId="5" fillId="0" borderId="0" xfId="0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3" fontId="5" fillId="2" borderId="3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43" fontId="5" fillId="3" borderId="3" xfId="0" applyNumberFormat="1" applyFont="1" applyFill="1" applyBorder="1" applyAlignment="1">
      <alignment horizontal="center" vertical="center"/>
    </xf>
    <xf numFmtId="4" fontId="5" fillId="2" borderId="3" xfId="0" applyNumberFormat="1" applyFont="1" applyFill="1" applyBorder="1" applyAlignment="1">
      <alignment horizontal="center" vertical="center"/>
    </xf>
    <xf numFmtId="4" fontId="5" fillId="0" borderId="3" xfId="0" applyNumberFormat="1" applyFont="1" applyBorder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0" borderId="15" xfId="0" applyNumberFormat="1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" fontId="5" fillId="0" borderId="1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6" fillId="3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4" fontId="5" fillId="2" borderId="2" xfId="0" applyNumberFormat="1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/>
    </xf>
    <xf numFmtId="4" fontId="5" fillId="2" borderId="4" xfId="0" applyNumberFormat="1" applyFont="1" applyFill="1" applyBorder="1" applyAlignment="1">
      <alignment horizontal="center" vertical="center"/>
    </xf>
    <xf numFmtId="4" fontId="5" fillId="0" borderId="20" xfId="0" applyNumberFormat="1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7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4" fontId="4" fillId="0" borderId="3" xfId="1" applyNumberFormat="1" applyBorder="1" applyAlignment="1">
      <alignment horizontal="center" vertical="center"/>
    </xf>
    <xf numFmtId="4" fontId="8" fillId="0" borderId="3" xfId="0" applyNumberFormat="1" applyFont="1" applyBorder="1" applyAlignment="1">
      <alignment horizontal="center" vertical="center"/>
    </xf>
    <xf numFmtId="187" fontId="5" fillId="0" borderId="22" xfId="2" applyFont="1" applyBorder="1" applyAlignment="1">
      <alignment horizontal="center" vertical="center"/>
    </xf>
    <xf numFmtId="4" fontId="8" fillId="0" borderId="20" xfId="0" applyNumberFormat="1" applyFont="1" applyBorder="1" applyAlignment="1">
      <alignment horizontal="center" vertical="center"/>
    </xf>
    <xf numFmtId="4" fontId="8" fillId="0" borderId="21" xfId="0" applyNumberFormat="1" applyFont="1" applyBorder="1" applyAlignment="1">
      <alignment horizontal="center" vertical="center"/>
    </xf>
    <xf numFmtId="4" fontId="8" fillId="0" borderId="16" xfId="0" applyNumberFormat="1" applyFont="1" applyBorder="1" applyAlignment="1">
      <alignment horizontal="center" vertical="center"/>
    </xf>
    <xf numFmtId="4" fontId="4" fillId="0" borderId="3" xfId="1" applyNumberFormat="1" applyFill="1" applyBorder="1" applyAlignment="1">
      <alignment horizontal="center" vertical="center"/>
    </xf>
    <xf numFmtId="4" fontId="7" fillId="0" borderId="3" xfId="1" applyNumberFormat="1" applyFont="1" applyFill="1" applyBorder="1" applyAlignment="1">
      <alignment horizontal="center" vertical="center"/>
    </xf>
    <xf numFmtId="43" fontId="5" fillId="6" borderId="0" xfId="0" applyNumberFormat="1" applyFont="1" applyFill="1" applyAlignment="1">
      <alignment horizontal="center" vertical="center"/>
    </xf>
    <xf numFmtId="4" fontId="5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5" fillId="3" borderId="0" xfId="0" applyNumberFormat="1" applyFont="1" applyFill="1" applyAlignment="1">
      <alignment horizontal="center" vertical="center"/>
    </xf>
    <xf numFmtId="4" fontId="13" fillId="0" borderId="3" xfId="0" applyNumberFormat="1" applyFont="1" applyBorder="1" applyAlignment="1">
      <alignment horizontal="center" vertical="center"/>
    </xf>
    <xf numFmtId="4" fontId="13" fillId="0" borderId="1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4" fontId="14" fillId="0" borderId="3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13" xfId="0" applyFont="1" applyBorder="1"/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43" fontId="2" fillId="0" borderId="0" xfId="0" applyNumberFormat="1" applyFont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39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43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4" fontId="2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horizontal="center"/>
    </xf>
    <xf numFmtId="39" fontId="2" fillId="0" borderId="0" xfId="0" applyNumberFormat="1" applyFont="1" applyAlignment="1">
      <alignment horizontal="righ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right"/>
    </xf>
    <xf numFmtId="0" fontId="18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4" fontId="6" fillId="5" borderId="3" xfId="0" applyNumberFormat="1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" fontId="5" fillId="0" borderId="1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13" fillId="3" borderId="3" xfId="0" applyNumberFormat="1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5" fillId="0" borderId="17" xfId="2" applyNumberFormat="1" applyFont="1" applyBorder="1" applyAlignment="1">
      <alignment horizontal="center" vertical="center"/>
    </xf>
    <xf numFmtId="187" fontId="5" fillId="0" borderId="17" xfId="2" applyFont="1" applyBorder="1" applyAlignment="1">
      <alignment horizontal="center" vertical="center"/>
    </xf>
    <xf numFmtId="43" fontId="5" fillId="2" borderId="6" xfId="0" applyNumberFormat="1" applyFont="1" applyFill="1" applyBorder="1" applyAlignment="1">
      <alignment horizontal="center" vertical="center"/>
    </xf>
    <xf numFmtId="4" fontId="5" fillId="6" borderId="21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11" fillId="5" borderId="3" xfId="0" applyNumberFormat="1" applyFont="1" applyFill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/>
    </xf>
    <xf numFmtId="2" fontId="4" fillId="0" borderId="3" xfId="1" applyNumberForma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7" fillId="0" borderId="3" xfId="1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2" fontId="7" fillId="0" borderId="3" xfId="1" applyNumberFormat="1" applyFont="1" applyFill="1" applyBorder="1" applyAlignment="1">
      <alignment horizontal="center" vertical="center"/>
    </xf>
    <xf numFmtId="2" fontId="4" fillId="0" borderId="3" xfId="1" applyNumberFormat="1" applyFill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" fontId="5" fillId="7" borderId="3" xfId="0" applyNumberFormat="1" applyFont="1" applyFill="1" applyBorder="1" applyAlignment="1">
      <alignment horizontal="center" vertical="center"/>
    </xf>
    <xf numFmtId="4" fontId="5" fillId="8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2" fontId="5" fillId="8" borderId="0" xfId="0" applyNumberFormat="1" applyFont="1" applyFill="1" applyAlignment="1">
      <alignment horizontal="center" vertical="center"/>
    </xf>
    <xf numFmtId="43" fontId="5" fillId="8" borderId="0" xfId="0" applyNumberFormat="1" applyFont="1" applyFill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4" fontId="24" fillId="2" borderId="3" xfId="0" applyNumberFormat="1" applyFont="1" applyFill="1" applyBorder="1" applyAlignment="1">
      <alignment horizontal="center" vertical="center"/>
    </xf>
    <xf numFmtId="187" fontId="24" fillId="0" borderId="17" xfId="2" applyFont="1" applyFill="1" applyBorder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43" fontId="5" fillId="3" borderId="0" xfId="0" applyNumberFormat="1" applyFont="1" applyFill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2" fontId="24" fillId="0" borderId="3" xfId="0" applyNumberFormat="1" applyFont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" fontId="25" fillId="0" borderId="0" xfId="0" applyNumberFormat="1" applyFont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2" fontId="5" fillId="9" borderId="3" xfId="0" applyNumberFormat="1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2" fontId="27" fillId="0" borderId="3" xfId="1" applyNumberFormat="1" applyFont="1" applyBorder="1" applyAlignment="1">
      <alignment horizontal="center" vertical="center"/>
    </xf>
    <xf numFmtId="187" fontId="5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5" fillId="9" borderId="1" xfId="0" applyNumberFormat="1" applyFont="1" applyFill="1" applyBorder="1" applyAlignment="1">
      <alignment horizontal="center" vertical="center"/>
    </xf>
    <xf numFmtId="2" fontId="5" fillId="9" borderId="4" xfId="0" applyNumberFormat="1" applyFont="1" applyFill="1" applyBorder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2" fontId="8" fillId="9" borderId="3" xfId="0" applyNumberFormat="1" applyFont="1" applyFill="1" applyBorder="1" applyAlignment="1">
      <alignment horizontal="center" vertical="center"/>
    </xf>
    <xf numFmtId="2" fontId="24" fillId="2" borderId="3" xfId="0" applyNumberFormat="1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5" fillId="0" borderId="0" xfId="0" applyFont="1"/>
    <xf numFmtId="0" fontId="28" fillId="0" borderId="0" xfId="1" applyFont="1"/>
    <xf numFmtId="0" fontId="25" fillId="0" borderId="0" xfId="0" applyFont="1" applyAlignment="1">
      <alignment horizontal="center"/>
    </xf>
    <xf numFmtId="0" fontId="29" fillId="10" borderId="3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vertical="center"/>
    </xf>
    <xf numFmtId="0" fontId="30" fillId="0" borderId="3" xfId="0" applyFont="1" applyBorder="1" applyAlignment="1">
      <alignment horizontal="center" vertical="center"/>
    </xf>
    <xf numFmtId="4" fontId="25" fillId="0" borderId="3" xfId="0" applyNumberFormat="1" applyFont="1" applyBorder="1" applyAlignment="1">
      <alignment horizontal="center" vertical="center"/>
    </xf>
    <xf numFmtId="0" fontId="25" fillId="0" borderId="3" xfId="0" applyFont="1" applyBorder="1" applyAlignment="1">
      <alignment horizontal="center"/>
    </xf>
    <xf numFmtId="0" fontId="25" fillId="0" borderId="3" xfId="0" applyFont="1" applyBorder="1"/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30" fillId="0" borderId="0" xfId="0" applyFont="1"/>
    <xf numFmtId="0" fontId="3" fillId="2" borderId="3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3" xfId="0" quotePrefix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2" fillId="0" borderId="15" xfId="0" quotePrefix="1" applyNumberFormat="1" applyFont="1" applyBorder="1" applyAlignment="1">
      <alignment horizontal="center" vertical="center"/>
    </xf>
    <xf numFmtId="2" fontId="25" fillId="0" borderId="3" xfId="0" applyNumberFormat="1" applyFont="1" applyBorder="1" applyAlignment="1">
      <alignment horizontal="center" vertical="center"/>
    </xf>
    <xf numFmtId="2" fontId="25" fillId="0" borderId="3" xfId="0" applyNumberFormat="1" applyFont="1" applyBorder="1" applyAlignment="1">
      <alignment horizontal="center"/>
    </xf>
    <xf numFmtId="2" fontId="5" fillId="2" borderId="15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11" fillId="5" borderId="15" xfId="0" applyNumberFormat="1" applyFont="1" applyFill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5" fillId="4" borderId="15" xfId="0" applyNumberFormat="1" applyFont="1" applyFill="1" applyBorder="1" applyAlignment="1">
      <alignment horizontal="center" vertical="center"/>
    </xf>
    <xf numFmtId="2" fontId="4" fillId="0" borderId="15" xfId="1" applyNumberForma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6" borderId="0" xfId="0" applyNumberFormat="1" applyFill="1" applyAlignment="1">
      <alignment horizontal="center" vertical="center"/>
    </xf>
    <xf numFmtId="43" fontId="0" fillId="6" borderId="0" xfId="0" applyNumberFormat="1" applyFill="1" applyAlignment="1">
      <alignment horizontal="center" vertical="center"/>
    </xf>
    <xf numFmtId="43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0" fillId="7" borderId="3" xfId="0" applyNumberFormat="1" applyFill="1" applyBorder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2" fontId="4" fillId="9" borderId="3" xfId="1" applyNumberFormat="1" applyFill="1" applyBorder="1" applyAlignment="1">
      <alignment horizontal="center" vertical="center"/>
    </xf>
    <xf numFmtId="2" fontId="2" fillId="9" borderId="3" xfId="0" applyNumberFormat="1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20" fillId="11" borderId="3" xfId="0" applyFont="1" applyFill="1" applyBorder="1" applyAlignment="1">
      <alignment horizontal="center" vertical="center"/>
    </xf>
    <xf numFmtId="2" fontId="5" fillId="11" borderId="3" xfId="0" applyNumberFormat="1" applyFont="1" applyFill="1" applyBorder="1" applyAlignment="1">
      <alignment horizontal="center" vertical="center"/>
    </xf>
    <xf numFmtId="2" fontId="5" fillId="11" borderId="1" xfId="0" applyNumberFormat="1" applyFont="1" applyFill="1" applyBorder="1" applyAlignment="1">
      <alignment horizontal="center" vertical="center"/>
    </xf>
    <xf numFmtId="2" fontId="5" fillId="11" borderId="4" xfId="0" applyNumberFormat="1" applyFont="1" applyFill="1" applyBorder="1" applyAlignment="1">
      <alignment horizontal="center" vertical="center"/>
    </xf>
    <xf numFmtId="2" fontId="11" fillId="11" borderId="3" xfId="0" applyNumberFormat="1" applyFont="1" applyFill="1" applyBorder="1" applyAlignment="1">
      <alignment horizontal="center" vertical="center"/>
    </xf>
    <xf numFmtId="2" fontId="8" fillId="11" borderId="3" xfId="0" applyNumberFormat="1" applyFont="1" applyFill="1" applyBorder="1" applyAlignment="1">
      <alignment horizontal="center" vertical="center"/>
    </xf>
    <xf numFmtId="2" fontId="4" fillId="11" borderId="3" xfId="1" applyNumberFormat="1" applyFill="1" applyBorder="1" applyAlignment="1">
      <alignment horizontal="center" vertical="center"/>
    </xf>
    <xf numFmtId="2" fontId="2" fillId="11" borderId="3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9" fontId="2" fillId="11" borderId="3" xfId="0" applyNumberFormat="1" applyFont="1" applyFill="1" applyBorder="1" applyAlignment="1">
      <alignment horizontal="center" vertical="center"/>
    </xf>
    <xf numFmtId="0" fontId="32" fillId="11" borderId="3" xfId="0" applyFont="1" applyFill="1" applyBorder="1" applyAlignment="1">
      <alignment horizontal="center" vertical="center"/>
    </xf>
    <xf numFmtId="4" fontId="5" fillId="11" borderId="3" xfId="0" applyNumberFormat="1" applyFont="1" applyFill="1" applyBorder="1" applyAlignment="1">
      <alignment horizontal="center" vertical="center"/>
    </xf>
    <xf numFmtId="4" fontId="5" fillId="11" borderId="1" xfId="0" applyNumberFormat="1" applyFont="1" applyFill="1" applyBorder="1" applyAlignment="1">
      <alignment horizontal="center" vertical="center"/>
    </xf>
    <xf numFmtId="4" fontId="5" fillId="11" borderId="4" xfId="0" applyNumberFormat="1" applyFont="1" applyFill="1" applyBorder="1" applyAlignment="1">
      <alignment horizontal="center" vertical="center"/>
    </xf>
    <xf numFmtId="4" fontId="5" fillId="11" borderId="17" xfId="0" applyNumberFormat="1" applyFont="1" applyFill="1" applyBorder="1" applyAlignment="1">
      <alignment horizontal="center" vertical="center"/>
    </xf>
    <xf numFmtId="4" fontId="6" fillId="11" borderId="3" xfId="0" applyNumberFormat="1" applyFont="1" applyFill="1" applyBorder="1" applyAlignment="1">
      <alignment horizontal="center" vertical="center"/>
    </xf>
    <xf numFmtId="4" fontId="8" fillId="11" borderId="3" xfId="0" applyNumberFormat="1" applyFont="1" applyFill="1" applyBorder="1" applyAlignment="1">
      <alignment horizontal="center" vertical="center"/>
    </xf>
    <xf numFmtId="4" fontId="13" fillId="11" borderId="3" xfId="0" applyNumberFormat="1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/>
    </xf>
    <xf numFmtId="2" fontId="5" fillId="11" borderId="17" xfId="2" applyNumberFormat="1" applyFont="1" applyFill="1" applyBorder="1" applyAlignment="1">
      <alignment horizontal="center" vertical="center"/>
    </xf>
    <xf numFmtId="4" fontId="14" fillId="11" borderId="3" xfId="1" applyNumberFormat="1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187" fontId="5" fillId="0" borderId="10" xfId="2" applyFont="1" applyBorder="1" applyAlignment="1">
      <alignment horizontal="center" vertical="center"/>
    </xf>
    <xf numFmtId="4" fontId="8" fillId="0" borderId="15" xfId="0" applyNumberFormat="1" applyFont="1" applyBorder="1" applyAlignment="1">
      <alignment horizontal="center" vertical="center"/>
    </xf>
    <xf numFmtId="4" fontId="13" fillId="0" borderId="15" xfId="0" applyNumberFormat="1" applyFont="1" applyBorder="1" applyAlignment="1">
      <alignment horizontal="center" vertical="center"/>
    </xf>
    <xf numFmtId="4" fontId="5" fillId="4" borderId="15" xfId="0" applyNumberFormat="1" applyFont="1" applyFill="1" applyBorder="1" applyAlignment="1">
      <alignment horizontal="center" vertical="center"/>
    </xf>
    <xf numFmtId="4" fontId="5" fillId="0" borderId="10" xfId="0" applyNumberFormat="1" applyFont="1" applyBorder="1" applyAlignment="1">
      <alignment horizontal="center" vertical="center"/>
    </xf>
    <xf numFmtId="4" fontId="4" fillId="0" borderId="15" xfId="1" applyNumberForma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4" fontId="6" fillId="0" borderId="15" xfId="0" applyNumberFormat="1" applyFont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20" fillId="9" borderId="15" xfId="0" applyFont="1" applyFill="1" applyBorder="1" applyAlignment="1">
      <alignment horizontal="center" vertical="center"/>
    </xf>
    <xf numFmtId="2" fontId="5" fillId="9" borderId="15" xfId="0" applyNumberFormat="1" applyFont="1" applyFill="1" applyBorder="1" applyAlignment="1">
      <alignment horizontal="center" vertical="center"/>
    </xf>
    <xf numFmtId="2" fontId="5" fillId="9" borderId="2" xfId="0" applyNumberFormat="1" applyFont="1" applyFill="1" applyBorder="1" applyAlignment="1">
      <alignment horizontal="center" vertical="center"/>
    </xf>
    <xf numFmtId="2" fontId="5" fillId="9" borderId="5" xfId="0" applyNumberFormat="1" applyFont="1" applyFill="1" applyBorder="1" applyAlignment="1">
      <alignment horizontal="center" vertical="center"/>
    </xf>
    <xf numFmtId="2" fontId="11" fillId="9" borderId="15" xfId="0" applyNumberFormat="1" applyFont="1" applyFill="1" applyBorder="1" applyAlignment="1">
      <alignment horizontal="center" vertical="center"/>
    </xf>
    <xf numFmtId="2" fontId="8" fillId="9" borderId="15" xfId="0" applyNumberFormat="1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3" fillId="9" borderId="15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49" fontId="2" fillId="9" borderId="15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0" fontId="21" fillId="11" borderId="15" xfId="0" applyFont="1" applyFill="1" applyBorder="1" applyAlignment="1">
      <alignment horizontal="center" vertical="center"/>
    </xf>
    <xf numFmtId="0" fontId="22" fillId="11" borderId="15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 vertical="center"/>
    </xf>
    <xf numFmtId="2" fontId="5" fillId="11" borderId="15" xfId="0" applyNumberFormat="1" applyFont="1" applyFill="1" applyBorder="1" applyAlignment="1">
      <alignment horizontal="center" vertical="center"/>
    </xf>
    <xf numFmtId="2" fontId="5" fillId="11" borderId="2" xfId="0" applyNumberFormat="1" applyFont="1" applyFill="1" applyBorder="1" applyAlignment="1">
      <alignment horizontal="center" vertical="center"/>
    </xf>
    <xf numFmtId="2" fontId="5" fillId="11" borderId="5" xfId="0" applyNumberFormat="1" applyFont="1" applyFill="1" applyBorder="1" applyAlignment="1">
      <alignment horizontal="center" vertical="center"/>
    </xf>
    <xf numFmtId="2" fontId="11" fillId="11" borderId="15" xfId="0" applyNumberFormat="1" applyFont="1" applyFill="1" applyBorder="1" applyAlignment="1">
      <alignment horizontal="center" vertical="center"/>
    </xf>
    <xf numFmtId="2" fontId="8" fillId="11" borderId="15" xfId="0" applyNumberFormat="1" applyFont="1" applyFill="1" applyBorder="1" applyAlignment="1">
      <alignment horizontal="center" vertical="center"/>
    </xf>
    <xf numFmtId="2" fontId="4" fillId="11" borderId="15" xfId="1" applyNumberFormat="1" applyFill="1" applyBorder="1" applyAlignment="1">
      <alignment horizontal="center" vertical="center"/>
    </xf>
    <xf numFmtId="2" fontId="2" fillId="11" borderId="15" xfId="0" applyNumberFormat="1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3" fillId="11" borderId="15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49" fontId="2" fillId="11" borderId="15" xfId="0" quotePrefix="1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1" fillId="9" borderId="15" xfId="0" applyFont="1" applyFill="1" applyBorder="1" applyAlignment="1">
      <alignment horizontal="center" vertical="center"/>
    </xf>
    <xf numFmtId="0" fontId="22" fillId="9" borderId="1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12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3" xfId="2" applyNumberFormat="1" applyFont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 vertical="center"/>
    </xf>
    <xf numFmtId="1" fontId="2" fillId="9" borderId="3" xfId="0" applyNumberFormat="1" applyFont="1" applyFill="1" applyBorder="1" applyAlignment="1">
      <alignment horizontal="center" vertical="center"/>
    </xf>
    <xf numFmtId="1" fontId="2" fillId="11" borderId="3" xfId="0" applyNumberFormat="1" applyFont="1" applyFill="1" applyBorder="1" applyAlignment="1">
      <alignment horizontal="center" vertical="center"/>
    </xf>
    <xf numFmtId="1" fontId="2" fillId="11" borderId="15" xfId="0" applyNumberFormat="1" applyFont="1" applyFill="1" applyBorder="1" applyAlignment="1">
      <alignment horizontal="center" vertical="center"/>
    </xf>
    <xf numFmtId="1" fontId="2" fillId="9" borderId="15" xfId="0" applyNumberFormat="1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center" vertical="center"/>
    </xf>
    <xf numFmtId="188" fontId="23" fillId="0" borderId="3" xfId="0" applyNumberFormat="1" applyFont="1" applyBorder="1" applyAlignment="1">
      <alignment horizontal="center" vertical="center"/>
    </xf>
    <xf numFmtId="2" fontId="24" fillId="12" borderId="3" xfId="0" applyNumberFormat="1" applyFont="1" applyFill="1" applyBorder="1" applyAlignment="1">
      <alignment horizontal="center" vertical="center"/>
    </xf>
    <xf numFmtId="4" fontId="5" fillId="12" borderId="4" xfId="0" applyNumberFormat="1" applyFont="1" applyFill="1" applyBorder="1" applyAlignment="1">
      <alignment horizontal="center" vertical="center"/>
    </xf>
    <xf numFmtId="4" fontId="5" fillId="12" borderId="3" xfId="0" applyNumberFormat="1" applyFont="1" applyFill="1" applyBorder="1" applyAlignment="1">
      <alignment horizontal="center" vertical="center"/>
    </xf>
    <xf numFmtId="2" fontId="5" fillId="12" borderId="15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87" fontId="5" fillId="0" borderId="0" xfId="2" applyFont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4" fontId="5" fillId="4" borderId="0" xfId="0" applyNumberFormat="1" applyFont="1" applyFill="1" applyAlignment="1">
      <alignment horizontal="center" vertical="center"/>
    </xf>
    <xf numFmtId="4" fontId="4" fillId="0" borderId="0" xfId="1" applyNumberFormat="1" applyBorder="1" applyAlignment="1">
      <alignment horizontal="center" vertical="center"/>
    </xf>
    <xf numFmtId="4" fontId="5" fillId="11" borderId="15" xfId="0" applyNumberFormat="1" applyFont="1" applyFill="1" applyBorder="1" applyAlignment="1">
      <alignment horizontal="center" vertical="center"/>
    </xf>
    <xf numFmtId="4" fontId="5" fillId="11" borderId="2" xfId="0" applyNumberFormat="1" applyFont="1" applyFill="1" applyBorder="1" applyAlignment="1">
      <alignment horizontal="center" vertical="center"/>
    </xf>
    <xf numFmtId="4" fontId="5" fillId="11" borderId="5" xfId="0" applyNumberFormat="1" applyFont="1" applyFill="1" applyBorder="1" applyAlignment="1">
      <alignment horizontal="center" vertical="center"/>
    </xf>
    <xf numFmtId="2" fontId="5" fillId="11" borderId="10" xfId="2" applyNumberFormat="1" applyFont="1" applyFill="1" applyBorder="1" applyAlignment="1">
      <alignment horizontal="center" vertical="center"/>
    </xf>
    <xf numFmtId="4" fontId="6" fillId="11" borderId="15" xfId="0" applyNumberFormat="1" applyFont="1" applyFill="1" applyBorder="1" applyAlignment="1">
      <alignment horizontal="center" vertical="center"/>
    </xf>
    <xf numFmtId="4" fontId="8" fillId="11" borderId="15" xfId="0" applyNumberFormat="1" applyFont="1" applyFill="1" applyBorder="1" applyAlignment="1">
      <alignment horizontal="center" vertical="center"/>
    </xf>
    <xf numFmtId="4" fontId="13" fillId="11" borderId="15" xfId="0" applyNumberFormat="1" applyFont="1" applyFill="1" applyBorder="1" applyAlignment="1">
      <alignment horizontal="center" vertical="center"/>
    </xf>
    <xf numFmtId="4" fontId="5" fillId="11" borderId="10" xfId="0" applyNumberFormat="1" applyFont="1" applyFill="1" applyBorder="1" applyAlignment="1">
      <alignment horizontal="center" vertical="center"/>
    </xf>
    <xf numFmtId="4" fontId="4" fillId="11" borderId="15" xfId="1" applyNumberForma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4" fontId="5" fillId="9" borderId="15" xfId="0" applyNumberFormat="1" applyFont="1" applyFill="1" applyBorder="1" applyAlignment="1">
      <alignment horizontal="center" vertical="center"/>
    </xf>
    <xf numFmtId="0" fontId="28" fillId="0" borderId="0" xfId="1" applyFont="1" applyAlignment="1">
      <alignment horizontal="left"/>
    </xf>
    <xf numFmtId="0" fontId="30" fillId="0" borderId="3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left"/>
    </xf>
    <xf numFmtId="49" fontId="36" fillId="0" borderId="0" xfId="0" applyNumberFormat="1" applyFont="1"/>
    <xf numFmtId="0" fontId="4" fillId="0" borderId="0" xfId="1"/>
    <xf numFmtId="0" fontId="36" fillId="0" borderId="0" xfId="0" quotePrefix="1" applyFont="1"/>
    <xf numFmtId="0" fontId="30" fillId="4" borderId="3" xfId="0" applyFont="1" applyFill="1" applyBorder="1" applyAlignment="1">
      <alignment vertical="center"/>
    </xf>
    <xf numFmtId="0" fontId="34" fillId="0" borderId="3" xfId="0" applyFont="1" applyBorder="1" applyAlignment="1">
      <alignment horizontal="center" vertical="center"/>
    </xf>
    <xf numFmtId="4" fontId="35" fillId="0" borderId="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49" fontId="2" fillId="9" borderId="3" xfId="0" quotePrefix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4" fillId="0" borderId="0" xfId="1" applyAlignment="1">
      <alignment horizontal="center"/>
    </xf>
    <xf numFmtId="2" fontId="37" fillId="5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/>
    </xf>
    <xf numFmtId="4" fontId="5" fillId="0" borderId="17" xfId="0" applyNumberFormat="1" applyFont="1" applyBorder="1" applyAlignment="1">
      <alignment horizontal="center"/>
    </xf>
    <xf numFmtId="2" fontId="4" fillId="0" borderId="0" xfId="1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87" fontId="5" fillId="11" borderId="22" xfId="2" applyFont="1" applyFill="1" applyBorder="1" applyAlignment="1">
      <alignment horizontal="center"/>
    </xf>
    <xf numFmtId="2" fontId="5" fillId="0" borderId="22" xfId="2" applyNumberFormat="1" applyFont="1" applyFill="1" applyBorder="1" applyAlignment="1">
      <alignment horizontal="center"/>
    </xf>
    <xf numFmtId="187" fontId="5" fillId="0" borderId="22" xfId="2" applyFont="1" applyFill="1" applyBorder="1" applyAlignment="1">
      <alignment horizontal="center"/>
    </xf>
    <xf numFmtId="187" fontId="5" fillId="0" borderId="27" xfId="2" applyFont="1" applyFill="1" applyBorder="1" applyAlignment="1">
      <alignment horizontal="center"/>
    </xf>
    <xf numFmtId="187" fontId="5" fillId="9" borderId="27" xfId="2" applyFont="1" applyFill="1" applyBorder="1" applyAlignment="1">
      <alignment horizontal="center"/>
    </xf>
    <xf numFmtId="187" fontId="5" fillId="0" borderId="0" xfId="2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 vertical="center"/>
    </xf>
    <xf numFmtId="188" fontId="2" fillId="0" borderId="3" xfId="0" applyNumberFormat="1" applyFont="1" applyBorder="1" applyAlignment="1">
      <alignment horizontal="center" vertical="center"/>
    </xf>
    <xf numFmtId="4" fontId="8" fillId="2" borderId="3" xfId="0" applyNumberFormat="1" applyFont="1" applyFill="1" applyBorder="1" applyAlignment="1">
      <alignment horizontal="center" vertical="center"/>
    </xf>
    <xf numFmtId="2" fontId="37" fillId="0" borderId="0" xfId="0" applyNumberFormat="1" applyFont="1" applyAlignment="1">
      <alignment horizontal="center" vertical="center"/>
    </xf>
    <xf numFmtId="2" fontId="37" fillId="0" borderId="3" xfId="0" applyNumberFormat="1" applyFont="1" applyBorder="1" applyAlignment="1">
      <alignment horizontal="center" vertical="center"/>
    </xf>
    <xf numFmtId="4" fontId="37" fillId="0" borderId="17" xfId="0" applyNumberFormat="1" applyFont="1" applyBorder="1" applyAlignment="1">
      <alignment horizontal="center" vertical="center"/>
    </xf>
    <xf numFmtId="4" fontId="37" fillId="0" borderId="3" xfId="0" applyNumberFormat="1" applyFont="1" applyBorder="1" applyAlignment="1">
      <alignment horizontal="center" vertical="center"/>
    </xf>
    <xf numFmtId="2" fontId="37" fillId="9" borderId="3" xfId="0" applyNumberFormat="1" applyFont="1" applyFill="1" applyBorder="1" applyAlignment="1">
      <alignment horizontal="center" vertical="center"/>
    </xf>
    <xf numFmtId="2" fontId="37" fillId="11" borderId="3" xfId="0" applyNumberFormat="1" applyFont="1" applyFill="1" applyBorder="1" applyAlignment="1">
      <alignment horizontal="center" vertical="center"/>
    </xf>
    <xf numFmtId="2" fontId="37" fillId="0" borderId="15" xfId="0" applyNumberFormat="1" applyFont="1" applyBorder="1" applyAlignment="1">
      <alignment horizontal="center" vertical="center"/>
    </xf>
    <xf numFmtId="2" fontId="37" fillId="11" borderId="15" xfId="0" applyNumberFormat="1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0" fontId="3" fillId="0" borderId="18" xfId="0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135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 New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TH SarabunPSK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H Sarabun New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D1D1"/>
      <color rgb="FFDAE2F2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0/07/relationships/rdRichValueWebImage" Target="richData/rdRichValueWebImag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dRichValueWebImage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promptpay.io/0642036364/13546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promptpay.io/1421000025386/9675" TargetMode="External"/><Relationship Id="rId63" Type="http://schemas.openxmlformats.org/officeDocument/2006/relationships/hyperlink" Target="https://promptpay.io/0980296269/14867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16" Type="http://schemas.openxmlformats.org/officeDocument/2006/relationships/image" Target="../media/image8.png"/><Relationship Id="rId11" Type="http://schemas.openxmlformats.org/officeDocument/2006/relationships/hyperlink" Target="https://promptpay.io/0627473734/14250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promptpay.io/0644536103/10412" TargetMode="External"/><Relationship Id="rId53" Type="http://schemas.openxmlformats.org/officeDocument/2006/relationships/hyperlink" Target="https://promptpay.io/1104400039509/11373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promptpay.io/0826120143/9800" TargetMode="External"/><Relationship Id="rId5" Type="http://schemas.openxmlformats.org/officeDocument/2006/relationships/hyperlink" Target="https://promptpay.io/0621074597/25899" TargetMode="External"/><Relationship Id="rId61" Type="http://schemas.openxmlformats.org/officeDocument/2006/relationships/hyperlink" Target="https://promptpay.io/0630789048056/14325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promptpay.io/0986281197/3939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promptpay.io/0951298548/8100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promptpay.io/0648867946/13700" TargetMode="External"/><Relationship Id="rId43" Type="http://schemas.openxmlformats.org/officeDocument/2006/relationships/hyperlink" Target="https://promptpay.io/3330300904381/11478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promptpay.io/0641517476/11300" TargetMode="External"/><Relationship Id="rId77" Type="http://schemas.openxmlformats.org/officeDocument/2006/relationships/hyperlink" Target="https://promptpay.io/0659598646/8600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promptpay.io/0825312601/6750" TargetMode="Externa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3" Type="http://schemas.openxmlformats.org/officeDocument/2006/relationships/hyperlink" Target="https://promptpay.io/0990826695/11076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promptpay.io/0932545571/9854" TargetMode="External"/><Relationship Id="rId25" Type="http://schemas.openxmlformats.org/officeDocument/2006/relationships/hyperlink" Target="https://promptpay.io/0825849199/17435" TargetMode="External"/><Relationship Id="rId33" Type="http://schemas.openxmlformats.org/officeDocument/2006/relationships/hyperlink" Target="https://promptpay.io/0955349372/10292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promptpay.io/0993787826/11100" TargetMode="External"/><Relationship Id="rId67" Type="http://schemas.openxmlformats.org/officeDocument/2006/relationships/hyperlink" Target="https://promptpay.io/0987343018/12536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promptpay.io/0633767666/3156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promptpay.io/0824728676/14125" TargetMode="External"/><Relationship Id="rId83" Type="http://schemas.openxmlformats.org/officeDocument/2006/relationships/hyperlink" Target="https://promptpay.io/0652136005/13325" TargetMode="External"/><Relationship Id="rId1" Type="http://schemas.openxmlformats.org/officeDocument/2006/relationships/hyperlink" Target="https://promptpay.io/0628877352/11232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promptpay.io/0932545571/12850" TargetMode="External"/><Relationship Id="rId23" Type="http://schemas.openxmlformats.org/officeDocument/2006/relationships/hyperlink" Target="https://promptpay.io/0941562241/9828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promptpay.io/0630689101761/13850" TargetMode="External"/><Relationship Id="rId57" Type="http://schemas.openxmlformats.org/officeDocument/2006/relationships/hyperlink" Target="https://promptpay.io/0980948135/4800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romptpay.io/0620322145/12749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promptpay.io/0949355572/9300" TargetMode="External"/><Relationship Id="rId73" Type="http://schemas.openxmlformats.org/officeDocument/2006/relationships/hyperlink" Target="https://promptpay.io/0844651499/7750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promptpay.io/0657249296/16565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promptpay.io/0801520766/7343" TargetMode="External"/><Relationship Id="rId13" Type="http://schemas.openxmlformats.org/officeDocument/2006/relationships/hyperlink" Target="https://promptpay.io/0616370745/9639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promptpay.io/1104300936827/15954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promptpay.io/1470200083737/11800" TargetMode="External"/><Relationship Id="rId76" Type="http://schemas.openxmlformats.org/officeDocument/2006/relationships/image" Target="../media/image38.png"/><Relationship Id="rId7" Type="http://schemas.openxmlformats.org/officeDocument/2006/relationships/hyperlink" Target="https://promptpay.io/0658394826/13468" TargetMode="External"/><Relationship Id="rId71" Type="http://schemas.openxmlformats.org/officeDocument/2006/relationships/hyperlink" Target="https://promptpay.io/0954392646/9313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promptpay.io/0942820321/8050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promptpay.io/0656054856/15333" TargetMode="External"/><Relationship Id="rId66" Type="http://schemas.openxmlformats.org/officeDocument/2006/relationships/image" Target="../media/image3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  <webImageSrd>
    <address r:id="rId13"/>
    <blip r:id="rId14"/>
  </webImageSrd>
  <webImageSrd>
    <address r:id="rId15"/>
    <blip r:id="rId16"/>
  </webImageSrd>
  <webImageSrd>
    <address r:id="rId17"/>
    <blip r:id="rId18"/>
  </webImageSrd>
  <webImageSrd>
    <address r:id="rId19"/>
    <blip r:id="rId20"/>
  </webImageSrd>
  <webImageSrd>
    <address r:id="rId21"/>
    <blip r:id="rId22"/>
  </webImageSrd>
  <webImageSrd>
    <address r:id="rId23"/>
    <blip r:id="rId24"/>
  </webImageSrd>
  <webImageSrd>
    <address r:id="rId25"/>
    <blip r:id="rId26"/>
  </webImageSrd>
  <webImageSrd>
    <address r:id="rId27"/>
    <blip r:id="rId28"/>
  </webImageSrd>
  <webImageSrd>
    <address r:id="rId29"/>
    <blip r:id="rId30"/>
  </webImageSrd>
  <webImageSrd>
    <address r:id="rId31"/>
    <blip r:id="rId32"/>
  </webImageSrd>
  <webImageSrd>
    <address r:id="rId33"/>
    <blip r:id="rId34"/>
  </webImageSrd>
  <webImageSrd>
    <address r:id="rId35"/>
    <blip r:id="rId36"/>
  </webImageSrd>
  <webImageSrd>
    <address r:id="rId37"/>
    <blip r:id="rId38"/>
  </webImageSrd>
  <webImageSrd>
    <address r:id="rId39"/>
    <blip r:id="rId40"/>
  </webImageSrd>
  <webImageSrd>
    <address r:id="rId41"/>
    <blip r:id="rId42"/>
  </webImageSrd>
  <webImageSrd>
    <address r:id="rId43"/>
    <blip r:id="rId44"/>
  </webImageSrd>
  <webImageSrd>
    <address r:id="rId45"/>
    <blip r:id="rId46"/>
  </webImageSrd>
  <webImageSrd>
    <address r:id="rId47"/>
    <blip r:id="rId48"/>
  </webImageSrd>
  <webImageSrd>
    <address r:id="rId49"/>
    <blip r:id="rId50"/>
  </webImageSrd>
  <webImageSrd>
    <address r:id="rId51"/>
    <blip r:id="rId52"/>
  </webImageSrd>
  <webImageSrd>
    <address r:id="rId53"/>
    <blip r:id="rId54"/>
  </webImageSrd>
  <webImageSrd>
    <address r:id="rId55"/>
    <blip r:id="rId56"/>
  </webImageSrd>
  <webImageSrd>
    <address r:id="rId57"/>
    <blip r:id="rId58"/>
  </webImageSrd>
  <webImageSrd>
    <address r:id="rId59"/>
    <blip r:id="rId60"/>
  </webImageSrd>
  <webImageSrd>
    <address r:id="rId61"/>
    <blip r:id="rId62"/>
  </webImageSrd>
  <webImageSrd>
    <address r:id="rId63"/>
    <blip r:id="rId64"/>
  </webImageSrd>
  <webImageSrd>
    <address r:id="rId65"/>
    <blip r:id="rId66"/>
  </webImageSrd>
  <webImageSrd>
    <address r:id="rId67"/>
    <blip r:id="rId68"/>
  </webImageSrd>
  <webImageSrd>
    <address r:id="rId69"/>
    <blip r:id="rId70"/>
  </webImageSrd>
  <webImageSrd>
    <address r:id="rId71"/>
    <blip r:id="rId72"/>
  </webImageSrd>
  <webImageSrd>
    <address r:id="rId73"/>
    <blip r:id="rId74"/>
  </webImageSrd>
  <webImageSrd>
    <address r:id="rId75"/>
    <blip r:id="rId76"/>
  </webImageSrd>
  <webImageSrd>
    <address r:id="rId77"/>
    <blip r:id="rId78"/>
  </webImageSrd>
  <webImageSrd>
    <address r:id="rId79"/>
    <blip r:id="rId80"/>
  </webImageSrd>
  <webImageSrd>
    <address r:id="rId81"/>
    <blip r:id="rId82"/>
  </webImageSrd>
  <webImageSrd>
    <address r:id="rId83"/>
    <blip r:id="rId84"/>
  </webImageSrd>
</webImagesSrd>
</file>

<file path=xl/richData/rdrichvalue.xml><?xml version="1.0" encoding="utf-8"?>
<rvData xmlns="http://schemas.microsoft.com/office/spreadsheetml/2017/richdata" count="43">
  <rv s="0">
    <v>0</v>
    <v>1</v>
    <v>0</v>
    <v>0</v>
    <v>QR Promtpay</v>
  </rv>
  <rv s="0">
    <v>1</v>
    <v>1</v>
    <v>0</v>
    <v>0</v>
    <v>QR Promtpay</v>
  </rv>
  <rv s="0">
    <v>2</v>
    <v>1</v>
    <v>0</v>
    <v>0</v>
    <v>QR Promtpay</v>
  </rv>
  <rv s="0">
    <v>3</v>
    <v>1</v>
    <v>0</v>
    <v>0</v>
    <v>QR Promtpay</v>
  </rv>
  <rv s="0">
    <v>4</v>
    <v>1</v>
    <v>0</v>
    <v>0</v>
    <v>QR Promtpay</v>
  </rv>
  <rv s="0">
    <v>5</v>
    <v>1</v>
    <v>0</v>
    <v>0</v>
    <v>QR Promtpay</v>
  </rv>
  <rv s="0">
    <v>6</v>
    <v>1</v>
    <v>0</v>
    <v>0</v>
    <v>QR Promtpay</v>
  </rv>
  <rv s="0">
    <v>7</v>
    <v>1</v>
    <v>0</v>
    <v>0</v>
    <v>QR Promtpay</v>
  </rv>
  <rv s="0">
    <v>8</v>
    <v>1</v>
    <v>0</v>
    <v>0</v>
    <v>QR Promtpay</v>
  </rv>
  <rv s="0">
    <v>9</v>
    <v>1</v>
    <v>0</v>
    <v>0</v>
    <v>QR Promtpay</v>
  </rv>
  <rv s="0">
    <v>10</v>
    <v>1</v>
    <v>0</v>
    <v>0</v>
    <v>QR Promtpay</v>
  </rv>
  <rv s="0">
    <v>11</v>
    <v>1</v>
    <v>0</v>
    <v>0</v>
    <v>QR Promtpay</v>
  </rv>
  <rv s="0">
    <v>12</v>
    <v>1</v>
    <v>0</v>
    <v>0</v>
    <v>QR Promtpay</v>
  </rv>
  <rv s="0">
    <v>13</v>
    <v>1</v>
    <v>0</v>
    <v>0</v>
    <v>QR Promtpay</v>
  </rv>
  <rv s="0">
    <v>14</v>
    <v>1</v>
    <v>0</v>
    <v>0</v>
    <v>QR Promtpay</v>
  </rv>
  <rv s="0">
    <v>15</v>
    <v>1</v>
    <v>0</v>
    <v>0</v>
    <v>QR Promtpay</v>
  </rv>
  <rv s="0">
    <v>16</v>
    <v>1</v>
    <v>0</v>
    <v>0</v>
    <v>QR Promtpay</v>
  </rv>
  <rv s="0">
    <v>17</v>
    <v>1</v>
    <v>0</v>
    <v>0</v>
    <v>QR Promtpay</v>
  </rv>
  <rv s="0">
    <v>18</v>
    <v>1</v>
    <v>0</v>
    <v>0</v>
    <v>QR Promtpay</v>
  </rv>
  <rv s="0">
    <v>19</v>
    <v>1</v>
    <v>0</v>
    <v>0</v>
    <v>QR Promtpay</v>
  </rv>
  <rv s="0">
    <v>20</v>
    <v>1</v>
    <v>0</v>
    <v>0</v>
    <v>QR Promtpay</v>
  </rv>
  <rv s="0">
    <v>21</v>
    <v>1</v>
    <v>0</v>
    <v>0</v>
    <v>QR Promtpay</v>
  </rv>
  <rv s="0">
    <v>22</v>
    <v>1</v>
    <v>0</v>
    <v>0</v>
    <v>QR Promtpay</v>
  </rv>
  <rv s="0">
    <v>23</v>
    <v>1</v>
    <v>0</v>
    <v>0</v>
    <v>QR Promtpay</v>
  </rv>
  <rv s="0">
    <v>24</v>
    <v>1</v>
    <v>0</v>
    <v>0</v>
    <v>QR Promtpay</v>
  </rv>
  <rv s="0">
    <v>25</v>
    <v>1</v>
    <v>0</v>
    <v>0</v>
    <v>QR Promtpay</v>
  </rv>
  <rv s="0">
    <v>26</v>
    <v>1</v>
    <v>0</v>
    <v>0</v>
    <v>QR Promtpay</v>
  </rv>
  <rv s="0">
    <v>27</v>
    <v>1</v>
    <v>0</v>
    <v>0</v>
    <v>QR Promtpay</v>
  </rv>
  <rv s="0">
    <v>28</v>
    <v>1</v>
    <v>0</v>
    <v>0</v>
    <v>QR Promtpay</v>
  </rv>
  <rv s="0">
    <v>29</v>
    <v>1</v>
    <v>0</v>
    <v>0</v>
    <v>QR Promtpay</v>
  </rv>
  <rv s="0">
    <v>30</v>
    <v>1</v>
    <v>0</v>
    <v>0</v>
    <v>QR Promtpay</v>
  </rv>
  <rv s="0">
    <v>31</v>
    <v>1</v>
    <v>0</v>
    <v>0</v>
    <v>QR Promtpay</v>
  </rv>
  <rv s="0">
    <v>32</v>
    <v>1</v>
    <v>0</v>
    <v>0</v>
    <v>QR Promtpay</v>
  </rv>
  <rv s="1">
    <v>9</v>
    <v>0</v>
  </rv>
  <rv s="0">
    <v>33</v>
    <v>1</v>
    <v>0</v>
    <v>0</v>
    <v>QR Promtpay</v>
  </rv>
  <rv s="0">
    <v>34</v>
    <v>1</v>
    <v>0</v>
    <v>0</v>
    <v>QR Promtpay</v>
  </rv>
  <rv s="0">
    <v>35</v>
    <v>1</v>
    <v>0</v>
    <v>0</v>
    <v>QR Promtpay</v>
  </rv>
  <rv s="0">
    <v>36</v>
    <v>1</v>
    <v>0</v>
    <v>0</v>
    <v>QR Promtpay</v>
  </rv>
  <rv s="0">
    <v>37</v>
    <v>1</v>
    <v>0</v>
    <v>0</v>
    <v>QR Promtpay</v>
  </rv>
  <rv s="0">
    <v>38</v>
    <v>1</v>
    <v>0</v>
    <v>0</v>
    <v>QR Promtpay</v>
  </rv>
  <rv s="0">
    <v>39</v>
    <v>1</v>
    <v>0</v>
    <v>0</v>
    <v>QR Promtpay</v>
  </rv>
  <rv s="0">
    <v>40</v>
    <v>1</v>
    <v>0</v>
    <v>0</v>
    <v>QR Promtpay</v>
  </rv>
  <rv s="0">
    <v>41</v>
    <v>1</v>
    <v>0</v>
    <v>0</v>
    <v>QR Promtpay</v>
  </rv>
</rvData>
</file>

<file path=xl/richData/rdrichvaluestructure.xml><?xml version="1.0" encoding="utf-8"?>
<rvStructures xmlns="http://schemas.microsoft.com/office/spreadsheetml/2017/richdata" count="2">
  <s t="_webimage">
    <k n="WebImageIdentifier" t="i"/>
    <k n="CalcOrigin" t="i"/>
    <k n="ComputedImage" t="b"/>
    <k n="ImageSizing" t="i"/>
    <k n="Text" t="s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CA32F-917C-4E58-9A2A-2542CA8BF0D3}" name="Tableram" displayName="Tableram" ref="A2:AG32" totalsRowShown="0">
  <autoFilter ref="A2:AG32" xr:uid="{629FA26A-1396-421F-B022-E198F5080DED}"/>
  <tableColumns count="33">
    <tableColumn id="1" xr3:uid="{1A0BCF3F-6C93-4087-A239-93E9DDD66CAB}" name="ลำดับ" dataDxfId="33"/>
    <tableColumn id="2" xr3:uid="{FE3FB0A6-7890-457A-B940-DA143F3CEA9B}" name="ชื่อ-นามสกุล" dataDxfId="32"/>
    <tableColumn id="3" xr3:uid="{B2108BA0-0EFB-48A1-ACCD-F8FA939BC958}" name="ชื่อเล่น" dataDxfId="31"/>
    <tableColumn id="4" xr3:uid="{10421A38-0C38-4454-944C-1AEE89AE0D3E}" name="ตำแหน่ง" dataDxfId="30"/>
    <tableColumn id="5" xr3:uid="{9E900886-F2CC-449F-8375-4F3376CC9B43}" name="อัตราเงินเดือน" dataDxfId="29"/>
    <tableColumn id="6" xr3:uid="{D255F47B-3C48-4AF6-9254-0EDCA8D1017E}" name="ค่าตำแหน่ง" dataDxfId="28"/>
    <tableColumn id="7" xr3:uid="{50CB790D-57EA-40CE-A4AD-5D61ADAD008E}" name="โอที/วัน" dataDxfId="27">
      <calculatedColumnFormula>(E3/30)*AB3</calculatedColumnFormula>
    </tableColumn>
    <tableColumn id="8" xr3:uid="{F45D6E16-E3C8-4F3F-92A1-6085DFAA0D57}" name="โอที/ชม." dataDxfId="26">
      <calculatedColumnFormula>(((E3/30)/8*1.5))*AC3</calculatedColumnFormula>
    </tableColumn>
    <tableColumn id="9" xr3:uid="{849BA61A-5213-435A-8005-1535065983C8}" name="โอที/ชม. X 3" dataDxfId="25">
      <calculatedColumnFormula>(((E3/30)/8*3))*AD3</calculatedColumnFormula>
    </tableColumn>
    <tableColumn id="10" xr3:uid="{D7E3A6DF-ACCB-44EF-9C93-15CBB82A70AF}" name="เบี้ยขยัน" dataDxfId="24"/>
    <tableColumn id="11" xr3:uid="{17647986-DEFA-4CC1-B30E-22097846E1DF}" name="เบิก" dataDxfId="23"/>
    <tableColumn id="12" xr3:uid="{E2FE1AEF-858F-4456-80CF-DE311A6B6FBD}" name="ปกส." dataDxfId="22"/>
    <tableColumn id="13" xr3:uid="{A2745F0E-0062-4CC9-A5BB-BE6FE7E67E2A}" name="ยอดจ่ายเงินกู้" dataDxfId="21"/>
    <tableColumn id="14" xr3:uid="{EE74E64A-9324-4169-982C-A6876388BB6A}" name="เงินกู้ค้าง" dataDxfId="20"/>
    <tableColumn id="15" xr3:uid="{B1B59FDB-05A9-42E8-B179-04815B08DB67}" name="สวัสดิการอื่นๆ" dataDxfId="19"/>
    <tableColumn id="16" xr3:uid="{3D698114-C2AA-47BB-A0D2-19832E097BAE}" name="หนี้" dataDxfId="18"/>
    <tableColumn id="17" xr3:uid="{B7EDFF5C-451A-4CCF-A4E4-72E6D7D18E3F}" name="สาย" dataDxfId="17"/>
    <tableColumn id="18" xr3:uid="{7885B4C9-0B43-4E82-AC34-F2A58D1A402D}" name="ลา" dataDxfId="16">
      <calculatedColumnFormula>(E3/30)*IF(W3=0,0,W3) + (E3/30)*IF(Z3=0,0,Z3)</calculatedColumnFormula>
    </tableColumn>
    <tableColumn id="19" xr3:uid="{BAE848A4-309C-425B-A558-099C1E29DE7B}" name="ยอดเป้า" dataDxfId="15"/>
    <tableColumn id="20" xr3:uid="{64139DB3-6086-44C5-BF81-5003C5C44D1E}" name="โบนัส" dataDxfId="14"/>
    <tableColumn id="21" xr3:uid="{2CF6FB75-E5C6-4EB5-A398-9A05BEF45561}" name="รายได้สุทธิ" dataDxfId="13">
      <calculatedColumnFormula>ROUND(E3+F3+G3+H3+I3+J3-K3-L3-M3+O3-P3-Q3-R3+S3+T3,0)</calculatedColumnFormula>
    </tableColumn>
    <tableColumn id="22" xr3:uid="{BF0F14C4-6780-45C3-9270-CA34E4A341E3}" name="Email" dataDxfId="12" dataCellStyle="Hyperlink"/>
    <tableColumn id="23" xr3:uid="{0D23400A-4CDA-4CA9-A02B-22DE43A44E73}" name="ขาด (วัน)" dataDxfId="11"/>
    <tableColumn id="24" xr3:uid="{F8F35F7E-A90D-4BAD-988E-B6B3E52E746E}" name="สาย (นาที)" dataDxfId="10"/>
    <tableColumn id="25" xr3:uid="{47BC153C-2648-44C6-80E8-C9230DD3B436}" name="ลาป่วย (วัน)" dataDxfId="9"/>
    <tableColumn id="26" xr3:uid="{8C382495-AD71-40C6-B109-1019628D396C}" name="ลากิจ (วัน)" dataDxfId="8"/>
    <tableColumn id="27" xr3:uid="{37A39A68-1A7D-4C0B-9929-FF3115914B37}" name="ลาพักร้อน (วัน)" dataDxfId="7"/>
    <tableColumn id="28" xr3:uid="{0B59D583-53E9-4022-AF6F-7DB67D3DB62E}" name="OT (วัน)" dataDxfId="6"/>
    <tableColumn id="29" xr3:uid="{625B4CD7-74F6-4486-8CC8-0C7B01BBB4AB}" name="ค่าล่วงเวลา (ชั่วโมง)" dataDxfId="5"/>
    <tableColumn id="30" xr3:uid="{E14D529D-8F13-4A4D-91B6-674FF5599ACC}" name="ค่าล่วงเวลา (ชั่วโมง)คูณ 3" dataDxfId="4"/>
    <tableColumn id="31" xr3:uid="{8661A9F6-E3FF-4459-8449-E382A02BB8D7}" name="ภาษา" dataDxfId="3"/>
    <tableColumn id="32" xr3:uid="{F22A6CD7-E88A-400C-9457-E90815A29975}" name="เงินสด" dataDxfId="2"/>
    <tableColumn id="33" xr3:uid="{1239F988-6A08-4700-8523-4999AC847690}" name="Promtpay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25F737-7D5B-4CFB-8F44-D5D5D8144A0E}" name="Tablenon" displayName="Tablenon" ref="A2:AG34" totalsRowShown="0" dataDxfId="134" tableBorderDxfId="133">
  <autoFilter ref="A2:AG34" xr:uid="{DCC3355D-252F-4B3B-8E32-CEF6D730DAD5}"/>
  <tableColumns count="33">
    <tableColumn id="1" xr3:uid="{7D3E0FBB-D0D4-4E1F-BD43-F5ED4BA1F71D}" name="ลำดับ" dataDxfId="132"/>
    <tableColumn id="2" xr3:uid="{37DB0284-B5BC-481F-B6A7-AA38FC42304B}" name="ชื่อ-นามสกุล" dataDxfId="131"/>
    <tableColumn id="3" xr3:uid="{EEF175A1-68D1-474B-BC43-2818CB6501A8}" name="ชื่อเล่น" dataDxfId="130"/>
    <tableColumn id="4" xr3:uid="{0D8FEEB3-134A-4A30-8920-E967DB8F15ED}" name="ตำแหน่ง" dataDxfId="129"/>
    <tableColumn id="5" xr3:uid="{70A7A33C-C2FA-45AF-B03D-BC042C633D84}" name="อัตราเงินเดือน" dataDxfId="128"/>
    <tableColumn id="6" xr3:uid="{F06686A6-7D95-4E6C-B94E-2285FB8B6CFB}" name="ค่าตำแหน่ง" dataDxfId="127"/>
    <tableColumn id="7" xr3:uid="{5950BAD3-92BE-41C3-A62A-15E39EFC0F2B}" name="โอที/วัน" dataDxfId="126">
      <calculatedColumnFormula>(E3/30)*AB3</calculatedColumnFormula>
    </tableColumn>
    <tableColumn id="8" xr3:uid="{07E0E82D-F1EE-477D-9E0B-C672CDF4A288}" name="โอที/ชม." dataDxfId="125">
      <calculatedColumnFormula>(((E3/30)/8*1.5))*AC3</calculatedColumnFormula>
    </tableColumn>
    <tableColumn id="9" xr3:uid="{E0EA84C4-FCF3-4B36-A0D8-2266ACEE6005}" name="โอที/ชม. X 3" dataDxfId="124">
      <calculatedColumnFormula>(((E3/30)/8*3))*AD3</calculatedColumnFormula>
    </tableColumn>
    <tableColumn id="10" xr3:uid="{6441BAA9-6ABD-4029-8D26-80313DFBFC7D}" name="เบี้ยขยัน" dataDxfId="123"/>
    <tableColumn id="11" xr3:uid="{45261E94-0388-43EF-8BD4-8354552A2CAC}" name="เบิก" dataDxfId="122"/>
    <tableColumn id="12" xr3:uid="{D4FFC2E5-FA35-4853-B696-67B20DB08F15}" name="ปกส." dataDxfId="121"/>
    <tableColumn id="13" xr3:uid="{7224FA69-D5C1-4F71-AD55-C6C245E739DF}" name="ยอดจ่ายเงินกู้" dataDxfId="120"/>
    <tableColumn id="14" xr3:uid="{FC8400D0-432D-45AD-BADB-AEEA9AC8B708}" name="เงินกู้ค้าง" dataDxfId="119"/>
    <tableColumn id="15" xr3:uid="{2F7F2F95-4B68-403A-9156-EFF1354C6334}" name="สวัสดิการอื่นๆ" dataDxfId="118"/>
    <tableColumn id="16" xr3:uid="{8C1F02C2-0165-4F3B-AB20-6DD6D65493ED}" name="หนี้" dataDxfId="117"/>
    <tableColumn id="17" xr3:uid="{DF3626F1-E962-41C3-88E7-E4D2C4AA08AF}" name="สาย" dataDxfId="116"/>
    <tableColumn id="18" xr3:uid="{A7125C46-5677-4777-9E78-85EF602DCE95}" name="ลา" dataDxfId="115">
      <calculatedColumnFormula>(E3/30)*IF(W3=0,0,W3) + (E3/30)*IF(Z3=0,0,Z3)</calculatedColumnFormula>
    </tableColumn>
    <tableColumn id="19" xr3:uid="{8936C2F6-A5BD-4480-A1EC-03FDA82C3A99}" name="ยอดเป้า" dataDxfId="114"/>
    <tableColumn id="20" xr3:uid="{07CFA2F6-8853-4D40-8851-289ED7DCE746}" name="โบนัส" dataDxfId="113"/>
    <tableColumn id="21" xr3:uid="{7EE98EBB-9A8B-4880-B65B-E92FBD97D89D}" name="รายได้สุทธิ" dataDxfId="112">
      <calculatedColumnFormula>ROUND(E3+F3+G3+H3+I3+J3-K3-L3-M3+O3-P3-Q3-R3+S3+T3,0)</calculatedColumnFormula>
    </tableColumn>
    <tableColumn id="22" xr3:uid="{77A9B62F-8F05-496C-B3BD-CB85BC7F5882}" name="Email" dataDxfId="111" dataCellStyle="Hyperlink"/>
    <tableColumn id="23" xr3:uid="{390D0246-6C9B-4A53-8ABB-A67F157091C6}" name="ขาด (วัน)" dataDxfId="110"/>
    <tableColumn id="24" xr3:uid="{58EBC00B-0E9B-49DA-9B37-B7F4A2271D1F}" name="สาย (นาที)" dataDxfId="109"/>
    <tableColumn id="25" xr3:uid="{AC444164-4B9B-4C13-9E2E-C335D09D2795}" name="ลาป่วย (วัน)" dataDxfId="108"/>
    <tableColumn id="26" xr3:uid="{088FCF6D-AA97-403A-A736-69D562B4DBA6}" name="ลากิจ (วัน)" dataDxfId="107"/>
    <tableColumn id="27" xr3:uid="{A6FC5F9E-6EE0-4062-915D-459C62014D47}" name="ลาพักร้อน (วัน)" dataDxfId="106"/>
    <tableColumn id="28" xr3:uid="{7736EB6A-F01C-4868-8200-0BEA28E6086E}" name="OT (วัน)" dataDxfId="105"/>
    <tableColumn id="29" xr3:uid="{D0166E26-F020-475D-911A-EDF55FE79AF8}" name="ค่าล่วงเวลา (ชั่วโมง)" dataDxfId="104"/>
    <tableColumn id="30" xr3:uid="{8C6A5FD4-1500-4495-8EF4-74E313CBE428}" name="ค่าล่วงเวลา (ชั่วโมง) คูณ 3" dataDxfId="103"/>
    <tableColumn id="31" xr3:uid="{42F5F0FD-2FD4-4AAD-AD7B-7ACE8DE153A3}" name="ภาษา" dataDxfId="102"/>
    <tableColumn id="32" xr3:uid="{83A9A38D-706B-4FE2-864E-EC3533FE3BD8}" name="เงินสด" dataDxfId="101"/>
    <tableColumn id="33" xr3:uid="{5A9001A7-EE48-46A4-9E29-01EC7BA1ADF5}" name="Promtpay" dataDxfId="10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8C37C9-6DF9-496E-A1E1-9F78C2984660}" name="Tablekitchen" displayName="Tablekitchen" ref="A2:AG7" totalsRowShown="0" tableBorderDxfId="99">
  <autoFilter ref="A2:AG7" xr:uid="{028C37C9-6DF9-496E-A1E1-9F78C2984660}"/>
  <tableColumns count="33">
    <tableColumn id="1" xr3:uid="{387D7529-86AD-4053-B9D5-5AB2B2C27415}" name="ลำดับ" dataDxfId="98"/>
    <tableColumn id="2" xr3:uid="{B6D6C624-1B24-45FE-A168-A03D35287AEF}" name="ชื่อ-นามสกุล" dataDxfId="97"/>
    <tableColumn id="3" xr3:uid="{BC4B1383-7BDC-4E68-885A-02EC61265231}" name="ชื่อเล่น" dataDxfId="96"/>
    <tableColumn id="4" xr3:uid="{E4687A52-2395-413A-A29B-577C6684E012}" name="ตำแหน่ง" dataDxfId="95"/>
    <tableColumn id="5" xr3:uid="{F84902C2-4BE7-4B53-B750-114D24CA00AA}" name="อัตราเงินเดือน" dataDxfId="94"/>
    <tableColumn id="6" xr3:uid="{E2CD10DB-262E-484D-8DB1-4E126B605616}" name="ค่าตำแหน่ง" dataDxfId="93"/>
    <tableColumn id="7" xr3:uid="{16F3A9CF-D23C-46CC-B274-D35790A4EDF1}" name="โอที/วัน" dataDxfId="92">
      <calculatedColumnFormula>(E3/30)*AB3</calculatedColumnFormula>
    </tableColumn>
    <tableColumn id="8" xr3:uid="{0215BBBF-231D-494F-AEDD-D7817DAADD66}" name="โอที/ชม." dataDxfId="91">
      <calculatedColumnFormula>(((E3/30)/8*1.5))*AC3</calculatedColumnFormula>
    </tableColumn>
    <tableColumn id="9" xr3:uid="{DEA3AD00-09A8-422C-A27C-4E91410CD3D6}" name="โอที/ชม. X 3" dataDxfId="90">
      <calculatedColumnFormula>(((E3/30)/8*3))*AD3</calculatedColumnFormula>
    </tableColumn>
    <tableColumn id="10" xr3:uid="{B80ECD1A-8859-4F3A-A2E8-E698A6EEF569}" name="เบี้ยขยัน" dataDxfId="89"/>
    <tableColumn id="11" xr3:uid="{D45602D7-5000-4430-AEF4-02E6C448D604}" name="เบิก" dataDxfId="88"/>
    <tableColumn id="12" xr3:uid="{27C96855-B195-407B-84AC-663225675214}" name="ปกส." dataDxfId="87"/>
    <tableColumn id="13" xr3:uid="{4E4A7907-C0D0-4832-820E-37AAFFEDB248}" name="ยอดจ่ายเงินกู้" dataDxfId="86"/>
    <tableColumn id="14" xr3:uid="{40EB00A6-B20E-48B9-A382-EBF7ECA7E298}" name="เงินกู้ค้าง"/>
    <tableColumn id="15" xr3:uid="{2DD3183B-DDC7-4524-A3CE-5C089511ED8F}" name="สวัสดิการอื่นๆ" dataDxfId="85"/>
    <tableColumn id="16" xr3:uid="{1F43F780-7217-4645-A22B-1A6AEDD19A9E}" name="หนี้" dataDxfId="84">
      <calculatedColumnFormula>194+730</calculatedColumnFormula>
    </tableColumn>
    <tableColumn id="17" xr3:uid="{A1010184-47B0-4463-9578-53DA7ED32A69}" name="สาย" dataDxfId="83"/>
    <tableColumn id="18" xr3:uid="{A3DEEE77-CC6B-40C3-9CE6-B8A505D5CF73}" name="ลา" dataDxfId="82">
      <calculatedColumnFormula>(E3/30)*IF(W3=0,0,W3) + (E3/30)*IF(Z3=0,0,Z3)</calculatedColumnFormula>
    </tableColumn>
    <tableColumn id="19" xr3:uid="{3A7290A5-5418-41C0-A024-EC955D8F0DC8}" name="ยอดเป้า" dataDxfId="81"/>
    <tableColumn id="20" xr3:uid="{1851E29D-63FD-480A-A27F-5AD293ABE175}" name="โบนัส" dataDxfId="80"/>
    <tableColumn id="21" xr3:uid="{631754EB-1B41-42D8-809B-FAE3024F825D}" name="รายได้สุทธิ" dataDxfId="79">
      <calculatedColumnFormula>ROUND(E3+F3+G3+H3+I3+J3-K3-L3-M3+O3-P3-Q3-R3+S3+T3,0)</calculatedColumnFormula>
    </tableColumn>
    <tableColumn id="22" xr3:uid="{E99CBD41-513F-42A6-BE15-3CD8924F5063}" name="Email" dataDxfId="78" dataCellStyle="Hyperlink"/>
    <tableColumn id="23" xr3:uid="{37A719F1-18D2-4293-A20C-B8ABE86DF74A}" name="ขาด (วัน)" dataDxfId="77"/>
    <tableColumn id="24" xr3:uid="{0E9AE2FD-B721-4AE2-AD03-017D4DBBF33C}" name="สาย (นาที)" dataDxfId="76"/>
    <tableColumn id="25" xr3:uid="{F582BB53-5D96-49AE-98CA-EB7BA2A1965D}" name="ลาป่วย (วัน)" dataDxfId="75"/>
    <tableColumn id="26" xr3:uid="{96508B4B-6689-4CD7-ACE4-25A664E62B93}" name="ลากิจ (วัน)" dataDxfId="74"/>
    <tableColumn id="27" xr3:uid="{46C8D8A1-A62F-4597-B3D8-8767FE01243F}" name="ลาพักร้อน (วัน)" dataDxfId="73"/>
    <tableColumn id="28" xr3:uid="{9347F2D6-3D04-40F6-883E-00812EDE197A}" name="OT (วัน)" dataDxfId="72"/>
    <tableColumn id="29" xr3:uid="{4AF9E6BE-1639-481F-9E81-D50CAF609314}" name="ค่าล่วงเวลา (ชั่วโมง)" dataDxfId="71"/>
    <tableColumn id="30" xr3:uid="{8D276733-A69D-4C95-8150-6911CDA00777}" name="ค่าล่วงเวลา (ชั่วโมง) คูณ 3" dataDxfId="70"/>
    <tableColumn id="31" xr3:uid="{57486D7B-202B-42F5-9EFA-0F39370E065A}" name="ภาษา" dataDxfId="69"/>
    <tableColumn id="32" xr3:uid="{E3620C91-4979-48C3-8B77-0E4361BA187A}" name="เงินสด" dataDxfId="68"/>
    <tableColumn id="33" xr3:uid="{4DFEB92A-4EC8-4082-A19F-B7AEDF7CDBA2}" name="Promtpay" dataDxfId="6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854875-877E-4542-BBD5-179A387D9ED9}" name="Tablekul" displayName="Tablekul" ref="A2:AG31" totalsRowShown="0" tableBorderDxfId="66">
  <autoFilter ref="A2:AG31" xr:uid="{843C64D5-7B08-41DF-8DE1-0561833BA112}"/>
  <tableColumns count="33">
    <tableColumn id="1" xr3:uid="{6A8622F1-F309-4473-BD1B-FDA2BAAAC76C}" name="ลำดับ" dataDxfId="65"/>
    <tableColumn id="2" xr3:uid="{B7F5592C-6B1A-4546-8343-2D6F3CE67FD0}" name="ชื่อ-นามสกุล" dataDxfId="64"/>
    <tableColumn id="3" xr3:uid="{A182E924-E319-48A9-AF3D-BED6BD4A711B}" name="ชื่อเล่น" dataDxfId="63"/>
    <tableColumn id="4" xr3:uid="{77E25CB0-234B-4B6B-9129-AFDA8FF30F6F}" name="ตำแหน่ง" dataDxfId="62"/>
    <tableColumn id="5" xr3:uid="{1ECF95C8-2866-4187-8CE0-06F190DDD049}" name="อัตราเงินเดือน" dataDxfId="61"/>
    <tableColumn id="6" xr3:uid="{B4237519-F541-467E-85CC-252372F17EBB}" name="ค่าตำแหน่ง" dataDxfId="60"/>
    <tableColumn id="7" xr3:uid="{51476C95-D794-4F31-9738-4D59D7EC75FD}" name="โอที/วัน" dataDxfId="59">
      <calculatedColumnFormula>(E3/30)*AB3</calculatedColumnFormula>
    </tableColumn>
    <tableColumn id="8" xr3:uid="{076C257C-FD61-4624-A0C0-ADE03076A00F}" name="โอที/ชม." dataDxfId="58">
      <calculatedColumnFormula>(((E3/30)/8*1.5))*AC3</calculatedColumnFormula>
    </tableColumn>
    <tableColumn id="9" xr3:uid="{9E138BE5-8ECA-4B6B-8211-A9B728F4AAF9}" name="โอที/ชม. X 3" dataDxfId="57">
      <calculatedColumnFormula>(((E3/30)/8*3))*AD3</calculatedColumnFormula>
    </tableColumn>
    <tableColumn id="10" xr3:uid="{4067E3FC-2989-41C8-A05D-8341A79ABF76}" name="เบี้ยขยัน" dataDxfId="56"/>
    <tableColumn id="11" xr3:uid="{3A9E61CC-38F4-44FF-9793-0DFFF6029E24}" name="เบิก" dataDxfId="55"/>
    <tableColumn id="12" xr3:uid="{2790AFD0-F911-47EE-AD83-6FD1CAB9DB73}" name="ปกส." dataDxfId="54"/>
    <tableColumn id="13" xr3:uid="{EEBD4AA1-FBE5-45A7-B503-AD87DADD0EE4}" name="ยอดจ่ายเงินกู้" dataDxfId="53"/>
    <tableColumn id="14" xr3:uid="{1B119CF5-EEEF-48FD-B590-0FD33D2CBCB4}" name="เงินกู้ค้าง" dataDxfId="52"/>
    <tableColumn id="15" xr3:uid="{EFB3EF18-F347-49D6-806C-12BDC7369358}" name="สวัสดิการอื่นๆ"/>
    <tableColumn id="16" xr3:uid="{E2B392E9-96EF-4919-929B-98745D615ECE}" name="หนี้" dataDxfId="51"/>
    <tableColumn id="17" xr3:uid="{53AB59AC-40AD-4363-8053-7B3DCD60D399}" name="สาย" dataDxfId="50"/>
    <tableColumn id="18" xr3:uid="{D45CA715-B54E-471C-82C5-2E3E23D4F2E6}" name="ลา" dataDxfId="49">
      <calculatedColumnFormula>(E3/30)*IF(W3=0,0,W3) + (E3/30)*IF(Z3=0,0,Z3)</calculatedColumnFormula>
    </tableColumn>
    <tableColumn id="19" xr3:uid="{8F474D37-8BED-4D57-913D-65067E26A3D4}" name="ยอดเป้า" dataDxfId="48"/>
    <tableColumn id="20" xr3:uid="{87A93449-7916-4B14-A367-E8233A94C460}" name="โบนัส" dataDxfId="47"/>
    <tableColumn id="21" xr3:uid="{4C82D04F-A16E-40FE-B62C-158702C1E753}" name="รายได้สุทธิ" dataDxfId="46">
      <calculatedColumnFormula>ROUND(E3+F3+G3+H3+I3+J3-K3-L3-M3+O3-P3-Q3-R3+S3+T3,0)</calculatedColumnFormula>
    </tableColumn>
    <tableColumn id="22" xr3:uid="{77B371E8-9660-4CD7-9B7E-41F6C0489AEB}" name="Email" dataDxfId="45" dataCellStyle="Hyperlink"/>
    <tableColumn id="23" xr3:uid="{6909F05D-4D8C-4047-BC11-9F5AEFE32456}" name="ขาด (วัน)" dataDxfId="44"/>
    <tableColumn id="24" xr3:uid="{A45D82DD-9126-4094-9928-7787D55B1F8B}" name="สาย (นาที)" dataDxfId="43"/>
    <tableColumn id="25" xr3:uid="{5D20BF77-5CA3-4C33-AE35-0C4CC2A347C3}" name="ลาป่วย (วัน)" dataDxfId="42"/>
    <tableColumn id="26" xr3:uid="{40DBC4EB-8C96-4140-A3F9-396A7CA4A7EA}" name="ลากิจ (วัน)" dataDxfId="41"/>
    <tableColumn id="27" xr3:uid="{F0034960-8907-44B8-AC15-0DF00A2EB869}" name="ลาพักร้อน (วัน)" dataDxfId="40"/>
    <tableColumn id="28" xr3:uid="{EF06EAA6-28D2-4C22-8B4F-C74887FE143A}" name="OT (วัน)" dataDxfId="39"/>
    <tableColumn id="29" xr3:uid="{4958DDC3-7100-43BC-835B-E521430F259C}" name="ค่าล่วงเวลา (ชั่วโมง)" dataDxfId="38"/>
    <tableColumn id="30" xr3:uid="{E7AA3431-8398-418A-A08F-12A75896BCDA}" name="ค่าล่วงเวลา (ชั่วโมง) คูณ 3" dataDxfId="37"/>
    <tableColumn id="31" xr3:uid="{1FD90E24-51F0-4A27-89FF-09680C60081B}" name="ภาษา" dataDxfId="36"/>
    <tableColumn id="32" xr3:uid="{78500FA9-489B-41F7-885C-A7D8978BB64E}" name="เงินสด" dataDxfId="35"/>
    <tableColumn id="33" xr3:uid="{F659282D-219F-4997-BD36-1B6FADD7F949}" name="Promtpay" dataDxfId="3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ypim279@gmail.com" TargetMode="External"/><Relationship Id="rId13" Type="http://schemas.openxmlformats.org/officeDocument/2006/relationships/hyperlink" Target="mailto:suksan.nick004@gmail.com" TargetMode="External"/><Relationship Id="rId18" Type="http://schemas.openxmlformats.org/officeDocument/2006/relationships/hyperlink" Target="mailto:chen.wutthiwong4@gmail.com" TargetMode="External"/><Relationship Id="rId26" Type="http://schemas.openxmlformats.org/officeDocument/2006/relationships/hyperlink" Target="mailto:susuwin1900@gmail.com" TargetMode="External"/><Relationship Id="rId3" Type="http://schemas.openxmlformats.org/officeDocument/2006/relationships/hyperlink" Target="mailto:lac98839@gmail.com" TargetMode="External"/><Relationship Id="rId21" Type="http://schemas.openxmlformats.org/officeDocument/2006/relationships/hyperlink" Target="mailto:panupol123za@gmail.com" TargetMode="External"/><Relationship Id="rId7" Type="http://schemas.openxmlformats.org/officeDocument/2006/relationships/hyperlink" Target="mailto:adisornn1996@gmail.com" TargetMode="External"/><Relationship Id="rId12" Type="http://schemas.openxmlformats.org/officeDocument/2006/relationships/hyperlink" Target="mailto:mayurudee2528@gmail.com" TargetMode="External"/><Relationship Id="rId17" Type="http://schemas.openxmlformats.org/officeDocument/2006/relationships/hyperlink" Target="mailto:yya665048@gmail.com" TargetMode="External"/><Relationship Id="rId25" Type="http://schemas.openxmlformats.org/officeDocument/2006/relationships/hyperlink" Target="mailto:ploy3plus@gmail.com" TargetMode="External"/><Relationship Id="rId2" Type="http://schemas.openxmlformats.org/officeDocument/2006/relationships/hyperlink" Target="mailto:takkyvillai@gmail.com" TargetMode="External"/><Relationship Id="rId16" Type="http://schemas.openxmlformats.org/officeDocument/2006/relationships/hyperlink" Target="mailto:jjt0956@gmail.com" TargetMode="External"/><Relationship Id="rId20" Type="http://schemas.openxmlformats.org/officeDocument/2006/relationships/hyperlink" Target="mailto:maxwwecom@gmail.com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ahla78453@gmail.com" TargetMode="External"/><Relationship Id="rId6" Type="http://schemas.openxmlformats.org/officeDocument/2006/relationships/hyperlink" Target="mailto:jirapa1999nat@gmail.com" TargetMode="External"/><Relationship Id="rId11" Type="http://schemas.openxmlformats.org/officeDocument/2006/relationships/hyperlink" Target="mailto:suthasinee2817@gmail.com" TargetMode="External"/><Relationship Id="rId24" Type="http://schemas.openxmlformats.org/officeDocument/2006/relationships/hyperlink" Target="mailto:playfaniransukh@gmail.com" TargetMode="External"/><Relationship Id="rId5" Type="http://schemas.openxmlformats.org/officeDocument/2006/relationships/hyperlink" Target="mailto:ladavi884@gmail.com" TargetMode="External"/><Relationship Id="rId15" Type="http://schemas.openxmlformats.org/officeDocument/2006/relationships/hyperlink" Target="mailto:duungkamon1234@gmail.com" TargetMode="External"/><Relationship Id="rId23" Type="http://schemas.openxmlformats.org/officeDocument/2006/relationships/hyperlink" Target="mailto:paju1595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anupol123za@gmail.com" TargetMode="External"/><Relationship Id="rId19" Type="http://schemas.openxmlformats.org/officeDocument/2006/relationships/hyperlink" Target="mailto:abdullohawae141997@gmail.com" TargetMode="External"/><Relationship Id="rId4" Type="http://schemas.openxmlformats.org/officeDocument/2006/relationships/hyperlink" Target="mailto:love_sun8297@hotmail.com" TargetMode="External"/><Relationship Id="rId9" Type="http://schemas.openxmlformats.org/officeDocument/2006/relationships/hyperlink" Target="mailto:Akekawin05s@gmail.com" TargetMode="External"/><Relationship Id="rId14" Type="http://schemas.openxmlformats.org/officeDocument/2006/relationships/hyperlink" Target="mailto:rungtavee076@gmail.com" TargetMode="External"/><Relationship Id="rId22" Type="http://schemas.openxmlformats.org/officeDocument/2006/relationships/hyperlink" Target="mailto:nnay64204@gmail.com" TargetMode="External"/><Relationship Id="rId27" Type="http://schemas.openxmlformats.org/officeDocument/2006/relationships/hyperlink" Target="mailto:nachiyasan713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hetthaprgg@gmail.com" TargetMode="External"/><Relationship Id="rId18" Type="http://schemas.openxmlformats.org/officeDocument/2006/relationships/hyperlink" Target="mailto:emrudee2419@gmail.com" TargetMode="External"/><Relationship Id="rId26" Type="http://schemas.openxmlformats.org/officeDocument/2006/relationships/hyperlink" Target="mailto:muqerdee1981@gmail.com" TargetMode="External"/><Relationship Id="rId3" Type="http://schemas.openxmlformats.org/officeDocument/2006/relationships/hyperlink" Target="mailto:Wipaporn.pra50@gmail.com" TargetMode="External"/><Relationship Id="rId21" Type="http://schemas.openxmlformats.org/officeDocument/2006/relationships/hyperlink" Target="mailto:nonatee647@gmail.com" TargetMode="External"/><Relationship Id="rId7" Type="http://schemas.openxmlformats.org/officeDocument/2006/relationships/hyperlink" Target="mailto:paponpatrojjanadara@gmail.com" TargetMode="External"/><Relationship Id="rId12" Type="http://schemas.openxmlformats.org/officeDocument/2006/relationships/hyperlink" Target="mailto:suks7206@gmail.com" TargetMode="External"/><Relationship Id="rId17" Type="http://schemas.openxmlformats.org/officeDocument/2006/relationships/hyperlink" Target="mailto:suchat349763@gmail.com" TargetMode="External"/><Relationship Id="rId25" Type="http://schemas.openxmlformats.org/officeDocument/2006/relationships/hyperlink" Target="mailto:Joeeboyphonphakdee@gmail.com" TargetMode="External"/><Relationship Id="rId33" Type="http://schemas.openxmlformats.org/officeDocument/2006/relationships/table" Target="../tables/table2.xml"/><Relationship Id="rId2" Type="http://schemas.openxmlformats.org/officeDocument/2006/relationships/hyperlink" Target="mailto:tawan.yekoko@gmail.com" TargetMode="External"/><Relationship Id="rId16" Type="http://schemas.openxmlformats.org/officeDocument/2006/relationships/hyperlink" Target="mailto:xrisraswasdichay031@gmail.com" TargetMode="External"/><Relationship Id="rId20" Type="http://schemas.openxmlformats.org/officeDocument/2006/relationships/hyperlink" Target="mailto:sretthichok1@gmail.com" TargetMode="External"/><Relationship Id="rId29" Type="http://schemas.openxmlformats.org/officeDocument/2006/relationships/hyperlink" Target="mailto:saharatmingman990@gmail.com" TargetMode="External"/><Relationship Id="rId1" Type="http://schemas.openxmlformats.org/officeDocument/2006/relationships/hyperlink" Target="mailto:bunthoeurn08092@gmail.com" TargetMode="External"/><Relationship Id="rId6" Type="http://schemas.openxmlformats.org/officeDocument/2006/relationships/hyperlink" Target="mailto:mim648890@gmail.com" TargetMode="External"/><Relationship Id="rId11" Type="http://schemas.openxmlformats.org/officeDocument/2006/relationships/hyperlink" Target="mailto:yago23my@gmail.com" TargetMode="External"/><Relationship Id="rId24" Type="http://schemas.openxmlformats.org/officeDocument/2006/relationships/hyperlink" Target="mailto:kitsna5453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cfdd4726@gmail.com" TargetMode="External"/><Relationship Id="rId15" Type="http://schemas.openxmlformats.org/officeDocument/2006/relationships/hyperlink" Target="mailto:pennapa.jaicham45@gmail.com" TargetMode="External"/><Relationship Id="rId23" Type="http://schemas.openxmlformats.org/officeDocument/2006/relationships/hyperlink" Target="mailto:muqerdee1981@gmail.com" TargetMode="External"/><Relationship Id="rId28" Type="http://schemas.openxmlformats.org/officeDocument/2006/relationships/hyperlink" Target="mailto:Phetvilaisin13@gmail.com" TargetMode="External"/><Relationship Id="rId10" Type="http://schemas.openxmlformats.org/officeDocument/2006/relationships/hyperlink" Target="mailto:beempailin27@gmail.com" TargetMode="External"/><Relationship Id="rId19" Type="http://schemas.openxmlformats.org/officeDocument/2006/relationships/hyperlink" Target="mailto:Fern090362@gmail.com" TargetMode="External"/><Relationship Id="rId31" Type="http://schemas.openxmlformats.org/officeDocument/2006/relationships/hyperlink" Target="mailto:jackphommajun@gmail.com" TargetMode="External"/><Relationship Id="rId4" Type="http://schemas.openxmlformats.org/officeDocument/2006/relationships/hyperlink" Target="mailto:hanafeechedong282546@gmail.com" TargetMode="External"/><Relationship Id="rId9" Type="http://schemas.openxmlformats.org/officeDocument/2006/relationships/hyperlink" Target="mailto:mew29052545@gmail.com" TargetMode="External"/><Relationship Id="rId14" Type="http://schemas.openxmlformats.org/officeDocument/2006/relationships/hyperlink" Target="mailto:jackke.05032003@gmail.com" TargetMode="External"/><Relationship Id="rId22" Type="http://schemas.openxmlformats.org/officeDocument/2006/relationships/hyperlink" Target="mailto:siripongplyungwong@gmail.com" TargetMode="External"/><Relationship Id="rId27" Type="http://schemas.openxmlformats.org/officeDocument/2006/relationships/hyperlink" Target="mailto:vatsana1061995@gmail.com" TargetMode="External"/><Relationship Id="rId30" Type="http://schemas.openxmlformats.org/officeDocument/2006/relationships/hyperlink" Target="mailto:lysey052@gmail.com" TargetMode="External"/><Relationship Id="rId8" Type="http://schemas.openxmlformats.org/officeDocument/2006/relationships/hyperlink" Target="mailto:khamnanboonpen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isniheng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peerapattae80s@gmail.com" TargetMode="External"/><Relationship Id="rId1" Type="http://schemas.openxmlformats.org/officeDocument/2006/relationships/hyperlink" Target="mailto:rodpibat1992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cemmiphnphakdi@gmail.com" TargetMode="External"/><Relationship Id="rId4" Type="http://schemas.openxmlformats.org/officeDocument/2006/relationships/hyperlink" Target="mailto:fatihah.yiham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i8079454@gmail.com" TargetMode="External"/><Relationship Id="rId13" Type="http://schemas.openxmlformats.org/officeDocument/2006/relationships/hyperlink" Target="mailto:kyawkyawaungthu7@gmail.com" TargetMode="External"/><Relationship Id="rId18" Type="http://schemas.openxmlformats.org/officeDocument/2006/relationships/hyperlink" Target="mailto:pantakan369@gmail.com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muhammatikwaltehmah@gmail.com" TargetMode="External"/><Relationship Id="rId21" Type="http://schemas.openxmlformats.org/officeDocument/2006/relationships/hyperlink" Target="mailto:Dawwanchom@gmail.com" TargetMode="External"/><Relationship Id="rId7" Type="http://schemas.openxmlformats.org/officeDocument/2006/relationships/hyperlink" Target="mailto:jta875094@gmail.com" TargetMode="External"/><Relationship Id="rId12" Type="http://schemas.openxmlformats.org/officeDocument/2006/relationships/hyperlink" Target="mailto:plusmobile67p@gmail.com" TargetMode="External"/><Relationship Id="rId17" Type="http://schemas.openxmlformats.org/officeDocument/2006/relationships/hyperlink" Target="mailto:maekin2681@gmail.com" TargetMode="External"/><Relationship Id="rId25" Type="http://schemas.openxmlformats.org/officeDocument/2006/relationships/hyperlink" Target="mailto:saelimxe879@gmail.com" TargetMode="External"/><Relationship Id="rId2" Type="http://schemas.openxmlformats.org/officeDocument/2006/relationships/hyperlink" Target="mailto:ibrohengmasae280742@gmail.com" TargetMode="External"/><Relationship Id="rId16" Type="http://schemas.openxmlformats.org/officeDocument/2006/relationships/hyperlink" Target="mailto:oppo064498@gmail.com" TargetMode="External"/><Relationship Id="rId20" Type="http://schemas.openxmlformats.org/officeDocument/2006/relationships/hyperlink" Target="mailto:xamzsaers@gmail.com" TargetMode="External"/><Relationship Id="rId1" Type="http://schemas.openxmlformats.org/officeDocument/2006/relationships/hyperlink" Target="mailto:fareeda426677@gmail.com" TargetMode="External"/><Relationship Id="rId6" Type="http://schemas.openxmlformats.org/officeDocument/2006/relationships/hyperlink" Target="mailto:latlan98@gmail.com" TargetMode="External"/><Relationship Id="rId11" Type="http://schemas.openxmlformats.org/officeDocument/2006/relationships/hyperlink" Target="mailto:leescreamoemopunk@hotmail.com" TargetMode="External"/><Relationship Id="rId24" Type="http://schemas.openxmlformats.org/officeDocument/2006/relationships/hyperlink" Target="mailto:khunthai0503@gmail.com" TargetMode="External"/><Relationship Id="rId5" Type="http://schemas.openxmlformats.org/officeDocument/2006/relationships/hyperlink" Target="mailto:oo7419074@gmail.com" TargetMode="External"/><Relationship Id="rId15" Type="http://schemas.openxmlformats.org/officeDocument/2006/relationships/hyperlink" Target="mailto:nicephone878@gmail.com" TargetMode="External"/><Relationship Id="rId23" Type="http://schemas.openxmlformats.org/officeDocument/2006/relationships/hyperlink" Target="mailto:aukkadat555@gmail.com" TargetMode="External"/><Relationship Id="rId10" Type="http://schemas.openxmlformats.org/officeDocument/2006/relationships/hyperlink" Target="mailto:mahamacharifnawae@gmail.com" TargetMode="External"/><Relationship Id="rId19" Type="http://schemas.openxmlformats.org/officeDocument/2006/relationships/hyperlink" Target="mailto:aumaim0808aumaim@gmail.com" TargetMode="External"/><Relationship Id="rId4" Type="http://schemas.openxmlformats.org/officeDocument/2006/relationships/hyperlink" Target="mailto:h52809590@gmail.com" TargetMode="External"/><Relationship Id="rId9" Type="http://schemas.openxmlformats.org/officeDocument/2006/relationships/hyperlink" Target="mailto:Muhammadnisoh2005@gmail.com" TargetMode="External"/><Relationship Id="rId14" Type="http://schemas.openxmlformats.org/officeDocument/2006/relationships/hyperlink" Target="mailto:parawahidamalee@gmail.com" TargetMode="External"/><Relationship Id="rId22" Type="http://schemas.openxmlformats.org/officeDocument/2006/relationships/hyperlink" Target="mailto:thetchitsoethetchitsoe@gmail.com" TargetMode="External"/><Relationship Id="rId27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ptpa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C034-91D0-4014-AB74-94A9A8317BF4}">
  <dimension ref="A1:AG39"/>
  <sheetViews>
    <sheetView showGridLines="0" tabSelected="1" zoomScaleNormal="100" zoomScaleSheetLayoutView="73" workbookViewId="0">
      <selection activeCell="V33" sqref="V33"/>
    </sheetView>
  </sheetViews>
  <sheetFormatPr defaultColWidth="7.5" defaultRowHeight="22.5" customHeight="1" x14ac:dyDescent="0.2"/>
  <cols>
    <col min="1" max="1" width="8.875" style="1" customWidth="1"/>
    <col min="2" max="2" width="29" style="1" customWidth="1"/>
    <col min="3" max="3" width="10.875" style="1" customWidth="1"/>
    <col min="4" max="4" width="16.125" style="1" customWidth="1"/>
    <col min="5" max="15" width="10.875" style="1" customWidth="1"/>
    <col min="16" max="16" width="10.875" style="46" customWidth="1"/>
    <col min="17" max="20" width="10.875" style="1" customWidth="1"/>
    <col min="21" max="21" width="12.5" style="1" customWidth="1"/>
    <col min="22" max="22" width="33.375" style="1" customWidth="1"/>
    <col min="23" max="27" width="10.875" style="5" customWidth="1"/>
    <col min="28" max="28" width="9.25" style="5" customWidth="1"/>
    <col min="29" max="29" width="12.25" style="5" customWidth="1"/>
    <col min="30" max="30" width="18.5" style="104" customWidth="1"/>
    <col min="31" max="32" width="9.125" style="1" customWidth="1"/>
    <col min="33" max="33" width="19.375" style="1" customWidth="1"/>
    <col min="34" max="16384" width="7.5" style="1"/>
  </cols>
  <sheetData>
    <row r="1" spans="1:33" ht="31.35" customHeight="1" x14ac:dyDescent="0.2">
      <c r="A1" s="374" t="s">
        <v>390</v>
      </c>
      <c r="B1" s="375"/>
    </row>
    <row r="2" spans="1:33" ht="21.95" customHeight="1" x14ac:dyDescent="0.2">
      <c r="A2" s="9" t="s">
        <v>0</v>
      </c>
      <c r="B2" s="23" t="s">
        <v>1</v>
      </c>
      <c r="C2" s="9" t="s">
        <v>2</v>
      </c>
      <c r="D2" s="9" t="s">
        <v>3</v>
      </c>
      <c r="E2" s="24" t="s">
        <v>4</v>
      </c>
      <c r="F2" s="24" t="s">
        <v>5</v>
      </c>
      <c r="G2" s="24" t="s">
        <v>6</v>
      </c>
      <c r="H2" s="25" t="s">
        <v>7</v>
      </c>
      <c r="I2" s="25" t="s">
        <v>179</v>
      </c>
      <c r="J2" s="26" t="s">
        <v>8</v>
      </c>
      <c r="K2" s="27" t="s">
        <v>9</v>
      </c>
      <c r="L2" s="25" t="s">
        <v>10</v>
      </c>
      <c r="M2" s="27" t="s">
        <v>11</v>
      </c>
      <c r="N2" s="28" t="s">
        <v>12</v>
      </c>
      <c r="O2" s="11" t="s">
        <v>13</v>
      </c>
      <c r="P2" s="2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11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177</v>
      </c>
      <c r="AE2" s="96" t="s">
        <v>28</v>
      </c>
      <c r="AF2" s="96" t="s">
        <v>211</v>
      </c>
      <c r="AG2" s="182" t="s">
        <v>248</v>
      </c>
    </row>
    <row r="3" spans="1:33" ht="21.95" customHeight="1" x14ac:dyDescent="0.2">
      <c r="A3" s="102">
        <v>1</v>
      </c>
      <c r="B3" s="98" t="s">
        <v>29</v>
      </c>
      <c r="C3" s="215" t="s">
        <v>30</v>
      </c>
      <c r="D3" s="50" t="s">
        <v>31</v>
      </c>
      <c r="E3" s="16">
        <f>15000+450+387</f>
        <v>15837</v>
      </c>
      <c r="F3" s="24">
        <v>2000</v>
      </c>
      <c r="G3" s="16">
        <f t="shared" ref="G3:G14" si="0">(E3/30)*AB3</f>
        <v>1583.6999999999998</v>
      </c>
      <c r="H3" s="30">
        <f t="shared" ref="H3:H29" si="1">(((E3/30)/8*1.5))*AC3</f>
        <v>692.86874999999986</v>
      </c>
      <c r="I3" s="14">
        <f t="shared" ref="I3:I29" si="2">(((E3/30)/8*3))*AD3</f>
        <v>0</v>
      </c>
      <c r="J3" s="19">
        <v>900</v>
      </c>
      <c r="K3" s="14">
        <v>4000</v>
      </c>
      <c r="L3" s="97">
        <v>750</v>
      </c>
      <c r="M3" s="29"/>
      <c r="N3" s="30"/>
      <c r="O3" s="13">
        <v>4000</v>
      </c>
      <c r="P3" s="48">
        <v>909</v>
      </c>
      <c r="Q3" s="14"/>
      <c r="R3" s="15">
        <f t="shared" ref="R3:R29" si="3">(E3/30)*IF(W3=0,0,W3) + (E3/30)*IF(Z3=0,0,Z3)</f>
        <v>0</v>
      </c>
      <c r="S3" s="19"/>
      <c r="T3" s="14"/>
      <c r="U3" s="14">
        <f t="shared" ref="U3:U29" si="4">ROUND(E3+F3+G3+H3+I3+J3-K3-L3-M3+O3-P3-Q3-R3+S3+T3,0)</f>
        <v>19355</v>
      </c>
      <c r="V3" s="52" t="s">
        <v>32</v>
      </c>
      <c r="X3" s="4"/>
      <c r="Y3" s="4"/>
      <c r="Z3" s="4"/>
      <c r="AA3" s="4"/>
      <c r="AB3" s="4">
        <v>3</v>
      </c>
      <c r="AC3" s="4">
        <v>7</v>
      </c>
      <c r="AD3" s="55"/>
      <c r="AE3" s="22" t="s">
        <v>33</v>
      </c>
      <c r="AF3" s="22"/>
      <c r="AG3" s="186"/>
    </row>
    <row r="4" spans="1:33" ht="21.95" customHeight="1" x14ac:dyDescent="0.2">
      <c r="A4" s="102">
        <v>2</v>
      </c>
      <c r="B4" s="98" t="s">
        <v>34</v>
      </c>
      <c r="C4" s="215" t="s">
        <v>35</v>
      </c>
      <c r="D4" s="50" t="s">
        <v>36</v>
      </c>
      <c r="E4" s="16">
        <f>13520+406+279</f>
        <v>14205</v>
      </c>
      <c r="F4" s="16"/>
      <c r="G4" s="16">
        <f t="shared" si="0"/>
        <v>947</v>
      </c>
      <c r="H4" s="30">
        <f t="shared" si="1"/>
        <v>532.6875</v>
      </c>
      <c r="I4" s="14">
        <f t="shared" si="2"/>
        <v>0</v>
      </c>
      <c r="J4" s="19"/>
      <c r="K4" s="14">
        <v>6000</v>
      </c>
      <c r="L4" s="97">
        <v>710.25</v>
      </c>
      <c r="M4" s="29"/>
      <c r="N4" s="30"/>
      <c r="O4" s="14"/>
      <c r="P4" s="48"/>
      <c r="Q4" s="14"/>
      <c r="R4" s="15">
        <f t="shared" si="3"/>
        <v>0</v>
      </c>
      <c r="S4" s="19"/>
      <c r="T4" s="14"/>
      <c r="U4" s="14">
        <f t="shared" si="4"/>
        <v>8974</v>
      </c>
      <c r="V4" s="42" t="s">
        <v>37</v>
      </c>
      <c r="W4" s="4"/>
      <c r="X4" s="4"/>
      <c r="Y4" s="4"/>
      <c r="Z4" s="4"/>
      <c r="AA4" s="4"/>
      <c r="AB4" s="4">
        <v>2</v>
      </c>
      <c r="AC4" s="4">
        <v>6</v>
      </c>
      <c r="AD4" s="55"/>
      <c r="AE4" s="22" t="s">
        <v>33</v>
      </c>
      <c r="AF4" s="22"/>
      <c r="AG4" s="183"/>
    </row>
    <row r="5" spans="1:33" ht="21.95" customHeight="1" x14ac:dyDescent="0.2">
      <c r="A5" s="102">
        <v>3</v>
      </c>
      <c r="B5" s="214" t="s">
        <v>38</v>
      </c>
      <c r="C5" s="215" t="s">
        <v>39</v>
      </c>
      <c r="D5" s="50" t="s">
        <v>36</v>
      </c>
      <c r="E5" s="16">
        <f>13520+271+276</f>
        <v>14067</v>
      </c>
      <c r="F5" s="16"/>
      <c r="G5" s="16">
        <f t="shared" si="0"/>
        <v>937.8</v>
      </c>
      <c r="H5" s="30">
        <f t="shared" si="1"/>
        <v>527.51249999999993</v>
      </c>
      <c r="I5" s="14">
        <f t="shared" si="2"/>
        <v>0</v>
      </c>
      <c r="J5" s="19">
        <v>900</v>
      </c>
      <c r="K5" s="14">
        <v>3000</v>
      </c>
      <c r="L5" s="51"/>
      <c r="M5" s="38">
        <v>2700</v>
      </c>
      <c r="N5" s="312">
        <v>5400</v>
      </c>
      <c r="O5" s="364">
        <v>500</v>
      </c>
      <c r="P5" s="49"/>
      <c r="Q5" s="14"/>
      <c r="R5" s="15">
        <f t="shared" si="3"/>
        <v>0</v>
      </c>
      <c r="S5" s="19"/>
      <c r="T5" s="14"/>
      <c r="U5" s="14">
        <f t="shared" si="4"/>
        <v>11232</v>
      </c>
      <c r="V5" s="41" t="s">
        <v>151</v>
      </c>
      <c r="W5" s="4"/>
      <c r="X5" s="4"/>
      <c r="Y5" s="4"/>
      <c r="Z5" s="4"/>
      <c r="AA5" s="4"/>
      <c r="AB5" s="4">
        <v>2</v>
      </c>
      <c r="AC5" s="4">
        <v>6</v>
      </c>
      <c r="AD5" s="55"/>
      <c r="AE5" s="22" t="s">
        <v>33</v>
      </c>
      <c r="AF5" s="22"/>
      <c r="AG5" s="186" t="s">
        <v>274</v>
      </c>
    </row>
    <row r="6" spans="1:33" ht="21.95" customHeight="1" x14ac:dyDescent="0.2">
      <c r="A6" s="102">
        <v>4</v>
      </c>
      <c r="B6" s="214" t="s">
        <v>40</v>
      </c>
      <c r="C6" s="215" t="s">
        <v>41</v>
      </c>
      <c r="D6" s="50" t="s">
        <v>42</v>
      </c>
      <c r="E6" s="16">
        <f>21000+630+433</f>
        <v>22063</v>
      </c>
      <c r="F6" s="24">
        <v>1500</v>
      </c>
      <c r="G6" s="16">
        <f t="shared" si="0"/>
        <v>1470.8666666666666</v>
      </c>
      <c r="H6" s="30">
        <f t="shared" si="1"/>
        <v>965.25624999999991</v>
      </c>
      <c r="I6" s="14">
        <f t="shared" si="2"/>
        <v>0</v>
      </c>
      <c r="J6" s="19">
        <v>1000</v>
      </c>
      <c r="K6" s="14">
        <v>1000</v>
      </c>
      <c r="L6" s="51"/>
      <c r="M6" s="38"/>
      <c r="N6" s="344"/>
      <c r="O6" s="36"/>
      <c r="P6" s="49">
        <v>100</v>
      </c>
      <c r="Q6" s="14"/>
      <c r="R6" s="14">
        <f t="shared" si="3"/>
        <v>0</v>
      </c>
      <c r="S6" s="19"/>
      <c r="T6" s="14"/>
      <c r="U6" s="14">
        <f t="shared" si="4"/>
        <v>25899</v>
      </c>
      <c r="V6" s="42" t="s">
        <v>43</v>
      </c>
      <c r="W6" s="4"/>
      <c r="X6" s="4"/>
      <c r="Y6" s="4"/>
      <c r="Z6" s="4"/>
      <c r="AA6" s="4"/>
      <c r="AB6" s="4">
        <v>2</v>
      </c>
      <c r="AC6" s="4">
        <v>7</v>
      </c>
      <c r="AD6" s="55"/>
      <c r="AE6" s="22" t="s">
        <v>33</v>
      </c>
      <c r="AF6" s="22"/>
      <c r="AG6" s="186" t="s">
        <v>282</v>
      </c>
    </row>
    <row r="7" spans="1:33" ht="21.95" customHeight="1" x14ac:dyDescent="0.45">
      <c r="A7" s="102">
        <v>5</v>
      </c>
      <c r="B7" s="214" t="s">
        <v>157</v>
      </c>
      <c r="C7" s="215" t="s">
        <v>44</v>
      </c>
      <c r="D7" s="50" t="s">
        <v>45</v>
      </c>
      <c r="E7" s="16">
        <f>12600+378+260</f>
        <v>13238</v>
      </c>
      <c r="F7" s="16"/>
      <c r="G7" s="16">
        <f t="shared" si="0"/>
        <v>882.5333333333333</v>
      </c>
      <c r="H7" s="30">
        <f t="shared" si="1"/>
        <v>413.6875</v>
      </c>
      <c r="I7" s="14">
        <f t="shared" si="2"/>
        <v>0</v>
      </c>
      <c r="J7" s="19"/>
      <c r="K7" s="14">
        <v>5000</v>
      </c>
      <c r="L7" s="51"/>
      <c r="M7" s="38">
        <v>2750</v>
      </c>
      <c r="N7" s="312">
        <v>2750</v>
      </c>
      <c r="O7" s="13">
        <v>1000</v>
      </c>
      <c r="P7" s="49"/>
      <c r="Q7" s="14"/>
      <c r="R7" s="15">
        <f t="shared" si="3"/>
        <v>441.26666666666665</v>
      </c>
      <c r="S7" s="19"/>
      <c r="T7" s="14"/>
      <c r="U7" s="14">
        <f t="shared" si="4"/>
        <v>7343</v>
      </c>
      <c r="V7" s="53" t="s">
        <v>46</v>
      </c>
      <c r="W7" s="4"/>
      <c r="X7" s="4"/>
      <c r="Y7" s="4"/>
      <c r="Z7" s="4">
        <v>1</v>
      </c>
      <c r="AA7" s="4"/>
      <c r="AB7" s="4">
        <v>2</v>
      </c>
      <c r="AC7" s="4">
        <v>5</v>
      </c>
      <c r="AD7" s="55"/>
      <c r="AE7" s="22" t="s">
        <v>33</v>
      </c>
      <c r="AF7" s="22"/>
      <c r="AG7" s="186" t="s">
        <v>252</v>
      </c>
    </row>
    <row r="8" spans="1:33" ht="21.95" customHeight="1" x14ac:dyDescent="0.2">
      <c r="A8" s="102">
        <v>6</v>
      </c>
      <c r="B8" s="214" t="s">
        <v>163</v>
      </c>
      <c r="C8" s="216" t="s">
        <v>48</v>
      </c>
      <c r="D8" s="54" t="s">
        <v>45</v>
      </c>
      <c r="E8" s="31">
        <f>11550+347+298</f>
        <v>12195</v>
      </c>
      <c r="F8" s="31"/>
      <c r="G8" s="16">
        <f t="shared" si="0"/>
        <v>813</v>
      </c>
      <c r="H8" s="30">
        <f t="shared" si="1"/>
        <v>381.09375</v>
      </c>
      <c r="I8" s="14">
        <f t="shared" si="2"/>
        <v>0</v>
      </c>
      <c r="J8" s="19">
        <v>1000</v>
      </c>
      <c r="K8" s="14">
        <v>2000</v>
      </c>
      <c r="L8" s="51"/>
      <c r="M8" s="38">
        <v>2750</v>
      </c>
      <c r="N8" s="312">
        <v>2750</v>
      </c>
      <c r="O8" s="14"/>
      <c r="P8" s="49"/>
      <c r="Q8" s="14"/>
      <c r="R8" s="15">
        <f t="shared" si="3"/>
        <v>0</v>
      </c>
      <c r="S8" s="19"/>
      <c r="T8" s="14"/>
      <c r="U8" s="14">
        <f t="shared" si="4"/>
        <v>9639</v>
      </c>
      <c r="V8" s="42" t="s">
        <v>49</v>
      </c>
      <c r="W8" s="4"/>
      <c r="X8" s="4"/>
      <c r="Y8" s="4"/>
      <c r="Z8" s="4"/>
      <c r="AA8" s="4"/>
      <c r="AB8" s="4">
        <v>2</v>
      </c>
      <c r="AC8" s="4">
        <v>5</v>
      </c>
      <c r="AD8" s="55"/>
      <c r="AE8" s="22" t="s">
        <v>33</v>
      </c>
      <c r="AF8" s="22"/>
      <c r="AG8" s="186" t="s">
        <v>275</v>
      </c>
    </row>
    <row r="9" spans="1:33" ht="21.95" customHeight="1" x14ac:dyDescent="0.2">
      <c r="A9" s="102">
        <v>7</v>
      </c>
      <c r="B9" s="98" t="s">
        <v>50</v>
      </c>
      <c r="C9" s="216" t="s">
        <v>51</v>
      </c>
      <c r="D9" s="50" t="s">
        <v>55</v>
      </c>
      <c r="E9" s="31">
        <f>13125+394+271</f>
        <v>13790</v>
      </c>
      <c r="F9" s="25">
        <v>2000</v>
      </c>
      <c r="G9" s="16">
        <f t="shared" si="0"/>
        <v>0</v>
      </c>
      <c r="H9" s="30">
        <f t="shared" si="1"/>
        <v>517.125</v>
      </c>
      <c r="I9" s="14">
        <f t="shared" si="2"/>
        <v>0</v>
      </c>
      <c r="J9" s="19"/>
      <c r="K9" s="14"/>
      <c r="L9" s="97">
        <v>689.5</v>
      </c>
      <c r="M9" s="40"/>
      <c r="N9" s="103"/>
      <c r="O9" s="36"/>
      <c r="P9" s="49"/>
      <c r="Q9" s="14"/>
      <c r="R9" s="15">
        <f t="shared" si="3"/>
        <v>459.66666666666669</v>
      </c>
      <c r="S9" s="19"/>
      <c r="T9" s="14"/>
      <c r="U9" s="14">
        <f t="shared" si="4"/>
        <v>15158</v>
      </c>
      <c r="V9" s="41" t="s">
        <v>52</v>
      </c>
      <c r="W9" s="4"/>
      <c r="X9" s="4">
        <v>17</v>
      </c>
      <c r="Y9" s="4"/>
      <c r="Z9" s="4">
        <v>1</v>
      </c>
      <c r="AA9" s="4">
        <v>10</v>
      </c>
      <c r="AB9" s="4"/>
      <c r="AC9" s="4">
        <v>6</v>
      </c>
      <c r="AD9" s="55"/>
      <c r="AE9" s="22" t="s">
        <v>33</v>
      </c>
      <c r="AF9" s="22"/>
      <c r="AG9" s="186"/>
    </row>
    <row r="10" spans="1:33" ht="21.95" customHeight="1" x14ac:dyDescent="0.2">
      <c r="A10" s="102">
        <v>8</v>
      </c>
      <c r="B10" s="214" t="s">
        <v>159</v>
      </c>
      <c r="C10" s="217" t="s">
        <v>63</v>
      </c>
      <c r="D10" s="162" t="s">
        <v>45</v>
      </c>
      <c r="E10" s="17">
        <f>10400+312+268</f>
        <v>10980</v>
      </c>
      <c r="F10" s="14"/>
      <c r="G10" s="16">
        <f t="shared" si="0"/>
        <v>732</v>
      </c>
      <c r="H10" s="30">
        <f t="shared" si="1"/>
        <v>343.125</v>
      </c>
      <c r="I10" s="14">
        <f t="shared" si="2"/>
        <v>0</v>
      </c>
      <c r="J10" s="19"/>
      <c r="K10" s="14">
        <v>5000</v>
      </c>
      <c r="L10" s="51"/>
      <c r="M10" s="38">
        <v>2750</v>
      </c>
      <c r="N10" s="312">
        <v>2750</v>
      </c>
      <c r="O10" s="14"/>
      <c r="P10" s="48"/>
      <c r="Q10" s="14"/>
      <c r="R10" s="15">
        <f t="shared" si="3"/>
        <v>366</v>
      </c>
      <c r="S10" s="19"/>
      <c r="T10" s="14"/>
      <c r="U10" s="14">
        <f t="shared" si="4"/>
        <v>3939</v>
      </c>
      <c r="V10" s="42" t="s">
        <v>64</v>
      </c>
      <c r="X10" s="4"/>
      <c r="Y10" s="4"/>
      <c r="Z10" s="4">
        <v>1</v>
      </c>
      <c r="AA10" s="4"/>
      <c r="AB10" s="4">
        <v>2</v>
      </c>
      <c r="AC10" s="4">
        <v>5</v>
      </c>
      <c r="AD10" s="55"/>
      <c r="AE10" s="22" t="s">
        <v>33</v>
      </c>
      <c r="AF10" s="22"/>
      <c r="AG10" s="186" t="s">
        <v>270</v>
      </c>
    </row>
    <row r="11" spans="1:33" ht="21.95" customHeight="1" x14ac:dyDescent="0.2">
      <c r="A11" s="102">
        <v>9</v>
      </c>
      <c r="B11" s="343" t="s">
        <v>368</v>
      </c>
      <c r="C11" s="101" t="s">
        <v>65</v>
      </c>
      <c r="D11" s="4" t="s">
        <v>66</v>
      </c>
      <c r="E11" s="14">
        <v>13500</v>
      </c>
      <c r="F11" s="14"/>
      <c r="G11" s="16">
        <f t="shared" si="0"/>
        <v>900</v>
      </c>
      <c r="H11" s="30">
        <f t="shared" si="1"/>
        <v>506.25</v>
      </c>
      <c r="I11" s="14">
        <f t="shared" si="2"/>
        <v>0</v>
      </c>
      <c r="J11" s="19">
        <v>1000</v>
      </c>
      <c r="K11" s="14"/>
      <c r="L11" s="97">
        <v>675</v>
      </c>
      <c r="M11" s="36">
        <v>3300</v>
      </c>
      <c r="N11" s="313">
        <v>6600</v>
      </c>
      <c r="O11" s="14"/>
      <c r="P11" s="48"/>
      <c r="Q11" s="14"/>
      <c r="R11" s="14">
        <f t="shared" si="3"/>
        <v>0</v>
      </c>
      <c r="S11" s="19"/>
      <c r="T11" s="14"/>
      <c r="U11" s="14">
        <f t="shared" si="4"/>
        <v>11931</v>
      </c>
      <c r="V11" s="41" t="s">
        <v>405</v>
      </c>
      <c r="W11" s="4"/>
      <c r="X11" s="4"/>
      <c r="Y11" s="4"/>
      <c r="Z11" s="4"/>
      <c r="AA11" s="4"/>
      <c r="AB11" s="4">
        <v>2</v>
      </c>
      <c r="AC11" s="4">
        <v>6</v>
      </c>
      <c r="AD11" s="55"/>
      <c r="AE11" s="22" t="s">
        <v>33</v>
      </c>
      <c r="AF11" s="22"/>
      <c r="AG11" s="183"/>
    </row>
    <row r="12" spans="1:33" ht="21.95" customHeight="1" x14ac:dyDescent="0.2">
      <c r="A12" s="102">
        <v>10</v>
      </c>
      <c r="B12" s="218" t="s">
        <v>67</v>
      </c>
      <c r="C12" s="101" t="s">
        <v>68</v>
      </c>
      <c r="D12" s="4" t="s">
        <v>45</v>
      </c>
      <c r="E12" s="14">
        <f>18000+450</f>
        <v>18450</v>
      </c>
      <c r="F12" s="13">
        <v>1500</v>
      </c>
      <c r="G12" s="16">
        <f t="shared" si="0"/>
        <v>1230</v>
      </c>
      <c r="H12" s="30">
        <f t="shared" si="1"/>
        <v>807.1875</v>
      </c>
      <c r="I12" s="14">
        <f t="shared" si="2"/>
        <v>0</v>
      </c>
      <c r="J12" s="19">
        <v>900</v>
      </c>
      <c r="K12" s="14">
        <v>1500</v>
      </c>
      <c r="L12" s="97">
        <v>750</v>
      </c>
      <c r="M12" s="14"/>
      <c r="N12" s="14"/>
      <c r="O12" s="14"/>
      <c r="P12" s="48">
        <v>1165</v>
      </c>
      <c r="Q12" s="14"/>
      <c r="R12" s="15">
        <f t="shared" si="3"/>
        <v>0</v>
      </c>
      <c r="S12" s="19"/>
      <c r="T12" s="14"/>
      <c r="U12" s="14">
        <f t="shared" si="4"/>
        <v>19472</v>
      </c>
      <c r="V12" s="52" t="s">
        <v>69</v>
      </c>
      <c r="W12" s="4"/>
      <c r="X12" s="4"/>
      <c r="Y12" s="4"/>
      <c r="Z12" s="4"/>
      <c r="AA12" s="4">
        <v>1</v>
      </c>
      <c r="AB12" s="4">
        <v>2</v>
      </c>
      <c r="AC12" s="4">
        <v>7</v>
      </c>
      <c r="AD12" s="55"/>
      <c r="AE12" s="22" t="s">
        <v>33</v>
      </c>
      <c r="AF12" s="22"/>
      <c r="AG12" s="183"/>
    </row>
    <row r="13" spans="1:33" ht="21.95" customHeight="1" x14ac:dyDescent="0.2">
      <c r="A13" s="102">
        <v>11</v>
      </c>
      <c r="B13" s="218" t="s">
        <v>142</v>
      </c>
      <c r="C13" s="101" t="s">
        <v>132</v>
      </c>
      <c r="D13" s="4" t="s">
        <v>45</v>
      </c>
      <c r="E13" s="14">
        <v>14500</v>
      </c>
      <c r="F13" s="13">
        <v>2000</v>
      </c>
      <c r="G13" s="16">
        <f t="shared" si="0"/>
        <v>966.66666666666663</v>
      </c>
      <c r="H13" s="30">
        <f t="shared" si="1"/>
        <v>634.375</v>
      </c>
      <c r="I13" s="14">
        <f t="shared" si="2"/>
        <v>0</v>
      </c>
      <c r="J13" s="19">
        <v>1000</v>
      </c>
      <c r="K13" s="14">
        <v>2000</v>
      </c>
      <c r="L13" s="97">
        <v>725</v>
      </c>
      <c r="M13" s="14"/>
      <c r="N13" s="14"/>
      <c r="O13" s="14"/>
      <c r="P13" s="48"/>
      <c r="Q13" s="14"/>
      <c r="R13" s="14">
        <f t="shared" si="3"/>
        <v>0</v>
      </c>
      <c r="S13" s="19"/>
      <c r="T13" s="14"/>
      <c r="U13" s="14">
        <f t="shared" si="4"/>
        <v>16376</v>
      </c>
      <c r="V13" s="41" t="s">
        <v>147</v>
      </c>
      <c r="W13" s="4"/>
      <c r="X13" s="4"/>
      <c r="Y13" s="4"/>
      <c r="Z13" s="4"/>
      <c r="AA13" s="4">
        <v>3</v>
      </c>
      <c r="AB13" s="4">
        <v>2</v>
      </c>
      <c r="AC13" s="4">
        <v>7</v>
      </c>
      <c r="AD13" s="55"/>
      <c r="AE13" s="22" t="s">
        <v>33</v>
      </c>
      <c r="AF13" s="22"/>
      <c r="AG13" s="186"/>
    </row>
    <row r="14" spans="1:33" ht="21.95" customHeight="1" x14ac:dyDescent="0.2">
      <c r="A14" s="102">
        <v>12</v>
      </c>
      <c r="B14" s="218" t="s">
        <v>143</v>
      </c>
      <c r="C14" s="213" t="s">
        <v>141</v>
      </c>
      <c r="D14" s="4" t="s">
        <v>45</v>
      </c>
      <c r="E14" s="14">
        <v>13500</v>
      </c>
      <c r="F14" s="14"/>
      <c r="G14" s="16">
        <f t="shared" si="0"/>
        <v>900</v>
      </c>
      <c r="H14" s="30">
        <f t="shared" si="1"/>
        <v>506.25</v>
      </c>
      <c r="I14" s="14">
        <f t="shared" si="2"/>
        <v>0</v>
      </c>
      <c r="J14" s="108">
        <v>1000</v>
      </c>
      <c r="K14" s="37"/>
      <c r="L14" s="97">
        <v>675</v>
      </c>
      <c r="M14" s="14"/>
      <c r="N14" s="14"/>
      <c r="O14" s="14"/>
      <c r="P14" s="48">
        <f>284+3674</f>
        <v>3958</v>
      </c>
      <c r="Q14" s="14"/>
      <c r="R14" s="15">
        <f t="shared" si="3"/>
        <v>0</v>
      </c>
      <c r="S14" s="19"/>
      <c r="T14" s="14"/>
      <c r="U14" s="14">
        <f t="shared" si="4"/>
        <v>11273</v>
      </c>
      <c r="V14" s="41" t="s">
        <v>146</v>
      </c>
      <c r="W14" s="4"/>
      <c r="X14" s="4"/>
      <c r="Y14" s="4"/>
      <c r="Z14" s="4"/>
      <c r="AA14" s="4"/>
      <c r="AB14" s="4">
        <v>2</v>
      </c>
      <c r="AC14" s="4">
        <v>6</v>
      </c>
      <c r="AD14" s="55"/>
      <c r="AE14" s="22" t="s">
        <v>33</v>
      </c>
      <c r="AF14" s="22"/>
      <c r="AG14" s="183"/>
    </row>
    <row r="15" spans="1:33" ht="21.95" customHeight="1" x14ac:dyDescent="0.45">
      <c r="A15" s="102">
        <v>13</v>
      </c>
      <c r="B15" s="244" t="s">
        <v>162</v>
      </c>
      <c r="C15" s="231" t="s">
        <v>144</v>
      </c>
      <c r="D15" s="242" t="s">
        <v>45</v>
      </c>
      <c r="E15" s="245">
        <f>12000+300</f>
        <v>12300</v>
      </c>
      <c r="F15" s="245"/>
      <c r="G15" s="246">
        <f>(E15/30)*AB16</f>
        <v>820</v>
      </c>
      <c r="H15" s="247">
        <f t="shared" si="1"/>
        <v>461.25</v>
      </c>
      <c r="I15" s="245">
        <f t="shared" si="2"/>
        <v>0</v>
      </c>
      <c r="J15" s="254">
        <v>1000</v>
      </c>
      <c r="K15" s="356"/>
      <c r="L15" s="249"/>
      <c r="M15" s="250">
        <v>2750</v>
      </c>
      <c r="N15" s="313">
        <v>2750</v>
      </c>
      <c r="O15" s="245">
        <v>1000</v>
      </c>
      <c r="P15" s="251"/>
      <c r="Q15" s="245"/>
      <c r="R15" s="245">
        <f t="shared" si="3"/>
        <v>0</v>
      </c>
      <c r="S15" s="248"/>
      <c r="T15" s="245"/>
      <c r="U15" s="245">
        <f t="shared" si="4"/>
        <v>12831</v>
      </c>
      <c r="V15" s="255"/>
      <c r="W15" s="242"/>
      <c r="X15" s="242"/>
      <c r="Y15" s="242"/>
      <c r="Z15" s="242"/>
      <c r="AA15" s="242"/>
      <c r="AB15" s="256">
        <v>2</v>
      </c>
      <c r="AC15" s="242">
        <v>6</v>
      </c>
      <c r="AD15" s="252"/>
      <c r="AE15" s="240" t="s">
        <v>33</v>
      </c>
      <c r="AF15" s="240">
        <v>1</v>
      </c>
      <c r="AG15" s="253"/>
    </row>
    <row r="16" spans="1:33" ht="21.95" customHeight="1" x14ac:dyDescent="0.2">
      <c r="A16" s="102">
        <v>14</v>
      </c>
      <c r="B16" s="98" t="s">
        <v>174</v>
      </c>
      <c r="C16" s="101" t="s">
        <v>149</v>
      </c>
      <c r="D16" s="4" t="s">
        <v>45</v>
      </c>
      <c r="E16" s="14">
        <v>12180</v>
      </c>
      <c r="F16" s="14"/>
      <c r="G16" s="16">
        <f t="shared" ref="G16:G24" si="5">(E16/30)*AB16</f>
        <v>812</v>
      </c>
      <c r="H16" s="30">
        <f t="shared" si="1"/>
        <v>456.75</v>
      </c>
      <c r="I16" s="14">
        <f t="shared" si="2"/>
        <v>0</v>
      </c>
      <c r="J16" s="109">
        <v>800</v>
      </c>
      <c r="K16" s="14">
        <v>2500</v>
      </c>
      <c r="L16" s="51"/>
      <c r="M16" s="14"/>
      <c r="N16" s="14"/>
      <c r="O16" s="141">
        <v>1000</v>
      </c>
      <c r="P16" s="48"/>
      <c r="Q16" s="14"/>
      <c r="R16" s="15">
        <f t="shared" si="3"/>
        <v>0</v>
      </c>
      <c r="S16" s="19"/>
      <c r="T16" s="14"/>
      <c r="U16" s="14">
        <f t="shared" si="4"/>
        <v>12749</v>
      </c>
      <c r="V16" s="35" t="s">
        <v>182</v>
      </c>
      <c r="W16" s="4"/>
      <c r="X16" s="4"/>
      <c r="Y16" s="4"/>
      <c r="Z16" s="4"/>
      <c r="AA16" s="4"/>
      <c r="AB16" s="4">
        <v>2</v>
      </c>
      <c r="AC16" s="4">
        <v>6</v>
      </c>
      <c r="AD16" s="55"/>
      <c r="AE16" s="22" t="s">
        <v>33</v>
      </c>
      <c r="AF16" s="22"/>
      <c r="AG16" s="186" t="s">
        <v>277</v>
      </c>
    </row>
    <row r="17" spans="1:33" ht="21.95" customHeight="1" x14ac:dyDescent="0.2">
      <c r="A17" s="102">
        <v>15</v>
      </c>
      <c r="B17" s="98" t="s">
        <v>169</v>
      </c>
      <c r="C17" s="101" t="s">
        <v>165</v>
      </c>
      <c r="D17" s="98" t="s">
        <v>36</v>
      </c>
      <c r="E17" s="14">
        <f>12000+240</f>
        <v>12240</v>
      </c>
      <c r="F17" s="14"/>
      <c r="G17" s="16">
        <f t="shared" si="5"/>
        <v>816</v>
      </c>
      <c r="H17" s="30">
        <f t="shared" si="1"/>
        <v>459</v>
      </c>
      <c r="I17" s="14">
        <f t="shared" si="2"/>
        <v>0</v>
      </c>
      <c r="J17" s="142">
        <v>1000</v>
      </c>
      <c r="K17" s="14">
        <v>1500</v>
      </c>
      <c r="L17" s="97">
        <v>612</v>
      </c>
      <c r="M17" s="14"/>
      <c r="N17" s="14"/>
      <c r="O17" s="36"/>
      <c r="P17" s="48">
        <v>1991</v>
      </c>
      <c r="Q17" s="14"/>
      <c r="R17" s="15">
        <f t="shared" si="3"/>
        <v>0</v>
      </c>
      <c r="S17" s="19"/>
      <c r="T17" s="14"/>
      <c r="U17" s="14">
        <f t="shared" si="4"/>
        <v>10412</v>
      </c>
      <c r="V17" s="35" t="s">
        <v>170</v>
      </c>
      <c r="W17" s="4"/>
      <c r="X17" s="4"/>
      <c r="Y17" s="4"/>
      <c r="Z17" s="4"/>
      <c r="AA17" s="4"/>
      <c r="AB17" s="4">
        <v>2</v>
      </c>
      <c r="AC17" s="4">
        <v>6</v>
      </c>
      <c r="AD17" s="55"/>
      <c r="AE17" s="22" t="s">
        <v>33</v>
      </c>
      <c r="AF17" s="22"/>
      <c r="AG17" s="186" t="s">
        <v>254</v>
      </c>
    </row>
    <row r="18" spans="1:33" ht="21.95" customHeight="1" x14ac:dyDescent="0.45">
      <c r="A18" s="102">
        <v>16</v>
      </c>
      <c r="B18" s="98" t="s">
        <v>175</v>
      </c>
      <c r="C18" s="101" t="s">
        <v>172</v>
      </c>
      <c r="D18" s="98" t="s">
        <v>45</v>
      </c>
      <c r="E18" s="14">
        <v>13000</v>
      </c>
      <c r="F18" s="14"/>
      <c r="G18" s="16">
        <f t="shared" si="5"/>
        <v>866.66666666666663</v>
      </c>
      <c r="H18" s="30">
        <f t="shared" si="1"/>
        <v>487.5</v>
      </c>
      <c r="I18" s="14">
        <f t="shared" si="2"/>
        <v>0</v>
      </c>
      <c r="J18" s="109">
        <v>600</v>
      </c>
      <c r="K18" s="357"/>
      <c r="L18" s="51"/>
      <c r="M18" s="14"/>
      <c r="N18" s="14"/>
      <c r="O18" s="141">
        <v>1000</v>
      </c>
      <c r="P18" s="48"/>
      <c r="Q18" s="14"/>
      <c r="R18" s="15">
        <f t="shared" si="3"/>
        <v>0</v>
      </c>
      <c r="S18" s="19"/>
      <c r="T18" s="14"/>
      <c r="U18" s="14">
        <f t="shared" si="4"/>
        <v>15954</v>
      </c>
      <c r="V18" s="35" t="s">
        <v>182</v>
      </c>
      <c r="W18" s="4"/>
      <c r="X18" s="4">
        <v>24</v>
      </c>
      <c r="Y18" s="4"/>
      <c r="Z18" s="4"/>
      <c r="AA18" s="4"/>
      <c r="AB18" s="4">
        <v>2</v>
      </c>
      <c r="AC18" s="4">
        <v>6</v>
      </c>
      <c r="AD18" s="55"/>
      <c r="AE18" s="22" t="s">
        <v>33</v>
      </c>
      <c r="AF18" s="22"/>
      <c r="AG18" s="183" t="s">
        <v>266</v>
      </c>
    </row>
    <row r="19" spans="1:33" ht="21.95" customHeight="1" x14ac:dyDescent="0.45">
      <c r="A19" s="102">
        <v>17</v>
      </c>
      <c r="B19" s="98" t="s">
        <v>196</v>
      </c>
      <c r="C19" s="101" t="s">
        <v>176</v>
      </c>
      <c r="D19" s="98" t="s">
        <v>45</v>
      </c>
      <c r="E19" s="14">
        <v>13000</v>
      </c>
      <c r="F19" s="14"/>
      <c r="G19" s="16">
        <f t="shared" si="5"/>
        <v>866.66666666666663</v>
      </c>
      <c r="H19" s="30">
        <f t="shared" si="1"/>
        <v>487.5</v>
      </c>
      <c r="I19" s="14">
        <f t="shared" si="2"/>
        <v>0</v>
      </c>
      <c r="J19" s="109">
        <v>900</v>
      </c>
      <c r="K19" s="358">
        <v>3000</v>
      </c>
      <c r="L19" s="51"/>
      <c r="M19" s="14"/>
      <c r="N19" s="14"/>
      <c r="O19" s="36"/>
      <c r="P19" s="48">
        <v>776</v>
      </c>
      <c r="Q19" s="14"/>
      <c r="R19" s="15">
        <f t="shared" si="3"/>
        <v>0</v>
      </c>
      <c r="S19" s="19"/>
      <c r="T19" s="14"/>
      <c r="U19" s="14">
        <f t="shared" si="4"/>
        <v>11478</v>
      </c>
      <c r="V19" s="35" t="s">
        <v>183</v>
      </c>
      <c r="W19" s="4"/>
      <c r="X19" s="4"/>
      <c r="Y19" s="4"/>
      <c r="Z19" s="4"/>
      <c r="AA19" s="4"/>
      <c r="AB19" s="4">
        <v>2</v>
      </c>
      <c r="AC19" s="4">
        <v>6</v>
      </c>
      <c r="AD19" s="55"/>
      <c r="AE19" s="22" t="s">
        <v>33</v>
      </c>
      <c r="AF19" s="22"/>
      <c r="AG19" s="183" t="s">
        <v>267</v>
      </c>
    </row>
    <row r="20" spans="1:33" ht="21.95" customHeight="1" x14ac:dyDescent="0.45">
      <c r="A20" s="102">
        <v>18</v>
      </c>
      <c r="B20" s="98" t="s">
        <v>187</v>
      </c>
      <c r="C20" s="101" t="s">
        <v>184</v>
      </c>
      <c r="D20" s="98" t="s">
        <v>45</v>
      </c>
      <c r="E20" s="14">
        <v>13000</v>
      </c>
      <c r="F20" s="14"/>
      <c r="G20" s="16">
        <f t="shared" si="5"/>
        <v>866.66666666666663</v>
      </c>
      <c r="H20" s="30">
        <f t="shared" si="1"/>
        <v>487.5</v>
      </c>
      <c r="I20" s="14">
        <f t="shared" si="2"/>
        <v>0</v>
      </c>
      <c r="J20" s="109">
        <v>1000</v>
      </c>
      <c r="K20" s="358"/>
      <c r="L20" s="97">
        <v>650</v>
      </c>
      <c r="M20" s="14"/>
      <c r="N20" s="14"/>
      <c r="O20" s="36"/>
      <c r="P20" s="48">
        <v>220</v>
      </c>
      <c r="Q20" s="14"/>
      <c r="R20" s="15">
        <f t="shared" si="3"/>
        <v>0</v>
      </c>
      <c r="S20" s="19"/>
      <c r="T20" s="14"/>
      <c r="U20" s="14">
        <f t="shared" si="4"/>
        <v>14484</v>
      </c>
      <c r="V20" s="35" t="s">
        <v>191</v>
      </c>
      <c r="W20" s="4"/>
      <c r="X20" s="4"/>
      <c r="Y20" s="4"/>
      <c r="Z20" s="4"/>
      <c r="AA20" s="4"/>
      <c r="AB20" s="4">
        <v>2</v>
      </c>
      <c r="AC20" s="4">
        <v>6</v>
      </c>
      <c r="AD20" s="55"/>
      <c r="AE20" s="22" t="s">
        <v>33</v>
      </c>
      <c r="AF20" s="22"/>
      <c r="AG20" s="183"/>
    </row>
    <row r="21" spans="1:33" ht="21.95" customHeight="1" x14ac:dyDescent="0.45">
      <c r="A21" s="102">
        <v>19</v>
      </c>
      <c r="B21" s="98" t="s">
        <v>188</v>
      </c>
      <c r="C21" s="101" t="s">
        <v>193</v>
      </c>
      <c r="D21" s="98" t="s">
        <v>45</v>
      </c>
      <c r="E21" s="14">
        <v>13500</v>
      </c>
      <c r="F21" s="14"/>
      <c r="G21" s="16">
        <f t="shared" si="5"/>
        <v>900</v>
      </c>
      <c r="H21" s="30">
        <f t="shared" si="1"/>
        <v>506.25</v>
      </c>
      <c r="I21" s="14">
        <f t="shared" si="2"/>
        <v>0</v>
      </c>
      <c r="J21" s="109">
        <v>800</v>
      </c>
      <c r="K21" s="358">
        <v>6000</v>
      </c>
      <c r="L21" s="97">
        <v>650</v>
      </c>
      <c r="M21" s="14"/>
      <c r="N21" s="14"/>
      <c r="O21" s="36"/>
      <c r="P21" s="48"/>
      <c r="Q21" s="14"/>
      <c r="R21" s="15">
        <f t="shared" si="3"/>
        <v>0</v>
      </c>
      <c r="S21" s="19"/>
      <c r="T21" s="14"/>
      <c r="U21" s="14">
        <f t="shared" si="4"/>
        <v>9056</v>
      </c>
      <c r="V21" s="35" t="s">
        <v>192</v>
      </c>
      <c r="W21" s="4"/>
      <c r="X21" s="4">
        <v>173</v>
      </c>
      <c r="Y21" s="4"/>
      <c r="Z21" s="4"/>
      <c r="AA21" s="4"/>
      <c r="AB21" s="4">
        <v>2</v>
      </c>
      <c r="AC21" s="4">
        <v>6</v>
      </c>
      <c r="AD21" s="55"/>
      <c r="AE21" s="22" t="s">
        <v>33</v>
      </c>
      <c r="AF21" s="22"/>
      <c r="AG21" s="186"/>
    </row>
    <row r="22" spans="1:33" ht="21.95" customHeight="1" x14ac:dyDescent="0.45">
      <c r="A22" s="102">
        <v>20</v>
      </c>
      <c r="B22" s="99" t="s">
        <v>197</v>
      </c>
      <c r="C22" s="101" t="s">
        <v>185</v>
      </c>
      <c r="D22" s="98" t="s">
        <v>45</v>
      </c>
      <c r="E22" s="14">
        <v>12000</v>
      </c>
      <c r="F22" s="13">
        <v>1000</v>
      </c>
      <c r="G22" s="16">
        <f t="shared" si="5"/>
        <v>800</v>
      </c>
      <c r="H22" s="30">
        <f t="shared" si="1"/>
        <v>375</v>
      </c>
      <c r="I22" s="14">
        <f t="shared" si="2"/>
        <v>0</v>
      </c>
      <c r="J22" s="109">
        <v>900</v>
      </c>
      <c r="K22" s="358">
        <v>5000</v>
      </c>
      <c r="L22" s="51"/>
      <c r="M22" s="14"/>
      <c r="N22" s="36"/>
      <c r="O22" s="36"/>
      <c r="P22" s="48"/>
      <c r="Q22" s="14"/>
      <c r="R22" s="15">
        <f t="shared" si="3"/>
        <v>400</v>
      </c>
      <c r="S22" s="19"/>
      <c r="T22" s="14"/>
      <c r="U22" s="14">
        <f t="shared" si="4"/>
        <v>9675</v>
      </c>
      <c r="V22" s="35" t="s">
        <v>218</v>
      </c>
      <c r="W22" s="4"/>
      <c r="X22" s="4"/>
      <c r="Y22" s="4"/>
      <c r="Z22" s="4">
        <v>1</v>
      </c>
      <c r="AA22" s="4"/>
      <c r="AB22" s="4">
        <v>2</v>
      </c>
      <c r="AC22" s="4">
        <v>5</v>
      </c>
      <c r="AD22" s="55"/>
      <c r="AE22" s="22" t="s">
        <v>33</v>
      </c>
      <c r="AF22" s="22"/>
      <c r="AG22" s="183" t="s">
        <v>250</v>
      </c>
    </row>
    <row r="23" spans="1:33" ht="21.95" customHeight="1" x14ac:dyDescent="0.45">
      <c r="A23" s="102">
        <v>21</v>
      </c>
      <c r="B23" s="98" t="s">
        <v>189</v>
      </c>
      <c r="C23" s="101" t="s">
        <v>186</v>
      </c>
      <c r="D23" s="98" t="s">
        <v>45</v>
      </c>
      <c r="E23" s="14">
        <v>12000</v>
      </c>
      <c r="F23" s="14"/>
      <c r="G23" s="16">
        <f t="shared" si="5"/>
        <v>800</v>
      </c>
      <c r="H23" s="30">
        <f t="shared" si="1"/>
        <v>450</v>
      </c>
      <c r="I23" s="14">
        <f t="shared" si="2"/>
        <v>0</v>
      </c>
      <c r="J23" s="109">
        <v>1000</v>
      </c>
      <c r="K23" s="357">
        <v>1000</v>
      </c>
      <c r="L23" s="51"/>
      <c r="M23" s="14"/>
      <c r="N23" s="36"/>
      <c r="O23" s="364">
        <v>300</v>
      </c>
      <c r="P23" s="48">
        <v>2177</v>
      </c>
      <c r="Q23" s="14"/>
      <c r="R23" s="15">
        <f t="shared" si="3"/>
        <v>0</v>
      </c>
      <c r="S23" s="19"/>
      <c r="T23" s="14"/>
      <c r="U23" s="14">
        <f t="shared" si="4"/>
        <v>11373</v>
      </c>
      <c r="V23" s="35" t="s">
        <v>194</v>
      </c>
      <c r="W23" s="4"/>
      <c r="X23" s="4"/>
      <c r="Y23" s="4"/>
      <c r="Z23" s="4"/>
      <c r="AA23" s="4"/>
      <c r="AB23" s="4">
        <v>2</v>
      </c>
      <c r="AC23" s="4">
        <v>6</v>
      </c>
      <c r="AD23" s="55"/>
      <c r="AE23" s="22" t="s">
        <v>33</v>
      </c>
      <c r="AF23" s="22"/>
      <c r="AG23" s="183" t="s">
        <v>249</v>
      </c>
    </row>
    <row r="24" spans="1:33" ht="21.95" customHeight="1" x14ac:dyDescent="0.45">
      <c r="A24" s="102">
        <v>22</v>
      </c>
      <c r="B24" s="98" t="s">
        <v>207</v>
      </c>
      <c r="C24" s="101" t="s">
        <v>206</v>
      </c>
      <c r="D24" s="98" t="s">
        <v>36</v>
      </c>
      <c r="E24" s="14">
        <v>13650</v>
      </c>
      <c r="F24" s="14"/>
      <c r="G24" s="16">
        <f t="shared" si="5"/>
        <v>910</v>
      </c>
      <c r="H24" s="30">
        <f t="shared" si="1"/>
        <v>426.5625</v>
      </c>
      <c r="I24" s="14">
        <f t="shared" si="2"/>
        <v>0</v>
      </c>
      <c r="J24" s="109">
        <v>800</v>
      </c>
      <c r="K24" s="358">
        <v>6000</v>
      </c>
      <c r="L24" s="97">
        <v>682.5</v>
      </c>
      <c r="M24" s="14"/>
      <c r="N24" s="14"/>
      <c r="O24" s="36"/>
      <c r="P24" s="48">
        <v>3430</v>
      </c>
      <c r="Q24" s="14"/>
      <c r="R24" s="15">
        <f t="shared" si="3"/>
        <v>0</v>
      </c>
      <c r="S24" s="19"/>
      <c r="T24" s="14"/>
      <c r="U24" s="14">
        <f t="shared" si="4"/>
        <v>5674</v>
      </c>
      <c r="V24" s="35" t="s">
        <v>255</v>
      </c>
      <c r="W24" s="4"/>
      <c r="X24" s="4">
        <v>8</v>
      </c>
      <c r="Y24" s="4">
        <v>2</v>
      </c>
      <c r="Z24" s="4"/>
      <c r="AA24" s="4"/>
      <c r="AB24" s="4">
        <v>2</v>
      </c>
      <c r="AC24" s="4">
        <v>5</v>
      </c>
      <c r="AD24" s="55"/>
      <c r="AE24" s="22" t="s">
        <v>33</v>
      </c>
      <c r="AF24" s="22"/>
      <c r="AG24" s="186"/>
    </row>
    <row r="25" spans="1:33" ht="21.95" customHeight="1" x14ac:dyDescent="0.45">
      <c r="A25" s="102">
        <v>23</v>
      </c>
      <c r="B25" s="230" t="s">
        <v>313</v>
      </c>
      <c r="C25" s="231" t="s">
        <v>232</v>
      </c>
      <c r="D25" s="242"/>
      <c r="E25" s="245">
        <v>12000</v>
      </c>
      <c r="F25" s="245"/>
      <c r="G25" s="246">
        <f>(E25/30)*AB26</f>
        <v>800</v>
      </c>
      <c r="H25" s="247">
        <f t="shared" si="1"/>
        <v>450</v>
      </c>
      <c r="I25" s="245">
        <f t="shared" si="2"/>
        <v>0</v>
      </c>
      <c r="J25" s="254">
        <v>700</v>
      </c>
      <c r="K25" s="356">
        <v>2000</v>
      </c>
      <c r="L25" s="249"/>
      <c r="M25" s="250"/>
      <c r="N25" s="245"/>
      <c r="O25" s="250"/>
      <c r="P25" s="251"/>
      <c r="Q25" s="245"/>
      <c r="R25" s="245">
        <f t="shared" si="3"/>
        <v>0</v>
      </c>
      <c r="S25" s="248"/>
      <c r="T25" s="245"/>
      <c r="U25" s="245">
        <f t="shared" si="4"/>
        <v>11950</v>
      </c>
      <c r="V25" s="255"/>
      <c r="W25" s="242"/>
      <c r="X25" s="242"/>
      <c r="Y25" s="242">
        <v>1</v>
      </c>
      <c r="Z25" s="242"/>
      <c r="AA25" s="242"/>
      <c r="AB25" s="256">
        <v>2</v>
      </c>
      <c r="AC25" s="242">
        <v>6</v>
      </c>
      <c r="AD25" s="252"/>
      <c r="AE25" s="240" t="s">
        <v>33</v>
      </c>
      <c r="AF25" s="240">
        <v>1</v>
      </c>
      <c r="AG25" s="253"/>
    </row>
    <row r="26" spans="1:33" ht="21.95" customHeight="1" x14ac:dyDescent="0.45">
      <c r="A26" s="102">
        <v>24</v>
      </c>
      <c r="B26" s="99" t="s">
        <v>256</v>
      </c>
      <c r="C26" s="101" t="s">
        <v>257</v>
      </c>
      <c r="D26" s="98"/>
      <c r="E26" s="14">
        <v>12000</v>
      </c>
      <c r="F26" s="14"/>
      <c r="G26" s="16">
        <f t="shared" ref="G26:G30" si="6">(E26/30)*AB26</f>
        <v>800</v>
      </c>
      <c r="H26" s="30">
        <f t="shared" si="1"/>
        <v>450</v>
      </c>
      <c r="I26" s="14">
        <f t="shared" si="2"/>
        <v>0</v>
      </c>
      <c r="J26" s="109">
        <v>600</v>
      </c>
      <c r="K26" s="358"/>
      <c r="L26" s="51"/>
      <c r="M26" s="36">
        <v>2750</v>
      </c>
      <c r="N26" s="313">
        <v>2750</v>
      </c>
      <c r="O26" s="36"/>
      <c r="P26" s="48"/>
      <c r="Q26" s="14"/>
      <c r="R26" s="15">
        <f t="shared" si="3"/>
        <v>0</v>
      </c>
      <c r="S26" s="19"/>
      <c r="T26" s="14"/>
      <c r="U26" s="14">
        <f t="shared" si="4"/>
        <v>11100</v>
      </c>
      <c r="V26" s="35" t="s">
        <v>258</v>
      </c>
      <c r="W26" s="4"/>
      <c r="X26" s="4">
        <v>6</v>
      </c>
      <c r="Y26" s="4"/>
      <c r="Z26" s="4"/>
      <c r="AA26" s="4"/>
      <c r="AB26" s="4">
        <v>2</v>
      </c>
      <c r="AC26" s="4">
        <v>6</v>
      </c>
      <c r="AD26" s="55"/>
      <c r="AE26" s="22" t="s">
        <v>33</v>
      </c>
      <c r="AF26" s="22"/>
      <c r="AG26" s="186" t="s">
        <v>278</v>
      </c>
    </row>
    <row r="27" spans="1:33" ht="21.95" customHeight="1" x14ac:dyDescent="0.45">
      <c r="A27" s="102">
        <v>25</v>
      </c>
      <c r="B27" s="99" t="s">
        <v>314</v>
      </c>
      <c r="C27" s="101" t="s">
        <v>312</v>
      </c>
      <c r="D27" s="98"/>
      <c r="E27" s="14">
        <v>12000</v>
      </c>
      <c r="F27" s="14"/>
      <c r="G27" s="16">
        <f t="shared" si="6"/>
        <v>800</v>
      </c>
      <c r="H27" s="30">
        <f t="shared" si="1"/>
        <v>450</v>
      </c>
      <c r="I27" s="14">
        <f t="shared" si="2"/>
        <v>0</v>
      </c>
      <c r="J27" s="109">
        <v>800</v>
      </c>
      <c r="K27" s="358">
        <v>2000</v>
      </c>
      <c r="L27" s="51"/>
      <c r="M27" s="36">
        <v>2750</v>
      </c>
      <c r="N27" s="313">
        <v>2750</v>
      </c>
      <c r="O27" s="36"/>
      <c r="P27" s="48"/>
      <c r="Q27" s="14"/>
      <c r="R27" s="15">
        <f t="shared" si="3"/>
        <v>0</v>
      </c>
      <c r="S27" s="19"/>
      <c r="T27" s="14"/>
      <c r="U27" s="14">
        <f t="shared" si="4"/>
        <v>9300</v>
      </c>
      <c r="V27" s="35" t="s">
        <v>350</v>
      </c>
      <c r="W27" s="4"/>
      <c r="X27" s="4"/>
      <c r="Y27" s="4"/>
      <c r="Z27" s="4"/>
      <c r="AA27" s="4"/>
      <c r="AB27" s="4">
        <v>2</v>
      </c>
      <c r="AC27" s="4">
        <v>6</v>
      </c>
      <c r="AD27" s="55"/>
      <c r="AE27" s="22" t="s">
        <v>33</v>
      </c>
      <c r="AF27" s="22"/>
      <c r="AG27" s="186" t="s">
        <v>353</v>
      </c>
    </row>
    <row r="28" spans="1:33" ht="21.95" customHeight="1" x14ac:dyDescent="0.45">
      <c r="A28" s="102">
        <v>26</v>
      </c>
      <c r="B28" s="99" t="s">
        <v>320</v>
      </c>
      <c r="C28" s="101" t="s">
        <v>319</v>
      </c>
      <c r="D28" s="98" t="s">
        <v>36</v>
      </c>
      <c r="E28" s="14">
        <v>13500</v>
      </c>
      <c r="F28" s="13">
        <v>1500</v>
      </c>
      <c r="G28" s="16">
        <f t="shared" si="6"/>
        <v>900</v>
      </c>
      <c r="H28" s="30">
        <f t="shared" si="1"/>
        <v>590.625</v>
      </c>
      <c r="I28" s="14">
        <f t="shared" si="2"/>
        <v>0</v>
      </c>
      <c r="J28" s="109">
        <v>1000</v>
      </c>
      <c r="K28" s="358"/>
      <c r="L28" s="97">
        <v>675</v>
      </c>
      <c r="M28" s="14"/>
      <c r="N28" s="14"/>
      <c r="O28" s="36"/>
      <c r="P28" s="48"/>
      <c r="Q28" s="14"/>
      <c r="R28" s="15">
        <f t="shared" si="3"/>
        <v>0</v>
      </c>
      <c r="S28" s="19"/>
      <c r="T28" s="14"/>
      <c r="U28" s="14">
        <f t="shared" si="4"/>
        <v>16816</v>
      </c>
      <c r="V28" s="35" t="s">
        <v>351</v>
      </c>
      <c r="W28" s="4"/>
      <c r="X28" s="4"/>
      <c r="Y28" s="4"/>
      <c r="Z28" s="4"/>
      <c r="AA28" s="4"/>
      <c r="AB28" s="4">
        <v>2</v>
      </c>
      <c r="AC28" s="4">
        <v>7</v>
      </c>
      <c r="AD28" s="55"/>
      <c r="AE28" s="22" t="s">
        <v>33</v>
      </c>
      <c r="AF28" s="22"/>
      <c r="AG28" s="183"/>
    </row>
    <row r="29" spans="1:33" ht="21.95" customHeight="1" x14ac:dyDescent="0.45">
      <c r="A29" s="102">
        <v>27</v>
      </c>
      <c r="B29" s="99" t="s">
        <v>321</v>
      </c>
      <c r="C29" s="101" t="s">
        <v>240</v>
      </c>
      <c r="D29" s="98"/>
      <c r="E29" s="14">
        <v>12000</v>
      </c>
      <c r="F29" s="14"/>
      <c r="G29" s="16">
        <f t="shared" si="6"/>
        <v>800</v>
      </c>
      <c r="H29" s="30">
        <f t="shared" si="1"/>
        <v>450</v>
      </c>
      <c r="I29" s="14">
        <f t="shared" si="2"/>
        <v>0</v>
      </c>
      <c r="J29" s="109">
        <v>700</v>
      </c>
      <c r="K29" s="358">
        <v>3000</v>
      </c>
      <c r="L29" s="51"/>
      <c r="M29" s="14"/>
      <c r="N29" s="14"/>
      <c r="O29" s="364">
        <v>100</v>
      </c>
      <c r="P29" s="48">
        <v>1737</v>
      </c>
      <c r="Q29" s="14"/>
      <c r="R29" s="15">
        <f t="shared" si="3"/>
        <v>0</v>
      </c>
      <c r="S29" s="19"/>
      <c r="T29" s="14"/>
      <c r="U29" s="14">
        <f t="shared" si="4"/>
        <v>9313</v>
      </c>
      <c r="V29" s="35" t="s">
        <v>352</v>
      </c>
      <c r="W29" s="4"/>
      <c r="X29" s="4">
        <v>15</v>
      </c>
      <c r="Y29" s="4">
        <v>1</v>
      </c>
      <c r="Z29" s="4"/>
      <c r="AA29" s="4"/>
      <c r="AB29" s="4">
        <v>2</v>
      </c>
      <c r="AC29" s="4">
        <v>6</v>
      </c>
      <c r="AD29" s="55"/>
      <c r="AE29" s="22" t="s">
        <v>33</v>
      </c>
      <c r="AF29" s="22"/>
      <c r="AG29" s="186" t="s">
        <v>355</v>
      </c>
    </row>
    <row r="30" spans="1:33" ht="21.95" customHeight="1" x14ac:dyDescent="0.45">
      <c r="A30" s="102">
        <v>28</v>
      </c>
      <c r="B30" s="219" t="s">
        <v>376</v>
      </c>
      <c r="C30" s="220" t="s">
        <v>373</v>
      </c>
      <c r="D30" s="100"/>
      <c r="E30" s="17">
        <v>12000</v>
      </c>
      <c r="F30" s="17"/>
      <c r="G30" s="31">
        <f t="shared" si="6"/>
        <v>800</v>
      </c>
      <c r="H30" s="258">
        <f t="shared" ref="H30:H31" si="7">(((E30/30)/8*1.5))*AC30</f>
        <v>450</v>
      </c>
      <c r="I30" s="17">
        <f t="shared" ref="I30:I31" si="8">(((E30/30)/8*3))*AD30</f>
        <v>0</v>
      </c>
      <c r="J30" s="259">
        <v>900</v>
      </c>
      <c r="K30" s="359">
        <v>6000</v>
      </c>
      <c r="L30" s="266"/>
      <c r="M30" s="17"/>
      <c r="N30" s="17"/>
      <c r="O30" s="260"/>
      <c r="P30" s="261"/>
      <c r="Q30" s="17"/>
      <c r="R30" s="262">
        <f t="shared" ref="R30:R31" si="9">(E30/30)*IF(W30=0,0,W30) + (E30/30)*IF(Z30=0,0,Z30)</f>
        <v>400</v>
      </c>
      <c r="S30" s="263"/>
      <c r="T30" s="17"/>
      <c r="U30" s="17">
        <f t="shared" ref="U30:U31" si="10">ROUND(E30+F30+G30+H30+I30+J30-K30-L30-M30+O30-P30-Q30-R30+S30+T30,0)</f>
        <v>7750</v>
      </c>
      <c r="V30" s="264" t="s">
        <v>384</v>
      </c>
      <c r="W30" s="203"/>
      <c r="X30" s="203"/>
      <c r="Y30" s="203"/>
      <c r="Z30" s="203">
        <v>1</v>
      </c>
      <c r="AA30" s="203"/>
      <c r="AB30" s="203">
        <v>2</v>
      </c>
      <c r="AC30" s="203">
        <v>6</v>
      </c>
      <c r="AD30" s="265"/>
      <c r="AE30" s="201" t="s">
        <v>33</v>
      </c>
      <c r="AF30" s="201"/>
      <c r="AG30" s="186" t="s">
        <v>385</v>
      </c>
    </row>
    <row r="31" spans="1:33" ht="21.95" customHeight="1" x14ac:dyDescent="0.45">
      <c r="A31" s="102">
        <v>29</v>
      </c>
      <c r="B31" s="281" t="s">
        <v>377</v>
      </c>
      <c r="C31" s="282" t="s">
        <v>374</v>
      </c>
      <c r="D31" s="283"/>
      <c r="E31" s="323">
        <v>12000</v>
      </c>
      <c r="F31" s="323"/>
      <c r="G31" s="324">
        <f>(E31/30)*AB32</f>
        <v>800</v>
      </c>
      <c r="H31" s="325">
        <f t="shared" si="7"/>
        <v>450</v>
      </c>
      <c r="I31" s="323">
        <f t="shared" si="8"/>
        <v>0</v>
      </c>
      <c r="J31" s="326">
        <v>800</v>
      </c>
      <c r="K31" s="360">
        <v>1000</v>
      </c>
      <c r="L31" s="327"/>
      <c r="M31" s="323"/>
      <c r="N31" s="333"/>
      <c r="O31" s="328"/>
      <c r="P31" s="329"/>
      <c r="Q31" s="323"/>
      <c r="R31" s="262">
        <f t="shared" si="9"/>
        <v>0</v>
      </c>
      <c r="S31" s="330"/>
      <c r="T31" s="323"/>
      <c r="U31" s="323">
        <f t="shared" si="10"/>
        <v>13050</v>
      </c>
      <c r="V31" s="331"/>
      <c r="W31" s="293"/>
      <c r="X31" s="293"/>
      <c r="Y31" s="293">
        <v>1</v>
      </c>
      <c r="Z31" s="293"/>
      <c r="AA31" s="293"/>
      <c r="AB31" s="293">
        <v>1</v>
      </c>
      <c r="AC31" s="293">
        <v>6</v>
      </c>
      <c r="AD31" s="332"/>
      <c r="AE31" s="291" t="s">
        <v>33</v>
      </c>
      <c r="AF31" s="291">
        <v>1</v>
      </c>
      <c r="AG31" s="253"/>
    </row>
    <row r="32" spans="1:33" ht="21.95" customHeight="1" x14ac:dyDescent="0.45">
      <c r="A32" s="102">
        <v>30</v>
      </c>
      <c r="B32" s="219" t="s">
        <v>378</v>
      </c>
      <c r="C32" s="220" t="s">
        <v>375</v>
      </c>
      <c r="D32" s="100"/>
      <c r="E32" s="17">
        <v>17000</v>
      </c>
      <c r="F32" s="17"/>
      <c r="G32" s="31">
        <f>(E32/30)*AB32</f>
        <v>1133.3333333333333</v>
      </c>
      <c r="H32" s="258">
        <f t="shared" ref="H32" si="11">(((E32/30)/8*1.5))*AC32</f>
        <v>531.25</v>
      </c>
      <c r="I32" s="17">
        <f t="shared" ref="I32" si="12">(((E32/30)/8*3))*AD32</f>
        <v>0</v>
      </c>
      <c r="J32" s="259">
        <v>900</v>
      </c>
      <c r="K32" s="359">
        <v>3000</v>
      </c>
      <c r="L32" s="266"/>
      <c r="M32" s="17"/>
      <c r="N32" s="17"/>
      <c r="O32" s="260"/>
      <c r="P32" s="261"/>
      <c r="Q32" s="17"/>
      <c r="R32" s="262">
        <f t="shared" ref="R32" si="13">(E32/30)*IF(W32=0,0,W32) + (E32/30)*IF(Z32=0,0,Z32)</f>
        <v>0</v>
      </c>
      <c r="S32" s="263"/>
      <c r="T32" s="17"/>
      <c r="U32" s="17">
        <f t="shared" ref="U32" si="14">ROUND(E32+F32+G32+H32+I32+J32-K32-L32-M32+O32-P32-Q32-R32+S32+T32,0)</f>
        <v>16565</v>
      </c>
      <c r="V32" s="264" t="s">
        <v>407</v>
      </c>
      <c r="W32" s="203"/>
      <c r="X32" s="203">
        <v>60</v>
      </c>
      <c r="Y32" s="203"/>
      <c r="Z32" s="203"/>
      <c r="AA32" s="203"/>
      <c r="AB32" s="203">
        <v>2</v>
      </c>
      <c r="AC32" s="203">
        <v>5</v>
      </c>
      <c r="AD32" s="265"/>
      <c r="AE32" s="201" t="s">
        <v>33</v>
      </c>
      <c r="AF32" s="201"/>
      <c r="AG32" s="186" t="s">
        <v>406</v>
      </c>
    </row>
    <row r="33" spans="1:33" ht="21.95" customHeight="1" x14ac:dyDescent="0.45">
      <c r="A33" s="5"/>
      <c r="B33" s="315"/>
      <c r="C33" s="257"/>
      <c r="D33" s="316"/>
      <c r="E33" s="6"/>
      <c r="F33" s="6"/>
      <c r="G33" s="6"/>
      <c r="H33" s="6"/>
      <c r="I33" s="6"/>
      <c r="J33" s="317"/>
      <c r="K33" s="361"/>
      <c r="L33" s="318"/>
      <c r="M33" s="6"/>
      <c r="N33" s="6"/>
      <c r="O33" s="319"/>
      <c r="P33" s="320"/>
      <c r="Q33" s="6"/>
      <c r="R33" s="321"/>
      <c r="S33" s="6"/>
      <c r="T33" s="6"/>
      <c r="U33" s="17"/>
      <c r="V33" s="322"/>
      <c r="AE33" s="20"/>
      <c r="AF33" s="20"/>
      <c r="AG33" s="186"/>
    </row>
    <row r="34" spans="1:33" ht="21.95" customHeight="1" x14ac:dyDescent="0.2">
      <c r="A34" s="5"/>
      <c r="B34" s="5"/>
      <c r="C34" s="5" t="s">
        <v>70</v>
      </c>
      <c r="D34" s="5" t="s">
        <v>70</v>
      </c>
      <c r="E34" s="210">
        <f>SUM(E3:E32)</f>
        <v>405695</v>
      </c>
      <c r="F34" s="210">
        <f>SUM(F3:F32)</f>
        <v>11500</v>
      </c>
      <c r="G34" s="5"/>
      <c r="H34" s="5"/>
      <c r="I34" s="6"/>
      <c r="J34" s="210">
        <f>SUM(J3:J32)</f>
        <v>22900</v>
      </c>
      <c r="K34" s="210">
        <f>SUM(K3:K32)</f>
        <v>71500</v>
      </c>
      <c r="L34" s="5"/>
      <c r="M34" s="5"/>
      <c r="N34" s="5"/>
      <c r="O34" s="210">
        <f>SUM(O3:O32)</f>
        <v>8900</v>
      </c>
      <c r="P34" s="45"/>
      <c r="Q34" s="5"/>
      <c r="R34" s="5"/>
      <c r="S34" s="44">
        <f>SUM(S3:S24)</f>
        <v>0</v>
      </c>
      <c r="T34" s="44">
        <f>SUM(T3:T24)</f>
        <v>0</v>
      </c>
      <c r="U34" s="211">
        <f>SUM(U3:U32)</f>
        <v>370121</v>
      </c>
      <c r="V34" s="32"/>
      <c r="AE34" s="5"/>
      <c r="AF34" s="5"/>
    </row>
    <row r="35" spans="1:33" ht="21.95" customHeight="1" x14ac:dyDescent="0.2">
      <c r="H35" s="137"/>
    </row>
    <row r="36" spans="1:33" ht="21.95" customHeight="1" x14ac:dyDescent="0.2">
      <c r="B36" s="148" t="s">
        <v>121</v>
      </c>
      <c r="C36" s="205">
        <f>SUMIF(L3:L32,"&gt;0",U3:U32)</f>
        <v>158981</v>
      </c>
      <c r="D36" s="179">
        <f>SUMIFS(Tableram[รายได้สุทธิ], Tableram[ปกส.], "&gt;0", Tableram[เงินสด], "=")</f>
        <v>158981</v>
      </c>
    </row>
    <row r="37" spans="1:33" ht="21.95" customHeight="1" x14ac:dyDescent="0.2">
      <c r="B37" s="148" t="s">
        <v>211</v>
      </c>
      <c r="C37" s="205">
        <f>SUMIFS(U3:U32,AF3:AF32,1)</f>
        <v>37831</v>
      </c>
    </row>
    <row r="38" spans="1:33" ht="21.95" customHeight="1" x14ac:dyDescent="0.2">
      <c r="B38" s="148" t="s">
        <v>212</v>
      </c>
      <c r="C38" s="212">
        <f>IF((U34-SUMIF(L3:L32,"&gt;0",U3:V32)-C37)&gt;0,U34-SUMIF(L3:L32,"&gt;0",U3:V32)-C37,0)</f>
        <v>173309</v>
      </c>
      <c r="D38" s="179">
        <f>SUMIFS(Tableram[รายได้สุทธิ], Tableram[ปกส.], "=", Tableram[เงินสด], "=")</f>
        <v>173309</v>
      </c>
      <c r="L38" s="137" t="e">
        <f>U23+U22+U19+U18+U17+#REF!+U28+U27+U26+U16+#REF!+U10+U8+U7+U6+U5</f>
        <v>#REF!</v>
      </c>
    </row>
    <row r="39" spans="1:33" ht="22.5" customHeight="1" x14ac:dyDescent="0.2">
      <c r="D39" s="89">
        <f>D38-C38</f>
        <v>0</v>
      </c>
      <c r="I39" s="1" t="s">
        <v>70</v>
      </c>
      <c r="AC39" s="20"/>
      <c r="AD39" s="107"/>
    </row>
  </sheetData>
  <mergeCells count="1">
    <mergeCell ref="A1:B1"/>
  </mergeCells>
  <phoneticPr fontId="38" type="noConversion"/>
  <hyperlinks>
    <hyperlink ref="V7" r:id="rId1" xr:uid="{6FB50312-FB1C-4708-9690-F318ADEAE609}"/>
    <hyperlink ref="V6" r:id="rId2" xr:uid="{5F4CE542-C062-45BB-8242-8E0AF541FA52}"/>
    <hyperlink ref="V5" r:id="rId3" xr:uid="{497F8CD4-4442-449E-BEA8-204061E97294}"/>
    <hyperlink ref="V4" r:id="rId4" xr:uid="{FFC139F1-88C4-4673-A125-333A58011C85}"/>
    <hyperlink ref="V8" r:id="rId5" xr:uid="{6855BDBF-479E-4B02-A084-FC9D1682B9D0}"/>
    <hyperlink ref="V9" r:id="rId6" xr:uid="{3B71BFBF-63D0-4049-934E-9E946C11C93D}"/>
    <hyperlink ref="V3" r:id="rId7" xr:uid="{80C7B646-604A-4F2B-A7C8-7FF8EB69B643}"/>
    <hyperlink ref="V10" r:id="rId8" xr:uid="{9A8DD8AC-ED0E-47D3-B815-1E93E2A36843}"/>
    <hyperlink ref="V17" r:id="rId9" xr:uid="{ADDCED5A-BF53-4791-8205-B9708FB52FDA}"/>
    <hyperlink ref="V18" r:id="rId10" xr:uid="{62FE387B-B6EF-47B2-B64F-D33827D5BD67}"/>
    <hyperlink ref="V19" r:id="rId11" xr:uid="{A7F59BD3-73C1-484D-A6AB-7CDCD1CD4D66}"/>
    <hyperlink ref="V20" r:id="rId12" xr:uid="{5EFABAE0-8D1A-4924-B72D-6A7006FBEE3C}"/>
    <hyperlink ref="V21" r:id="rId13" xr:uid="{14B5DF13-2F63-4BFC-ACDB-BD22A7D18413}"/>
    <hyperlink ref="V23" r:id="rId14" xr:uid="{EEAD1AC9-3F7B-45C3-9466-595C58C13F5B}"/>
    <hyperlink ref="V22" r:id="rId15" xr:uid="{9FA32D84-21CA-4624-8EB6-4AC8BB8293FE}"/>
    <hyperlink ref="V24" r:id="rId16" xr:uid="{60B72984-6FEE-4E4F-B283-59484783505D}"/>
    <hyperlink ref="V26" r:id="rId17" xr:uid="{A4AF7663-2C24-45D2-9DCC-4E8851314D7E}"/>
    <hyperlink ref="V13" r:id="rId18" xr:uid="{C4C2B70E-D6A0-4175-89B4-BBE4CDCD8F85}"/>
    <hyperlink ref="V14" r:id="rId19" xr:uid="{B6AC6F96-0445-4386-99D0-D8380D874B2E}"/>
    <hyperlink ref="V12" r:id="rId20" xr:uid="{FB742332-5B1D-4047-A004-9D5572BCEBED}"/>
    <hyperlink ref="V16" r:id="rId21" xr:uid="{A46C8C8D-CBB8-4F4F-BB71-CE10C62A1A2D}"/>
    <hyperlink ref="V27" r:id="rId22" xr:uid="{51D7DD0B-8A13-4046-A1BF-45C60FF9DBB2}"/>
    <hyperlink ref="V28" r:id="rId23" xr:uid="{C25D835E-1ADC-475C-9EE7-13C5588B751F}"/>
    <hyperlink ref="V29" r:id="rId24" xr:uid="{47E128E2-3660-4EAE-BED0-6E46A054DFCC}"/>
    <hyperlink ref="V30" r:id="rId25" xr:uid="{548A4EA5-9729-408F-A2E7-584038E14CCB}"/>
    <hyperlink ref="V32" r:id="rId26" xr:uid="{094A5168-FC9A-4575-B725-944362606F8F}"/>
    <hyperlink ref="V11" r:id="rId27" xr:uid="{A6E0FA5C-8754-4B44-A7B9-730AD774A5D3}"/>
  </hyperlinks>
  <pageMargins left="0.33" right="0.23" top="0.14000000000000001" bottom="0.23" header="0.06" footer="0.08"/>
  <pageSetup paperSize="9" scale="62" orientation="landscape" horizontalDpi="360" verticalDpi="360" r:id="rId28"/>
  <rowBreaks count="1" manualBreakCount="1">
    <brk id="38" max="30" man="1"/>
  </rowBreaks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B402-9A2F-446F-8149-9E1374670F1A}">
  <dimension ref="A1:AH41"/>
  <sheetViews>
    <sheetView showGridLines="0" topLeftCell="A9" zoomScaleNormal="100" zoomScaleSheetLayoutView="80" zoomScalePageLayoutView="40" workbookViewId="0">
      <selection activeCell="U25" sqref="U25"/>
    </sheetView>
  </sheetViews>
  <sheetFormatPr defaultColWidth="9.25" defaultRowHeight="20.45" customHeight="1" x14ac:dyDescent="0.2"/>
  <cols>
    <col min="1" max="1" width="9.25" style="5" customWidth="1"/>
    <col min="2" max="2" width="27.375" style="5" customWidth="1"/>
    <col min="3" max="3" width="10.375" style="5" customWidth="1"/>
    <col min="4" max="4" width="13.125" style="5" customWidth="1"/>
    <col min="5" max="5" width="15.25" style="5" customWidth="1"/>
    <col min="6" max="6" width="10.5" style="5" customWidth="1"/>
    <col min="7" max="7" width="12.75" style="6" customWidth="1"/>
    <col min="8" max="9" width="13.75" style="7" customWidth="1"/>
    <col min="10" max="10" width="12.25" style="7" customWidth="1"/>
    <col min="11" max="11" width="13.5" style="7" customWidth="1"/>
    <col min="12" max="12" width="10.375" style="7" customWidth="1"/>
    <col min="13" max="13" width="11.875" style="7" customWidth="1"/>
    <col min="14" max="14" width="10.5" style="7" customWidth="1"/>
    <col min="15" max="15" width="9.625" style="6" customWidth="1"/>
    <col min="16" max="16" width="11.5" style="6" customWidth="1"/>
    <col min="17" max="17" width="9.75" style="6" customWidth="1"/>
    <col min="18" max="18" width="12.25" style="6" customWidth="1"/>
    <col min="19" max="20" width="11.75" style="6" customWidth="1"/>
    <col min="21" max="21" width="17.375" style="6" customWidth="1"/>
    <col min="22" max="22" width="38.25" style="5" customWidth="1"/>
    <col min="23" max="23" width="9.125" style="5" customWidth="1"/>
    <col min="24" max="26" width="9.25" style="5" customWidth="1"/>
    <col min="27" max="27" width="10.875" style="5" customWidth="1"/>
    <col min="28" max="28" width="9.25" style="5" customWidth="1"/>
    <col min="29" max="29" width="13.5" style="5" customWidth="1"/>
    <col min="30" max="30" width="17.375" style="104" customWidth="1"/>
    <col min="31" max="31" width="9.25" style="5" customWidth="1"/>
    <col min="32" max="32" width="9.125" style="1" customWidth="1"/>
    <col min="33" max="33" width="17.5" style="5" customWidth="1"/>
    <col min="34" max="16384" width="9.25" style="5"/>
  </cols>
  <sheetData>
    <row r="1" spans="1:33" ht="20.45" customHeight="1" x14ac:dyDescent="0.2">
      <c r="A1" s="374" t="s">
        <v>390</v>
      </c>
      <c r="B1" s="375"/>
    </row>
    <row r="2" spans="1:33" ht="21.95" customHeight="1" x14ac:dyDescent="0.2">
      <c r="A2" s="164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179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178</v>
      </c>
      <c r="AE2" s="8" t="s">
        <v>28</v>
      </c>
      <c r="AF2" s="96" t="s">
        <v>211</v>
      </c>
      <c r="AG2" s="182" t="s">
        <v>248</v>
      </c>
    </row>
    <row r="3" spans="1:33" ht="21.95" customHeight="1" x14ac:dyDescent="0.2">
      <c r="A3" s="165">
        <v>1</v>
      </c>
      <c r="B3" s="98" t="s">
        <v>161</v>
      </c>
      <c r="C3" s="101" t="s">
        <v>76</v>
      </c>
      <c r="D3" s="98" t="s">
        <v>291</v>
      </c>
      <c r="E3" s="112">
        <f>13650+410+352</f>
        <v>14412</v>
      </c>
      <c r="F3" s="112"/>
      <c r="G3" s="114">
        <f t="shared" ref="G3:G33" si="0">(E3/30)*AB3</f>
        <v>960.8</v>
      </c>
      <c r="H3" s="115">
        <f t="shared" ref="H3:H33" si="1">(((E3/30)/8*1.5))*AC3</f>
        <v>360.29999999999995</v>
      </c>
      <c r="I3" s="112">
        <f t="shared" ref="I3:I33" si="2">(((E3/30)/8*3))*AD3</f>
        <v>180.14999999999998</v>
      </c>
      <c r="J3" s="112">
        <v>1000</v>
      </c>
      <c r="K3" s="146"/>
      <c r="L3" s="116">
        <v>720</v>
      </c>
      <c r="M3" s="117">
        <v>2750</v>
      </c>
      <c r="N3" s="300">
        <v>2750</v>
      </c>
      <c r="O3" s="112"/>
      <c r="P3" s="117"/>
      <c r="Q3" s="112"/>
      <c r="R3" s="112">
        <f t="shared" ref="R3:R33" si="3">(E3/30)*IF(W3=0,0,W3) + (E3/30)*IF(Z3=0,0,Z3)</f>
        <v>0</v>
      </c>
      <c r="S3" s="112"/>
      <c r="T3" s="112"/>
      <c r="U3" s="112">
        <f t="shared" ref="U3:U33" si="4">ROUND(E3+F3+G3+H3+I3+J3-K3-L3-M3+O3-P3-Q3-R3+S3+T3,0)</f>
        <v>13443</v>
      </c>
      <c r="V3" s="122" t="s">
        <v>77</v>
      </c>
      <c r="W3" s="278"/>
      <c r="X3" s="278"/>
      <c r="Y3" s="278"/>
      <c r="Z3" s="278"/>
      <c r="AA3" s="278"/>
      <c r="AB3" s="278">
        <v>2</v>
      </c>
      <c r="AC3" s="22">
        <v>4</v>
      </c>
      <c r="AD3" s="106">
        <v>1</v>
      </c>
      <c r="AE3" s="4" t="s">
        <v>33</v>
      </c>
      <c r="AF3" s="22"/>
      <c r="AG3" s="184"/>
    </row>
    <row r="4" spans="1:33" ht="21.95" customHeight="1" x14ac:dyDescent="0.2">
      <c r="A4" s="165">
        <v>2</v>
      </c>
      <c r="B4" s="98" t="s">
        <v>78</v>
      </c>
      <c r="C4" s="257" t="s">
        <v>79</v>
      </c>
      <c r="D4" s="98" t="s">
        <v>80</v>
      </c>
      <c r="E4" s="112">
        <f>21000+420+536</f>
        <v>21956</v>
      </c>
      <c r="F4" s="113">
        <v>5000</v>
      </c>
      <c r="G4" s="114">
        <f>(E4/30)*AB4</f>
        <v>1463.7333333333333</v>
      </c>
      <c r="H4" s="115">
        <f>(((E4/30)/8*1.5))*AC4</f>
        <v>548.9</v>
      </c>
      <c r="I4" s="112">
        <f t="shared" si="2"/>
        <v>274.45</v>
      </c>
      <c r="J4" s="112">
        <v>1000</v>
      </c>
      <c r="K4" s="146">
        <v>2000</v>
      </c>
      <c r="L4" s="116">
        <v>750</v>
      </c>
      <c r="M4" s="112"/>
      <c r="N4" s="112"/>
      <c r="O4" s="113">
        <v>15000</v>
      </c>
      <c r="P4" s="117">
        <v>537</v>
      </c>
      <c r="Q4" s="112"/>
      <c r="R4" s="112">
        <f t="shared" si="3"/>
        <v>0</v>
      </c>
      <c r="S4" s="112"/>
      <c r="T4" s="112"/>
      <c r="U4" s="112">
        <f t="shared" si="4"/>
        <v>41956</v>
      </c>
      <c r="V4" s="122" t="s">
        <v>133</v>
      </c>
      <c r="W4" s="278"/>
      <c r="X4" s="278"/>
      <c r="Y4" s="278"/>
      <c r="Z4" s="278"/>
      <c r="AA4" s="278">
        <v>2</v>
      </c>
      <c r="AB4" s="278">
        <v>2</v>
      </c>
      <c r="AC4" s="22">
        <v>4</v>
      </c>
      <c r="AD4" s="106">
        <v>1</v>
      </c>
      <c r="AE4" s="4" t="s">
        <v>33</v>
      </c>
      <c r="AF4" s="22"/>
      <c r="AG4" s="185"/>
    </row>
    <row r="5" spans="1:33" ht="21.95" customHeight="1" x14ac:dyDescent="0.2">
      <c r="A5" s="165">
        <v>3</v>
      </c>
      <c r="B5" s="98" t="s">
        <v>156</v>
      </c>
      <c r="C5" s="101" t="s">
        <v>85</v>
      </c>
      <c r="D5" s="98" t="s">
        <v>45</v>
      </c>
      <c r="E5" s="112">
        <f>13650+410+282</f>
        <v>14342</v>
      </c>
      <c r="F5" s="112"/>
      <c r="G5" s="114">
        <f t="shared" si="0"/>
        <v>956.13333333333333</v>
      </c>
      <c r="H5" s="115">
        <f t="shared" si="1"/>
        <v>448.1875</v>
      </c>
      <c r="I5" s="112">
        <f t="shared" si="2"/>
        <v>179.27500000000001</v>
      </c>
      <c r="J5" s="112">
        <v>900</v>
      </c>
      <c r="K5" s="112">
        <v>3000</v>
      </c>
      <c r="L5" s="124"/>
      <c r="M5" s="117">
        <v>2750</v>
      </c>
      <c r="N5" s="300">
        <v>2750</v>
      </c>
      <c r="O5" s="112"/>
      <c r="P5" s="117"/>
      <c r="Q5" s="112"/>
      <c r="R5" s="112">
        <f t="shared" si="3"/>
        <v>0</v>
      </c>
      <c r="S5" s="112"/>
      <c r="T5" s="112"/>
      <c r="U5" s="112">
        <f>ROUND(E5+F5+G5+H5+I5+J5-K5-L5-M5+O5-P5-Q5-R5+S5+T5,0)</f>
        <v>11076</v>
      </c>
      <c r="V5" s="122" t="s">
        <v>86</v>
      </c>
      <c r="W5" s="278"/>
      <c r="X5" s="301"/>
      <c r="Y5" s="278"/>
      <c r="Z5" s="278"/>
      <c r="AA5" s="278"/>
      <c r="AB5" s="278">
        <v>2</v>
      </c>
      <c r="AC5" s="22">
        <v>5</v>
      </c>
      <c r="AD5" s="106">
        <v>1</v>
      </c>
      <c r="AE5" s="4" t="s">
        <v>33</v>
      </c>
      <c r="AF5" s="22"/>
      <c r="AG5" s="341" t="s">
        <v>386</v>
      </c>
    </row>
    <row r="6" spans="1:33" ht="21.95" customHeight="1" x14ac:dyDescent="0.2">
      <c r="A6" s="165">
        <v>4</v>
      </c>
      <c r="B6" s="98" t="s">
        <v>155</v>
      </c>
      <c r="C6" s="101" t="s">
        <v>90</v>
      </c>
      <c r="D6" s="98" t="s">
        <v>83</v>
      </c>
      <c r="E6" s="112">
        <v>15000</v>
      </c>
      <c r="F6" s="113">
        <v>3000</v>
      </c>
      <c r="G6" s="114">
        <f t="shared" si="0"/>
        <v>1000</v>
      </c>
      <c r="H6" s="115">
        <f t="shared" si="1"/>
        <v>375</v>
      </c>
      <c r="I6" s="112">
        <f t="shared" si="2"/>
        <v>187.5</v>
      </c>
      <c r="J6" s="112">
        <v>800</v>
      </c>
      <c r="K6" s="112"/>
      <c r="L6" s="116">
        <v>750</v>
      </c>
      <c r="M6" s="112"/>
      <c r="N6" s="112"/>
      <c r="O6" s="112"/>
      <c r="P6" s="117"/>
      <c r="Q6" s="112"/>
      <c r="R6" s="112">
        <f t="shared" si="3"/>
        <v>0</v>
      </c>
      <c r="S6" s="112"/>
      <c r="T6" s="112"/>
      <c r="U6" s="112">
        <f t="shared" si="4"/>
        <v>19613</v>
      </c>
      <c r="V6" s="122" t="s">
        <v>91</v>
      </c>
      <c r="W6" s="278"/>
      <c r="X6" s="278"/>
      <c r="Y6" s="278"/>
      <c r="Z6" s="278"/>
      <c r="AA6" s="278"/>
      <c r="AB6" s="278">
        <v>2</v>
      </c>
      <c r="AC6" s="22">
        <v>4</v>
      </c>
      <c r="AD6" s="106">
        <v>1</v>
      </c>
      <c r="AE6" s="4" t="s">
        <v>33</v>
      </c>
      <c r="AF6" s="22"/>
      <c r="AG6" s="187"/>
    </row>
    <row r="7" spans="1:33" ht="21.95" customHeight="1" x14ac:dyDescent="0.2">
      <c r="A7" s="165">
        <v>5</v>
      </c>
      <c r="B7" s="98" t="s">
        <v>92</v>
      </c>
      <c r="C7" s="101" t="s">
        <v>93</v>
      </c>
      <c r="D7" s="98" t="s">
        <v>66</v>
      </c>
      <c r="E7" s="112">
        <f>14500+435+374</f>
        <v>15309</v>
      </c>
      <c r="F7" s="112"/>
      <c r="G7" s="114">
        <f>(E7/30)*AB7</f>
        <v>1020.6</v>
      </c>
      <c r="H7" s="115">
        <f t="shared" si="1"/>
        <v>382.72500000000002</v>
      </c>
      <c r="I7" s="112">
        <f t="shared" si="2"/>
        <v>191.36250000000001</v>
      </c>
      <c r="J7" s="112">
        <v>700</v>
      </c>
      <c r="K7" s="112"/>
      <c r="L7" s="116">
        <v>750</v>
      </c>
      <c r="M7" s="112"/>
      <c r="N7" s="112"/>
      <c r="O7" s="112"/>
      <c r="P7" s="117"/>
      <c r="Q7" s="112"/>
      <c r="R7" s="112">
        <f t="shared" si="3"/>
        <v>1020.6</v>
      </c>
      <c r="S7" s="112"/>
      <c r="T7" s="112"/>
      <c r="U7" s="112">
        <f t="shared" si="4"/>
        <v>15833</v>
      </c>
      <c r="V7" s="125" t="s">
        <v>94</v>
      </c>
      <c r="W7" s="278"/>
      <c r="X7" s="278"/>
      <c r="Y7" s="278"/>
      <c r="Z7" s="278">
        <v>2</v>
      </c>
      <c r="AA7" s="278">
        <v>6</v>
      </c>
      <c r="AB7" s="278">
        <v>2</v>
      </c>
      <c r="AC7" s="22">
        <v>4</v>
      </c>
      <c r="AD7" s="106">
        <v>1</v>
      </c>
      <c r="AE7" s="4" t="s">
        <v>33</v>
      </c>
      <c r="AF7" s="22"/>
      <c r="AG7" s="187"/>
    </row>
    <row r="8" spans="1:33" ht="21.95" customHeight="1" x14ac:dyDescent="0.2">
      <c r="A8" s="165">
        <v>6</v>
      </c>
      <c r="B8" s="98" t="s">
        <v>100</v>
      </c>
      <c r="C8" s="101" t="s">
        <v>101</v>
      </c>
      <c r="D8" s="98" t="s">
        <v>292</v>
      </c>
      <c r="E8" s="112">
        <f>13000+260</f>
        <v>13260</v>
      </c>
      <c r="F8" s="113">
        <v>1500</v>
      </c>
      <c r="G8" s="114">
        <f t="shared" si="0"/>
        <v>884</v>
      </c>
      <c r="H8" s="115">
        <f t="shared" si="1"/>
        <v>248.625</v>
      </c>
      <c r="I8" s="112">
        <f t="shared" si="2"/>
        <v>165.75</v>
      </c>
      <c r="J8" s="112"/>
      <c r="K8" s="112">
        <v>6000</v>
      </c>
      <c r="L8" s="116">
        <v>663</v>
      </c>
      <c r="M8" s="117"/>
      <c r="N8" s="112"/>
      <c r="O8" s="112"/>
      <c r="P8" s="117">
        <v>625</v>
      </c>
      <c r="Q8" s="112"/>
      <c r="R8" s="112">
        <f t="shared" si="3"/>
        <v>442</v>
      </c>
      <c r="S8" s="112"/>
      <c r="T8" s="112"/>
      <c r="U8" s="112">
        <f t="shared" si="4"/>
        <v>8328</v>
      </c>
      <c r="V8" s="122" t="s">
        <v>102</v>
      </c>
      <c r="W8" s="278"/>
      <c r="X8" s="278"/>
      <c r="Y8" s="278">
        <v>10</v>
      </c>
      <c r="Z8" s="278">
        <v>1</v>
      </c>
      <c r="AA8" s="278"/>
      <c r="AB8" s="278">
        <v>2</v>
      </c>
      <c r="AC8" s="22">
        <v>3</v>
      </c>
      <c r="AD8" s="106">
        <v>1</v>
      </c>
      <c r="AE8" s="4" t="s">
        <v>33</v>
      </c>
      <c r="AF8" s="22"/>
      <c r="AG8" s="187"/>
    </row>
    <row r="9" spans="1:33" ht="21.95" customHeight="1" x14ac:dyDescent="0.2">
      <c r="A9" s="165">
        <v>7</v>
      </c>
      <c r="B9" s="98" t="s">
        <v>103</v>
      </c>
      <c r="C9" s="101" t="s">
        <v>104</v>
      </c>
      <c r="D9" s="100" t="s">
        <v>219</v>
      </c>
      <c r="E9" s="112">
        <v>14000</v>
      </c>
      <c r="F9" s="113">
        <v>2000</v>
      </c>
      <c r="G9" s="114">
        <f t="shared" si="0"/>
        <v>933.33333333333337</v>
      </c>
      <c r="H9" s="115">
        <f t="shared" si="1"/>
        <v>437.5</v>
      </c>
      <c r="I9" s="112">
        <f t="shared" si="2"/>
        <v>175</v>
      </c>
      <c r="J9" s="112">
        <v>1000</v>
      </c>
      <c r="K9" s="112"/>
      <c r="L9" s="116">
        <v>700</v>
      </c>
      <c r="M9" s="112"/>
      <c r="N9" s="112"/>
      <c r="O9" s="112"/>
      <c r="P9" s="117"/>
      <c r="Q9" s="112"/>
      <c r="R9" s="112">
        <f t="shared" si="3"/>
        <v>0</v>
      </c>
      <c r="S9" s="112"/>
      <c r="T9" s="112"/>
      <c r="U9" s="112">
        <f t="shared" si="4"/>
        <v>17846</v>
      </c>
      <c r="V9" s="125" t="s">
        <v>105</v>
      </c>
      <c r="W9" s="278"/>
      <c r="X9" s="301"/>
      <c r="Y9" s="278"/>
      <c r="Z9" s="278"/>
      <c r="AA9" s="302"/>
      <c r="AB9" s="278">
        <v>2</v>
      </c>
      <c r="AC9" s="22">
        <v>5</v>
      </c>
      <c r="AD9" s="106">
        <v>1</v>
      </c>
      <c r="AE9" s="4" t="s">
        <v>33</v>
      </c>
      <c r="AF9" s="22"/>
      <c r="AG9" s="187"/>
    </row>
    <row r="10" spans="1:33" ht="21.95" customHeight="1" x14ac:dyDescent="0.2">
      <c r="A10" s="165">
        <v>8</v>
      </c>
      <c r="B10" s="98" t="s">
        <v>158</v>
      </c>
      <c r="C10" s="101" t="s">
        <v>134</v>
      </c>
      <c r="D10" s="98" t="s">
        <v>66</v>
      </c>
      <c r="E10" s="112">
        <v>14000</v>
      </c>
      <c r="F10" s="128"/>
      <c r="G10" s="114">
        <f t="shared" si="0"/>
        <v>933.33333333333337</v>
      </c>
      <c r="H10" s="115">
        <f t="shared" si="1"/>
        <v>437.5</v>
      </c>
      <c r="I10" s="112">
        <f t="shared" si="2"/>
        <v>175</v>
      </c>
      <c r="J10" s="112">
        <v>1000</v>
      </c>
      <c r="K10" s="112">
        <v>3000</v>
      </c>
      <c r="L10" s="124"/>
      <c r="M10" s="117"/>
      <c r="N10" s="112"/>
      <c r="O10" s="112"/>
      <c r="P10" s="117"/>
      <c r="Q10" s="112"/>
      <c r="R10" s="112">
        <f t="shared" si="3"/>
        <v>0</v>
      </c>
      <c r="S10" s="112"/>
      <c r="T10" s="112"/>
      <c r="U10" s="112">
        <f t="shared" si="4"/>
        <v>13546</v>
      </c>
      <c r="V10" s="126" t="s">
        <v>395</v>
      </c>
      <c r="W10" s="278"/>
      <c r="X10" s="278"/>
      <c r="Y10" s="278"/>
      <c r="Z10" s="278"/>
      <c r="AA10" s="278">
        <v>2</v>
      </c>
      <c r="AB10" s="278">
        <v>2</v>
      </c>
      <c r="AC10" s="22">
        <v>5</v>
      </c>
      <c r="AD10" s="106">
        <v>1</v>
      </c>
      <c r="AE10" s="4" t="s">
        <v>33</v>
      </c>
      <c r="AF10" s="22"/>
      <c r="AG10" s="187" t="s">
        <v>271</v>
      </c>
    </row>
    <row r="11" spans="1:33" ht="21.95" customHeight="1" x14ac:dyDescent="0.2">
      <c r="A11" s="165">
        <v>9</v>
      </c>
      <c r="B11" s="98" t="s">
        <v>106</v>
      </c>
      <c r="C11" s="101" t="s">
        <v>107</v>
      </c>
      <c r="D11" s="98" t="s">
        <v>291</v>
      </c>
      <c r="E11" s="112">
        <v>13000</v>
      </c>
      <c r="F11" s="112"/>
      <c r="G11" s="129">
        <f>(E11/30)*AB11</f>
        <v>866.66666666666663</v>
      </c>
      <c r="H11" s="130">
        <f t="shared" si="1"/>
        <v>406.25</v>
      </c>
      <c r="I11" s="112">
        <f t="shared" si="2"/>
        <v>162.5</v>
      </c>
      <c r="J11" s="112">
        <v>1000</v>
      </c>
      <c r="K11" s="112"/>
      <c r="L11" s="116">
        <v>650</v>
      </c>
      <c r="M11" s="112"/>
      <c r="N11" s="112"/>
      <c r="O11" s="112"/>
      <c r="P11" s="117"/>
      <c r="Q11" s="112"/>
      <c r="R11" s="112">
        <f t="shared" si="3"/>
        <v>0</v>
      </c>
      <c r="S11" s="112"/>
      <c r="T11" s="112"/>
      <c r="U11" s="112">
        <f t="shared" si="4"/>
        <v>14785</v>
      </c>
      <c r="V11" s="126" t="s">
        <v>379</v>
      </c>
      <c r="W11" s="278"/>
      <c r="X11" s="278"/>
      <c r="Y11" s="278"/>
      <c r="Z11" s="278"/>
      <c r="AA11" s="303"/>
      <c r="AB11" s="278">
        <v>2</v>
      </c>
      <c r="AC11" s="22">
        <v>5</v>
      </c>
      <c r="AD11" s="106">
        <v>1</v>
      </c>
      <c r="AE11" s="4" t="s">
        <v>33</v>
      </c>
      <c r="AF11" s="22"/>
      <c r="AG11" s="187"/>
    </row>
    <row r="12" spans="1:33" ht="21.75" customHeight="1" x14ac:dyDescent="0.2">
      <c r="A12" s="165">
        <v>10</v>
      </c>
      <c r="B12" s="98" t="s">
        <v>388</v>
      </c>
      <c r="C12" s="101" t="s">
        <v>137</v>
      </c>
      <c r="D12" s="98" t="s">
        <v>394</v>
      </c>
      <c r="E12" s="112">
        <v>13000</v>
      </c>
      <c r="F12" s="113">
        <v>2000</v>
      </c>
      <c r="G12" s="114">
        <f t="shared" si="0"/>
        <v>866.66666666666663</v>
      </c>
      <c r="H12" s="115">
        <f t="shared" si="1"/>
        <v>406.25</v>
      </c>
      <c r="I12" s="112">
        <f t="shared" si="2"/>
        <v>162.5</v>
      </c>
      <c r="J12" s="112">
        <v>1000</v>
      </c>
      <c r="K12" s="112"/>
      <c r="L12" s="124"/>
      <c r="M12" s="117"/>
      <c r="N12" s="112"/>
      <c r="O12" s="117"/>
      <c r="P12" s="117"/>
      <c r="Q12" s="112"/>
      <c r="R12" s="112">
        <f t="shared" si="3"/>
        <v>0</v>
      </c>
      <c r="S12" s="112"/>
      <c r="T12" s="112"/>
      <c r="U12" s="112">
        <f>ROUND(E12+F12+G12+H12+I12+J12-K12-L12-M12+O12-P12-Q12-R12+S12+T12,0)</f>
        <v>17435</v>
      </c>
      <c r="V12" s="126" t="s">
        <v>281</v>
      </c>
      <c r="W12" s="278"/>
      <c r="X12" s="278"/>
      <c r="Y12" s="278"/>
      <c r="Z12" s="278"/>
      <c r="AA12" s="303"/>
      <c r="AB12" s="278">
        <v>2</v>
      </c>
      <c r="AC12" s="22">
        <v>5</v>
      </c>
      <c r="AD12" s="106">
        <v>1</v>
      </c>
      <c r="AE12" s="4" t="s">
        <v>33</v>
      </c>
      <c r="AF12" s="22"/>
      <c r="AG12" s="187" t="s">
        <v>387</v>
      </c>
    </row>
    <row r="13" spans="1:33" ht="21.75" customHeight="1" x14ac:dyDescent="0.2">
      <c r="A13" s="165">
        <v>11</v>
      </c>
      <c r="B13" s="98" t="s">
        <v>391</v>
      </c>
      <c r="C13" s="101" t="s">
        <v>136</v>
      </c>
      <c r="D13" s="98" t="s">
        <v>36</v>
      </c>
      <c r="E13" s="112">
        <v>12500</v>
      </c>
      <c r="F13" s="113">
        <v>1000</v>
      </c>
      <c r="G13" s="114">
        <f t="shared" si="0"/>
        <v>833.33333333333337</v>
      </c>
      <c r="H13" s="115">
        <f t="shared" si="1"/>
        <v>234.375</v>
      </c>
      <c r="I13" s="112">
        <f t="shared" si="2"/>
        <v>156.25</v>
      </c>
      <c r="J13" s="112">
        <v>1000</v>
      </c>
      <c r="K13" s="112">
        <v>6000</v>
      </c>
      <c r="L13" s="116">
        <v>625</v>
      </c>
      <c r="M13" s="112"/>
      <c r="N13" s="112"/>
      <c r="O13" s="117"/>
      <c r="P13" s="117"/>
      <c r="Q13" s="112"/>
      <c r="R13" s="112">
        <f t="shared" si="3"/>
        <v>0</v>
      </c>
      <c r="S13" s="112"/>
      <c r="T13" s="112"/>
      <c r="U13" s="112">
        <f>ROUND(E13+F13+G13+H13+I13+J13-K13-L13-M13+O13-P13-Q13-R13+S13+T13,0)</f>
        <v>9099</v>
      </c>
      <c r="V13" s="119" t="s">
        <v>153</v>
      </c>
      <c r="W13" s="278"/>
      <c r="X13" s="278"/>
      <c r="Y13" s="278"/>
      <c r="Z13" s="278"/>
      <c r="AA13" s="303"/>
      <c r="AB13" s="278">
        <v>2</v>
      </c>
      <c r="AC13" s="22">
        <v>3</v>
      </c>
      <c r="AD13" s="106">
        <v>1</v>
      </c>
      <c r="AE13" s="4" t="s">
        <v>33</v>
      </c>
      <c r="AF13" s="22"/>
      <c r="AG13" s="187"/>
    </row>
    <row r="14" spans="1:33" ht="21.75" customHeight="1" x14ac:dyDescent="0.2">
      <c r="A14" s="165">
        <v>12</v>
      </c>
      <c r="B14" s="98" t="s">
        <v>140</v>
      </c>
      <c r="C14" s="101" t="s">
        <v>139</v>
      </c>
      <c r="D14" s="98" t="s">
        <v>291</v>
      </c>
      <c r="E14" s="112">
        <f>12000+180</f>
        <v>12180</v>
      </c>
      <c r="F14" s="112"/>
      <c r="G14" s="114">
        <f t="shared" si="0"/>
        <v>812</v>
      </c>
      <c r="H14" s="115">
        <f t="shared" si="1"/>
        <v>380.625</v>
      </c>
      <c r="I14" s="112">
        <f t="shared" si="2"/>
        <v>152.25</v>
      </c>
      <c r="J14" s="112">
        <v>700</v>
      </c>
      <c r="K14" s="132">
        <v>6000</v>
      </c>
      <c r="L14" s="116">
        <v>609</v>
      </c>
      <c r="M14" s="112"/>
      <c r="N14" s="112"/>
      <c r="O14" s="112"/>
      <c r="P14" s="117">
        <v>770</v>
      </c>
      <c r="Q14" s="112"/>
      <c r="R14" s="112">
        <f t="shared" si="3"/>
        <v>0</v>
      </c>
      <c r="S14" s="112"/>
      <c r="T14" s="112"/>
      <c r="U14" s="112">
        <f t="shared" si="4"/>
        <v>6846</v>
      </c>
      <c r="V14" s="119" t="s">
        <v>168</v>
      </c>
      <c r="W14" s="278"/>
      <c r="X14" s="278"/>
      <c r="Y14" s="278">
        <v>1</v>
      </c>
      <c r="Z14" s="278"/>
      <c r="AA14" s="310"/>
      <c r="AB14" s="278">
        <v>2</v>
      </c>
      <c r="AC14" s="22">
        <v>5</v>
      </c>
      <c r="AD14" s="106">
        <v>1</v>
      </c>
      <c r="AE14" s="4" t="s">
        <v>33</v>
      </c>
      <c r="AF14" s="22"/>
      <c r="AG14" s="187"/>
    </row>
    <row r="15" spans="1:33" ht="21.75" customHeight="1" x14ac:dyDescent="0.2">
      <c r="A15" s="165">
        <v>13</v>
      </c>
      <c r="B15" s="98" t="s">
        <v>145</v>
      </c>
      <c r="C15" s="101" t="s">
        <v>198</v>
      </c>
      <c r="D15" s="98" t="s">
        <v>66</v>
      </c>
      <c r="E15" s="112">
        <v>13000</v>
      </c>
      <c r="F15" s="112"/>
      <c r="G15" s="114">
        <f t="shared" si="0"/>
        <v>866.66666666666663</v>
      </c>
      <c r="H15" s="115">
        <f t="shared" si="1"/>
        <v>406.25</v>
      </c>
      <c r="I15" s="112">
        <f t="shared" si="2"/>
        <v>162.5</v>
      </c>
      <c r="J15" s="131">
        <v>800</v>
      </c>
      <c r="K15" s="112">
        <v>4000</v>
      </c>
      <c r="L15" s="116">
        <v>650</v>
      </c>
      <c r="M15" s="117">
        <v>6600</v>
      </c>
      <c r="N15" s="300">
        <v>6600</v>
      </c>
      <c r="O15" s="112"/>
      <c r="P15" s="117"/>
      <c r="Q15" s="112"/>
      <c r="R15" s="112">
        <f t="shared" si="3"/>
        <v>0</v>
      </c>
      <c r="S15" s="112"/>
      <c r="T15" s="112"/>
      <c r="U15" s="112">
        <f t="shared" si="4"/>
        <v>3985</v>
      </c>
      <c r="V15" s="126" t="s">
        <v>285</v>
      </c>
      <c r="W15" s="278"/>
      <c r="X15" s="278">
        <v>20</v>
      </c>
      <c r="Y15" s="278"/>
      <c r="Z15" s="278"/>
      <c r="AA15" s="278"/>
      <c r="AB15" s="278">
        <v>2</v>
      </c>
      <c r="AC15" s="22">
        <v>5</v>
      </c>
      <c r="AD15" s="106">
        <v>1</v>
      </c>
      <c r="AE15" s="4" t="s">
        <v>33</v>
      </c>
      <c r="AF15" s="22"/>
      <c r="AG15" s="185"/>
    </row>
    <row r="16" spans="1:33" ht="21.75" customHeight="1" x14ac:dyDescent="0.2">
      <c r="A16" s="165">
        <v>14</v>
      </c>
      <c r="B16" s="99" t="s">
        <v>167</v>
      </c>
      <c r="C16" s="101" t="s">
        <v>164</v>
      </c>
      <c r="D16" s="98" t="s">
        <v>36</v>
      </c>
      <c r="E16" s="112">
        <f>12000+240</f>
        <v>12240</v>
      </c>
      <c r="F16" s="112"/>
      <c r="G16" s="114">
        <f t="shared" si="0"/>
        <v>816</v>
      </c>
      <c r="H16" s="115">
        <f t="shared" si="1"/>
        <v>382.5</v>
      </c>
      <c r="I16" s="112">
        <f t="shared" si="2"/>
        <v>153</v>
      </c>
      <c r="J16" s="112">
        <v>700</v>
      </c>
      <c r="K16" s="112">
        <v>4000</v>
      </c>
      <c r="L16" s="124"/>
      <c r="M16" s="112"/>
      <c r="N16" s="112"/>
      <c r="O16" s="117"/>
      <c r="P16" s="117"/>
      <c r="Q16" s="112"/>
      <c r="R16" s="112">
        <f t="shared" si="3"/>
        <v>0</v>
      </c>
      <c r="S16" s="112"/>
      <c r="T16" s="112"/>
      <c r="U16" s="112">
        <f t="shared" si="4"/>
        <v>10292</v>
      </c>
      <c r="V16" s="126" t="s">
        <v>166</v>
      </c>
      <c r="W16" s="278"/>
      <c r="X16" s="278"/>
      <c r="Y16" s="278">
        <v>1</v>
      </c>
      <c r="Z16" s="278"/>
      <c r="AA16" s="278"/>
      <c r="AB16" s="278">
        <v>2</v>
      </c>
      <c r="AC16" s="22">
        <v>5</v>
      </c>
      <c r="AD16" s="106">
        <v>1</v>
      </c>
      <c r="AE16" s="4" t="s">
        <v>33</v>
      </c>
      <c r="AF16" s="22"/>
      <c r="AG16" s="187" t="s">
        <v>251</v>
      </c>
    </row>
    <row r="17" spans="1:34" ht="21.75" customHeight="1" x14ac:dyDescent="0.2">
      <c r="A17" s="221">
        <v>15</v>
      </c>
      <c r="B17" s="150" t="s">
        <v>222</v>
      </c>
      <c r="C17" s="147" t="s">
        <v>195</v>
      </c>
      <c r="D17" s="140" t="s">
        <v>291</v>
      </c>
      <c r="E17" s="151">
        <v>12000</v>
      </c>
      <c r="F17" s="151"/>
      <c r="G17" s="157">
        <f t="shared" si="0"/>
        <v>0</v>
      </c>
      <c r="H17" s="158">
        <f t="shared" si="1"/>
        <v>150</v>
      </c>
      <c r="I17" s="151">
        <f t="shared" si="2"/>
        <v>150</v>
      </c>
      <c r="J17" s="151"/>
      <c r="K17" s="151"/>
      <c r="L17" s="350">
        <v>300</v>
      </c>
      <c r="M17" s="160">
        <v>2500</v>
      </c>
      <c r="N17" s="300">
        <v>0</v>
      </c>
      <c r="O17" s="151"/>
      <c r="P17" s="160"/>
      <c r="Q17" s="151"/>
      <c r="R17" s="151">
        <f t="shared" si="3"/>
        <v>6000</v>
      </c>
      <c r="S17" s="151"/>
      <c r="T17" s="151"/>
      <c r="U17" s="151">
        <f>ROUND(E17+F17+G17+H17+I17+J17-K17-L17-M17+O17-P17-Q17-R17+S17+T17,0)</f>
        <v>3500</v>
      </c>
      <c r="V17" s="222" t="s">
        <v>280</v>
      </c>
      <c r="W17" s="304">
        <v>15</v>
      </c>
      <c r="X17" s="304"/>
      <c r="Y17" s="304"/>
      <c r="Z17" s="304"/>
      <c r="AA17" s="304"/>
      <c r="AB17" s="304"/>
      <c r="AC17" s="163">
        <v>2</v>
      </c>
      <c r="AD17" s="224">
        <v>1</v>
      </c>
      <c r="AE17" s="225" t="s">
        <v>33</v>
      </c>
      <c r="AF17" s="163">
        <v>1</v>
      </c>
      <c r="AG17" s="228"/>
      <c r="AH17" s="104"/>
    </row>
    <row r="18" spans="1:34" ht="21.75" customHeight="1" x14ac:dyDescent="0.2">
      <c r="A18" s="165">
        <v>16</v>
      </c>
      <c r="B18" s="308" t="s">
        <v>209</v>
      </c>
      <c r="C18" s="309" t="s">
        <v>199</v>
      </c>
      <c r="D18" s="98" t="s">
        <v>291</v>
      </c>
      <c r="E18" s="112">
        <v>12000</v>
      </c>
      <c r="F18" s="112"/>
      <c r="G18" s="114">
        <f t="shared" si="0"/>
        <v>800</v>
      </c>
      <c r="H18" s="115">
        <f t="shared" si="1"/>
        <v>375</v>
      </c>
      <c r="I18" s="112">
        <f t="shared" si="2"/>
        <v>150</v>
      </c>
      <c r="J18" s="112">
        <v>800</v>
      </c>
      <c r="K18" s="112">
        <v>6000</v>
      </c>
      <c r="L18" s="116">
        <v>600</v>
      </c>
      <c r="M18" s="112"/>
      <c r="N18" s="112"/>
      <c r="O18" s="112"/>
      <c r="P18" s="117">
        <v>447</v>
      </c>
      <c r="Q18" s="112"/>
      <c r="R18" s="112">
        <f t="shared" si="3"/>
        <v>0</v>
      </c>
      <c r="S18" s="112"/>
      <c r="T18" s="112"/>
      <c r="U18" s="112">
        <f>ROUND(E18+F18+G18+H18+I18+J18-K18-L18-M18+O18-P18-Q18-R18+S18+T18,0)</f>
        <v>7078</v>
      </c>
      <c r="V18" s="126" t="s">
        <v>210</v>
      </c>
      <c r="W18" s="278"/>
      <c r="X18" s="278"/>
      <c r="Y18" s="278"/>
      <c r="Z18" s="278"/>
      <c r="AA18" s="278"/>
      <c r="AB18" s="278">
        <v>2</v>
      </c>
      <c r="AC18" s="22">
        <v>5</v>
      </c>
      <c r="AD18" s="106">
        <v>1</v>
      </c>
      <c r="AE18" s="4" t="s">
        <v>33</v>
      </c>
      <c r="AF18" s="22"/>
      <c r="AG18" s="187"/>
    </row>
    <row r="19" spans="1:34" ht="21.75" customHeight="1" x14ac:dyDescent="0.2">
      <c r="A19" s="229">
        <v>17</v>
      </c>
      <c r="B19" s="230" t="s">
        <v>223</v>
      </c>
      <c r="C19" s="231" t="s">
        <v>200</v>
      </c>
      <c r="D19" s="232" t="s">
        <v>36</v>
      </c>
      <c r="E19" s="233">
        <v>12000</v>
      </c>
      <c r="F19" s="233"/>
      <c r="G19" s="234">
        <f t="shared" si="0"/>
        <v>400</v>
      </c>
      <c r="H19" s="235">
        <f t="shared" si="1"/>
        <v>225</v>
      </c>
      <c r="I19" s="233">
        <f t="shared" si="2"/>
        <v>150</v>
      </c>
      <c r="J19" s="233"/>
      <c r="K19" s="233"/>
      <c r="L19" s="236"/>
      <c r="M19" s="233"/>
      <c r="N19" s="233"/>
      <c r="O19" s="237">
        <v>500</v>
      </c>
      <c r="P19" s="237">
        <v>625</v>
      </c>
      <c r="Q19" s="233"/>
      <c r="R19" s="233">
        <f t="shared" si="3"/>
        <v>2000</v>
      </c>
      <c r="S19" s="233"/>
      <c r="T19" s="233"/>
      <c r="U19" s="233">
        <f t="shared" si="4"/>
        <v>10650</v>
      </c>
      <c r="V19" s="238"/>
      <c r="W19" s="305">
        <v>5</v>
      </c>
      <c r="X19" s="305"/>
      <c r="Y19" s="305"/>
      <c r="Z19" s="305"/>
      <c r="AA19" s="305"/>
      <c r="AB19" s="305">
        <v>1</v>
      </c>
      <c r="AC19" s="240">
        <v>3</v>
      </c>
      <c r="AD19" s="241">
        <v>1</v>
      </c>
      <c r="AE19" s="242" t="s">
        <v>33</v>
      </c>
      <c r="AF19" s="240">
        <v>1</v>
      </c>
      <c r="AG19" s="243"/>
    </row>
    <row r="20" spans="1:34" ht="21.75" customHeight="1" x14ac:dyDescent="0.2">
      <c r="A20" s="165">
        <v>18</v>
      </c>
      <c r="B20" s="99" t="s">
        <v>367</v>
      </c>
      <c r="C20" s="101" t="s">
        <v>208</v>
      </c>
      <c r="D20" s="98" t="s">
        <v>66</v>
      </c>
      <c r="E20" s="112">
        <v>12500</v>
      </c>
      <c r="F20" s="112"/>
      <c r="G20" s="114">
        <f t="shared" si="0"/>
        <v>833.33333333333337</v>
      </c>
      <c r="H20" s="115">
        <f t="shared" si="1"/>
        <v>390.625</v>
      </c>
      <c r="I20" s="112">
        <f t="shared" si="2"/>
        <v>156.25</v>
      </c>
      <c r="J20" s="112">
        <v>900</v>
      </c>
      <c r="K20" s="112"/>
      <c r="L20" s="116">
        <v>625</v>
      </c>
      <c r="M20" s="117">
        <v>3300</v>
      </c>
      <c r="N20" s="300">
        <v>6600</v>
      </c>
      <c r="O20" s="112"/>
      <c r="P20" s="117"/>
      <c r="Q20" s="112"/>
      <c r="R20" s="112">
        <f t="shared" si="3"/>
        <v>0</v>
      </c>
      <c r="S20" s="112"/>
      <c r="T20" s="112"/>
      <c r="U20" s="112">
        <f t="shared" si="4"/>
        <v>10855</v>
      </c>
      <c r="V20" s="126" t="s">
        <v>283</v>
      </c>
      <c r="W20" s="278"/>
      <c r="X20" s="278">
        <v>14</v>
      </c>
      <c r="Y20" s="310"/>
      <c r="Z20" s="278"/>
      <c r="AA20" s="278"/>
      <c r="AB20" s="278">
        <v>2</v>
      </c>
      <c r="AC20" s="22">
        <v>5</v>
      </c>
      <c r="AD20" s="106">
        <v>1</v>
      </c>
      <c r="AE20" s="4" t="s">
        <v>33</v>
      </c>
      <c r="AF20" s="22"/>
      <c r="AG20" s="185"/>
    </row>
    <row r="21" spans="1:34" ht="21.75" customHeight="1" x14ac:dyDescent="0.2">
      <c r="A21" s="165">
        <v>19</v>
      </c>
      <c r="B21" s="99" t="s">
        <v>224</v>
      </c>
      <c r="C21" s="101" t="s">
        <v>213</v>
      </c>
      <c r="D21" s="98" t="s">
        <v>36</v>
      </c>
      <c r="E21" s="112">
        <v>12000</v>
      </c>
      <c r="F21" s="112"/>
      <c r="G21" s="114">
        <f t="shared" si="0"/>
        <v>0</v>
      </c>
      <c r="H21" s="115">
        <f t="shared" si="1"/>
        <v>0</v>
      </c>
      <c r="I21" s="112">
        <f t="shared" si="2"/>
        <v>0</v>
      </c>
      <c r="J21" s="112"/>
      <c r="K21" s="112">
        <v>2000</v>
      </c>
      <c r="L21" s="116">
        <v>600</v>
      </c>
      <c r="M21" s="112"/>
      <c r="N21" s="112"/>
      <c r="O21" s="117"/>
      <c r="P21" s="117"/>
      <c r="Q21" s="112"/>
      <c r="R21" s="112">
        <f t="shared" si="3"/>
        <v>0</v>
      </c>
      <c r="S21" s="112"/>
      <c r="T21" s="112"/>
      <c r="U21" s="112">
        <f t="shared" si="4"/>
        <v>9400</v>
      </c>
      <c r="V21" s="126" t="s">
        <v>259</v>
      </c>
      <c r="W21" s="278"/>
      <c r="X21" s="278"/>
      <c r="Y21" s="278"/>
      <c r="Z21" s="278"/>
      <c r="AA21" s="278"/>
      <c r="AB21" s="278"/>
      <c r="AC21" s="22"/>
      <c r="AD21" s="106"/>
      <c r="AE21" s="4" t="s">
        <v>33</v>
      </c>
      <c r="AF21" s="22"/>
      <c r="AG21" s="187"/>
    </row>
    <row r="22" spans="1:34" ht="21.75" customHeight="1" x14ac:dyDescent="0.2">
      <c r="A22" s="165">
        <v>20</v>
      </c>
      <c r="B22" s="99" t="s">
        <v>225</v>
      </c>
      <c r="C22" s="101" t="s">
        <v>214</v>
      </c>
      <c r="D22" s="98" t="s">
        <v>36</v>
      </c>
      <c r="E22" s="112">
        <v>12000</v>
      </c>
      <c r="F22" s="112"/>
      <c r="G22" s="114">
        <f t="shared" si="0"/>
        <v>800</v>
      </c>
      <c r="H22" s="115">
        <f t="shared" si="1"/>
        <v>300</v>
      </c>
      <c r="I22" s="112">
        <f t="shared" si="2"/>
        <v>150</v>
      </c>
      <c r="J22" s="112">
        <v>600</v>
      </c>
      <c r="K22" s="112"/>
      <c r="L22" s="124"/>
      <c r="M22" s="112"/>
      <c r="N22" s="112"/>
      <c r="O22" s="112"/>
      <c r="P22" s="117"/>
      <c r="Q22" s="112"/>
      <c r="R22" s="112">
        <f t="shared" si="3"/>
        <v>0</v>
      </c>
      <c r="S22" s="112"/>
      <c r="T22" s="112"/>
      <c r="U22" s="112">
        <f t="shared" si="4"/>
        <v>13850</v>
      </c>
      <c r="V22" s="126" t="s">
        <v>260</v>
      </c>
      <c r="W22" s="278"/>
      <c r="X22" s="278"/>
      <c r="Y22" s="278">
        <v>3</v>
      </c>
      <c r="Z22" s="278"/>
      <c r="AA22" s="278"/>
      <c r="AB22" s="278">
        <v>2</v>
      </c>
      <c r="AC22" s="22">
        <v>4</v>
      </c>
      <c r="AD22" s="106">
        <v>1</v>
      </c>
      <c r="AE22" s="4" t="s">
        <v>33</v>
      </c>
      <c r="AF22" s="22"/>
      <c r="AG22" s="187" t="s">
        <v>268</v>
      </c>
    </row>
    <row r="23" spans="1:34" ht="21.75" customHeight="1" x14ac:dyDescent="0.2">
      <c r="A23" s="221">
        <v>21</v>
      </c>
      <c r="B23" s="150" t="s">
        <v>226</v>
      </c>
      <c r="C23" s="147" t="s">
        <v>215</v>
      </c>
      <c r="D23" s="140" t="s">
        <v>66</v>
      </c>
      <c r="E23" s="151">
        <v>12500</v>
      </c>
      <c r="F23" s="151"/>
      <c r="G23" s="157">
        <f t="shared" si="0"/>
        <v>833.33333333333337</v>
      </c>
      <c r="H23" s="158">
        <f t="shared" si="1"/>
        <v>390.625</v>
      </c>
      <c r="I23" s="151">
        <f t="shared" si="2"/>
        <v>156.25</v>
      </c>
      <c r="J23" s="151">
        <v>1000</v>
      </c>
      <c r="K23" s="151"/>
      <c r="L23" s="116">
        <v>625</v>
      </c>
      <c r="M23" s="160">
        <v>2500</v>
      </c>
      <c r="N23" s="300">
        <v>0</v>
      </c>
      <c r="O23" s="151"/>
      <c r="P23" s="160"/>
      <c r="Q23" s="151"/>
      <c r="R23" s="151">
        <f t="shared" si="3"/>
        <v>0</v>
      </c>
      <c r="S23" s="151"/>
      <c r="T23" s="151"/>
      <c r="U23" s="151">
        <f t="shared" si="4"/>
        <v>11755</v>
      </c>
      <c r="V23" s="222" t="s">
        <v>287</v>
      </c>
      <c r="W23" s="304"/>
      <c r="X23" s="304"/>
      <c r="Y23" s="304"/>
      <c r="Z23" s="304"/>
      <c r="AA23" s="304"/>
      <c r="AB23" s="304">
        <v>2</v>
      </c>
      <c r="AC23" s="163">
        <v>5</v>
      </c>
      <c r="AD23" s="224">
        <v>1</v>
      </c>
      <c r="AE23" s="225" t="s">
        <v>33</v>
      </c>
      <c r="AF23" s="163">
        <v>1</v>
      </c>
      <c r="AG23" s="347"/>
    </row>
    <row r="24" spans="1:34" ht="21.75" customHeight="1" x14ac:dyDescent="0.2">
      <c r="A24" s="165">
        <v>22</v>
      </c>
      <c r="B24" s="99" t="s">
        <v>227</v>
      </c>
      <c r="C24" s="101" t="s">
        <v>216</v>
      </c>
      <c r="D24" s="98" t="s">
        <v>291</v>
      </c>
      <c r="E24" s="112">
        <v>12000</v>
      </c>
      <c r="F24" s="112"/>
      <c r="G24" s="114">
        <f t="shared" si="0"/>
        <v>800</v>
      </c>
      <c r="H24" s="115">
        <f>(((E24/30)/8*1.5))*AC23</f>
        <v>375</v>
      </c>
      <c r="I24" s="112">
        <f t="shared" si="2"/>
        <v>150</v>
      </c>
      <c r="J24" s="112">
        <v>900</v>
      </c>
      <c r="K24" s="112">
        <v>6000</v>
      </c>
      <c r="L24" s="116">
        <v>600</v>
      </c>
      <c r="M24" s="112"/>
      <c r="N24" s="112"/>
      <c r="O24" s="112"/>
      <c r="P24" s="117">
        <v>667</v>
      </c>
      <c r="Q24" s="112"/>
      <c r="R24" s="112">
        <f t="shared" si="3"/>
        <v>0</v>
      </c>
      <c r="S24" s="112"/>
      <c r="T24" s="112"/>
      <c r="U24" s="112">
        <f t="shared" si="4"/>
        <v>6958</v>
      </c>
      <c r="V24" s="126" t="s">
        <v>261</v>
      </c>
      <c r="W24" s="278"/>
      <c r="X24" s="278"/>
      <c r="Y24" s="278"/>
      <c r="Z24" s="278"/>
      <c r="AA24" s="278"/>
      <c r="AB24" s="278">
        <v>2</v>
      </c>
      <c r="AC24" s="22">
        <v>5</v>
      </c>
      <c r="AD24" s="106">
        <v>1</v>
      </c>
      <c r="AE24" s="4" t="s">
        <v>33</v>
      </c>
      <c r="AF24" s="22"/>
      <c r="AG24" s="185"/>
    </row>
    <row r="25" spans="1:34" ht="21.75" customHeight="1" x14ac:dyDescent="0.2">
      <c r="A25" s="165">
        <v>23</v>
      </c>
      <c r="B25" s="99" t="s">
        <v>228</v>
      </c>
      <c r="C25" s="101" t="s">
        <v>220</v>
      </c>
      <c r="D25" s="98" t="s">
        <v>36</v>
      </c>
      <c r="E25" s="112">
        <v>12000</v>
      </c>
      <c r="F25" s="112"/>
      <c r="G25" s="114">
        <f t="shared" si="0"/>
        <v>0</v>
      </c>
      <c r="H25" s="115">
        <f t="shared" si="1"/>
        <v>300</v>
      </c>
      <c r="I25" s="112">
        <f t="shared" si="2"/>
        <v>0</v>
      </c>
      <c r="J25" s="112"/>
      <c r="K25" s="112">
        <v>3000</v>
      </c>
      <c r="L25" s="124"/>
      <c r="M25" s="112"/>
      <c r="N25" s="112"/>
      <c r="O25" s="362">
        <v>300</v>
      </c>
      <c r="P25" s="117"/>
      <c r="Q25" s="112"/>
      <c r="R25" s="112">
        <f t="shared" si="3"/>
        <v>4800</v>
      </c>
      <c r="S25" s="112"/>
      <c r="T25" s="112"/>
      <c r="U25" s="112">
        <f>ROUND(E25+F25+G25+H25+I25+J25-K25-L25-M25+O25-P25-Q25-R25+S25+T25,0)</f>
        <v>4800</v>
      </c>
      <c r="V25" s="126" t="s">
        <v>349</v>
      </c>
      <c r="W25" s="278">
        <v>12</v>
      </c>
      <c r="X25" s="278"/>
      <c r="Y25" s="112"/>
      <c r="Z25" s="121"/>
      <c r="AA25" s="278"/>
      <c r="AB25" s="278"/>
      <c r="AC25" s="22">
        <v>4</v>
      </c>
      <c r="AD25" s="106"/>
      <c r="AE25" s="4" t="s">
        <v>33</v>
      </c>
      <c r="AF25" s="22"/>
      <c r="AG25" s="187" t="s">
        <v>356</v>
      </c>
      <c r="AH25" s="348" t="s">
        <v>389</v>
      </c>
    </row>
    <row r="26" spans="1:34" ht="21.75" customHeight="1" x14ac:dyDescent="0.2">
      <c r="A26" s="165">
        <v>24</v>
      </c>
      <c r="B26" s="99" t="s">
        <v>229</v>
      </c>
      <c r="C26" s="101" t="s">
        <v>221</v>
      </c>
      <c r="D26" s="98" t="s">
        <v>36</v>
      </c>
      <c r="E26" s="112">
        <v>12000</v>
      </c>
      <c r="F26" s="112"/>
      <c r="G26" s="114">
        <f t="shared" si="0"/>
        <v>800</v>
      </c>
      <c r="H26" s="115">
        <f t="shared" si="1"/>
        <v>375</v>
      </c>
      <c r="I26" s="112">
        <f t="shared" si="2"/>
        <v>150</v>
      </c>
      <c r="J26" s="112">
        <v>1000</v>
      </c>
      <c r="K26" s="112"/>
      <c r="L26" s="124"/>
      <c r="M26" s="112"/>
      <c r="N26" s="112"/>
      <c r="O26" s="112"/>
      <c r="P26" s="117"/>
      <c r="Q26" s="112"/>
      <c r="R26" s="112">
        <f t="shared" si="3"/>
        <v>0</v>
      </c>
      <c r="S26" s="112"/>
      <c r="T26" s="112"/>
      <c r="U26" s="112">
        <f>ROUND(E26+F26+G26+H26+I26+J26-K26-L26-M26+O26-P26-Q26-R26+S26+T26,0)</f>
        <v>14325</v>
      </c>
      <c r="V26" s="126" t="s">
        <v>262</v>
      </c>
      <c r="W26" s="278"/>
      <c r="X26" s="278"/>
      <c r="Y26" s="278"/>
      <c r="Z26" s="278"/>
      <c r="AA26" s="278"/>
      <c r="AB26" s="278">
        <v>2</v>
      </c>
      <c r="AC26" s="22">
        <v>5</v>
      </c>
      <c r="AD26" s="106">
        <v>1</v>
      </c>
      <c r="AE26" s="4" t="s">
        <v>33</v>
      </c>
      <c r="AF26" s="22"/>
      <c r="AG26" s="187" t="s">
        <v>273</v>
      </c>
    </row>
    <row r="27" spans="1:34" ht="21.75" customHeight="1" x14ac:dyDescent="0.2">
      <c r="A27" s="165">
        <v>25</v>
      </c>
      <c r="B27" s="99" t="s">
        <v>230</v>
      </c>
      <c r="C27" s="101" t="s">
        <v>231</v>
      </c>
      <c r="D27" s="98" t="s">
        <v>291</v>
      </c>
      <c r="E27" s="112">
        <v>12000</v>
      </c>
      <c r="F27" s="112"/>
      <c r="G27" s="114">
        <f t="shared" si="0"/>
        <v>800</v>
      </c>
      <c r="H27" s="115">
        <f t="shared" si="1"/>
        <v>375</v>
      </c>
      <c r="I27" s="112">
        <f t="shared" si="2"/>
        <v>150</v>
      </c>
      <c r="J27" s="112">
        <v>900</v>
      </c>
      <c r="K27" s="112">
        <v>6000</v>
      </c>
      <c r="L27" s="116">
        <v>600</v>
      </c>
      <c r="M27" s="112"/>
      <c r="N27" s="112"/>
      <c r="O27" s="113">
        <v>1000</v>
      </c>
      <c r="P27" s="117"/>
      <c r="Q27" s="112"/>
      <c r="R27" s="112">
        <f t="shared" si="3"/>
        <v>0</v>
      </c>
      <c r="S27" s="112"/>
      <c r="T27" s="112"/>
      <c r="U27" s="112">
        <f t="shared" si="4"/>
        <v>8625</v>
      </c>
      <c r="V27" s="126" t="s">
        <v>286</v>
      </c>
      <c r="W27" s="278"/>
      <c r="X27" s="278"/>
      <c r="Y27" s="278"/>
      <c r="Z27" s="278"/>
      <c r="AA27" s="278"/>
      <c r="AB27" s="278">
        <v>2</v>
      </c>
      <c r="AC27" s="22">
        <v>5</v>
      </c>
      <c r="AD27" s="106">
        <v>1</v>
      </c>
      <c r="AE27" s="4" t="s">
        <v>33</v>
      </c>
      <c r="AF27" s="22"/>
      <c r="AG27" s="187"/>
    </row>
    <row r="28" spans="1:34" ht="21.75" customHeight="1" x14ac:dyDescent="0.2">
      <c r="A28" s="165">
        <v>26</v>
      </c>
      <c r="B28" s="99" t="s">
        <v>253</v>
      </c>
      <c r="C28" s="101" t="s">
        <v>239</v>
      </c>
      <c r="D28" s="98" t="s">
        <v>291</v>
      </c>
      <c r="E28" s="112">
        <v>12000</v>
      </c>
      <c r="F28" s="112"/>
      <c r="G28" s="114">
        <f t="shared" si="0"/>
        <v>800</v>
      </c>
      <c r="H28" s="115">
        <f t="shared" si="1"/>
        <v>375</v>
      </c>
      <c r="I28" s="112">
        <f t="shared" si="2"/>
        <v>150</v>
      </c>
      <c r="J28" s="112">
        <v>900</v>
      </c>
      <c r="K28" s="112"/>
      <c r="L28" s="124"/>
      <c r="M28" s="112"/>
      <c r="N28" s="112"/>
      <c r="O28" s="112"/>
      <c r="P28" s="117">
        <v>1689</v>
      </c>
      <c r="Q28" s="112"/>
      <c r="R28" s="112">
        <f t="shared" si="3"/>
        <v>0</v>
      </c>
      <c r="S28" s="112"/>
      <c r="T28" s="112"/>
      <c r="U28" s="112">
        <f t="shared" si="4"/>
        <v>12536</v>
      </c>
      <c r="V28" s="126" t="s">
        <v>263</v>
      </c>
      <c r="W28" s="278"/>
      <c r="X28" s="278"/>
      <c r="Y28" s="278"/>
      <c r="Z28" s="278"/>
      <c r="AA28" s="278"/>
      <c r="AB28" s="278">
        <v>2</v>
      </c>
      <c r="AC28" s="22">
        <v>5</v>
      </c>
      <c r="AD28" s="106">
        <v>1</v>
      </c>
      <c r="AE28" s="4" t="s">
        <v>33</v>
      </c>
      <c r="AF28" s="22"/>
      <c r="AG28" s="187" t="s">
        <v>279</v>
      </c>
    </row>
    <row r="29" spans="1:34" ht="21.75" customHeight="1" x14ac:dyDescent="0.2">
      <c r="A29" s="165">
        <v>27</v>
      </c>
      <c r="B29" s="99" t="s">
        <v>264</v>
      </c>
      <c r="C29" s="101" t="s">
        <v>240</v>
      </c>
      <c r="D29" s="98" t="s">
        <v>36</v>
      </c>
      <c r="E29" s="112">
        <v>12000</v>
      </c>
      <c r="F29" s="112"/>
      <c r="G29" s="114">
        <f t="shared" si="0"/>
        <v>800</v>
      </c>
      <c r="H29" s="115">
        <f t="shared" si="1"/>
        <v>225</v>
      </c>
      <c r="I29" s="112">
        <f t="shared" si="2"/>
        <v>150</v>
      </c>
      <c r="J29" s="112">
        <v>800</v>
      </c>
      <c r="K29" s="112"/>
      <c r="L29" s="116">
        <v>600</v>
      </c>
      <c r="M29" s="112"/>
      <c r="N29" s="112"/>
      <c r="O29" s="362">
        <v>200</v>
      </c>
      <c r="P29" s="117"/>
      <c r="Q29" s="112"/>
      <c r="R29" s="112">
        <f t="shared" si="3"/>
        <v>0</v>
      </c>
      <c r="S29" s="112"/>
      <c r="T29" s="112"/>
      <c r="U29" s="112">
        <f t="shared" si="4"/>
        <v>13575</v>
      </c>
      <c r="V29" s="126" t="s">
        <v>265</v>
      </c>
      <c r="W29" s="310"/>
      <c r="X29" s="278"/>
      <c r="Y29" s="363">
        <v>2.5</v>
      </c>
      <c r="Z29" s="278"/>
      <c r="AA29" s="278"/>
      <c r="AB29" s="278">
        <v>2</v>
      </c>
      <c r="AC29" s="22">
        <v>3</v>
      </c>
      <c r="AD29" s="106">
        <v>1</v>
      </c>
      <c r="AE29" s="4" t="s">
        <v>33</v>
      </c>
      <c r="AF29" s="22"/>
      <c r="AG29" s="190"/>
    </row>
    <row r="30" spans="1:34" ht="21.75" customHeight="1" x14ac:dyDescent="0.2">
      <c r="A30" s="165">
        <v>28</v>
      </c>
      <c r="B30" s="99" t="s">
        <v>365</v>
      </c>
      <c r="C30" s="101" t="s">
        <v>316</v>
      </c>
      <c r="D30" s="98" t="s">
        <v>36</v>
      </c>
      <c r="E30" s="112">
        <v>12000</v>
      </c>
      <c r="F30" s="112"/>
      <c r="G30" s="114">
        <f t="shared" si="0"/>
        <v>800</v>
      </c>
      <c r="H30" s="115">
        <f t="shared" si="1"/>
        <v>375</v>
      </c>
      <c r="I30" s="112">
        <f t="shared" si="2"/>
        <v>150</v>
      </c>
      <c r="J30" s="112">
        <v>800</v>
      </c>
      <c r="K30" s="112"/>
      <c r="L30" s="124"/>
      <c r="M30" s="112"/>
      <c r="N30" s="112"/>
      <c r="O30" s="112"/>
      <c r="P30" s="117"/>
      <c r="Q30" s="112"/>
      <c r="R30" s="112">
        <f t="shared" si="3"/>
        <v>0</v>
      </c>
      <c r="S30" s="112"/>
      <c r="T30" s="112"/>
      <c r="U30" s="112">
        <f t="shared" si="4"/>
        <v>14125</v>
      </c>
      <c r="V30" s="126" t="s">
        <v>348</v>
      </c>
      <c r="W30" s="278"/>
      <c r="X30" s="278"/>
      <c r="Y30" s="278"/>
      <c r="Z30" s="278"/>
      <c r="AA30" s="278"/>
      <c r="AB30" s="278">
        <v>2</v>
      </c>
      <c r="AC30" s="22">
        <v>5</v>
      </c>
      <c r="AD30" s="106">
        <v>1</v>
      </c>
      <c r="AE30" s="4" t="s">
        <v>33</v>
      </c>
      <c r="AF30" s="22"/>
      <c r="AG30" s="190" t="s">
        <v>366</v>
      </c>
    </row>
    <row r="31" spans="1:34" ht="21.75" customHeight="1" x14ac:dyDescent="0.2">
      <c r="A31" s="373">
        <v>31</v>
      </c>
      <c r="B31" s="281" t="s">
        <v>399</v>
      </c>
      <c r="C31" s="282" t="s">
        <v>137</v>
      </c>
      <c r="D31" s="283" t="s">
        <v>291</v>
      </c>
      <c r="E31" s="288">
        <v>12000</v>
      </c>
      <c r="F31" s="284"/>
      <c r="G31" s="285">
        <f>(E31/30)*AB31</f>
        <v>800</v>
      </c>
      <c r="H31" s="286">
        <f>(((E31/30)/8*1.5))*AC31</f>
        <v>375</v>
      </c>
      <c r="I31" s="284">
        <f>(((E31/30)/8*3))*AD31</f>
        <v>150</v>
      </c>
      <c r="J31" s="284"/>
      <c r="K31" s="284">
        <v>1000</v>
      </c>
      <c r="L31" s="287"/>
      <c r="M31" s="284"/>
      <c r="N31" s="284"/>
      <c r="O31" s="284"/>
      <c r="P31" s="288"/>
      <c r="Q31" s="284"/>
      <c r="R31" s="284">
        <f>(E31/30)*IF(W31=0,0,W31) + (E31/30)*IF(Z31=0,0,Z31)</f>
        <v>0</v>
      </c>
      <c r="S31" s="284"/>
      <c r="T31" s="284"/>
      <c r="U31" s="284">
        <f>ROUND(E31+F31+G31+H31+I31+J31-K31-L31-M31+O31-P31-Q31-R31+S31+T31,0)</f>
        <v>12325</v>
      </c>
      <c r="V31" s="289" t="s">
        <v>398</v>
      </c>
      <c r="W31" s="306"/>
      <c r="X31" s="306"/>
      <c r="Y31" s="306"/>
      <c r="Z31" s="306"/>
      <c r="AA31" s="306"/>
      <c r="AB31" s="306">
        <v>2</v>
      </c>
      <c r="AC31" s="291">
        <v>5</v>
      </c>
      <c r="AD31" s="292">
        <v>1</v>
      </c>
      <c r="AE31" s="293" t="s">
        <v>33</v>
      </c>
      <c r="AF31" s="291">
        <v>1</v>
      </c>
      <c r="AG31" s="295"/>
    </row>
    <row r="32" spans="1:34" ht="21.75" customHeight="1" x14ac:dyDescent="0.2">
      <c r="A32" s="229">
        <v>29</v>
      </c>
      <c r="B32" s="230" t="s">
        <v>318</v>
      </c>
      <c r="C32" s="231" t="s">
        <v>317</v>
      </c>
      <c r="D32" s="232" t="s">
        <v>291</v>
      </c>
      <c r="E32" s="233">
        <v>12000</v>
      </c>
      <c r="F32" s="233"/>
      <c r="G32" s="234">
        <f t="shared" si="0"/>
        <v>800</v>
      </c>
      <c r="H32" s="235">
        <f t="shared" si="1"/>
        <v>375</v>
      </c>
      <c r="I32" s="233">
        <f t="shared" si="2"/>
        <v>150</v>
      </c>
      <c r="J32" s="233">
        <v>900</v>
      </c>
      <c r="K32" s="233">
        <v>6000</v>
      </c>
      <c r="L32" s="116">
        <v>600</v>
      </c>
      <c r="M32" s="237">
        <v>2500</v>
      </c>
      <c r="N32" s="300">
        <v>0</v>
      </c>
      <c r="O32" s="233"/>
      <c r="P32" s="237"/>
      <c r="Q32" s="233"/>
      <c r="R32" s="233">
        <f t="shared" si="3"/>
        <v>0</v>
      </c>
      <c r="S32" s="233"/>
      <c r="T32" s="233"/>
      <c r="U32" s="233">
        <f t="shared" si="4"/>
        <v>5125</v>
      </c>
      <c r="V32" s="238" t="s">
        <v>347</v>
      </c>
      <c r="W32" s="305"/>
      <c r="X32" s="305"/>
      <c r="Y32" s="305"/>
      <c r="Z32" s="305"/>
      <c r="AA32" s="305"/>
      <c r="AB32" s="305">
        <v>2</v>
      </c>
      <c r="AC32" s="240">
        <v>5</v>
      </c>
      <c r="AD32" s="241">
        <v>1</v>
      </c>
      <c r="AE32" s="242" t="s">
        <v>33</v>
      </c>
      <c r="AF32" s="240">
        <v>1</v>
      </c>
      <c r="AG32" s="295"/>
    </row>
    <row r="33" spans="1:33" ht="21.75" customHeight="1" x14ac:dyDescent="0.2">
      <c r="A33" s="267">
        <v>30</v>
      </c>
      <c r="B33" s="297" t="s">
        <v>322</v>
      </c>
      <c r="C33" s="298" t="s">
        <v>323</v>
      </c>
      <c r="D33" s="268" t="s">
        <v>291</v>
      </c>
      <c r="E33" s="269">
        <v>12000</v>
      </c>
      <c r="F33" s="269"/>
      <c r="G33" s="270">
        <f t="shared" si="0"/>
        <v>800</v>
      </c>
      <c r="H33" s="271">
        <f t="shared" si="1"/>
        <v>375</v>
      </c>
      <c r="I33" s="269">
        <f t="shared" si="2"/>
        <v>150</v>
      </c>
      <c r="J33" s="269">
        <v>800</v>
      </c>
      <c r="K33" s="269">
        <v>2000</v>
      </c>
      <c r="L33" s="272"/>
      <c r="M33" s="269"/>
      <c r="N33" s="269"/>
      <c r="O33" s="269"/>
      <c r="P33" s="273"/>
      <c r="Q33" s="269"/>
      <c r="R33" s="269">
        <f t="shared" si="3"/>
        <v>0</v>
      </c>
      <c r="S33" s="269"/>
      <c r="T33" s="269"/>
      <c r="U33" s="284">
        <f t="shared" si="4"/>
        <v>12125</v>
      </c>
      <c r="V33" s="289" t="s">
        <v>280</v>
      </c>
      <c r="W33" s="306"/>
      <c r="X33" s="306"/>
      <c r="Y33" s="307"/>
      <c r="Z33" s="307"/>
      <c r="AA33" s="307"/>
      <c r="AB33" s="307">
        <v>2</v>
      </c>
      <c r="AC33" s="274">
        <v>5</v>
      </c>
      <c r="AD33" s="275">
        <v>1</v>
      </c>
      <c r="AE33" s="276" t="s">
        <v>33</v>
      </c>
      <c r="AF33" s="274">
        <v>1</v>
      </c>
      <c r="AG33" s="277"/>
    </row>
    <row r="34" spans="1:33" ht="21.75" customHeight="1" x14ac:dyDescent="0.2">
      <c r="A34" s="299">
        <v>32</v>
      </c>
      <c r="B34" s="219" t="s">
        <v>393</v>
      </c>
      <c r="C34" s="220" t="s">
        <v>392</v>
      </c>
      <c r="D34" s="100" t="s">
        <v>66</v>
      </c>
      <c r="E34" s="197">
        <v>12000</v>
      </c>
      <c r="F34" s="127"/>
      <c r="G34" s="194">
        <f t="shared" ref="G34" si="5">(E34/30)*AB34</f>
        <v>800</v>
      </c>
      <c r="H34" s="195">
        <f t="shared" ref="H34" si="6">(((E34/30)/8*1.5))*AC34</f>
        <v>375</v>
      </c>
      <c r="I34" s="127">
        <f t="shared" ref="I34" si="7">(((E34/30)/8*3))*AD34</f>
        <v>150</v>
      </c>
      <c r="J34" s="127"/>
      <c r="K34" s="127"/>
      <c r="L34" s="279"/>
      <c r="M34" s="127"/>
      <c r="N34" s="127"/>
      <c r="O34" s="127"/>
      <c r="P34" s="197"/>
      <c r="Q34" s="127"/>
      <c r="R34" s="127">
        <f t="shared" ref="R34" si="8">(E34/30)*IF(W34=0,0,W34) + (E34/30)*IF(Z34=0,0,Z34)</f>
        <v>0</v>
      </c>
      <c r="S34" s="127"/>
      <c r="T34" s="127"/>
      <c r="U34" s="127">
        <f t="shared" ref="U34" si="9">ROUND(E34+F34+G34+H34+I34+J34-K34-L34-M34+O34-P34-Q34-R34+S34+T34,0)</f>
        <v>13325</v>
      </c>
      <c r="V34" s="199" t="s">
        <v>397</v>
      </c>
      <c r="W34" s="355"/>
      <c r="X34" s="355"/>
      <c r="Y34" s="355"/>
      <c r="Z34" s="355"/>
      <c r="AA34" s="355"/>
      <c r="AB34" s="355">
        <v>2</v>
      </c>
      <c r="AC34" s="201">
        <v>5</v>
      </c>
      <c r="AD34" s="202">
        <v>1</v>
      </c>
      <c r="AE34" s="203" t="s">
        <v>33</v>
      </c>
      <c r="AF34" s="201"/>
      <c r="AG34" s="190" t="s">
        <v>396</v>
      </c>
    </row>
    <row r="35" spans="1:33" ht="21.75" customHeight="1" x14ac:dyDescent="0.2">
      <c r="B35" s="315"/>
      <c r="C35" s="257"/>
      <c r="D35" s="316"/>
      <c r="E35" s="132"/>
      <c r="F35" s="132"/>
      <c r="G35" s="132"/>
      <c r="H35" s="132"/>
      <c r="I35" s="132"/>
      <c r="J35" s="132"/>
      <c r="K35" s="132"/>
      <c r="L35" s="345"/>
      <c r="M35" s="132"/>
      <c r="N35" s="132"/>
      <c r="O35" s="132"/>
      <c r="P35" s="123"/>
      <c r="Q35" s="132"/>
      <c r="R35" s="132"/>
      <c r="S35" s="132"/>
      <c r="T35" s="132"/>
      <c r="U35" s="127"/>
      <c r="V35" s="353"/>
      <c r="W35" s="301"/>
      <c r="X35" s="301"/>
      <c r="Y35" s="301"/>
      <c r="Z35" s="301"/>
      <c r="AA35" s="301"/>
      <c r="AB35" s="301"/>
      <c r="AC35" s="20"/>
      <c r="AD35" s="107"/>
      <c r="AF35" s="201"/>
      <c r="AG35" s="354"/>
    </row>
    <row r="36" spans="1:33" ht="21.75" customHeight="1" x14ac:dyDescent="0.2">
      <c r="B36" s="18"/>
      <c r="E36" s="47">
        <f>SUM(E3:E25)</f>
        <v>307199</v>
      </c>
      <c r="F36" s="143">
        <f>SUM(F3:F25)</f>
        <v>14500</v>
      </c>
      <c r="G36" s="6">
        <f>SUM(G3:G20)</f>
        <v>15246.599999999999</v>
      </c>
      <c r="H36" s="7">
        <f>SUM(H3:H20)</f>
        <v>6595.6124999999993</v>
      </c>
      <c r="I36" s="6"/>
      <c r="J36" s="144">
        <f>SUM(J3:J25)</f>
        <v>15800</v>
      </c>
      <c r="K36" s="207">
        <f>SUM(K3:K34)</f>
        <v>66000</v>
      </c>
      <c r="O36" s="47"/>
      <c r="S36" s="206">
        <f>SUM(S3:S34)</f>
        <v>0</v>
      </c>
      <c r="T36" s="206">
        <f>SUM(T3:T34)</f>
        <v>0</v>
      </c>
      <c r="U36" s="211">
        <f>SUM(U3:U34)</f>
        <v>389015</v>
      </c>
      <c r="AF36" s="22"/>
    </row>
    <row r="37" spans="1:33" ht="21.95" customHeight="1" x14ac:dyDescent="0.2">
      <c r="AF37" s="5"/>
    </row>
    <row r="38" spans="1:33" ht="20.45" customHeight="1" x14ac:dyDescent="0.2">
      <c r="B38" s="148" t="s">
        <v>121</v>
      </c>
      <c r="C38" s="205">
        <f>SUMIF(L3:L34,"&gt;0",U3:U34)</f>
        <v>228605</v>
      </c>
      <c r="D38" s="179">
        <f>SUMIFS(Tablenon[รายได้สุทธิ], Tablenon[ปกส.], "&gt;0", Tablenon[เงินสด], "=")</f>
        <v>208225</v>
      </c>
    </row>
    <row r="39" spans="1:33" ht="20.45" customHeight="1" x14ac:dyDescent="0.2">
      <c r="B39" s="148" t="s">
        <v>211</v>
      </c>
      <c r="C39" s="205">
        <f>SUMIFS(U3:U34,AF3:AF34,1)</f>
        <v>55480</v>
      </c>
      <c r="D39" s="1"/>
    </row>
    <row r="40" spans="1:33" ht="20.45" customHeight="1" x14ac:dyDescent="0.2">
      <c r="B40" s="148" t="s">
        <v>212</v>
      </c>
      <c r="C40" s="212">
        <f>IF((U36-SUMIF(L3:L34,"&gt;0",U3:U34)-C39)&gt;0,U36-SUMIF(L3:L34,"&gt;0",U3:U34)-C39,0)</f>
        <v>104930</v>
      </c>
      <c r="D40" s="179">
        <f>SUMIFS(Tablenon[รายได้สุทธิ], Tablenon[ปกส.], "=", Tablenon[เงินสด], "=")</f>
        <v>125310</v>
      </c>
      <c r="E40" s="6">
        <f>D40+C39+D38</f>
        <v>389015</v>
      </c>
      <c r="O40" s="6" t="e">
        <f>U5+U10+U12+#REF!+U16+U18+U21+#REF!+U22+U24+U25+U26+U28+U29</f>
        <v>#REF!</v>
      </c>
    </row>
    <row r="41" spans="1:33" ht="20.45" customHeight="1" x14ac:dyDescent="0.2">
      <c r="D41" s="6">
        <f>D40-C40</f>
        <v>20380</v>
      </c>
    </row>
  </sheetData>
  <mergeCells count="1">
    <mergeCell ref="A1:B1"/>
  </mergeCells>
  <hyperlinks>
    <hyperlink ref="V3" r:id="rId1" xr:uid="{65981941-14B6-4D5F-B4BA-766A1FA0CB7A}"/>
    <hyperlink ref="V9" r:id="rId2" xr:uid="{446DA16E-A20C-4E9C-BCA6-DB37E792DFC8}"/>
    <hyperlink ref="V8" r:id="rId3" xr:uid="{4A1D723E-B874-4B27-BAA1-4AC904984BC9}"/>
    <hyperlink ref="V11" r:id="rId4" xr:uid="{898329D8-E159-4F34-BE15-2FEE5FBE4748}"/>
    <hyperlink ref="V5" r:id="rId5" xr:uid="{87391862-FF73-4320-B880-58610A2D6AEA}"/>
    <hyperlink ref="V10" r:id="rId6" xr:uid="{20C8B796-8635-4E45-A0E1-4B29D0A62FD5}"/>
    <hyperlink ref="V6" r:id="rId7" xr:uid="{32A348B8-62B6-4A8B-80AD-2C03149AF91E}"/>
    <hyperlink ref="V7" r:id="rId8" xr:uid="{1D295C4A-BA98-4455-AD21-628891777A89}"/>
    <hyperlink ref="V4" r:id="rId9" xr:uid="{FB841E4E-A088-4A7E-8B4F-C38C074BDB22}"/>
    <hyperlink ref="V13" r:id="rId10" xr:uid="{8D488FB5-EFB5-4149-BA25-C5499598328F}"/>
    <hyperlink ref="V16" r:id="rId11" xr:uid="{BAFD021C-B575-4CF8-9C8C-D60F08CA7A18}"/>
    <hyperlink ref="V15" r:id="rId12" xr:uid="{1A3C1B78-3311-4886-AC91-01232439538B}"/>
    <hyperlink ref="V14" r:id="rId13" xr:uid="{2170885E-6F1D-44DA-B206-7C14DC4802A8}"/>
    <hyperlink ref="V12" r:id="rId14" xr:uid="{51FA5F0B-89EF-48C8-A7F5-E17A5CCD3DEC}"/>
    <hyperlink ref="V18" r:id="rId15" xr:uid="{4FB2E2DF-CA6B-46FF-83C2-377331E3B09B}"/>
    <hyperlink ref="V21" r:id="rId16" xr:uid="{CB6A74DF-146E-42FB-B7EF-DA39C25B96FB}"/>
    <hyperlink ref="V22" r:id="rId17" xr:uid="{01218408-F8AE-4950-AAB3-E88A5BC2691B}"/>
    <hyperlink ref="V24" r:id="rId18" xr:uid="{6FE65C7A-41AF-439E-BF21-F30BACE3D55E}"/>
    <hyperlink ref="V26" r:id="rId19" xr:uid="{0C29AB70-B6E7-47C3-B4EF-84BBAFE63767}"/>
    <hyperlink ref="V28" r:id="rId20" xr:uid="{118F6D6C-14F2-4D50-8B53-528508851A33}"/>
    <hyperlink ref="V29" r:id="rId21" xr:uid="{28F1E57D-1E8B-4661-9606-85E99B1897DB}"/>
    <hyperlink ref="V27" r:id="rId22" xr:uid="{55CC3FA7-CCF7-4CB3-B2B2-4AA4400BB62C}"/>
    <hyperlink ref="V17" r:id="rId23" xr:uid="{35903CB0-EDC1-48E3-B420-8F8260CB76C4}"/>
    <hyperlink ref="V20" r:id="rId24" xr:uid="{1859854C-99EF-40A0-BF61-3395A46FD2AB}"/>
    <hyperlink ref="V23" r:id="rId25" xr:uid="{BF8C46AD-2D37-4884-B067-9E1A47E49594}"/>
    <hyperlink ref="V33" r:id="rId26" xr:uid="{FAC1C670-3FDC-4427-BF86-4839B491085B}"/>
    <hyperlink ref="V32" r:id="rId27" xr:uid="{2C19112A-26F2-470C-BB78-1372B48A36E1}"/>
    <hyperlink ref="V30" r:id="rId28" xr:uid="{231ACDBE-3AAD-43D2-AFBC-224F71F8AC56}"/>
    <hyperlink ref="V25" r:id="rId29" xr:uid="{7097B59D-0653-4A7A-AB98-7B2656BB5F7B}"/>
    <hyperlink ref="V34" r:id="rId30" xr:uid="{BAE84FE2-8255-41C9-988D-FB8D36B12E2E}"/>
    <hyperlink ref="V31" r:id="rId31" xr:uid="{5A53CF2E-6372-406B-9171-C21E72180E79}"/>
  </hyperlinks>
  <pageMargins left="0.12" right="0.11" top="0.56499999999999995" bottom="0.12" header="0.13" footer="0.13"/>
  <pageSetup paperSize="9" scale="62" fitToWidth="0" orientation="landscape" horizontalDpi="4294967293" verticalDpi="360" r:id="rId32"/>
  <tableParts count="1">
    <tablePart r:id="rId3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2D09-7742-49BE-88CC-06136868BAF2}">
  <dimension ref="A1:AG36"/>
  <sheetViews>
    <sheetView showGridLines="0" zoomScale="70" zoomScaleNormal="70" zoomScaleSheetLayoutView="56" zoomScalePageLayoutView="40" workbookViewId="0">
      <selection activeCell="U7" sqref="U7"/>
    </sheetView>
  </sheetViews>
  <sheetFormatPr defaultColWidth="9.25" defaultRowHeight="20.45" customHeight="1" x14ac:dyDescent="0.2"/>
  <cols>
    <col min="1" max="1" width="11" style="5" customWidth="1"/>
    <col min="2" max="2" width="27.375" style="5" customWidth="1"/>
    <col min="3" max="3" width="17" style="5" customWidth="1"/>
    <col min="4" max="4" width="17.875" style="5" customWidth="1"/>
    <col min="5" max="5" width="19.125" style="5" customWidth="1"/>
    <col min="6" max="6" width="14.375" style="5" customWidth="1"/>
    <col min="7" max="7" width="15.875" style="6" customWidth="1"/>
    <col min="8" max="9" width="13.75" style="7" customWidth="1"/>
    <col min="10" max="10" width="12.25" style="7" customWidth="1"/>
    <col min="11" max="11" width="12.375" style="7" customWidth="1"/>
    <col min="12" max="12" width="7.75" style="7" customWidth="1"/>
    <col min="13" max="13" width="12.5" style="7" customWidth="1"/>
    <col min="14" max="14" width="12.25" style="7" customWidth="1"/>
    <col min="15" max="15" width="13.125" style="6" customWidth="1"/>
    <col min="16" max="16" width="10.875" style="6" customWidth="1"/>
    <col min="17" max="17" width="11.375" style="6" customWidth="1"/>
    <col min="18" max="18" width="13.375" style="6" customWidth="1"/>
    <col min="19" max="20" width="11.75" style="6" customWidth="1"/>
    <col min="21" max="21" width="15.125" style="6" customWidth="1"/>
    <col min="22" max="22" width="27.25" style="5" customWidth="1"/>
    <col min="23" max="23" width="9.75" style="5" customWidth="1"/>
    <col min="24" max="24" width="9.875" style="5" customWidth="1"/>
    <col min="25" max="25" width="10.625" style="5" customWidth="1"/>
    <col min="26" max="26" width="9.625" style="5" customWidth="1"/>
    <col min="27" max="27" width="12.625" style="5" customWidth="1"/>
    <col min="28" max="28" width="9.25" style="5" customWidth="1"/>
    <col min="29" max="29" width="15.5" style="5" customWidth="1"/>
    <col min="30" max="30" width="19.5" style="104" customWidth="1"/>
    <col min="31" max="31" width="9.25" style="5" customWidth="1"/>
    <col min="32" max="32" width="8.75" style="1" customWidth="1"/>
    <col min="33" max="33" width="15.875" style="5" customWidth="1"/>
    <col min="34" max="16384" width="9.25" style="5"/>
  </cols>
  <sheetData>
    <row r="1" spans="1:33" ht="21.95" customHeight="1" x14ac:dyDescent="0.2">
      <c r="A1" s="374" t="s">
        <v>390</v>
      </c>
      <c r="B1" s="375"/>
      <c r="D1" s="5" t="s">
        <v>70</v>
      </c>
      <c r="AF1" s="5"/>
    </row>
    <row r="2" spans="1:33" ht="21.95" customHeight="1" x14ac:dyDescent="0.2">
      <c r="A2" s="164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179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178</v>
      </c>
      <c r="AE2" s="8" t="s">
        <v>28</v>
      </c>
      <c r="AF2" s="166" t="s">
        <v>211</v>
      </c>
      <c r="AG2" s="182" t="s">
        <v>248</v>
      </c>
    </row>
    <row r="3" spans="1:33" ht="21.95" customHeight="1" x14ac:dyDescent="0.2">
      <c r="A3" s="165">
        <v>1</v>
      </c>
      <c r="B3" s="98" t="s">
        <v>71</v>
      </c>
      <c r="C3" s="98" t="s">
        <v>72</v>
      </c>
      <c r="D3" s="98" t="s">
        <v>293</v>
      </c>
      <c r="E3" s="112">
        <f>15750+473+345</f>
        <v>16568</v>
      </c>
      <c r="F3" s="113">
        <v>1500</v>
      </c>
      <c r="G3" s="114">
        <f>(E3/30)*AB3</f>
        <v>552.26666666666665</v>
      </c>
      <c r="H3" s="115">
        <f>(((E3/30)/8*1.5))*AC3</f>
        <v>0</v>
      </c>
      <c r="I3" s="112">
        <f>(((E3/30)/8*3))*AD3</f>
        <v>0</v>
      </c>
      <c r="J3" s="112">
        <v>800</v>
      </c>
      <c r="K3" s="112"/>
      <c r="L3" s="116">
        <v>750</v>
      </c>
      <c r="M3" s="117"/>
      <c r="N3" s="112"/>
      <c r="O3" s="113">
        <v>2000</v>
      </c>
      <c r="P3" s="117">
        <v>3441</v>
      </c>
      <c r="Q3" s="112"/>
      <c r="R3" s="118">
        <f>(E3/30)*IF(W3=0,0,W3) + (E3/30)*IF(Z3=0,0,Z3)</f>
        <v>1104.5333333333333</v>
      </c>
      <c r="S3" s="112"/>
      <c r="T3" s="112"/>
      <c r="U3" s="112">
        <f>ROUND(E3+F3+G3+H3+I3+J3-K3-L3-M3+O3-P3-Q3-R3+S3+T3,0)</f>
        <v>16125</v>
      </c>
      <c r="V3" s="119" t="s">
        <v>152</v>
      </c>
      <c r="W3" s="120"/>
      <c r="X3" s="121"/>
      <c r="Y3" s="121"/>
      <c r="Z3" s="22">
        <v>2</v>
      </c>
      <c r="AA3" s="22">
        <v>4</v>
      </c>
      <c r="AB3" s="134">
        <v>1</v>
      </c>
      <c r="AC3" s="22"/>
      <c r="AD3" s="106"/>
      <c r="AE3" s="4" t="s">
        <v>33</v>
      </c>
      <c r="AF3" s="167"/>
      <c r="AG3" s="188"/>
    </row>
    <row r="4" spans="1:33" ht="21.95" customHeight="1" x14ac:dyDescent="0.2">
      <c r="A4" s="165">
        <v>3</v>
      </c>
      <c r="B4" s="98" t="s">
        <v>73</v>
      </c>
      <c r="C4" s="98" t="s">
        <v>74</v>
      </c>
      <c r="D4" s="98" t="s">
        <v>311</v>
      </c>
      <c r="E4" s="112">
        <f>15600+312+319</f>
        <v>16231</v>
      </c>
      <c r="F4" s="113">
        <v>2000</v>
      </c>
      <c r="G4" s="114">
        <f>(E4/30)*AB4</f>
        <v>1082.0666666666666</v>
      </c>
      <c r="H4" s="115">
        <f>(((E4/30)/8*1.5))*AC4</f>
        <v>0</v>
      </c>
      <c r="I4" s="112">
        <f>(((E4/30)/8*3))*AD4</f>
        <v>0</v>
      </c>
      <c r="J4" s="112">
        <v>700</v>
      </c>
      <c r="K4" s="112">
        <v>7000</v>
      </c>
      <c r="L4" s="116">
        <v>750</v>
      </c>
      <c r="M4" s="117"/>
      <c r="N4" s="146"/>
      <c r="O4" s="113">
        <v>2000</v>
      </c>
      <c r="P4" s="117"/>
      <c r="Q4" s="112"/>
      <c r="R4" s="118">
        <f>(E4/30)*IF(W4=0,0,W4) + (E4/30)*IF(Z4=0,0,Z4)</f>
        <v>541.0333333333333</v>
      </c>
      <c r="S4" s="112"/>
      <c r="T4" s="112"/>
      <c r="U4" s="112">
        <f>ROUND(E4+F4+G4+H4+I4+J4-K4-L4-M4+O4-P4-Q4-R4+S4+T4,0)</f>
        <v>13722</v>
      </c>
      <c r="V4" s="122" t="s">
        <v>75</v>
      </c>
      <c r="W4" s="121"/>
      <c r="X4" s="121"/>
      <c r="Y4" s="121"/>
      <c r="Z4" s="22">
        <v>1</v>
      </c>
      <c r="AA4" s="22">
        <v>1</v>
      </c>
      <c r="AB4" s="22">
        <v>2</v>
      </c>
      <c r="AC4" s="22"/>
      <c r="AD4" s="106"/>
      <c r="AE4" s="4" t="s">
        <v>33</v>
      </c>
      <c r="AF4" s="167"/>
      <c r="AG4" s="188"/>
    </row>
    <row r="5" spans="1:33" ht="21.95" customHeight="1" x14ac:dyDescent="0.2">
      <c r="A5" s="165">
        <v>4</v>
      </c>
      <c r="B5" s="98" t="s">
        <v>203</v>
      </c>
      <c r="C5" s="98" t="s">
        <v>201</v>
      </c>
      <c r="D5" s="145" t="s">
        <v>293</v>
      </c>
      <c r="E5" s="112">
        <f>15141+303</f>
        <v>15444</v>
      </c>
      <c r="F5" s="113">
        <v>1500</v>
      </c>
      <c r="G5" s="114">
        <f>(E5/30)*AB5</f>
        <v>1029.5999999999999</v>
      </c>
      <c r="H5" s="115">
        <f>(((E5/30)/8*1.5))*AC5</f>
        <v>0</v>
      </c>
      <c r="I5" s="112">
        <f>(((E5/30)/8*3))*AD5</f>
        <v>0</v>
      </c>
      <c r="J5" s="112">
        <v>900</v>
      </c>
      <c r="K5" s="112"/>
      <c r="L5" s="116">
        <v>750</v>
      </c>
      <c r="M5" s="117"/>
      <c r="N5" s="146"/>
      <c r="O5" s="112"/>
      <c r="P5" s="117"/>
      <c r="Q5" s="112"/>
      <c r="R5" s="118">
        <f>(E5/30)*IF(W5=0,0,W5) + (E5/30)*IF(Z5=0,0,Z5)</f>
        <v>0</v>
      </c>
      <c r="S5" s="112"/>
      <c r="T5" s="112"/>
      <c r="U5" s="112">
        <f>ROUND(E5+F5+G5+H5+I5+J5-K5-L5-M5+O5-P5-Q5-R5+S5+T5,0)</f>
        <v>18124</v>
      </c>
      <c r="V5" s="42" t="s">
        <v>47</v>
      </c>
      <c r="W5" s="121"/>
      <c r="X5" s="121"/>
      <c r="Y5" s="121"/>
      <c r="Z5" s="22"/>
      <c r="AA5" s="22"/>
      <c r="AB5" s="22">
        <v>2</v>
      </c>
      <c r="AC5" s="22"/>
      <c r="AD5" s="106"/>
      <c r="AE5" s="4" t="s">
        <v>33</v>
      </c>
      <c r="AF5" s="167"/>
      <c r="AG5" s="188"/>
    </row>
    <row r="6" spans="1:33" ht="21.95" customHeight="1" x14ac:dyDescent="0.2">
      <c r="A6" s="165">
        <v>5</v>
      </c>
      <c r="B6" s="98" t="s">
        <v>205</v>
      </c>
      <c r="C6" s="98" t="s">
        <v>202</v>
      </c>
      <c r="D6" s="98" t="s">
        <v>294</v>
      </c>
      <c r="E6" s="112">
        <f>15141+379</f>
        <v>15520</v>
      </c>
      <c r="F6" s="112"/>
      <c r="G6" s="114">
        <f>(E6/30)*AB6</f>
        <v>0</v>
      </c>
      <c r="H6" s="115">
        <f>(((E6/30)/8*1.5))*AC6</f>
        <v>0</v>
      </c>
      <c r="I6" s="112">
        <f>(((E6/30)/8*3))*AD6</f>
        <v>0</v>
      </c>
      <c r="J6" s="112">
        <v>1000</v>
      </c>
      <c r="K6" s="112">
        <v>6000</v>
      </c>
      <c r="L6" s="116">
        <v>750</v>
      </c>
      <c r="M6" s="117"/>
      <c r="N6" s="146"/>
      <c r="O6" s="161">
        <v>2000</v>
      </c>
      <c r="P6" s="117">
        <v>3258</v>
      </c>
      <c r="Q6" s="112"/>
      <c r="R6" s="118">
        <f>(E6/30)*IF(W6=0,0,W6) + (E6/30)*IF(Z6=0,0,Z6)</f>
        <v>0</v>
      </c>
      <c r="S6" s="112"/>
      <c r="T6" s="112"/>
      <c r="U6" s="112">
        <f>ROUND(E6+F6+G6+H6+I6+J6-K6-L6-M6+O6-P6-Q6-R6+S6+T6,0)</f>
        <v>8512</v>
      </c>
      <c r="V6" s="41" t="s">
        <v>204</v>
      </c>
      <c r="W6" s="121"/>
      <c r="X6" s="121"/>
      <c r="Y6" s="121"/>
      <c r="Z6" s="22"/>
      <c r="AA6" s="22"/>
      <c r="AB6" s="22"/>
      <c r="AC6" s="22"/>
      <c r="AD6" s="106"/>
      <c r="AE6" s="4" t="s">
        <v>33</v>
      </c>
      <c r="AF6" s="167"/>
      <c r="AG6" s="189"/>
    </row>
    <row r="7" spans="1:33" ht="21.95" customHeight="1" x14ac:dyDescent="0.2">
      <c r="A7" s="165">
        <v>6</v>
      </c>
      <c r="B7" s="98" t="s">
        <v>173</v>
      </c>
      <c r="C7" s="99" t="s">
        <v>154</v>
      </c>
      <c r="D7" s="99" t="s">
        <v>293</v>
      </c>
      <c r="E7" s="112">
        <v>13000</v>
      </c>
      <c r="F7" s="112"/>
      <c r="G7" s="114">
        <f>(E7/30)*AB7</f>
        <v>0</v>
      </c>
      <c r="H7" s="115">
        <f>(((E7/30)/8*1.5))*AC7</f>
        <v>0</v>
      </c>
      <c r="I7" s="112">
        <f>(((E7/30)/8*3))*AD7</f>
        <v>0</v>
      </c>
      <c r="J7" s="112"/>
      <c r="K7" s="112"/>
      <c r="L7" s="116">
        <v>650</v>
      </c>
      <c r="M7" s="117">
        <v>9900</v>
      </c>
      <c r="N7" s="311">
        <v>0</v>
      </c>
      <c r="O7" s="113">
        <v>1000</v>
      </c>
      <c r="P7" s="117"/>
      <c r="Q7" s="112"/>
      <c r="R7" s="112">
        <f>(E7/30)*IF(W7=0,0,W7) + (E7/30)*IF(Z7=0,0,Z7)</f>
        <v>0</v>
      </c>
      <c r="S7" s="112"/>
      <c r="T7" s="112"/>
      <c r="U7" s="112">
        <f>ROUND(E7+F7+G7+H7+I7+J7-K7-L7-M7+O7-P7-Q7-R7+S7+T7,0)</f>
        <v>3450</v>
      </c>
      <c r="V7" s="41" t="s">
        <v>284</v>
      </c>
      <c r="W7" s="121"/>
      <c r="X7" s="121"/>
      <c r="Y7" s="121"/>
      <c r="Z7" s="22"/>
      <c r="AA7" s="22"/>
      <c r="AB7" s="22"/>
      <c r="AC7" s="22"/>
      <c r="AD7" s="106"/>
      <c r="AE7" s="4" t="s">
        <v>33</v>
      </c>
      <c r="AF7" s="167"/>
      <c r="AG7" s="188"/>
    </row>
    <row r="8" spans="1:33" customFormat="1" ht="21.95" customHeight="1" x14ac:dyDescent="0.2">
      <c r="A8" s="5"/>
      <c r="B8" s="18"/>
      <c r="C8" s="5"/>
      <c r="D8" s="5"/>
      <c r="E8" s="136">
        <f>SUM(E3:E7)</f>
        <v>76763</v>
      </c>
      <c r="F8" s="138">
        <f>SUM(F3:F7)</f>
        <v>5000</v>
      </c>
      <c r="G8" s="6">
        <f>SUM(G3:G4)</f>
        <v>1634.3333333333333</v>
      </c>
      <c r="H8" s="7">
        <f>SUM(H3:H4)</f>
        <v>0</v>
      </c>
      <c r="I8" s="6"/>
      <c r="J8" s="139">
        <f>SUM(J3:J7)</f>
        <v>3400</v>
      </c>
      <c r="K8" s="43">
        <f>SUM(K3:K7)</f>
        <v>13000</v>
      </c>
      <c r="L8" s="7"/>
      <c r="M8" s="7"/>
      <c r="N8" s="7"/>
      <c r="O8" s="136">
        <f>SUM(O3:O7)</f>
        <v>7000</v>
      </c>
      <c r="P8" s="6"/>
      <c r="Q8" s="6"/>
      <c r="R8" s="6"/>
      <c r="S8" s="44">
        <f>SUM(S3:S7)</f>
        <v>0</v>
      </c>
      <c r="T8" s="44">
        <f>SUM(T3:T7)</f>
        <v>0</v>
      </c>
      <c r="U8" s="135">
        <f>SUM(U3:U7)</f>
        <v>59933</v>
      </c>
      <c r="V8" s="5"/>
      <c r="W8" s="5"/>
      <c r="X8" s="5"/>
      <c r="Y8" s="5"/>
      <c r="Z8" s="5"/>
      <c r="AA8" s="5"/>
      <c r="AB8" s="5"/>
      <c r="AC8" s="5"/>
      <c r="AD8" s="104"/>
      <c r="AE8" s="5"/>
      <c r="AF8" s="20"/>
    </row>
    <row r="9" spans="1:33" ht="20.45" customHeight="1" x14ac:dyDescent="0.2">
      <c r="AF9" s="20"/>
    </row>
    <row r="10" spans="1:33" ht="34.35" customHeight="1" x14ac:dyDescent="0.2">
      <c r="B10" s="148" t="s">
        <v>121</v>
      </c>
      <c r="C10" s="149">
        <f>SUMIF(L2:L7,"&gt;0",U2:U7)</f>
        <v>59933</v>
      </c>
      <c r="D10" s="179">
        <f>SUMIFS(Tablekitchen[รายได้สุทธิ], Tablekitchen[ปกส.], "&gt;0", Tablekitchen[เงินสด], "=")</f>
        <v>59933</v>
      </c>
      <c r="AF10" s="20"/>
    </row>
    <row r="11" spans="1:33" ht="20.45" customHeight="1" x14ac:dyDescent="0.2">
      <c r="B11" s="148" t="s">
        <v>211</v>
      </c>
      <c r="C11" s="149">
        <f>SUMIFS(U2:U7,AF2:AF7,1)</f>
        <v>0</v>
      </c>
      <c r="D11" s="1"/>
      <c r="AF11" s="20"/>
    </row>
    <row r="12" spans="1:33" ht="20.45" customHeight="1" x14ac:dyDescent="0.2">
      <c r="B12" s="148" t="s">
        <v>212</v>
      </c>
      <c r="C12" s="149">
        <f>IF((U8-SUMIF(L2:L7,"&gt;0",U2:V7)-C11)&gt;0,U8-SUMIF(L2:L7,"&gt;0",U2:V7)-C11,0)</f>
        <v>0</v>
      </c>
      <c r="D12" s="179">
        <f>SUMIFS(Tablekitchen[รายได้สุทธิ], Tablekitchen[ปกส.], "=", Tablekitchen[เงินสด], "=")</f>
        <v>0</v>
      </c>
      <c r="E12" s="154"/>
      <c r="AF12" s="20"/>
    </row>
    <row r="13" spans="1:33" ht="42.75" customHeight="1" x14ac:dyDescent="0.2">
      <c r="B13" s="156"/>
      <c r="C13" s="155"/>
      <c r="D13" s="156"/>
      <c r="E13" s="156"/>
      <c r="F13" s="156"/>
      <c r="AF13" s="20"/>
    </row>
    <row r="14" spans="1:33" ht="20.45" customHeight="1" x14ac:dyDescent="0.2">
      <c r="AF14" s="20"/>
    </row>
    <row r="15" spans="1:33" ht="20.45" customHeight="1" x14ac:dyDescent="0.2">
      <c r="AF15" s="20"/>
    </row>
    <row r="16" spans="1:33" ht="20.45" customHeight="1" x14ac:dyDescent="0.2">
      <c r="AF16" s="20"/>
    </row>
    <row r="17" spans="32:32" ht="20.45" customHeight="1" x14ac:dyDescent="0.2">
      <c r="AF17" s="20"/>
    </row>
    <row r="18" spans="32:32" ht="20.45" customHeight="1" x14ac:dyDescent="0.2">
      <c r="AF18" s="20"/>
    </row>
    <row r="19" spans="32:32" ht="20.45" customHeight="1" x14ac:dyDescent="0.2">
      <c r="AF19" s="20"/>
    </row>
    <row r="20" spans="32:32" ht="20.45" customHeight="1" x14ac:dyDescent="0.2">
      <c r="AF20" s="20"/>
    </row>
    <row r="21" spans="32:32" ht="20.45" customHeight="1" x14ac:dyDescent="0.2">
      <c r="AF21" s="20"/>
    </row>
    <row r="22" spans="32:32" ht="20.45" customHeight="1" x14ac:dyDescent="0.2">
      <c r="AF22" s="20"/>
    </row>
    <row r="23" spans="32:32" ht="20.45" customHeight="1" x14ac:dyDescent="0.2">
      <c r="AF23" s="20"/>
    </row>
    <row r="24" spans="32:32" ht="20.45" customHeight="1" x14ac:dyDescent="0.2">
      <c r="AF24" s="20"/>
    </row>
    <row r="25" spans="32:32" ht="20.45" customHeight="1" x14ac:dyDescent="0.2">
      <c r="AF25" s="20"/>
    </row>
    <row r="26" spans="32:32" ht="20.45" customHeight="1" x14ac:dyDescent="0.2">
      <c r="AF26" s="20"/>
    </row>
    <row r="27" spans="32:32" ht="20.45" customHeight="1" x14ac:dyDescent="0.2">
      <c r="AF27" s="20"/>
    </row>
    <row r="28" spans="32:32" ht="20.45" customHeight="1" x14ac:dyDescent="0.2">
      <c r="AF28" s="20"/>
    </row>
    <row r="29" spans="32:32" ht="20.45" customHeight="1" x14ac:dyDescent="0.2">
      <c r="AF29" s="20"/>
    </row>
    <row r="30" spans="32:32" ht="20.45" customHeight="1" x14ac:dyDescent="0.2">
      <c r="AF30" s="20"/>
    </row>
    <row r="31" spans="32:32" ht="20.45" customHeight="1" x14ac:dyDescent="0.2">
      <c r="AF31" s="20"/>
    </row>
    <row r="32" spans="32:32" ht="20.45" customHeight="1" x14ac:dyDescent="0.2">
      <c r="AF32" s="20"/>
    </row>
    <row r="33" spans="32:32" ht="20.45" customHeight="1" x14ac:dyDescent="0.2">
      <c r="AF33" s="20"/>
    </row>
    <row r="34" spans="32:32" ht="20.45" customHeight="1" x14ac:dyDescent="0.2">
      <c r="AF34" s="20"/>
    </row>
    <row r="35" spans="32:32" ht="20.45" customHeight="1" x14ac:dyDescent="0.2">
      <c r="AF35" s="20"/>
    </row>
    <row r="36" spans="32:32" ht="20.45" customHeight="1" x14ac:dyDescent="0.2">
      <c r="AF36" s="5"/>
    </row>
  </sheetData>
  <mergeCells count="1">
    <mergeCell ref="A1:B1"/>
  </mergeCells>
  <conditionalFormatting sqref="C7:D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{CBAF0F3B-20FD-4650-8211-12D220E5F321}</x14:id>
        </ext>
      </extLst>
    </cfRule>
  </conditionalFormatting>
  <hyperlinks>
    <hyperlink ref="V3" r:id="rId1" xr:uid="{7E058475-BD2F-47AC-A785-A52544DE2F4D}"/>
    <hyperlink ref="V4" r:id="rId2" xr:uid="{7807E129-6A27-49EA-A215-ECCCDB58CA04}"/>
    <hyperlink ref="V5" r:id="rId3" xr:uid="{524C7BF8-18B0-43F0-85EA-7EBC20594C6A}"/>
    <hyperlink ref="V6" r:id="rId4" xr:uid="{6410BE22-24A7-493A-9C6C-ACD74F5AB886}"/>
    <hyperlink ref="V7" r:id="rId5" xr:uid="{48F74ED0-966E-4820-BB70-0B6AB3D772DA}"/>
  </hyperlinks>
  <pageMargins left="0.12" right="0.11" top="0.56499999999999995" bottom="0.12" header="0.13" footer="0.13"/>
  <pageSetup paperSize="9" scale="60" fitToWidth="0" orientation="landscape" horizontalDpi="4294967293" verticalDpi="360" r:id="rId6"/>
  <tableParts count="1"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AF0F3B-20FD-4650-8211-12D220E5F3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C7:D7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65E4-C91B-4E94-88A2-8CBF471DE0E8}">
  <dimension ref="A1:AH42"/>
  <sheetViews>
    <sheetView showGridLines="0" zoomScaleNormal="100" zoomScaleSheetLayoutView="78" zoomScalePageLayoutView="40" workbookViewId="0">
      <selection activeCell="C32" sqref="C32"/>
    </sheetView>
  </sheetViews>
  <sheetFormatPr defaultColWidth="9.25" defaultRowHeight="20.45" customHeight="1" x14ac:dyDescent="0.2"/>
  <cols>
    <col min="1" max="1" width="7.75" style="5" customWidth="1"/>
    <col min="2" max="2" width="27.375" style="5" customWidth="1"/>
    <col min="3" max="3" width="12.25" style="5" customWidth="1"/>
    <col min="4" max="4" width="13.625" style="5" customWidth="1"/>
    <col min="5" max="5" width="13.125" style="5" customWidth="1"/>
    <col min="6" max="6" width="10.5" style="5" customWidth="1"/>
    <col min="7" max="7" width="12.75" style="6" customWidth="1"/>
    <col min="8" max="9" width="13.75" style="7" customWidth="1"/>
    <col min="10" max="10" width="12.25" style="7" customWidth="1"/>
    <col min="11" max="11" width="12.375" style="7" customWidth="1"/>
    <col min="12" max="12" width="7.75" style="7" customWidth="1"/>
    <col min="13" max="13" width="11.75" style="7" customWidth="1"/>
    <col min="14" max="14" width="10.125" style="7" customWidth="1"/>
    <col min="15" max="15" width="11.5" style="6" customWidth="1"/>
    <col min="16" max="16" width="8.375" style="6" customWidth="1"/>
    <col min="17" max="17" width="7.75" style="6" customWidth="1"/>
    <col min="18" max="18" width="10" style="6" customWidth="1"/>
    <col min="19" max="20" width="11.75" style="6" customWidth="1"/>
    <col min="21" max="21" width="17.75" style="6" customWidth="1"/>
    <col min="22" max="22" width="39" style="5" customWidth="1"/>
    <col min="23" max="23" width="9" style="5" customWidth="1"/>
    <col min="24" max="24" width="9.625" style="5" customWidth="1"/>
    <col min="25" max="25" width="10.625" style="5" customWidth="1"/>
    <col min="26" max="26" width="9.625" style="5" customWidth="1"/>
    <col min="27" max="27" width="12.5" style="5" customWidth="1"/>
    <col min="28" max="28" width="9.25" style="5" customWidth="1"/>
    <col min="29" max="29" width="15.375" style="5" customWidth="1"/>
    <col min="30" max="30" width="17.875" style="104" customWidth="1"/>
    <col min="31" max="31" width="9.25" style="5" customWidth="1"/>
    <col min="32" max="32" width="8.75" style="1" customWidth="1"/>
    <col min="33" max="33" width="23.375" style="5" customWidth="1"/>
    <col min="34" max="16384" width="9.25" style="5"/>
  </cols>
  <sheetData>
    <row r="1" spans="1:33" ht="21.95" customHeight="1" x14ac:dyDescent="0.2">
      <c r="A1" s="374" t="s">
        <v>390</v>
      </c>
      <c r="B1" s="375"/>
      <c r="D1" s="5" t="s">
        <v>70</v>
      </c>
      <c r="AF1" s="5"/>
    </row>
    <row r="2" spans="1:33" ht="21.95" customHeight="1" x14ac:dyDescent="0.2">
      <c r="A2" s="164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179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178</v>
      </c>
      <c r="AE2" s="8" t="s">
        <v>28</v>
      </c>
      <c r="AF2" s="166" t="s">
        <v>211</v>
      </c>
      <c r="AG2" s="182" t="s">
        <v>248</v>
      </c>
    </row>
    <row r="3" spans="1:33" ht="21.95" customHeight="1" x14ac:dyDescent="0.45">
      <c r="A3" s="165">
        <v>1</v>
      </c>
      <c r="B3" s="98" t="s">
        <v>81</v>
      </c>
      <c r="C3" s="101" t="s">
        <v>82</v>
      </c>
      <c r="D3" s="98" t="s">
        <v>83</v>
      </c>
      <c r="E3" s="112">
        <f>15600+468+402</f>
        <v>16470</v>
      </c>
      <c r="F3" s="113">
        <v>1500</v>
      </c>
      <c r="G3" s="114">
        <f t="shared" ref="G3:G29" si="0">(E3/30)*AB3</f>
        <v>1098</v>
      </c>
      <c r="H3" s="115">
        <f t="shared" ref="H3:H29" si="1">(((E3/30)/8*1.5))*AC3</f>
        <v>0</v>
      </c>
      <c r="I3" s="112">
        <f t="shared" ref="I3:I29" si="2">(((E3/30)/8*3))*AD3</f>
        <v>0</v>
      </c>
      <c r="J3" s="112">
        <v>700</v>
      </c>
      <c r="K3" s="351">
        <v>1500</v>
      </c>
      <c r="L3" s="116">
        <v>750</v>
      </c>
      <c r="M3" s="112"/>
      <c r="N3" s="112"/>
      <c r="O3" s="161">
        <v>3000</v>
      </c>
      <c r="P3" s="365">
        <v>988</v>
      </c>
      <c r="Q3" s="112"/>
      <c r="R3" s="118">
        <f t="shared" ref="R3:R29" si="3">(E3/30)*IF(W3=0,0,W3) + (E3/30)*IF(Z3=0,0,Z3)</f>
        <v>0</v>
      </c>
      <c r="S3" s="112"/>
      <c r="T3" s="112"/>
      <c r="U3" s="112">
        <f>ROUND(E3+F3+G3+H3+I3+J3-K3-L3-M3+O3-P3-Q3-R3+S3+T3,0)</f>
        <v>19530</v>
      </c>
      <c r="V3" s="153" t="s">
        <v>84</v>
      </c>
      <c r="W3" s="121"/>
      <c r="X3" s="121"/>
      <c r="Y3" s="121">
        <v>2</v>
      </c>
      <c r="Z3" s="121"/>
      <c r="AA3" s="22"/>
      <c r="AB3" s="22">
        <v>2</v>
      </c>
      <c r="AC3" s="22"/>
      <c r="AD3" s="106"/>
      <c r="AE3" s="4" t="s">
        <v>33</v>
      </c>
      <c r="AF3" s="167"/>
      <c r="AG3" s="188"/>
    </row>
    <row r="4" spans="1:33" ht="21.95" customHeight="1" x14ac:dyDescent="0.45">
      <c r="A4" s="165">
        <v>2</v>
      </c>
      <c r="B4" s="98" t="s">
        <v>95</v>
      </c>
      <c r="C4" s="101" t="s">
        <v>96</v>
      </c>
      <c r="D4" s="98" t="s">
        <v>219</v>
      </c>
      <c r="E4" s="112">
        <f>15000+450+309</f>
        <v>15759</v>
      </c>
      <c r="F4" s="113">
        <v>3000</v>
      </c>
      <c r="G4" s="114">
        <f t="shared" si="0"/>
        <v>1050.5999999999999</v>
      </c>
      <c r="H4" s="115">
        <f>(((E4/30)/8*1.5))*AC4</f>
        <v>0</v>
      </c>
      <c r="I4" s="112">
        <f t="shared" si="2"/>
        <v>0</v>
      </c>
      <c r="J4" s="112">
        <v>1000</v>
      </c>
      <c r="K4" s="351">
        <v>6000</v>
      </c>
      <c r="L4" s="116">
        <v>750</v>
      </c>
      <c r="M4" s="112"/>
      <c r="N4" s="112"/>
      <c r="O4" s="117"/>
      <c r="P4" s="366"/>
      <c r="Q4" s="112"/>
      <c r="R4" s="118">
        <f t="shared" si="3"/>
        <v>0</v>
      </c>
      <c r="S4" s="112"/>
      <c r="T4" s="112"/>
      <c r="U4" s="112">
        <f>ROUND(E4+F4+G4+H4+I4+J4-K4-L4-M4+O4-P4-Q4-R4+S4+T4,0)</f>
        <v>14060</v>
      </c>
      <c r="V4" s="153" t="s">
        <v>97</v>
      </c>
      <c r="W4" s="121"/>
      <c r="X4" s="121"/>
      <c r="Y4" s="121"/>
      <c r="Z4" s="121"/>
      <c r="AA4" s="22"/>
      <c r="AB4" s="22">
        <v>2</v>
      </c>
      <c r="AC4" s="22"/>
      <c r="AD4" s="106"/>
      <c r="AE4" s="4" t="s">
        <v>33</v>
      </c>
      <c r="AF4" s="167"/>
      <c r="AG4" s="188"/>
    </row>
    <row r="5" spans="1:33" ht="21.95" customHeight="1" x14ac:dyDescent="0.45">
      <c r="A5" s="165">
        <v>3</v>
      </c>
      <c r="B5" s="98" t="s">
        <v>98</v>
      </c>
      <c r="C5" s="101" t="s">
        <v>99</v>
      </c>
      <c r="D5" s="54" t="s">
        <v>59</v>
      </c>
      <c r="E5" s="127">
        <f>13500+338</f>
        <v>13838</v>
      </c>
      <c r="F5" s="113">
        <v>2000</v>
      </c>
      <c r="G5" s="114">
        <f t="shared" si="0"/>
        <v>922.5333333333333</v>
      </c>
      <c r="H5" s="115">
        <f t="shared" si="1"/>
        <v>0</v>
      </c>
      <c r="I5" s="112">
        <f t="shared" si="2"/>
        <v>0</v>
      </c>
      <c r="J5" s="112">
        <v>1000</v>
      </c>
      <c r="K5" s="351">
        <v>3000</v>
      </c>
      <c r="L5" s="116">
        <v>692</v>
      </c>
      <c r="M5" s="112"/>
      <c r="N5" s="112"/>
      <c r="O5" s="117"/>
      <c r="P5" s="366">
        <v>140</v>
      </c>
      <c r="Q5" s="112"/>
      <c r="R5" s="112">
        <f t="shared" si="3"/>
        <v>0</v>
      </c>
      <c r="S5" s="112"/>
      <c r="T5" s="112"/>
      <c r="U5" s="112">
        <f>ROUND(E5+F5+G5+H5+I5+J5-K5-L5-M5+O5-P5-Q5-R5+S5+T5,0)</f>
        <v>13929</v>
      </c>
      <c r="V5" s="126" t="s">
        <v>354</v>
      </c>
      <c r="W5" s="121"/>
      <c r="X5" s="121"/>
      <c r="Y5" s="121"/>
      <c r="Z5" s="121"/>
      <c r="AA5" s="22"/>
      <c r="AB5" s="22">
        <v>2</v>
      </c>
      <c r="AC5" s="22"/>
      <c r="AD5" s="106"/>
      <c r="AE5" s="4" t="s">
        <v>33</v>
      </c>
      <c r="AF5" s="167"/>
      <c r="AG5" s="188"/>
    </row>
    <row r="6" spans="1:33" ht="21.75" customHeight="1" x14ac:dyDescent="0.45">
      <c r="A6" s="165">
        <v>4</v>
      </c>
      <c r="B6" s="98" t="s">
        <v>171</v>
      </c>
      <c r="C6" s="101" t="s">
        <v>150</v>
      </c>
      <c r="D6" s="98" t="s">
        <v>36</v>
      </c>
      <c r="E6" s="112">
        <v>12500</v>
      </c>
      <c r="F6" s="113">
        <v>1000</v>
      </c>
      <c r="G6" s="114">
        <f t="shared" si="0"/>
        <v>833.33333333333337</v>
      </c>
      <c r="H6" s="115">
        <f t="shared" si="1"/>
        <v>0</v>
      </c>
      <c r="I6" s="112">
        <f t="shared" si="2"/>
        <v>0</v>
      </c>
      <c r="J6" s="112">
        <v>900</v>
      </c>
      <c r="K6" s="351">
        <v>1000</v>
      </c>
      <c r="L6" s="124"/>
      <c r="M6" s="117"/>
      <c r="N6" s="112"/>
      <c r="O6" s="117"/>
      <c r="P6" s="366">
        <v>765</v>
      </c>
      <c r="Q6" s="112"/>
      <c r="R6" s="118">
        <f t="shared" si="3"/>
        <v>0</v>
      </c>
      <c r="S6" s="112"/>
      <c r="T6" s="112"/>
      <c r="U6" s="112">
        <f t="shared" ref="U6:U29" si="4">ROUND(E6+F6+G6+H6+I6+J6-K6-L6-M6+O6-P6-Q6-R6+S6+T6,0)</f>
        <v>13468</v>
      </c>
      <c r="V6" s="119" t="s">
        <v>217</v>
      </c>
      <c r="W6" s="121"/>
      <c r="X6" s="121"/>
      <c r="Y6" s="121">
        <v>1</v>
      </c>
      <c r="Z6" s="22"/>
      <c r="AA6" s="22"/>
      <c r="AB6" s="22">
        <v>2</v>
      </c>
      <c r="AC6" s="22"/>
      <c r="AD6" s="106"/>
      <c r="AE6" s="4" t="s">
        <v>33</v>
      </c>
      <c r="AF6" s="167"/>
      <c r="AG6" s="189" t="s">
        <v>288</v>
      </c>
    </row>
    <row r="7" spans="1:33" ht="21.75" customHeight="1" x14ac:dyDescent="0.45">
      <c r="A7" s="165">
        <v>5</v>
      </c>
      <c r="B7" s="98" t="s">
        <v>138</v>
      </c>
      <c r="C7" s="101" t="s">
        <v>135</v>
      </c>
      <c r="D7" s="98" t="s">
        <v>66</v>
      </c>
      <c r="E7" s="112">
        <v>15000</v>
      </c>
      <c r="F7" s="112"/>
      <c r="G7" s="114">
        <f t="shared" si="0"/>
        <v>1000</v>
      </c>
      <c r="H7" s="115">
        <f t="shared" si="1"/>
        <v>0</v>
      </c>
      <c r="I7" s="112">
        <f t="shared" si="2"/>
        <v>0</v>
      </c>
      <c r="J7" s="112">
        <v>1000</v>
      </c>
      <c r="K7" s="351"/>
      <c r="L7" s="124"/>
      <c r="M7" s="117">
        <v>2750</v>
      </c>
      <c r="N7" s="300">
        <v>2750</v>
      </c>
      <c r="O7" s="117"/>
      <c r="P7" s="366"/>
      <c r="Q7" s="112"/>
      <c r="R7" s="112">
        <f t="shared" si="3"/>
        <v>0</v>
      </c>
      <c r="S7" s="112"/>
      <c r="T7" s="112"/>
      <c r="U7" s="112">
        <f t="shared" si="4"/>
        <v>14250</v>
      </c>
      <c r="V7" s="125" t="s">
        <v>148</v>
      </c>
      <c r="W7" s="121"/>
      <c r="X7" s="121"/>
      <c r="Y7" s="121"/>
      <c r="Z7" s="22"/>
      <c r="AA7" s="22"/>
      <c r="AB7" s="22">
        <v>2</v>
      </c>
      <c r="AC7" s="22"/>
      <c r="AD7" s="106"/>
      <c r="AE7" s="4" t="s">
        <v>33</v>
      </c>
      <c r="AF7" s="167"/>
      <c r="AG7" s="189" t="s">
        <v>276</v>
      </c>
    </row>
    <row r="8" spans="1:33" ht="21.75" customHeight="1" x14ac:dyDescent="0.45">
      <c r="A8" s="165">
        <v>6</v>
      </c>
      <c r="B8" s="214" t="s">
        <v>57</v>
      </c>
      <c r="C8" s="152" t="s">
        <v>58</v>
      </c>
      <c r="D8" s="54" t="s">
        <v>59</v>
      </c>
      <c r="E8" s="31">
        <f>12600+378+325</f>
        <v>13303</v>
      </c>
      <c r="F8" s="25">
        <v>2000</v>
      </c>
      <c r="G8" s="16">
        <f t="shared" si="0"/>
        <v>886.86666666666667</v>
      </c>
      <c r="H8" s="30">
        <f t="shared" si="1"/>
        <v>0</v>
      </c>
      <c r="I8" s="14">
        <f t="shared" si="2"/>
        <v>0</v>
      </c>
      <c r="J8" s="19">
        <v>1000</v>
      </c>
      <c r="K8" s="352">
        <v>1500</v>
      </c>
      <c r="L8" s="51"/>
      <c r="M8" s="38">
        <v>2700</v>
      </c>
      <c r="N8" s="312">
        <v>5400</v>
      </c>
      <c r="O8" s="117"/>
      <c r="P8" s="367">
        <v>140</v>
      </c>
      <c r="Q8" s="14"/>
      <c r="R8" s="15">
        <f>(E8/30)*IF(W8=0,0,W8) + (E8/30)*IF(Z8=0,0,Z8)</f>
        <v>0</v>
      </c>
      <c r="S8" s="19"/>
      <c r="T8" s="112"/>
      <c r="U8" s="14">
        <f t="shared" si="4"/>
        <v>12850</v>
      </c>
      <c r="V8" s="42" t="s">
        <v>60</v>
      </c>
      <c r="W8" s="121"/>
      <c r="X8" s="121"/>
      <c r="Y8" s="121"/>
      <c r="Z8" s="22"/>
      <c r="AA8" s="22"/>
      <c r="AB8" s="22">
        <v>2</v>
      </c>
      <c r="AC8" s="22"/>
      <c r="AD8" s="106"/>
      <c r="AE8" s="4" t="s">
        <v>33</v>
      </c>
      <c r="AF8" s="167"/>
      <c r="AG8" s="189" t="s">
        <v>272</v>
      </c>
    </row>
    <row r="9" spans="1:33" ht="21.75" customHeight="1" x14ac:dyDescent="0.45">
      <c r="A9" s="165">
        <v>7</v>
      </c>
      <c r="B9" s="214" t="s">
        <v>160</v>
      </c>
      <c r="C9" s="152" t="s">
        <v>61</v>
      </c>
      <c r="D9" s="50" t="s">
        <v>36</v>
      </c>
      <c r="E9" s="31">
        <f>11440+344+295</f>
        <v>12079</v>
      </c>
      <c r="F9" s="31"/>
      <c r="G9" s="16">
        <f t="shared" si="0"/>
        <v>805.26666666666665</v>
      </c>
      <c r="H9" s="30">
        <f>(((E9/30)/8*1.5))*AC9</f>
        <v>0</v>
      </c>
      <c r="I9" s="14">
        <f t="shared" si="2"/>
        <v>0</v>
      </c>
      <c r="J9" s="19">
        <v>1000</v>
      </c>
      <c r="K9" s="352">
        <v>1000</v>
      </c>
      <c r="L9" s="51"/>
      <c r="M9" s="39">
        <v>2750</v>
      </c>
      <c r="N9" s="313">
        <v>2750</v>
      </c>
      <c r="O9" s="117"/>
      <c r="P9" s="367">
        <v>280</v>
      </c>
      <c r="Q9" s="14"/>
      <c r="R9" s="15">
        <f>(E9/30)*IF(W9=0,0,W9) + (E9/30)*IF(Z9=0,0,Z9)</f>
        <v>0</v>
      </c>
      <c r="S9" s="19"/>
      <c r="T9" s="112"/>
      <c r="U9" s="14">
        <f t="shared" si="4"/>
        <v>9854</v>
      </c>
      <c r="V9" s="42" t="s">
        <v>62</v>
      </c>
      <c r="W9" s="121"/>
      <c r="X9" s="121"/>
      <c r="Y9" s="121"/>
      <c r="Z9" s="22"/>
      <c r="AA9" s="22"/>
      <c r="AB9" s="22">
        <v>2</v>
      </c>
      <c r="AC9" s="22"/>
      <c r="AD9" s="106"/>
      <c r="AE9" s="4" t="s">
        <v>33</v>
      </c>
      <c r="AF9" s="167"/>
      <c r="AG9" s="189" t="s">
        <v>272</v>
      </c>
    </row>
    <row r="10" spans="1:33" ht="21.75" customHeight="1" x14ac:dyDescent="0.45">
      <c r="A10" s="165">
        <v>8</v>
      </c>
      <c r="B10" s="98" t="s">
        <v>87</v>
      </c>
      <c r="C10" s="101" t="s">
        <v>88</v>
      </c>
      <c r="D10" s="98" t="s">
        <v>36</v>
      </c>
      <c r="E10" s="14">
        <f>14459+362</f>
        <v>14821</v>
      </c>
      <c r="F10" s="14"/>
      <c r="G10" s="114">
        <f t="shared" si="0"/>
        <v>988.06666666666672</v>
      </c>
      <c r="H10" s="115">
        <f>(((E10/30)/8*1.5))*AC10</f>
        <v>0</v>
      </c>
      <c r="I10" s="112">
        <f t="shared" si="2"/>
        <v>0</v>
      </c>
      <c r="J10" s="109">
        <v>1000</v>
      </c>
      <c r="K10" s="352">
        <v>6000</v>
      </c>
      <c r="L10" s="51"/>
      <c r="M10" s="14"/>
      <c r="N10" s="36"/>
      <c r="O10" s="362">
        <v>500</v>
      </c>
      <c r="P10" s="368">
        <v>1481</v>
      </c>
      <c r="Q10" s="14"/>
      <c r="R10" s="118">
        <f t="shared" si="3"/>
        <v>0</v>
      </c>
      <c r="S10" s="19"/>
      <c r="T10" s="112"/>
      <c r="U10" s="14">
        <f t="shared" si="4"/>
        <v>9828</v>
      </c>
      <c r="V10" s="35" t="s">
        <v>89</v>
      </c>
      <c r="W10" s="121"/>
      <c r="X10" s="121">
        <v>1</v>
      </c>
      <c r="Y10" s="121"/>
      <c r="Z10" s="22"/>
      <c r="AA10" s="22"/>
      <c r="AB10" s="22">
        <v>2</v>
      </c>
      <c r="AC10" s="22"/>
      <c r="AD10" s="106"/>
      <c r="AE10" s="4" t="s">
        <v>33</v>
      </c>
      <c r="AF10" s="167"/>
      <c r="AG10" s="189" t="s">
        <v>269</v>
      </c>
    </row>
    <row r="11" spans="1:33" ht="21.75" customHeight="1" x14ac:dyDescent="0.45">
      <c r="A11" s="165">
        <v>9</v>
      </c>
      <c r="B11" s="99" t="s">
        <v>233</v>
      </c>
      <c r="C11" s="101" t="s">
        <v>234</v>
      </c>
      <c r="D11" s="98" t="s">
        <v>66</v>
      </c>
      <c r="E11" s="112">
        <v>12500</v>
      </c>
      <c r="F11" s="112"/>
      <c r="G11" s="114">
        <f t="shared" si="0"/>
        <v>833.33333333333337</v>
      </c>
      <c r="H11" s="115">
        <f t="shared" si="1"/>
        <v>0</v>
      </c>
      <c r="I11" s="112">
        <f t="shared" si="2"/>
        <v>0</v>
      </c>
      <c r="J11" s="112">
        <v>900</v>
      </c>
      <c r="K11" s="351">
        <v>4000</v>
      </c>
      <c r="L11" s="116">
        <v>625</v>
      </c>
      <c r="M11" s="112"/>
      <c r="N11" s="112"/>
      <c r="O11" s="112"/>
      <c r="P11" s="366">
        <v>1251</v>
      </c>
      <c r="Q11" s="112"/>
      <c r="R11" s="118">
        <f t="shared" si="3"/>
        <v>0</v>
      </c>
      <c r="S11" s="112"/>
      <c r="T11" s="112"/>
      <c r="U11" s="112">
        <f t="shared" si="4"/>
        <v>8357</v>
      </c>
      <c r="V11" s="126" t="s">
        <v>335</v>
      </c>
      <c r="W11" s="121"/>
      <c r="X11" s="121"/>
      <c r="Y11" s="121"/>
      <c r="Z11" s="22"/>
      <c r="AA11" s="22"/>
      <c r="AB11" s="22">
        <v>2</v>
      </c>
      <c r="AC11" s="22"/>
      <c r="AD11" s="106"/>
      <c r="AE11" s="4" t="s">
        <v>33</v>
      </c>
      <c r="AF11" s="167"/>
      <c r="AG11" s="189"/>
    </row>
    <row r="12" spans="1:33" ht="21.75" customHeight="1" x14ac:dyDescent="0.45">
      <c r="A12" s="165">
        <v>10</v>
      </c>
      <c r="B12" s="99" t="s">
        <v>235</v>
      </c>
      <c r="C12" s="101" t="s">
        <v>236</v>
      </c>
      <c r="D12" s="98" t="s">
        <v>291</v>
      </c>
      <c r="E12" s="112">
        <v>12000</v>
      </c>
      <c r="F12" s="112"/>
      <c r="G12" s="114">
        <f t="shared" si="0"/>
        <v>800</v>
      </c>
      <c r="H12" s="115">
        <f t="shared" si="1"/>
        <v>0</v>
      </c>
      <c r="I12" s="112">
        <f t="shared" si="2"/>
        <v>0</v>
      </c>
      <c r="J12" s="112">
        <v>900</v>
      </c>
      <c r="K12" s="351"/>
      <c r="L12" s="116">
        <v>600</v>
      </c>
      <c r="M12" s="112"/>
      <c r="N12" s="112"/>
      <c r="O12" s="117"/>
      <c r="P12" s="366">
        <v>556</v>
      </c>
      <c r="Q12" s="112"/>
      <c r="R12" s="118">
        <f t="shared" si="3"/>
        <v>0</v>
      </c>
      <c r="S12" s="112"/>
      <c r="T12" s="112"/>
      <c r="U12" s="112">
        <f t="shared" si="4"/>
        <v>12544</v>
      </c>
      <c r="V12" s="126" t="s">
        <v>289</v>
      </c>
      <c r="W12" s="121"/>
      <c r="X12" s="121"/>
      <c r="Y12" s="121"/>
      <c r="Z12" s="22"/>
      <c r="AA12" s="22"/>
      <c r="AB12" s="22">
        <v>2</v>
      </c>
      <c r="AC12" s="22"/>
      <c r="AD12" s="106"/>
      <c r="AE12" s="4" t="s">
        <v>33</v>
      </c>
      <c r="AF12" s="167"/>
      <c r="AG12" s="189"/>
    </row>
    <row r="13" spans="1:33" ht="21.75" customHeight="1" x14ac:dyDescent="0.45">
      <c r="A13" s="165">
        <v>11</v>
      </c>
      <c r="B13" s="99" t="s">
        <v>237</v>
      </c>
      <c r="C13" s="101" t="s">
        <v>238</v>
      </c>
      <c r="D13" s="98" t="s">
        <v>291</v>
      </c>
      <c r="E13" s="112">
        <v>13000</v>
      </c>
      <c r="F13" s="112"/>
      <c r="G13" s="114">
        <f t="shared" si="0"/>
        <v>866.66666666666663</v>
      </c>
      <c r="H13" s="115">
        <f t="shared" si="1"/>
        <v>0</v>
      </c>
      <c r="I13" s="112">
        <f t="shared" si="2"/>
        <v>0</v>
      </c>
      <c r="J13" s="112">
        <v>1000</v>
      </c>
      <c r="K13" s="351">
        <v>3000</v>
      </c>
      <c r="L13" s="116">
        <v>650</v>
      </c>
      <c r="M13" s="112"/>
      <c r="N13" s="112"/>
      <c r="O13" s="117"/>
      <c r="P13" s="366">
        <v>556</v>
      </c>
      <c r="Q13" s="112"/>
      <c r="R13" s="112">
        <f t="shared" si="3"/>
        <v>0</v>
      </c>
      <c r="S13" s="112"/>
      <c r="T13" s="112"/>
      <c r="U13" s="112">
        <f t="shared" si="4"/>
        <v>10661</v>
      </c>
      <c r="V13" s="126" t="s">
        <v>290</v>
      </c>
      <c r="W13" s="121"/>
      <c r="X13" s="121"/>
      <c r="Y13" s="121"/>
      <c r="Z13" s="22"/>
      <c r="AA13" s="22"/>
      <c r="AB13" s="22">
        <v>2</v>
      </c>
      <c r="AC13" s="22"/>
      <c r="AD13" s="106"/>
      <c r="AE13" s="4" t="s">
        <v>33</v>
      </c>
      <c r="AF13" s="167"/>
      <c r="AG13" s="188"/>
    </row>
    <row r="14" spans="1:33" ht="21.75" customHeight="1" x14ac:dyDescent="0.2">
      <c r="A14" s="165">
        <v>12</v>
      </c>
      <c r="B14" s="99" t="s">
        <v>303</v>
      </c>
      <c r="C14" s="101" t="s">
        <v>295</v>
      </c>
      <c r="D14" s="98" t="s">
        <v>36</v>
      </c>
      <c r="E14" s="112">
        <v>12000</v>
      </c>
      <c r="F14" s="112"/>
      <c r="G14" s="114">
        <f t="shared" si="0"/>
        <v>800</v>
      </c>
      <c r="H14" s="115">
        <f t="shared" si="1"/>
        <v>0</v>
      </c>
      <c r="I14" s="112">
        <f t="shared" si="2"/>
        <v>0</v>
      </c>
      <c r="J14" s="112">
        <v>1000</v>
      </c>
      <c r="K14" s="112">
        <v>6000</v>
      </c>
      <c r="L14" s="124"/>
      <c r="M14" s="112"/>
      <c r="N14" s="112"/>
      <c r="O14" s="362">
        <v>300</v>
      </c>
      <c r="P14" s="366"/>
      <c r="Q14" s="112"/>
      <c r="R14" s="118">
        <f t="shared" si="3"/>
        <v>0</v>
      </c>
      <c r="S14" s="112"/>
      <c r="T14" s="112"/>
      <c r="U14" s="112">
        <f t="shared" si="4"/>
        <v>8100</v>
      </c>
      <c r="V14" s="126" t="s">
        <v>336</v>
      </c>
      <c r="W14" s="121"/>
      <c r="X14" s="121"/>
      <c r="Y14" s="121"/>
      <c r="Z14" s="22"/>
      <c r="AA14" s="22"/>
      <c r="AB14" s="22">
        <v>2</v>
      </c>
      <c r="AC14" s="22"/>
      <c r="AD14" s="106"/>
      <c r="AE14" s="4" t="s">
        <v>33</v>
      </c>
      <c r="AF14" s="167"/>
      <c r="AG14" s="188" t="s">
        <v>357</v>
      </c>
    </row>
    <row r="15" spans="1:33" ht="21.75" customHeight="1" x14ac:dyDescent="0.2">
      <c r="A15" s="165">
        <v>13</v>
      </c>
      <c r="B15" s="99" t="s">
        <v>304</v>
      </c>
      <c r="C15" s="101" t="s">
        <v>296</v>
      </c>
      <c r="D15" s="98" t="s">
        <v>291</v>
      </c>
      <c r="E15" s="112">
        <v>12000</v>
      </c>
      <c r="F15" s="112"/>
      <c r="G15" s="114">
        <f t="shared" si="0"/>
        <v>800</v>
      </c>
      <c r="H15" s="115">
        <f t="shared" si="1"/>
        <v>0</v>
      </c>
      <c r="I15" s="112">
        <f t="shared" si="2"/>
        <v>0</v>
      </c>
      <c r="J15" s="112">
        <v>1000</v>
      </c>
      <c r="K15" s="112">
        <v>3000</v>
      </c>
      <c r="L15" s="124"/>
      <c r="M15" s="117">
        <v>2750</v>
      </c>
      <c r="N15" s="300">
        <v>2750</v>
      </c>
      <c r="O15" s="117"/>
      <c r="P15" s="366"/>
      <c r="Q15" s="112"/>
      <c r="R15" s="118">
        <f t="shared" si="3"/>
        <v>0</v>
      </c>
      <c r="S15" s="112"/>
      <c r="T15" s="112"/>
      <c r="U15" s="112">
        <f t="shared" si="4"/>
        <v>8050</v>
      </c>
      <c r="V15" s="126" t="s">
        <v>337</v>
      </c>
      <c r="W15" s="121"/>
      <c r="X15" s="121"/>
      <c r="Y15" s="121"/>
      <c r="Z15" s="22"/>
      <c r="AA15" s="22"/>
      <c r="AB15" s="22">
        <v>2</v>
      </c>
      <c r="AC15" s="22"/>
      <c r="AD15" s="106"/>
      <c r="AE15" s="4" t="s">
        <v>33</v>
      </c>
      <c r="AF15" s="167"/>
      <c r="AG15" s="189" t="s">
        <v>363</v>
      </c>
    </row>
    <row r="16" spans="1:33" ht="21.75" customHeight="1" x14ac:dyDescent="0.2">
      <c r="A16" s="165">
        <v>14</v>
      </c>
      <c r="B16" s="99" t="s">
        <v>305</v>
      </c>
      <c r="C16" s="101" t="s">
        <v>297</v>
      </c>
      <c r="D16" s="98" t="s">
        <v>45</v>
      </c>
      <c r="E16" s="112">
        <v>12000</v>
      </c>
      <c r="F16" s="112"/>
      <c r="G16" s="114">
        <f t="shared" si="0"/>
        <v>800</v>
      </c>
      <c r="H16" s="115">
        <f t="shared" si="1"/>
        <v>0</v>
      </c>
      <c r="I16" s="112">
        <f t="shared" si="2"/>
        <v>0</v>
      </c>
      <c r="J16" s="112">
        <v>900</v>
      </c>
      <c r="K16" s="112"/>
      <c r="L16" s="124"/>
      <c r="M16" s="112"/>
      <c r="N16" s="112"/>
      <c r="O16" s="117"/>
      <c r="P16" s="366"/>
      <c r="Q16" s="112"/>
      <c r="R16" s="118">
        <f t="shared" si="3"/>
        <v>0</v>
      </c>
      <c r="S16" s="112"/>
      <c r="T16" s="112"/>
      <c r="U16" s="112">
        <f t="shared" si="4"/>
        <v>13700</v>
      </c>
      <c r="V16" s="126" t="s">
        <v>338</v>
      </c>
      <c r="W16" s="121"/>
      <c r="X16" s="121"/>
      <c r="Y16" s="121"/>
      <c r="Z16" s="22"/>
      <c r="AA16" s="22"/>
      <c r="AB16" s="22">
        <v>2</v>
      </c>
      <c r="AC16" s="22"/>
      <c r="AD16" s="106"/>
      <c r="AE16" s="4" t="s">
        <v>33</v>
      </c>
      <c r="AF16" s="167"/>
      <c r="AG16" s="189" t="s">
        <v>364</v>
      </c>
    </row>
    <row r="17" spans="1:34" ht="21.75" customHeight="1" x14ac:dyDescent="0.2">
      <c r="A17" s="165">
        <v>15</v>
      </c>
      <c r="B17" s="150" t="s">
        <v>306</v>
      </c>
      <c r="C17" s="147" t="s">
        <v>298</v>
      </c>
      <c r="D17" s="140" t="s">
        <v>291</v>
      </c>
      <c r="E17" s="151">
        <v>12000</v>
      </c>
      <c r="F17" s="151"/>
      <c r="G17" s="157">
        <f t="shared" si="0"/>
        <v>800</v>
      </c>
      <c r="H17" s="158">
        <f t="shared" si="1"/>
        <v>0</v>
      </c>
      <c r="I17" s="151">
        <f t="shared" si="2"/>
        <v>0</v>
      </c>
      <c r="J17" s="151">
        <v>900</v>
      </c>
      <c r="K17" s="151">
        <v>5000</v>
      </c>
      <c r="L17" s="159"/>
      <c r="M17" s="160">
        <v>2750</v>
      </c>
      <c r="N17" s="300">
        <v>2750</v>
      </c>
      <c r="O17" s="160"/>
      <c r="P17" s="369">
        <v>556</v>
      </c>
      <c r="Q17" s="151"/>
      <c r="R17" s="151">
        <f t="shared" si="3"/>
        <v>0</v>
      </c>
      <c r="S17" s="151"/>
      <c r="T17" s="151"/>
      <c r="U17" s="151">
        <f t="shared" si="4"/>
        <v>5394</v>
      </c>
      <c r="V17" s="222" t="s">
        <v>339</v>
      </c>
      <c r="W17" s="223"/>
      <c r="X17" s="223">
        <v>39</v>
      </c>
      <c r="Y17" s="223">
        <v>1</v>
      </c>
      <c r="Z17" s="163"/>
      <c r="AA17" s="163"/>
      <c r="AB17" s="163">
        <v>2</v>
      </c>
      <c r="AC17" s="163"/>
      <c r="AD17" s="224"/>
      <c r="AE17" s="225" t="s">
        <v>33</v>
      </c>
      <c r="AF17" s="226">
        <v>1</v>
      </c>
      <c r="AG17" s="227"/>
    </row>
    <row r="18" spans="1:34" ht="21.75" customHeight="1" x14ac:dyDescent="0.2">
      <c r="A18" s="165">
        <v>16</v>
      </c>
      <c r="B18" s="99" t="s">
        <v>307</v>
      </c>
      <c r="C18" s="101" t="s">
        <v>299</v>
      </c>
      <c r="D18" s="98" t="s">
        <v>36</v>
      </c>
      <c r="E18" s="112">
        <v>12000</v>
      </c>
      <c r="F18" s="112"/>
      <c r="G18" s="114">
        <f t="shared" si="0"/>
        <v>0</v>
      </c>
      <c r="H18" s="115">
        <f t="shared" si="1"/>
        <v>0</v>
      </c>
      <c r="I18" s="112">
        <f t="shared" si="2"/>
        <v>0</v>
      </c>
      <c r="J18" s="112"/>
      <c r="K18" s="112">
        <v>4000</v>
      </c>
      <c r="L18" s="124"/>
      <c r="M18" s="112"/>
      <c r="N18" s="112"/>
      <c r="O18" s="117"/>
      <c r="P18" s="366">
        <v>844.5</v>
      </c>
      <c r="Q18" s="112"/>
      <c r="R18" s="118">
        <f t="shared" si="3"/>
        <v>4000</v>
      </c>
      <c r="S18" s="112"/>
      <c r="T18" s="112"/>
      <c r="U18" s="112">
        <f t="shared" si="4"/>
        <v>3156</v>
      </c>
      <c r="V18" s="126" t="s">
        <v>340</v>
      </c>
      <c r="W18" s="121">
        <v>10</v>
      </c>
      <c r="X18" s="121"/>
      <c r="Y18" s="121"/>
      <c r="Z18" s="22"/>
      <c r="AA18" s="22"/>
      <c r="AB18" s="22"/>
      <c r="AC18" s="22"/>
      <c r="AD18" s="106"/>
      <c r="AE18" s="4" t="s">
        <v>33</v>
      </c>
      <c r="AF18" s="167"/>
      <c r="AG18" s="189" t="s">
        <v>362</v>
      </c>
      <c r="AH18" s="348" t="s">
        <v>389</v>
      </c>
    </row>
    <row r="19" spans="1:34" ht="20.45" customHeight="1" x14ac:dyDescent="0.2">
      <c r="A19" s="165">
        <v>17</v>
      </c>
      <c r="B19" s="230" t="s">
        <v>308</v>
      </c>
      <c r="C19" s="231" t="s">
        <v>300</v>
      </c>
      <c r="D19" s="232" t="s">
        <v>36</v>
      </c>
      <c r="E19" s="233">
        <v>12000</v>
      </c>
      <c r="F19" s="233"/>
      <c r="G19" s="234">
        <f t="shared" si="0"/>
        <v>800</v>
      </c>
      <c r="H19" s="235">
        <f t="shared" si="1"/>
        <v>0</v>
      </c>
      <c r="I19" s="233">
        <f t="shared" si="2"/>
        <v>0</v>
      </c>
      <c r="J19" s="233">
        <v>700</v>
      </c>
      <c r="K19" s="233">
        <v>5000</v>
      </c>
      <c r="L19" s="236"/>
      <c r="M19" s="237">
        <v>2750</v>
      </c>
      <c r="N19" s="300">
        <v>2750</v>
      </c>
      <c r="O19" s="237"/>
      <c r="P19" s="370">
        <v>625</v>
      </c>
      <c r="Q19" s="233"/>
      <c r="R19" s="233">
        <f t="shared" si="3"/>
        <v>400</v>
      </c>
      <c r="S19" s="233"/>
      <c r="T19" s="233"/>
      <c r="U19" s="233">
        <f t="shared" si="4"/>
        <v>4725</v>
      </c>
      <c r="V19" s="238"/>
      <c r="W19" s="239">
        <v>1</v>
      </c>
      <c r="X19" s="239">
        <v>2</v>
      </c>
      <c r="Y19" s="239"/>
      <c r="Z19" s="240"/>
      <c r="AA19" s="240"/>
      <c r="AB19" s="240">
        <v>2</v>
      </c>
      <c r="AC19" s="240"/>
      <c r="AD19" s="241"/>
      <c r="AE19" s="242" t="s">
        <v>33</v>
      </c>
      <c r="AF19" s="296">
        <v>1</v>
      </c>
      <c r="AG19" s="280"/>
    </row>
    <row r="20" spans="1:34" ht="20.45" customHeight="1" x14ac:dyDescent="0.2">
      <c r="A20" s="165">
        <v>18</v>
      </c>
      <c r="B20" s="150" t="s">
        <v>309</v>
      </c>
      <c r="C20" s="147" t="s">
        <v>301</v>
      </c>
      <c r="D20" s="140" t="s">
        <v>291</v>
      </c>
      <c r="E20" s="151">
        <v>12000</v>
      </c>
      <c r="F20" s="151"/>
      <c r="G20" s="157">
        <f t="shared" si="0"/>
        <v>800</v>
      </c>
      <c r="H20" s="158">
        <f t="shared" si="1"/>
        <v>0</v>
      </c>
      <c r="I20" s="151">
        <f t="shared" si="2"/>
        <v>0</v>
      </c>
      <c r="J20" s="151">
        <v>800</v>
      </c>
      <c r="K20" s="151"/>
      <c r="L20" s="159"/>
      <c r="M20" s="160">
        <v>3200</v>
      </c>
      <c r="N20" s="300">
        <v>6400</v>
      </c>
      <c r="O20" s="160"/>
      <c r="P20" s="369"/>
      <c r="Q20" s="151"/>
      <c r="R20" s="151">
        <f t="shared" si="3"/>
        <v>0</v>
      </c>
      <c r="S20" s="151"/>
      <c r="T20" s="151"/>
      <c r="U20" s="151">
        <f t="shared" si="4"/>
        <v>10400</v>
      </c>
      <c r="V20" s="222"/>
      <c r="W20" s="223"/>
      <c r="X20" s="223"/>
      <c r="Y20" s="223">
        <v>2</v>
      </c>
      <c r="Z20" s="163"/>
      <c r="AA20" s="163"/>
      <c r="AB20" s="163">
        <v>2</v>
      </c>
      <c r="AC20" s="163"/>
      <c r="AD20" s="224"/>
      <c r="AE20" s="225" t="s">
        <v>33</v>
      </c>
      <c r="AF20" s="226">
        <v>1</v>
      </c>
      <c r="AG20" s="227"/>
    </row>
    <row r="21" spans="1:34" ht="20.45" customHeight="1" x14ac:dyDescent="0.2">
      <c r="A21" s="165">
        <v>19</v>
      </c>
      <c r="B21" s="99" t="s">
        <v>310</v>
      </c>
      <c r="C21" s="101" t="s">
        <v>302</v>
      </c>
      <c r="D21" s="98" t="s">
        <v>66</v>
      </c>
      <c r="E21" s="112">
        <v>15500</v>
      </c>
      <c r="F21" s="112"/>
      <c r="G21" s="114">
        <f t="shared" si="0"/>
        <v>1033.3333333333333</v>
      </c>
      <c r="H21" s="115">
        <f t="shared" si="1"/>
        <v>0</v>
      </c>
      <c r="I21" s="112">
        <f t="shared" si="2"/>
        <v>0</v>
      </c>
      <c r="J21" s="112">
        <v>800</v>
      </c>
      <c r="K21" s="112">
        <v>2000</v>
      </c>
      <c r="L21" s="124"/>
      <c r="M21" s="112"/>
      <c r="N21" s="112"/>
      <c r="O21" s="117"/>
      <c r="P21" s="366"/>
      <c r="Q21" s="112"/>
      <c r="R21" s="118">
        <f t="shared" si="3"/>
        <v>0</v>
      </c>
      <c r="S21" s="112"/>
      <c r="T21" s="112"/>
      <c r="U21" s="112">
        <f t="shared" si="4"/>
        <v>15333</v>
      </c>
      <c r="V21" s="126" t="s">
        <v>341</v>
      </c>
      <c r="W21" s="121"/>
      <c r="X21" s="121">
        <v>8</v>
      </c>
      <c r="Y21" s="121"/>
      <c r="Z21" s="22"/>
      <c r="AA21" s="22"/>
      <c r="AB21" s="22">
        <v>2</v>
      </c>
      <c r="AC21" s="22"/>
      <c r="AD21" s="106"/>
      <c r="AE21" s="4" t="s">
        <v>33</v>
      </c>
      <c r="AF21" s="167"/>
      <c r="AG21" s="189" t="s">
        <v>361</v>
      </c>
    </row>
    <row r="22" spans="1:34" ht="20.45" customHeight="1" x14ac:dyDescent="0.2">
      <c r="A22" s="165">
        <v>20</v>
      </c>
      <c r="B22" s="99" t="s">
        <v>315</v>
      </c>
      <c r="C22" s="101" t="s">
        <v>240</v>
      </c>
      <c r="D22" s="98" t="s">
        <v>291</v>
      </c>
      <c r="E22" s="112">
        <v>13500</v>
      </c>
      <c r="F22" s="112"/>
      <c r="G22" s="114">
        <f t="shared" si="0"/>
        <v>0</v>
      </c>
      <c r="H22" s="115">
        <f t="shared" si="1"/>
        <v>0</v>
      </c>
      <c r="I22" s="112">
        <f t="shared" si="2"/>
        <v>0</v>
      </c>
      <c r="J22" s="112"/>
      <c r="K22" s="112"/>
      <c r="L22" s="124"/>
      <c r="M22" s="112"/>
      <c r="N22" s="112"/>
      <c r="O22" s="117"/>
      <c r="P22" s="366"/>
      <c r="Q22" s="112"/>
      <c r="R22" s="118">
        <f t="shared" si="3"/>
        <v>6750</v>
      </c>
      <c r="S22" s="112"/>
      <c r="T22" s="112"/>
      <c r="U22" s="112">
        <f t="shared" si="4"/>
        <v>6750</v>
      </c>
      <c r="V22" s="126" t="s">
        <v>342</v>
      </c>
      <c r="W22" s="121">
        <v>15</v>
      </c>
      <c r="X22" s="121"/>
      <c r="Y22" s="121"/>
      <c r="Z22" s="22"/>
      <c r="AA22" s="22"/>
      <c r="AB22" s="22"/>
      <c r="AC22" s="22"/>
      <c r="AD22" s="106"/>
      <c r="AE22" s="4" t="s">
        <v>33</v>
      </c>
      <c r="AF22" s="167"/>
      <c r="AG22" s="189" t="s">
        <v>360</v>
      </c>
      <c r="AH22" s="348" t="s">
        <v>389</v>
      </c>
    </row>
    <row r="23" spans="1:34" ht="20.45" customHeight="1" x14ac:dyDescent="0.2">
      <c r="A23" s="165">
        <v>21</v>
      </c>
      <c r="B23" s="219" t="s">
        <v>53</v>
      </c>
      <c r="C23" s="220" t="s">
        <v>54</v>
      </c>
      <c r="D23" s="100" t="s">
        <v>83</v>
      </c>
      <c r="E23" s="127">
        <f>15100+302</f>
        <v>15402</v>
      </c>
      <c r="F23" s="193">
        <v>1500</v>
      </c>
      <c r="G23" s="194">
        <f t="shared" si="0"/>
        <v>1026.8</v>
      </c>
      <c r="H23" s="195">
        <f t="shared" si="1"/>
        <v>0</v>
      </c>
      <c r="I23" s="127">
        <f t="shared" si="2"/>
        <v>0</v>
      </c>
      <c r="J23" s="127">
        <v>900</v>
      </c>
      <c r="K23" s="127"/>
      <c r="L23" s="196">
        <v>750</v>
      </c>
      <c r="M23" s="127"/>
      <c r="N23" s="127"/>
      <c r="O23" s="161">
        <v>3000</v>
      </c>
      <c r="P23" s="371">
        <v>1194</v>
      </c>
      <c r="Q23" s="127"/>
      <c r="R23" s="198">
        <f t="shared" si="3"/>
        <v>0</v>
      </c>
      <c r="S23" s="127"/>
      <c r="T23" s="127"/>
      <c r="U23" s="112">
        <f t="shared" si="4"/>
        <v>19885</v>
      </c>
      <c r="V23" s="199" t="s">
        <v>56</v>
      </c>
      <c r="W23" s="200"/>
      <c r="X23" s="200"/>
      <c r="Y23" s="200"/>
      <c r="Z23" s="201"/>
      <c r="AA23" s="201"/>
      <c r="AB23" s="201">
        <v>2</v>
      </c>
      <c r="AC23" s="201"/>
      <c r="AD23" s="202"/>
      <c r="AE23" s="203" t="s">
        <v>33</v>
      </c>
      <c r="AF23" s="204"/>
      <c r="AG23" s="188"/>
    </row>
    <row r="24" spans="1:34" ht="20.45" customHeight="1" x14ac:dyDescent="0.2">
      <c r="A24" s="165">
        <v>22</v>
      </c>
      <c r="B24" s="99" t="s">
        <v>329</v>
      </c>
      <c r="C24" s="101" t="s">
        <v>324</v>
      </c>
      <c r="D24" s="98"/>
      <c r="E24" s="112">
        <v>13000</v>
      </c>
      <c r="F24" s="112"/>
      <c r="G24" s="114">
        <f t="shared" si="0"/>
        <v>433.33333333333331</v>
      </c>
      <c r="H24" s="115">
        <f t="shared" si="1"/>
        <v>0</v>
      </c>
      <c r="I24" s="112">
        <f t="shared" si="2"/>
        <v>0</v>
      </c>
      <c r="J24" s="112">
        <v>800</v>
      </c>
      <c r="K24" s="112">
        <v>2000</v>
      </c>
      <c r="L24" s="124"/>
      <c r="M24" s="112"/>
      <c r="N24" s="112"/>
      <c r="O24" s="117"/>
      <c r="P24" s="366"/>
      <c r="Q24" s="112"/>
      <c r="R24" s="118">
        <f t="shared" si="3"/>
        <v>433.33333333333331</v>
      </c>
      <c r="S24" s="112"/>
      <c r="T24" s="112"/>
      <c r="U24" s="112">
        <f t="shared" si="4"/>
        <v>11800</v>
      </c>
      <c r="V24" s="126" t="s">
        <v>343</v>
      </c>
      <c r="W24" s="121"/>
      <c r="X24" s="121"/>
      <c r="Y24" s="121"/>
      <c r="Z24" s="22">
        <v>1</v>
      </c>
      <c r="AA24" s="22"/>
      <c r="AB24" s="22">
        <v>1</v>
      </c>
      <c r="AC24" s="22"/>
      <c r="AD24" s="106"/>
      <c r="AE24" s="4" t="s">
        <v>33</v>
      </c>
      <c r="AF24" s="167"/>
      <c r="AG24" s="188" t="s">
        <v>359</v>
      </c>
    </row>
    <row r="25" spans="1:34" ht="20.45" customHeight="1" x14ac:dyDescent="0.2">
      <c r="A25" s="165">
        <v>23</v>
      </c>
      <c r="B25" s="281" t="s">
        <v>330</v>
      </c>
      <c r="C25" s="282" t="s">
        <v>325</v>
      </c>
      <c r="D25" s="283"/>
      <c r="E25" s="284">
        <v>12000</v>
      </c>
      <c r="F25" s="284"/>
      <c r="G25" s="285">
        <f t="shared" si="0"/>
        <v>800</v>
      </c>
      <c r="H25" s="286">
        <f t="shared" si="1"/>
        <v>0</v>
      </c>
      <c r="I25" s="284">
        <f t="shared" si="2"/>
        <v>0</v>
      </c>
      <c r="J25" s="284">
        <v>900</v>
      </c>
      <c r="K25" s="284">
        <v>6000</v>
      </c>
      <c r="L25" s="287"/>
      <c r="M25" s="284"/>
      <c r="N25" s="284"/>
      <c r="O25" s="288"/>
      <c r="P25" s="372">
        <v>140</v>
      </c>
      <c r="Q25" s="284"/>
      <c r="R25" s="284">
        <f t="shared" si="3"/>
        <v>0</v>
      </c>
      <c r="S25" s="284"/>
      <c r="T25" s="284"/>
      <c r="U25" s="284">
        <f t="shared" si="4"/>
        <v>7560</v>
      </c>
      <c r="V25" s="289" t="s">
        <v>400</v>
      </c>
      <c r="W25" s="290"/>
      <c r="X25" s="290"/>
      <c r="Y25" s="290"/>
      <c r="Z25" s="291"/>
      <c r="AA25" s="291"/>
      <c r="AB25" s="291">
        <v>2</v>
      </c>
      <c r="AC25" s="291"/>
      <c r="AD25" s="292"/>
      <c r="AE25" s="293" t="s">
        <v>33</v>
      </c>
      <c r="AF25" s="294">
        <v>1</v>
      </c>
      <c r="AG25" s="280"/>
    </row>
    <row r="26" spans="1:34" ht="20.45" customHeight="1" x14ac:dyDescent="0.2">
      <c r="A26" s="165">
        <v>24</v>
      </c>
      <c r="B26" s="99" t="s">
        <v>331</v>
      </c>
      <c r="C26" s="101" t="s">
        <v>402</v>
      </c>
      <c r="D26" s="98"/>
      <c r="E26" s="112">
        <v>13000</v>
      </c>
      <c r="F26" s="112"/>
      <c r="G26" s="114">
        <f t="shared" si="0"/>
        <v>866.66666666666663</v>
      </c>
      <c r="H26" s="115">
        <f t="shared" si="1"/>
        <v>0</v>
      </c>
      <c r="I26" s="112">
        <f t="shared" si="2"/>
        <v>0</v>
      </c>
      <c r="J26" s="112">
        <v>1000</v>
      </c>
      <c r="K26" s="112"/>
      <c r="L26" s="124"/>
      <c r="M26" s="112"/>
      <c r="N26" s="112"/>
      <c r="O26" s="117"/>
      <c r="P26" s="366"/>
      <c r="Q26" s="112"/>
      <c r="R26" s="112">
        <f t="shared" si="3"/>
        <v>0</v>
      </c>
      <c r="S26" s="112"/>
      <c r="T26" s="112"/>
      <c r="U26" s="112">
        <f t="shared" si="4"/>
        <v>14867</v>
      </c>
      <c r="V26" s="126" t="s">
        <v>401</v>
      </c>
      <c r="W26" s="121"/>
      <c r="X26" s="121"/>
      <c r="Y26" s="121"/>
      <c r="Z26" s="22"/>
      <c r="AA26" s="22"/>
      <c r="AB26" s="22">
        <v>2</v>
      </c>
      <c r="AC26" s="22"/>
      <c r="AD26" s="106"/>
      <c r="AE26" s="4" t="s">
        <v>33</v>
      </c>
      <c r="AF26" s="167"/>
      <c r="AG26" s="188" t="s">
        <v>403</v>
      </c>
    </row>
    <row r="27" spans="1:34" ht="20.45" customHeight="1" x14ac:dyDescent="0.2">
      <c r="A27" s="165">
        <v>25</v>
      </c>
      <c r="B27" s="219" t="s">
        <v>332</v>
      </c>
      <c r="C27" s="220" t="s">
        <v>326</v>
      </c>
      <c r="D27" s="100"/>
      <c r="E27" s="127">
        <v>12000</v>
      </c>
      <c r="F27" s="127"/>
      <c r="G27" s="194">
        <f t="shared" si="0"/>
        <v>800</v>
      </c>
      <c r="H27" s="195">
        <f t="shared" si="1"/>
        <v>0</v>
      </c>
      <c r="I27" s="127">
        <f t="shared" si="2"/>
        <v>0</v>
      </c>
      <c r="J27" s="127">
        <v>1000</v>
      </c>
      <c r="K27" s="127"/>
      <c r="L27" s="279"/>
      <c r="M27" s="197">
        <v>2750</v>
      </c>
      <c r="N27" s="314">
        <v>2750</v>
      </c>
      <c r="O27" s="197"/>
      <c r="P27" s="371">
        <v>844.5</v>
      </c>
      <c r="Q27" s="127"/>
      <c r="R27" s="198">
        <f t="shared" si="3"/>
        <v>0</v>
      </c>
      <c r="S27" s="127"/>
      <c r="T27" s="127"/>
      <c r="U27" s="127">
        <f t="shared" si="4"/>
        <v>10206</v>
      </c>
      <c r="V27" s="199" t="s">
        <v>344</v>
      </c>
      <c r="W27" s="200"/>
      <c r="X27" s="200"/>
      <c r="Y27" s="200"/>
      <c r="Z27" s="201"/>
      <c r="AA27" s="201"/>
      <c r="AB27" s="201">
        <v>2</v>
      </c>
      <c r="AC27" s="201"/>
      <c r="AD27" s="202"/>
      <c r="AE27" s="203" t="s">
        <v>33</v>
      </c>
      <c r="AF27" s="204"/>
      <c r="AG27" s="188" t="s">
        <v>404</v>
      </c>
    </row>
    <row r="28" spans="1:34" ht="20.45" customHeight="1" x14ac:dyDescent="0.2">
      <c r="A28" s="165">
        <v>26</v>
      </c>
      <c r="B28" s="99" t="s">
        <v>333</v>
      </c>
      <c r="C28" s="101" t="s">
        <v>327</v>
      </c>
      <c r="D28" s="98"/>
      <c r="E28" s="112">
        <v>12000</v>
      </c>
      <c r="F28" s="112"/>
      <c r="G28" s="114">
        <f t="shared" si="0"/>
        <v>800</v>
      </c>
      <c r="H28" s="115">
        <f t="shared" si="1"/>
        <v>0</v>
      </c>
      <c r="I28" s="112">
        <f t="shared" si="2"/>
        <v>0</v>
      </c>
      <c r="J28" s="112">
        <v>1000</v>
      </c>
      <c r="K28" s="112">
        <v>2500</v>
      </c>
      <c r="L28" s="124"/>
      <c r="M28" s="112"/>
      <c r="N28" s="112"/>
      <c r="O28" s="117"/>
      <c r="P28" s="366"/>
      <c r="Q28" s="112"/>
      <c r="R28" s="118">
        <f t="shared" si="3"/>
        <v>0</v>
      </c>
      <c r="S28" s="112"/>
      <c r="T28" s="112"/>
      <c r="U28" s="127">
        <f t="shared" si="4"/>
        <v>11300</v>
      </c>
      <c r="V28" s="126" t="s">
        <v>345</v>
      </c>
      <c r="W28" s="121"/>
      <c r="X28" s="121"/>
      <c r="Y28" s="121"/>
      <c r="Z28" s="22"/>
      <c r="AA28" s="22"/>
      <c r="AB28" s="22">
        <v>2</v>
      </c>
      <c r="AC28" s="22"/>
      <c r="AD28" s="106"/>
      <c r="AE28" s="4" t="s">
        <v>33</v>
      </c>
      <c r="AF28" s="167"/>
      <c r="AG28" s="189" t="s">
        <v>358</v>
      </c>
    </row>
    <row r="29" spans="1:34" ht="20.45" customHeight="1" x14ac:dyDescent="0.2">
      <c r="A29" s="165">
        <v>27</v>
      </c>
      <c r="B29" s="219" t="s">
        <v>334</v>
      </c>
      <c r="C29" s="220" t="s">
        <v>328</v>
      </c>
      <c r="D29" s="100"/>
      <c r="E29" s="127">
        <v>12000</v>
      </c>
      <c r="F29" s="127"/>
      <c r="G29" s="194">
        <f t="shared" si="0"/>
        <v>800</v>
      </c>
      <c r="H29" s="195">
        <f t="shared" si="1"/>
        <v>0</v>
      </c>
      <c r="I29" s="127">
        <f t="shared" si="2"/>
        <v>0</v>
      </c>
      <c r="J29" s="127">
        <v>1000</v>
      </c>
      <c r="K29" s="127"/>
      <c r="L29" s="124"/>
      <c r="M29" s="127"/>
      <c r="N29" s="127"/>
      <c r="O29" s="197"/>
      <c r="P29" s="371"/>
      <c r="Q29" s="127"/>
      <c r="R29" s="198">
        <f t="shared" si="3"/>
        <v>0</v>
      </c>
      <c r="S29" s="127"/>
      <c r="T29" s="127"/>
      <c r="U29" s="127">
        <f t="shared" si="4"/>
        <v>13800</v>
      </c>
      <c r="V29" s="199" t="s">
        <v>346</v>
      </c>
      <c r="W29" s="200"/>
      <c r="X29" s="200"/>
      <c r="Y29" s="200"/>
      <c r="Z29" s="201"/>
      <c r="AA29" s="201"/>
      <c r="AB29" s="201">
        <v>2</v>
      </c>
      <c r="AC29" s="201"/>
      <c r="AD29" s="202"/>
      <c r="AE29" s="203" t="s">
        <v>33</v>
      </c>
      <c r="AF29" s="204"/>
      <c r="AG29" s="188" t="s">
        <v>404</v>
      </c>
    </row>
    <row r="30" spans="1:34" ht="20.45" customHeight="1" x14ac:dyDescent="0.2">
      <c r="A30" s="165">
        <v>28</v>
      </c>
      <c r="B30" s="99" t="s">
        <v>370</v>
      </c>
      <c r="C30" s="101" t="s">
        <v>369</v>
      </c>
      <c r="D30" s="98"/>
      <c r="E30" s="112">
        <v>12000</v>
      </c>
      <c r="F30" s="112"/>
      <c r="G30" s="114">
        <f t="shared" ref="G30:G31" si="5">(E30/30)*AB30</f>
        <v>800</v>
      </c>
      <c r="H30" s="115">
        <f t="shared" ref="H30:H31" si="6">(((E30/30)/8*1.5))*AC30</f>
        <v>0</v>
      </c>
      <c r="I30" s="112">
        <f t="shared" ref="I30:I31" si="7">(((E30/30)/8*3))*AD30</f>
        <v>0</v>
      </c>
      <c r="J30" s="112">
        <v>800</v>
      </c>
      <c r="K30" s="112">
        <v>5000</v>
      </c>
      <c r="L30" s="124"/>
      <c r="M30" s="112"/>
      <c r="N30" s="112"/>
      <c r="O30" s="117"/>
      <c r="P30" s="366"/>
      <c r="Q30" s="112"/>
      <c r="R30" s="118">
        <f t="shared" ref="R30:R31" si="8">(E30/30)*IF(W30=0,0,W30) + (E30/30)*IF(Z30=0,0,Z30)</f>
        <v>0</v>
      </c>
      <c r="S30" s="112"/>
      <c r="T30" s="112"/>
      <c r="U30" s="112">
        <f t="shared" ref="U30:U31" si="9">ROUND(E30+F30+G30+H30+I30+J30-K30-L30-M30+O30-P30-Q30-R30+S30+T30,0)</f>
        <v>8600</v>
      </c>
      <c r="V30" s="126" t="s">
        <v>382</v>
      </c>
      <c r="W30" s="121"/>
      <c r="X30" s="121"/>
      <c r="Y30" s="121">
        <v>2</v>
      </c>
      <c r="Z30" s="22"/>
      <c r="AA30" s="22"/>
      <c r="AB30" s="22">
        <v>2</v>
      </c>
      <c r="AC30" s="22"/>
      <c r="AD30" s="106"/>
      <c r="AE30" s="4" t="s">
        <v>33</v>
      </c>
      <c r="AF30" s="167"/>
      <c r="AG30" s="339" t="s">
        <v>380</v>
      </c>
    </row>
    <row r="31" spans="1:34" ht="20.45" customHeight="1" x14ac:dyDescent="0.2">
      <c r="A31" s="299">
        <v>29</v>
      </c>
      <c r="B31" s="219" t="s">
        <v>372</v>
      </c>
      <c r="C31" s="220" t="s">
        <v>371</v>
      </c>
      <c r="D31" s="100"/>
      <c r="E31" s="127">
        <v>12000</v>
      </c>
      <c r="F31" s="127"/>
      <c r="G31" s="194">
        <f t="shared" si="5"/>
        <v>800</v>
      </c>
      <c r="H31" s="195">
        <f t="shared" si="6"/>
        <v>0</v>
      </c>
      <c r="I31" s="127">
        <f t="shared" si="7"/>
        <v>0</v>
      </c>
      <c r="J31" s="127"/>
      <c r="K31" s="127">
        <v>3000</v>
      </c>
      <c r="L31" s="279"/>
      <c r="M31" s="127"/>
      <c r="N31" s="127"/>
      <c r="O31" s="197"/>
      <c r="P31" s="371"/>
      <c r="Q31" s="127"/>
      <c r="R31" s="198">
        <f t="shared" si="8"/>
        <v>0</v>
      </c>
      <c r="S31" s="127"/>
      <c r="T31" s="127"/>
      <c r="U31" s="127">
        <f t="shared" si="9"/>
        <v>9800</v>
      </c>
      <c r="V31" s="349" t="s">
        <v>383</v>
      </c>
      <c r="W31" s="200"/>
      <c r="X31" s="200">
        <v>37</v>
      </c>
      <c r="Y31" s="200">
        <v>1</v>
      </c>
      <c r="Z31" s="201"/>
      <c r="AA31" s="201"/>
      <c r="AB31" s="201">
        <v>2</v>
      </c>
      <c r="AC31" s="201"/>
      <c r="AD31" s="202"/>
      <c r="AE31" s="203" t="s">
        <v>33</v>
      </c>
      <c r="AF31" s="204"/>
      <c r="AG31" s="188" t="s">
        <v>381</v>
      </c>
    </row>
    <row r="32" spans="1:34" ht="20.45" customHeight="1" x14ac:dyDescent="0.2">
      <c r="B32" s="315"/>
      <c r="C32" s="257"/>
      <c r="D32" s="316"/>
      <c r="E32" s="132"/>
      <c r="F32" s="132"/>
      <c r="G32" s="132"/>
      <c r="H32" s="132"/>
      <c r="I32" s="132"/>
      <c r="J32" s="132"/>
      <c r="K32" s="132"/>
      <c r="L32" s="345"/>
      <c r="M32" s="132"/>
      <c r="N32" s="132"/>
      <c r="O32" s="123"/>
      <c r="P32" s="123"/>
      <c r="Q32" s="132"/>
      <c r="R32" s="346"/>
      <c r="S32" s="132"/>
      <c r="T32" s="132"/>
      <c r="U32" s="127"/>
      <c r="V32" s="340"/>
      <c r="W32" s="120"/>
      <c r="X32" s="120"/>
      <c r="Y32" s="120"/>
      <c r="Z32" s="20"/>
      <c r="AA32" s="20"/>
      <c r="AB32" s="20"/>
      <c r="AC32" s="20"/>
      <c r="AD32" s="107"/>
      <c r="AF32" s="204"/>
      <c r="AG32" s="188"/>
    </row>
    <row r="33" spans="2:33" ht="20.45" customHeight="1" x14ac:dyDescent="0.2">
      <c r="B33" s="18"/>
      <c r="E33" s="210">
        <f>SUM(E3:E31)</f>
        <v>377672</v>
      </c>
      <c r="F33" s="209">
        <f>SUM(F3:F31)</f>
        <v>11000</v>
      </c>
      <c r="G33" s="205">
        <f>SUM(G3:G31)</f>
        <v>23044.799999999999</v>
      </c>
      <c r="H33" s="7">
        <f>SUM(H3:H11)</f>
        <v>0</v>
      </c>
      <c r="I33" s="6"/>
      <c r="J33" s="208">
        <f>SUM(J3:J31)</f>
        <v>23900</v>
      </c>
      <c r="K33" s="207">
        <f>SUM(K3:K31)</f>
        <v>70500</v>
      </c>
      <c r="O33" s="47"/>
      <c r="S33" s="206">
        <f>SUM(S3:S31)</f>
        <v>0</v>
      </c>
      <c r="T33" s="206">
        <f>SUM(T3:T31)</f>
        <v>0</v>
      </c>
      <c r="U33" s="211">
        <f>SUM(U3:U31)</f>
        <v>322757</v>
      </c>
      <c r="AF33" s="22"/>
      <c r="AG33" s="188"/>
    </row>
    <row r="34" spans="2:33" ht="20.45" customHeight="1" x14ac:dyDescent="0.2">
      <c r="AF34" s="5"/>
    </row>
    <row r="35" spans="2:33" ht="20.45" customHeight="1" x14ac:dyDescent="0.2">
      <c r="B35" s="148" t="s">
        <v>121</v>
      </c>
      <c r="C35" s="205">
        <f>SUMIF(L2:L31,"&gt;0",U2:V31)</f>
        <v>98966</v>
      </c>
      <c r="D35" s="179">
        <f>SUMIFS(Tablekul[รายได้สุทธิ], Tablekul[ปกส.], "&gt;0", Tablekul[เงินสด], "=")</f>
        <v>98966</v>
      </c>
    </row>
    <row r="36" spans="2:33" ht="20.45" customHeight="1" x14ac:dyDescent="0.2">
      <c r="B36" s="148" t="s">
        <v>211</v>
      </c>
      <c r="C36" s="205">
        <f>SUMIFS(U2:U31,AF2:AF31,1)</f>
        <v>28079</v>
      </c>
      <c r="D36" s="179">
        <f>SUMIFS(Tablekul[รายได้สุทธิ], Tablekul[เงินสด], "&lt;&gt;")</f>
        <v>28079</v>
      </c>
    </row>
    <row r="37" spans="2:33" ht="20.45" customHeight="1" x14ac:dyDescent="0.2">
      <c r="B37" s="148" t="s">
        <v>212</v>
      </c>
      <c r="C37" s="212">
        <f>IF((U33-SUMIF(L3:L31,"&gt;0",U3:U31)-C36)&gt;0,U33-SUMIF(L3:L31,"&gt;0",U3:U31)-C36,0)</f>
        <v>195712</v>
      </c>
      <c r="D37" s="179">
        <f>SUMIFS(Tablekul[รายได้สุทธิ], Tablekul[ปกส.], "=", Tablekul[เงินสด], "=")</f>
        <v>195712</v>
      </c>
      <c r="O37" s="6">
        <f>SUM(U6:U13)</f>
        <v>91812</v>
      </c>
    </row>
    <row r="38" spans="2:33" ht="20.45" customHeight="1" x14ac:dyDescent="0.2">
      <c r="D38" s="6">
        <f>D37-C37</f>
        <v>0</v>
      </c>
    </row>
    <row r="40" spans="2:33" ht="20.45" customHeight="1" x14ac:dyDescent="0.2">
      <c r="C40" s="6"/>
    </row>
    <row r="42" spans="2:33" ht="20.45" customHeight="1" x14ac:dyDescent="0.2">
      <c r="G42" s="6">
        <v>21250</v>
      </c>
    </row>
  </sheetData>
  <mergeCells count="1">
    <mergeCell ref="A1:B1"/>
  </mergeCells>
  <conditionalFormatting sqref="A27:AG27">
    <cfRule type="expression" dxfId="0" priority="1">
      <formula>"D27="""""</formula>
    </cfRule>
  </conditionalFormatting>
  <hyperlinks>
    <hyperlink ref="V3" r:id="rId1" xr:uid="{6B9AB21B-F2D8-4827-A7C2-359BF4E63634}"/>
    <hyperlink ref="V4" r:id="rId2" xr:uid="{6CE1B9EE-142E-47A1-B430-B0F28690232A}"/>
    <hyperlink ref="V5" r:id="rId3" xr:uid="{7D034BA8-30B2-4441-8D46-1BE166097B42}"/>
    <hyperlink ref="V6" r:id="rId4" xr:uid="{F1A9E081-F91F-406D-A47D-80F086F96C05}"/>
    <hyperlink ref="V10" r:id="rId5" xr:uid="{C35C515D-6B24-4C45-8560-1DB2C4660591}"/>
    <hyperlink ref="V8" r:id="rId6" xr:uid="{189943ED-6694-4512-957E-6994554DB0F3}"/>
    <hyperlink ref="V9" r:id="rId7" xr:uid="{430018FA-C261-4E81-903D-BFF2F9224B4A}"/>
    <hyperlink ref="V7" r:id="rId8" xr:uid="{C6ADE38F-9411-439D-A2D0-59EA2A5BBEC1}"/>
    <hyperlink ref="V11" r:id="rId9" xr:uid="{F4D5024C-9004-4442-B74E-810534587FFC}"/>
    <hyperlink ref="V12" r:id="rId10" xr:uid="{BE04D903-1B45-416A-8EF0-DD4B0D8D3D74}"/>
    <hyperlink ref="V23" r:id="rId11" xr:uid="{47AC55C0-245E-4EF5-B0D3-762EA3D7E7CE}"/>
    <hyperlink ref="V16" r:id="rId12" xr:uid="{CADC2E66-21C1-47BB-9E9E-6A6B2453979F}"/>
    <hyperlink ref="V17" r:id="rId13" xr:uid="{F01F24F9-A9C2-4F75-8EB9-980F6395E3C1}"/>
    <hyperlink ref="V18" r:id="rId14" xr:uid="{46315C72-F15C-4AD1-BE91-4E03B93E864C}"/>
    <hyperlink ref="V14" r:id="rId15" xr:uid="{D5BC5100-CAE4-4558-9F0C-E05CC5717397}"/>
    <hyperlink ref="V15" r:id="rId16" xr:uid="{378239B7-C8CA-4353-8C55-8ED7E6744395}"/>
    <hyperlink ref="V22" r:id="rId17" xr:uid="{E13ED5C5-B28A-4092-8AE6-F41D30104C45}"/>
    <hyperlink ref="V21" r:id="rId18" xr:uid="{3942978A-B9FD-4F99-9DA4-60EE935BD8F2}"/>
    <hyperlink ref="V24" r:id="rId19" xr:uid="{CC28EE6B-AA4E-40D4-A31C-70A9221E6CCB}"/>
    <hyperlink ref="V27" r:id="rId20" xr:uid="{6BE93CF1-8475-4614-AC46-24A2410FB91C}"/>
    <hyperlink ref="V28" r:id="rId21" xr:uid="{CD88203E-3380-4A7D-AE8F-33624D2E5893}"/>
    <hyperlink ref="V29" r:id="rId22" xr:uid="{349AEA4E-8A8C-4545-8433-06DD7E715382}"/>
    <hyperlink ref="V31" r:id="rId23" xr:uid="{37771B5D-AF8D-4FDB-9A82-CFB994D6B8B7}"/>
    <hyperlink ref="V25" r:id="rId24" xr:uid="{59601D3D-9E23-4535-B929-53CEA7F6388F}"/>
    <hyperlink ref="V26" r:id="rId25" xr:uid="{F7B78325-9814-4D58-B5A2-0E5DA54EA60B}"/>
  </hyperlinks>
  <pageMargins left="0.12" right="0.11" top="0.56499999999999995" bottom="0.12" header="0.13" footer="0.13"/>
  <pageSetup paperSize="9" scale="65" fitToWidth="0" orientation="landscape" horizontalDpi="4294967293" verticalDpi="360" r:id="rId26"/>
  <tableParts count="1"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91C9-CDB2-4271-8E94-2D02EB93E3B1}">
  <dimension ref="A1:N63"/>
  <sheetViews>
    <sheetView showGridLines="0" topLeftCell="A15" zoomScale="160" zoomScaleNormal="160" workbookViewId="0">
      <selection activeCell="G15" sqref="G15"/>
    </sheetView>
  </sheetViews>
  <sheetFormatPr defaultColWidth="9.125" defaultRowHeight="18.75" x14ac:dyDescent="0.45"/>
  <cols>
    <col min="1" max="1" width="1" style="2" customWidth="1"/>
    <col min="2" max="2" width="15.75" style="2" customWidth="1"/>
    <col min="3" max="3" width="32.75" style="2" customWidth="1"/>
    <col min="4" max="5" width="0.875" style="2" customWidth="1"/>
    <col min="6" max="6" width="15.75" style="2" customWidth="1"/>
    <col min="7" max="7" width="32.75" style="2" customWidth="1"/>
    <col min="8" max="8" width="0.75" style="2" customWidth="1"/>
    <col min="9" max="9" width="1.5" style="2" customWidth="1"/>
    <col min="10" max="10" width="0.875" style="2" customWidth="1"/>
    <col min="11" max="11" width="11.75" style="2" customWidth="1"/>
    <col min="12" max="12" width="12.875" style="2" customWidth="1"/>
    <col min="13" max="13" width="4.5" style="2" customWidth="1"/>
    <col min="14" max="14" width="0.875" style="2" customWidth="1"/>
    <col min="15" max="16384" width="9.125" style="2"/>
  </cols>
  <sheetData>
    <row r="1" spans="1:14" ht="24" customHeight="1" x14ac:dyDescent="0.45">
      <c r="B1" s="2" t="s">
        <v>70</v>
      </c>
      <c r="C1" s="56" t="s">
        <v>108</v>
      </c>
      <c r="D1" s="56"/>
      <c r="E1" s="56"/>
      <c r="F1" s="56"/>
      <c r="G1" s="57"/>
      <c r="H1" s="57"/>
      <c r="I1" s="57"/>
      <c r="J1" s="378" t="s">
        <v>109</v>
      </c>
      <c r="K1" s="378"/>
      <c r="L1" s="378"/>
      <c r="M1" s="378"/>
    </row>
    <row r="2" spans="1:14" ht="24" customHeight="1" x14ac:dyDescent="0.5">
      <c r="C2" s="379" t="s">
        <v>110</v>
      </c>
      <c r="D2" s="379"/>
      <c r="E2" s="379"/>
      <c r="F2" s="379"/>
      <c r="G2" s="379"/>
      <c r="H2" s="57"/>
      <c r="I2" s="57"/>
      <c r="J2" s="380"/>
      <c r="K2" s="380"/>
      <c r="L2" s="58"/>
    </row>
    <row r="3" spans="1:14" ht="24" customHeight="1" x14ac:dyDescent="0.45">
      <c r="C3" s="34" t="s">
        <v>111</v>
      </c>
      <c r="D3" s="56"/>
      <c r="E3" s="56"/>
      <c r="F3" s="56"/>
      <c r="G3" s="59"/>
      <c r="H3" s="57"/>
      <c r="I3" s="57"/>
      <c r="J3" s="57"/>
      <c r="K3" s="57"/>
    </row>
    <row r="4" spans="1:14" ht="24" customHeight="1" x14ac:dyDescent="0.45">
      <c r="B4" s="33" t="s">
        <v>112</v>
      </c>
      <c r="C4" s="60" t="s">
        <v>190</v>
      </c>
      <c r="D4" s="3"/>
      <c r="E4" s="3"/>
      <c r="G4" s="34"/>
    </row>
    <row r="5" spans="1:14" ht="24" customHeight="1" x14ac:dyDescent="0.5">
      <c r="B5" s="61" t="s">
        <v>113</v>
      </c>
      <c r="C5" s="60">
        <v>27</v>
      </c>
      <c r="D5" s="3"/>
      <c r="E5" s="3"/>
      <c r="G5" s="34"/>
      <c r="J5" s="62"/>
      <c r="K5" s="62"/>
      <c r="L5" s="58"/>
    </row>
    <row r="6" spans="1:14" ht="24" customHeight="1" x14ac:dyDescent="0.45">
      <c r="B6" s="61" t="s">
        <v>114</v>
      </c>
      <c r="C6" s="60" t="str">
        <f ca="1">IF(VLOOKUP(C5,INDIRECT(C4&amp;"!A3:AZ51"),2)=0,"-",VLOOKUP(C5,INDIRECT(C4&amp;"!A3:AZ51"),2))</f>
        <v>น.ส นภัส เนตรสว่าง</v>
      </c>
      <c r="D6" s="3"/>
      <c r="E6" s="3"/>
      <c r="G6" s="34"/>
    </row>
    <row r="7" spans="1:14" ht="24" customHeight="1" x14ac:dyDescent="0.45">
      <c r="B7" s="61" t="s">
        <v>115</v>
      </c>
      <c r="C7" s="60" t="str">
        <f ca="1">IF(VLOOKUP(C5,INDIRECT(C4&amp;"!A3:AZ51"),4)=0,"-",VLOOKUP(C5,INDIRECT(C4&amp;"!A3:AZ51"),4))</f>
        <v>บริการ</v>
      </c>
      <c r="D7" s="3"/>
      <c r="E7" s="3"/>
      <c r="F7" s="59"/>
      <c r="G7" s="59"/>
      <c r="K7" s="62"/>
      <c r="L7" s="62"/>
    </row>
    <row r="8" spans="1:14" ht="24" customHeight="1" x14ac:dyDescent="0.45">
      <c r="B8" s="3" t="s">
        <v>116</v>
      </c>
      <c r="F8" s="63"/>
      <c r="G8" s="63"/>
    </row>
    <row r="9" spans="1:14" ht="24" customHeight="1" x14ac:dyDescent="0.45">
      <c r="A9" s="64"/>
      <c r="B9" s="381" t="s">
        <v>117</v>
      </c>
      <c r="C9" s="381"/>
      <c r="D9" s="66"/>
      <c r="E9" s="65"/>
      <c r="F9" s="381" t="s">
        <v>118</v>
      </c>
      <c r="G9" s="381"/>
      <c r="H9" s="66"/>
      <c r="I9" s="67"/>
      <c r="J9" s="68"/>
      <c r="K9" s="381" t="s">
        <v>119</v>
      </c>
      <c r="L9" s="381"/>
      <c r="M9" s="381"/>
      <c r="N9" s="69"/>
    </row>
    <row r="10" spans="1:14" ht="5.25" customHeight="1" x14ac:dyDescent="0.45">
      <c r="A10" s="70"/>
      <c r="D10" s="71"/>
      <c r="I10" s="70"/>
      <c r="J10" s="70"/>
      <c r="K10" s="72"/>
      <c r="L10" s="73"/>
      <c r="M10" s="73"/>
      <c r="N10" s="71"/>
    </row>
    <row r="11" spans="1:14" ht="24" customHeight="1" x14ac:dyDescent="0.45">
      <c r="A11" s="70"/>
      <c r="B11" s="74" t="s">
        <v>4</v>
      </c>
      <c r="C11" s="75">
        <f ca="1">VLOOKUP(C5,INDIRECT(C4&amp;"!A3:AZ51"),5)</f>
        <v>12000</v>
      </c>
      <c r="D11" s="76"/>
      <c r="E11" s="77"/>
      <c r="F11" s="74" t="s">
        <v>9</v>
      </c>
      <c r="G11" s="75" t="str">
        <f ca="1">IF(VLOOKUP(C5,INDIRECT(C4&amp;"!A3:AZ51"),11)=0,"-",VLOOKUP(C5,INDIRECT(C4&amp;"!A3:AZ51"),11))</f>
        <v>-</v>
      </c>
      <c r="H11" s="77"/>
      <c r="I11" s="70"/>
      <c r="J11" s="70"/>
      <c r="K11" s="74" t="s">
        <v>120</v>
      </c>
      <c r="L11" s="77" t="str">
        <f ca="1">IF(VLOOKUP(C5,INDIRECT(C4&amp;"!A3:AZ51"),23)=0,"-",VLOOKUP(C5,INDIRECT(C4&amp;"!A3:AZ51"),23))</f>
        <v>-</v>
      </c>
      <c r="M11" s="3" t="s">
        <v>99</v>
      </c>
      <c r="N11" s="71"/>
    </row>
    <row r="12" spans="1:14" ht="24" customHeight="1" x14ac:dyDescent="0.45">
      <c r="A12" s="70"/>
      <c r="B12" s="74" t="s">
        <v>5</v>
      </c>
      <c r="C12" s="75" t="str">
        <f ca="1">IF(VLOOKUP(C5,INDIRECT(C4&amp;"!A3:AZ51"),6)=0,"-",VLOOKUP(C5,INDIRECT(C4&amp;"!A3:AZ51"),6))</f>
        <v>-</v>
      </c>
      <c r="D12" s="71"/>
      <c r="F12" s="74" t="s">
        <v>121</v>
      </c>
      <c r="G12" s="75">
        <f ca="1">IF(VLOOKUP(C5,INDIRECT(C4&amp;"!A3:AZ51"),12)=0,"-",VLOOKUP(C5,INDIRECT(C4&amp;"!A3:AZ51"),12))</f>
        <v>600</v>
      </c>
      <c r="H12" s="77"/>
      <c r="I12" s="70"/>
      <c r="J12" s="70"/>
      <c r="K12" s="74" t="s">
        <v>15</v>
      </c>
      <c r="L12" s="77" t="str">
        <f ca="1">IF(VLOOKUP(C5,INDIRECT(C4&amp;"!A3:AZ51"),24)=0,"-",VLOOKUP(C5,INDIRECT(C4&amp;"!A3:AZ51"),24))</f>
        <v>-</v>
      </c>
      <c r="M12" s="3" t="s">
        <v>122</v>
      </c>
      <c r="N12" s="71"/>
    </row>
    <row r="13" spans="1:14" ht="24" customHeight="1" x14ac:dyDescent="0.45">
      <c r="A13" s="70"/>
      <c r="B13" s="74" t="s">
        <v>26</v>
      </c>
      <c r="C13" s="75">
        <f ca="1">IF(VLOOKUP(C5,INDIRECT(C4&amp;"!A3:AZ51"),7)=0,"-",VLOOKUP(C5,INDIRECT(C4&amp;"!A3:AZ51"),7))</f>
        <v>800</v>
      </c>
      <c r="D13" s="71"/>
      <c r="F13" s="74" t="s">
        <v>11</v>
      </c>
      <c r="G13" s="75" t="str">
        <f ca="1">IF(VLOOKUP(C5,INDIRECT(C4&amp;"!A3:AZ51"),13)=0,"-",VLOOKUP(C5,INDIRECT(C4&amp;"!A3:AZ51"),13))</f>
        <v>-</v>
      </c>
      <c r="H13" s="77"/>
      <c r="I13" s="70"/>
      <c r="J13" s="70"/>
      <c r="K13" s="74" t="s">
        <v>123</v>
      </c>
      <c r="L13" s="77">
        <f ca="1">IF(VLOOKUP(C5,INDIRECT(C4&amp;"!A3:AZ51"),25)=0,"-",VLOOKUP(C5,INDIRECT(C4&amp;"!A3:AZ51"),25))</f>
        <v>2.5</v>
      </c>
      <c r="M13" s="3" t="s">
        <v>99</v>
      </c>
      <c r="N13" s="71"/>
    </row>
    <row r="14" spans="1:14" ht="24" customHeight="1" x14ac:dyDescent="0.45">
      <c r="A14" s="70"/>
      <c r="B14" s="74" t="s">
        <v>124</v>
      </c>
      <c r="C14" s="75">
        <f ca="1">IF(VLOOKUP(C5,INDIRECT(C4&amp;"!A3:AZ51"),8)=0,"-",VLOOKUP(C5,INDIRECT(C4&amp;"!A3:AZ51"),8))</f>
        <v>225</v>
      </c>
      <c r="D14" s="71"/>
      <c r="F14" s="74" t="s">
        <v>15</v>
      </c>
      <c r="G14" s="75" t="str">
        <f ca="1">IF(VLOOKUP(C5,INDIRECT(C4&amp;"!A3:AZ51"),17)=0,"-",VLOOKUP(C5,INDIRECT(C4&amp;"!A3:AZ51"),17))</f>
        <v>-</v>
      </c>
      <c r="H14" s="77"/>
      <c r="I14" s="70"/>
      <c r="J14" s="70"/>
      <c r="K14" s="74" t="s">
        <v>125</v>
      </c>
      <c r="L14" s="77" t="str">
        <f ca="1">IF(VLOOKUP(C5,INDIRECT(C4&amp;"!A3:AZ51"),26)=0,"-",VLOOKUP(C5,INDIRECT(C4&amp;"!A3:AZ51"),26))</f>
        <v>-</v>
      </c>
      <c r="M14" s="3" t="s">
        <v>99</v>
      </c>
      <c r="N14" s="71"/>
    </row>
    <row r="15" spans="1:14" ht="24" customHeight="1" x14ac:dyDescent="0.45">
      <c r="A15" s="70"/>
      <c r="B15" s="74" t="s">
        <v>180</v>
      </c>
      <c r="C15" s="75">
        <f ca="1">IF(VLOOKUP(C5,INDIRECT(C4&amp;"!A3:AZ51"),9)=0,"-",VLOOKUP(C5,INDIRECT(C4&amp;"!A3:AZ51"),9))</f>
        <v>150</v>
      </c>
      <c r="D15" s="71"/>
      <c r="F15" s="74" t="s">
        <v>16</v>
      </c>
      <c r="G15" s="75" t="str">
        <f ca="1">IF(VLOOKUP(C5,INDIRECT(C4&amp;"!A3:AZ51"),18)=0,"-",VLOOKUP(C5,INDIRECT(C4&amp;"!A3:AZ51"),18))</f>
        <v>-</v>
      </c>
      <c r="H15" s="77"/>
      <c r="I15" s="70"/>
      <c r="J15" s="70"/>
      <c r="K15" s="74" t="s">
        <v>126</v>
      </c>
      <c r="L15" s="77" t="str">
        <f ca="1">IF(VLOOKUP(C5,INDIRECT(C4&amp;"!A3:AZ51"),27)=0,"-",VLOOKUP(C5,INDIRECT(C4&amp;"!A3:AZ51"),27))</f>
        <v>-</v>
      </c>
      <c r="M15" s="3" t="s">
        <v>99</v>
      </c>
      <c r="N15" s="71"/>
    </row>
    <row r="16" spans="1:14" ht="24" customHeight="1" x14ac:dyDescent="0.45">
      <c r="A16" s="70"/>
      <c r="B16" s="74" t="s">
        <v>8</v>
      </c>
      <c r="C16" s="75">
        <f ca="1">IF(VLOOKUP(C5,INDIRECT(C4&amp;"!A3:AZ51"),10)=0,"-",VLOOKUP(C5,INDIRECT(C4&amp;"!A3:AZ51"),10))</f>
        <v>800</v>
      </c>
      <c r="D16" s="71"/>
      <c r="F16" s="74" t="s">
        <v>14</v>
      </c>
      <c r="G16" s="75" t="str">
        <f ca="1">IF(VLOOKUP(C5,INDIRECT(C4&amp;"!A3:AZ51"),16)=0,"-",VLOOKUP(C5,INDIRECT(C4&amp;"!A3:AZ51"),16))</f>
        <v>-</v>
      </c>
      <c r="H16" s="77"/>
      <c r="I16" s="70"/>
      <c r="J16" s="70"/>
      <c r="K16" s="74" t="s">
        <v>26</v>
      </c>
      <c r="L16" s="77">
        <f ca="1">IF(VLOOKUP(C5,INDIRECT(C4&amp;"!A3:AZ51"),28)=0,"-",VLOOKUP(C5,INDIRECT(C4&amp;"!A3:AZ51"),28))</f>
        <v>2</v>
      </c>
      <c r="M16" s="3" t="s">
        <v>99</v>
      </c>
      <c r="N16" s="71"/>
    </row>
    <row r="17" spans="1:14" ht="24" customHeight="1" x14ac:dyDescent="0.45">
      <c r="A17" s="70"/>
      <c r="B17" s="74" t="s">
        <v>13</v>
      </c>
      <c r="C17" s="75">
        <f ca="1">IF(VLOOKUP(C5,INDIRECT(C4&amp;"!A3:AZ51"),15)=0,"-",VLOOKUP(C5,INDIRECT(C4&amp;"!A3:AZ51"),15))</f>
        <v>200</v>
      </c>
      <c r="D17" s="71"/>
      <c r="F17" s="74" t="s">
        <v>127</v>
      </c>
      <c r="G17" s="75" t="str">
        <f ca="1">IF(VLOOKUP(C5,INDIRECT(C4&amp;"!A3:AZ51"),14)=0,"-",VLOOKUP(C5,INDIRECT(C4&amp;"!A3:AZ51"),14))</f>
        <v>-</v>
      </c>
      <c r="H17" s="77"/>
      <c r="I17" s="70"/>
      <c r="J17" s="70"/>
      <c r="K17" s="74" t="s">
        <v>124</v>
      </c>
      <c r="L17" s="77">
        <f ca="1">IF(VLOOKUP(C5,INDIRECT(C4&amp;"!A3:AZ51"),29)=0,"-",VLOOKUP(C5,INDIRECT(C4&amp;"!A3:AZ51"),29))</f>
        <v>3</v>
      </c>
      <c r="M17" s="3" t="s">
        <v>128</v>
      </c>
      <c r="N17" s="71"/>
    </row>
    <row r="18" spans="1:14" ht="24" customHeight="1" x14ac:dyDescent="0.45">
      <c r="A18" s="70"/>
      <c r="B18" s="74" t="s">
        <v>17</v>
      </c>
      <c r="C18" s="75" t="str">
        <f ca="1">IF(VLOOKUP(C5,INDIRECT(C4&amp;"!A3:AZ51"),19)=0,"-",VLOOKUP(C5,INDIRECT(C4&amp;"!A3:AZ51"),19))</f>
        <v>-</v>
      </c>
      <c r="D18" s="71"/>
      <c r="H18" s="77"/>
      <c r="I18" s="70"/>
      <c r="J18" s="70"/>
      <c r="K18" s="74" t="s">
        <v>181</v>
      </c>
      <c r="L18" s="77">
        <f ca="1">IF(VLOOKUP(C5,INDIRECT(C4&amp;"!A3:AZ51"),30)=0,"-",VLOOKUP(C5,INDIRECT(C4&amp;"!A3:AZ51"),30))</f>
        <v>1</v>
      </c>
      <c r="M18" s="3" t="s">
        <v>128</v>
      </c>
      <c r="N18" s="71"/>
    </row>
    <row r="19" spans="1:14" ht="24" customHeight="1" x14ac:dyDescent="0.45">
      <c r="A19" s="70"/>
      <c r="B19" s="74" t="s">
        <v>18</v>
      </c>
      <c r="C19" s="75" t="str">
        <f ca="1">IF(VLOOKUP(C5,INDIRECT(C4&amp;"!A3:AZ51"),20)=0,"-",VLOOKUP(C5,INDIRECT(C4&amp;"!A3:AZ51"),20))</f>
        <v>-</v>
      </c>
      <c r="E19" s="70"/>
      <c r="F19" s="78"/>
      <c r="H19" s="77"/>
      <c r="I19" s="70"/>
      <c r="J19" s="70"/>
      <c r="K19" s="78"/>
      <c r="N19" s="71"/>
    </row>
    <row r="20" spans="1:14" ht="10.5" customHeight="1" x14ac:dyDescent="0.45">
      <c r="A20" s="70"/>
      <c r="B20" s="74"/>
      <c r="C20" s="79"/>
      <c r="D20" s="71"/>
      <c r="F20" s="74"/>
      <c r="H20" s="77"/>
      <c r="I20" s="70"/>
      <c r="J20" s="80"/>
      <c r="K20" s="81"/>
      <c r="L20" s="81"/>
      <c r="M20" s="81"/>
      <c r="N20" s="82"/>
    </row>
    <row r="21" spans="1:14" ht="20.25" customHeight="1" x14ac:dyDescent="0.45">
      <c r="A21" s="83"/>
      <c r="B21" s="133" t="s">
        <v>129</v>
      </c>
      <c r="C21" s="85">
        <f ca="1">SUM(C11:C20)</f>
        <v>14175</v>
      </c>
      <c r="D21" s="86"/>
      <c r="E21" s="83"/>
      <c r="F21" s="84" t="s">
        <v>130</v>
      </c>
      <c r="G21" s="87">
        <f ca="1">SUM(G11:G16)</f>
        <v>600</v>
      </c>
      <c r="H21" s="88"/>
      <c r="I21" s="70"/>
      <c r="M21" s="89"/>
    </row>
    <row r="22" spans="1:14" ht="2.25" customHeight="1" x14ac:dyDescent="0.45">
      <c r="A22" s="80"/>
      <c r="B22" s="90"/>
      <c r="C22" s="91">
        <f ca="1">SUM(C12:C21)</f>
        <v>16350</v>
      </c>
      <c r="D22" s="82"/>
      <c r="E22" s="80"/>
      <c r="F22" s="92"/>
      <c r="G22" s="81"/>
      <c r="H22" s="93"/>
      <c r="I22" s="70"/>
      <c r="M22" s="89"/>
    </row>
    <row r="23" spans="1:14" s="20" customFormat="1" ht="28.35" customHeight="1" x14ac:dyDescent="0.45">
      <c r="B23" s="74" t="s">
        <v>19</v>
      </c>
      <c r="C23" s="85">
        <f ca="1">IF(VLOOKUP(C5,INDIRECT(C4&amp;"!A3:AZ51"),21)=0,"-",VLOOKUP(C5,INDIRECT(C4&amp;"!A3:AZ51"),21))</f>
        <v>13575</v>
      </c>
    </row>
    <row r="24" spans="1:14" ht="5.45" customHeight="1" x14ac:dyDescent="0.45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63"/>
      <c r="L24" s="63"/>
      <c r="M24" s="63"/>
      <c r="N24" s="81"/>
    </row>
    <row r="25" spans="1:14" ht="24" customHeight="1" x14ac:dyDescent="0.45">
      <c r="A25" s="376" t="s">
        <v>131</v>
      </c>
      <c r="B25" s="376"/>
      <c r="C25" s="376"/>
      <c r="D25" s="376"/>
      <c r="E25" s="376"/>
      <c r="F25" s="376"/>
      <c r="G25" s="376"/>
      <c r="H25" s="376"/>
      <c r="I25" s="376"/>
      <c r="J25" s="376"/>
      <c r="K25" s="376"/>
      <c r="L25" s="376"/>
      <c r="M25" s="376"/>
      <c r="N25" s="376"/>
    </row>
    <row r="26" spans="1:14" ht="24" customHeight="1" x14ac:dyDescent="0.45">
      <c r="A26" s="377"/>
      <c r="B26" s="377"/>
      <c r="C26" s="377"/>
      <c r="D26" s="377"/>
      <c r="E26" s="377"/>
      <c r="F26" s="377"/>
      <c r="G26" s="377"/>
      <c r="H26" s="377"/>
      <c r="I26" s="377"/>
      <c r="J26" s="377"/>
      <c r="K26" s="377"/>
      <c r="L26" s="377"/>
      <c r="M26" s="377"/>
      <c r="N26" s="377"/>
    </row>
    <row r="27" spans="1:14" ht="24" customHeight="1" x14ac:dyDescent="0.45">
      <c r="A27" s="377"/>
      <c r="B27" s="377"/>
      <c r="C27" s="377"/>
      <c r="D27" s="377"/>
      <c r="E27" s="377"/>
      <c r="F27" s="377"/>
      <c r="G27" s="377"/>
      <c r="H27" s="377"/>
      <c r="I27" s="377"/>
      <c r="J27" s="377"/>
      <c r="K27" s="377"/>
      <c r="L27" s="377"/>
      <c r="M27" s="377"/>
      <c r="N27" s="377"/>
    </row>
    <row r="62" spans="3:3" ht="24" customHeight="1" x14ac:dyDescent="0.5">
      <c r="C62" s="94"/>
    </row>
    <row r="63" spans="3:3" ht="24" customHeight="1" x14ac:dyDescent="0.45">
      <c r="C63" s="95"/>
    </row>
  </sheetData>
  <mergeCells count="7">
    <mergeCell ref="A25:N27"/>
    <mergeCell ref="J1:M1"/>
    <mergeCell ref="C2:G2"/>
    <mergeCell ref="J2:K2"/>
    <mergeCell ref="B9:C9"/>
    <mergeCell ref="F9:G9"/>
    <mergeCell ref="K9:M9"/>
  </mergeCells>
  <dataValidations count="2">
    <dataValidation type="list" allowBlank="1" showInputMessage="1" showErrorMessage="1" sqref="C2" xr:uid="{B2F5ECE1-CBD2-4C00-8586-A31B71EDEE5F}">
      <formula1>"63/34 ซอย1 แขวง คันนายาว เขตคันนายาว กรุงเทพมหานคร 10230, 63/34 ถนนเลี่ยงเมืองปากเกร็ด ตำบลบางตลาด อ.ปากเกร็ด เทศบาลนครนนทบุรี  จ.นนทบุรี 11120 "</formula1>
    </dataValidation>
    <dataValidation type="list" allowBlank="1" showInputMessage="1" showErrorMessage="1" sqref="C4" xr:uid="{43067D09-B37D-4306-9AB5-7BAC67CED91D}">
      <formula1>"Dนนทบุรี,Dรามอินทรา,Dครัวกลาง"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D7D5-4FF8-404F-91B4-AEC3E56C51ED}">
  <dimension ref="A1:W73"/>
  <sheetViews>
    <sheetView topLeftCell="N1" zoomScale="190" zoomScaleNormal="190" workbookViewId="0">
      <selection activeCell="N34" sqref="N34"/>
    </sheetView>
  </sheetViews>
  <sheetFormatPr defaultColWidth="8.875" defaultRowHeight="27" x14ac:dyDescent="0.6"/>
  <cols>
    <col min="1" max="1" width="8.875" style="168"/>
    <col min="2" max="2" width="39.75" style="338" customWidth="1"/>
    <col min="3" max="3" width="12.5" style="181" customWidth="1"/>
    <col min="4" max="4" width="13.375" style="168" customWidth="1"/>
    <col min="5" max="5" width="11.875" style="170" customWidth="1"/>
    <col min="6" max="7" width="11.375" style="168" customWidth="1"/>
    <col min="8" max="8" width="37.625" style="168" customWidth="1"/>
    <col min="9" max="9" width="11.5" style="168" customWidth="1"/>
    <col min="10" max="10" width="14.5" style="168" customWidth="1"/>
    <col min="11" max="11" width="12" style="170" customWidth="1"/>
    <col min="12" max="12" width="9.75" style="168" customWidth="1"/>
    <col min="13" max="13" width="8.875" style="168"/>
    <col min="14" max="14" width="35.625" style="168" customWidth="1"/>
    <col min="15" max="15" width="12.125" style="170" customWidth="1"/>
    <col min="16" max="16" width="15.5" style="168" customWidth="1"/>
    <col min="17" max="17" width="12.5" style="170" customWidth="1"/>
    <col min="18" max="18" width="2.5" style="168" customWidth="1"/>
    <col min="19" max="19" width="8.875" style="170"/>
    <col min="20" max="20" width="34.5" style="168" customWidth="1"/>
    <col min="21" max="21" width="12.25" style="168" customWidth="1"/>
    <col min="22" max="22" width="11.875" style="170" customWidth="1"/>
    <col min="23" max="23" width="11.375" style="170" customWidth="1"/>
    <col min="24" max="16384" width="8.875" style="168"/>
  </cols>
  <sheetData>
    <row r="1" spans="1:23" ht="30.6" customHeight="1" x14ac:dyDescent="0.55000000000000004">
      <c r="B1" s="334" t="s">
        <v>241</v>
      </c>
      <c r="C1" s="169"/>
      <c r="D1" s="170"/>
      <c r="H1" s="170"/>
      <c r="I1" s="170"/>
      <c r="N1" s="170"/>
      <c r="T1" s="170"/>
      <c r="U1" s="170"/>
    </row>
    <row r="2" spans="1:23" ht="34.9" customHeight="1" x14ac:dyDescent="0.55000000000000004">
      <c r="A2" s="171" t="s">
        <v>0</v>
      </c>
      <c r="B2" s="171" t="s">
        <v>242</v>
      </c>
      <c r="C2" s="171" t="s">
        <v>2</v>
      </c>
      <c r="D2" s="171" t="s">
        <v>243</v>
      </c>
      <c r="E2" s="171" t="s">
        <v>244</v>
      </c>
      <c r="G2" s="171" t="s">
        <v>0</v>
      </c>
      <c r="H2" s="171" t="s">
        <v>245</v>
      </c>
      <c r="I2" s="171" t="s">
        <v>2</v>
      </c>
      <c r="J2" s="171" t="s">
        <v>243</v>
      </c>
      <c r="K2" s="171" t="s">
        <v>244</v>
      </c>
      <c r="M2" s="171" t="s">
        <v>0</v>
      </c>
      <c r="N2" s="171" t="s">
        <v>246</v>
      </c>
      <c r="O2" s="171" t="s">
        <v>2</v>
      </c>
      <c r="P2" s="171" t="s">
        <v>243</v>
      </c>
      <c r="Q2" s="171" t="s">
        <v>244</v>
      </c>
      <c r="S2" s="171" t="s">
        <v>0</v>
      </c>
      <c r="T2" s="171" t="s">
        <v>247</v>
      </c>
      <c r="U2" s="171" t="s">
        <v>2</v>
      </c>
      <c r="V2" s="171" t="s">
        <v>243</v>
      </c>
      <c r="W2" s="171" t="s">
        <v>244</v>
      </c>
    </row>
    <row r="3" spans="1:23" ht="50.45" customHeight="1" x14ac:dyDescent="0.55000000000000004">
      <c r="A3" s="172" cm="1">
        <f t="array" ref="A3:A32">Tableram[ลำดับ]</f>
        <v>1</v>
      </c>
      <c r="B3" s="335" t="str" cm="1">
        <f t="array" ref="B3:B32">Tableram[ชื่อ-นามสกุล]</f>
        <v>นาย อดิสรณ์ มีพบ</v>
      </c>
      <c r="C3" s="174" t="str" cm="1">
        <f t="array" ref="C3:C32">Tableram[ชื่อเล่น]</f>
        <v>รอน</v>
      </c>
      <c r="D3" s="175" cm="1">
        <f t="array" ref="D3:D32">Tableram[รายได้สุทธิ]</f>
        <v>19355</v>
      </c>
      <c r="E3" s="172" t="str" cm="1">
        <f t="array" aca="1" ref="E3:E32" ca="1">IF(Tableram[Promtpay]&lt;&gt;"",_xlfn.IMAGE($B$1&amp;Tableram[Promtpay]&amp;"/"&amp;Tableram[รายได้สุทธิ],"QR Promtpay"),"N/A")</f>
        <v>N/A</v>
      </c>
      <c r="F3" s="172"/>
      <c r="G3" s="172" cm="1">
        <f t="array" ref="G3:G34">Tablenon[ลำดับ]</f>
        <v>1</v>
      </c>
      <c r="H3" s="335" t="str" cm="1">
        <f t="array" ref="H3:H34">Tablenon[ชื่อ-นามสกุล]</f>
        <v xml:space="preserve"> Reaksmey Bunthoeurn</v>
      </c>
      <c r="I3" s="174" t="str" cm="1">
        <f t="array" ref="I3:I34">Tablenon[ชื่อเล่น]</f>
        <v>ใหม่</v>
      </c>
      <c r="J3" s="175" cm="1">
        <f t="array" ref="J3:J34">Tablenon[รายได้สุทธิ]</f>
        <v>13443</v>
      </c>
      <c r="K3" s="172" t="str" cm="1">
        <f t="array" aca="1" ref="K3:K34" ca="1">IF(Tablenon[Promtpay]&lt;&gt;"",_xlfn.IMAGE($B$1&amp;Tablenon[Promtpay]&amp;"/"&amp;Tablenon[รายได้สุทธิ],"QR Promtpay"),"N/A")</f>
        <v>N/A</v>
      </c>
      <c r="L3" s="172" t="str" cm="1">
        <f t="array" ref="L3:L34">IF(Tablenon[Promtpay]&lt;&gt;"",($B$1&amp;Tablenon[Promtpay]&amp;"/"&amp;Tablenon[รายได้สุทธิ]),"N/A")</f>
        <v>N/A</v>
      </c>
      <c r="M3" s="172" cm="1">
        <f t="array" ref="M3:M7">Tablekitchen[ลำดับ]</f>
        <v>1</v>
      </c>
      <c r="N3" s="335" t="str" cm="1">
        <f t="array" ref="N3:N7">Tablekitchen[ชื่อ-นามสกุล]</f>
        <v>นางสาว รัชนี รอดภิบัติ</v>
      </c>
      <c r="O3" s="174" t="str" cm="1">
        <f t="array" ref="O3:O7">Tablekitchen[ชื่อเล่น]</f>
        <v>เบียร์</v>
      </c>
      <c r="P3" s="175" cm="1">
        <f t="array" ref="P3:P7">Tablekitchen[รายได้สุทธิ]</f>
        <v>16125</v>
      </c>
      <c r="Q3" s="172" t="str" cm="1">
        <f t="array" aca="1" ref="Q3:Q7" ca="1">IF(Tablekitchen[Promtpay]&lt;&gt;"",_xlfn.IMAGE($B$1&amp;Tablekitchen[Promtpay]&amp;"/"&amp;Tablekitchen[รายได้สุทธิ],"QR Promtpay"),"N/A")</f>
        <v>N/A</v>
      </c>
      <c r="S3" s="172" cm="1">
        <f t="array" ref="S3:S31">Tablekul[ลำดับ]</f>
        <v>1</v>
      </c>
      <c r="T3" s="335" t="str" cm="1">
        <f t="array" ref="T3:T31">Tablekul[ชื่อ-นามสกุล]</f>
        <v xml:space="preserve"> นางสาว ฟารีดา นิแห</v>
      </c>
      <c r="U3" s="174" t="str" cm="1">
        <f t="array" ref="U3:U31">Tablekul[ชื่อเล่น]</f>
        <v>ดา</v>
      </c>
      <c r="V3" s="175" cm="1">
        <f t="array" ref="V3:V31">Tablekul[รายได้สุทธิ]</f>
        <v>19530</v>
      </c>
      <c r="W3" s="172" t="str" cm="1">
        <f t="array" aca="1" ref="W3:W31" ca="1">IF(Tablekul[Promtpay]&lt;&gt;"",_xlfn.IMAGE($B$1&amp;Tablekul[Promtpay]&amp;"/"&amp;Tablekul[รายได้สุทธิ],"QR Promtpay"),"N/A")</f>
        <v>N/A</v>
      </c>
    </row>
    <row r="4" spans="1:23" ht="50.45" customHeight="1" x14ac:dyDescent="0.55000000000000004">
      <c r="A4" s="172">
        <v>2</v>
      </c>
      <c r="B4" s="335" t="str">
        <v xml:space="preserve">ต่วนมีด๊ะ  เสะอุเซ็ง </v>
      </c>
      <c r="C4" s="174" t="str">
        <v>ซันเดย์</v>
      </c>
      <c r="D4" s="175">
        <v>8974</v>
      </c>
      <c r="E4" s="175" t="str">
        <f ca="1"/>
        <v>N/A</v>
      </c>
      <c r="G4" s="172">
        <v>2</v>
      </c>
      <c r="H4" s="173" t="str">
        <v>นาย ชัยชาญ สนธิรอด</v>
      </c>
      <c r="I4" s="174" t="str">
        <v>อั้ม</v>
      </c>
      <c r="J4" s="175">
        <v>41956</v>
      </c>
      <c r="K4" s="176" t="str">
        <f ca="1"/>
        <v>N/A</v>
      </c>
      <c r="L4" s="168" t="str">
        <v>N/A</v>
      </c>
      <c r="M4" s="172">
        <v>3</v>
      </c>
      <c r="N4" s="173" t="str">
        <v>นาย พีรพัฒน์ พรมมนต์</v>
      </c>
      <c r="O4" s="174" t="str">
        <v>เต้</v>
      </c>
      <c r="P4" s="175">
        <v>13722</v>
      </c>
      <c r="Q4" s="176" t="str">
        <f ca="1"/>
        <v>N/A</v>
      </c>
      <c r="S4" s="172">
        <v>2</v>
      </c>
      <c r="T4" s="173" t="str">
        <v>นาย อิบรอเฮง มะแซ</v>
      </c>
      <c r="U4" s="173" t="str">
        <v>จู</v>
      </c>
      <c r="V4" s="191">
        <v>14060</v>
      </c>
      <c r="W4" s="176" t="str">
        <f ca="1"/>
        <v>N/A</v>
      </c>
    </row>
    <row r="5" spans="1:23" ht="50.45" customHeight="1" x14ac:dyDescent="0.55000000000000004">
      <c r="A5" s="172">
        <v>3</v>
      </c>
      <c r="B5" s="335" t="str">
        <v>Channy La</v>
      </c>
      <c r="C5" s="174" t="str">
        <v>น้ำ</v>
      </c>
      <c r="D5" s="175">
        <v>11232</v>
      </c>
      <c r="E5" s="172" t="e" vm="1">
        <f ca="1"/>
        <v>#VALUE!</v>
      </c>
      <c r="G5" s="172">
        <v>3</v>
      </c>
      <c r="H5" s="173" t="str">
        <v xml:space="preserve">Mrs.Vat Loar </v>
      </c>
      <c r="I5" s="174" t="str">
        <v>ป้าน้อย</v>
      </c>
      <c r="J5" s="175">
        <v>11076</v>
      </c>
      <c r="K5" s="176" t="e" vm="2">
        <f ca="1"/>
        <v>#VALUE!</v>
      </c>
      <c r="L5" s="168" t="str">
        <v>https://promptpay.io/0990826695/11076</v>
      </c>
      <c r="M5" s="172">
        <v>4</v>
      </c>
      <c r="N5" s="173" t="str">
        <v>ฟาอีส  นิเฮง</v>
      </c>
      <c r="O5" s="174" t="str">
        <v>อีท</v>
      </c>
      <c r="P5" s="175">
        <v>18124</v>
      </c>
      <c r="Q5" s="176" t="str">
        <f ca="1"/>
        <v>N/A</v>
      </c>
      <c r="S5" s="172">
        <v>3</v>
      </c>
      <c r="T5" s="173" t="str">
        <v>นาย มูฮำหมัดอิกควาล เต๊ะหมะ</v>
      </c>
      <c r="U5" s="173" t="str">
        <v>วัน</v>
      </c>
      <c r="V5" s="191">
        <v>13929</v>
      </c>
      <c r="W5" s="172" t="str">
        <f ca="1"/>
        <v>N/A</v>
      </c>
    </row>
    <row r="6" spans="1:23" ht="50.45" customHeight="1" x14ac:dyDescent="0.55000000000000004">
      <c r="A6" s="172">
        <v>4</v>
      </c>
      <c r="B6" s="335" t="str">
        <v>TAK</v>
      </c>
      <c r="C6" s="174" t="str">
        <v>ตั๊ก</v>
      </c>
      <c r="D6" s="175">
        <v>25899</v>
      </c>
      <c r="E6" s="172" t="e" vm="3">
        <f ca="1"/>
        <v>#VALUE!</v>
      </c>
      <c r="G6" s="172">
        <v>4</v>
      </c>
      <c r="H6" s="173" t="str">
        <v>นาย ปพนพัทธ์ โรจนดารา</v>
      </c>
      <c r="I6" s="174" t="str">
        <v>สแตมป์</v>
      </c>
      <c r="J6" s="175">
        <v>19613</v>
      </c>
      <c r="K6" s="176" t="str">
        <f ca="1"/>
        <v>N/A</v>
      </c>
      <c r="L6" s="168" t="str">
        <v>N/A</v>
      </c>
      <c r="M6" s="172">
        <v>5</v>
      </c>
      <c r="N6" s="173" t="str">
        <v>ฟาตีฮะ  ยีหะมะ</v>
      </c>
      <c r="O6" s="174" t="str">
        <v>ฟา</v>
      </c>
      <c r="P6" s="175">
        <v>8512</v>
      </c>
      <c r="Q6" s="176" t="str">
        <f ca="1"/>
        <v>N/A</v>
      </c>
      <c r="S6" s="172">
        <v>4</v>
      </c>
      <c r="T6" s="173" t="str">
        <v>SIDACHANH PHOMSOUPHA</v>
      </c>
      <c r="U6" s="173" t="str">
        <v>หนูนา</v>
      </c>
      <c r="V6" s="191">
        <v>13468</v>
      </c>
      <c r="W6" s="176" t="e" vm="4">
        <f ca="1"/>
        <v>#VALUE!</v>
      </c>
    </row>
    <row r="7" spans="1:23" ht="50.45" customHeight="1" x14ac:dyDescent="0.55000000000000004">
      <c r="A7" s="172">
        <v>5</v>
      </c>
      <c r="B7" s="336" t="str">
        <v>Sokcheat chhoeurm</v>
      </c>
      <c r="C7" s="172" t="str">
        <v>เจี๊ยบ</v>
      </c>
      <c r="D7" s="172">
        <v>7343</v>
      </c>
      <c r="E7" s="172" t="e" vm="5">
        <f ca="1"/>
        <v>#VALUE!</v>
      </c>
      <c r="F7" s="172"/>
      <c r="G7" s="172">
        <v>5</v>
      </c>
      <c r="H7" s="172" t="str">
        <v>นางสาว คำนัน บุญเพ็ญ</v>
      </c>
      <c r="I7" s="172" t="str">
        <v>นันหญิง</v>
      </c>
      <c r="J7" s="172">
        <v>15833</v>
      </c>
      <c r="K7" s="172" t="str">
        <f ca="1"/>
        <v>N/A</v>
      </c>
      <c r="L7" s="172" t="str">
        <v>N/A</v>
      </c>
      <c r="M7" s="172">
        <v>6</v>
      </c>
      <c r="N7" s="172" t="str">
        <v>เจมมี่ พลพรรคดี Chemmy phonphakdy</v>
      </c>
      <c r="O7" s="172" t="str">
        <v>เจมส์</v>
      </c>
      <c r="P7" s="172">
        <v>3450</v>
      </c>
      <c r="Q7" s="172" t="str">
        <f ca="1"/>
        <v>N/A</v>
      </c>
      <c r="R7" s="172"/>
      <c r="S7" s="172">
        <v>5</v>
      </c>
      <c r="T7" s="172" t="str">
        <v>CHAOCHEK PROEURN</v>
      </c>
      <c r="U7" s="173" t="str">
        <v>เจ็ก</v>
      </c>
      <c r="V7" s="191">
        <v>14250</v>
      </c>
      <c r="W7" s="176" t="e" vm="6">
        <f ca="1"/>
        <v>#VALUE!</v>
      </c>
    </row>
    <row r="8" spans="1:23" ht="50.45" customHeight="1" x14ac:dyDescent="0.55000000000000004">
      <c r="A8" s="172">
        <v>6</v>
      </c>
      <c r="B8" s="335" t="str">
        <v>DAVY LAY</v>
      </c>
      <c r="C8" s="174" t="str">
        <v>ดาวี</v>
      </c>
      <c r="D8" s="175">
        <v>9639</v>
      </c>
      <c r="E8" s="172" t="e" vm="7">
        <f ca="1"/>
        <v>#VALUE!</v>
      </c>
      <c r="G8" s="172">
        <v>6</v>
      </c>
      <c r="H8" s="173" t="str">
        <v>วิภาภรณ์ ประสงค์</v>
      </c>
      <c r="I8" s="174" t="str">
        <v>แอน</v>
      </c>
      <c r="J8" s="175">
        <v>8328</v>
      </c>
      <c r="K8" s="176" t="str">
        <f ca="1"/>
        <v>N/A</v>
      </c>
      <c r="L8" s="168" t="str">
        <v>N/A</v>
      </c>
      <c r="M8" s="148"/>
      <c r="N8" s="178"/>
      <c r="O8" s="179"/>
      <c r="P8" s="149"/>
      <c r="S8" s="176">
        <v>6</v>
      </c>
      <c r="T8" s="177" t="str">
        <v>LAN LATH</v>
      </c>
      <c r="U8" s="177" t="str">
        <v>LAN</v>
      </c>
      <c r="V8" s="192">
        <v>12850</v>
      </c>
      <c r="W8" s="176" t="e" vm="8">
        <f ca="1"/>
        <v>#VALUE!</v>
      </c>
    </row>
    <row r="9" spans="1:23" ht="50.45" customHeight="1" x14ac:dyDescent="0.55000000000000004">
      <c r="A9" s="172">
        <v>7</v>
      </c>
      <c r="B9" s="335" t="str">
        <v>นางสาว จิราภา มั่งมีทรัพย์</v>
      </c>
      <c r="C9" s="174" t="str">
        <v xml:space="preserve"> แนท</v>
      </c>
      <c r="D9" s="175">
        <v>15158</v>
      </c>
      <c r="E9" s="172" t="str">
        <f ca="1"/>
        <v>N/A</v>
      </c>
      <c r="G9" s="172">
        <v>7</v>
      </c>
      <c r="H9" s="173" t="str">
        <v xml:space="preserve">YE KHANT KO KO </v>
      </c>
      <c r="I9" s="174" t="str">
        <v>ตะวัน</v>
      </c>
      <c r="J9" s="175">
        <v>17846</v>
      </c>
      <c r="K9" s="176" t="str">
        <f ca="1"/>
        <v>N/A</v>
      </c>
      <c r="L9" s="168" t="str">
        <v>N/A</v>
      </c>
      <c r="M9" s="148"/>
      <c r="N9" s="178"/>
      <c r="O9" s="179"/>
      <c r="P9" s="149"/>
      <c r="S9" s="176">
        <v>7</v>
      </c>
      <c r="T9" s="177" t="str">
        <v>Che ta la</v>
      </c>
      <c r="U9" s="177" t="str">
        <v>จิตา</v>
      </c>
      <c r="V9" s="192">
        <v>9854</v>
      </c>
      <c r="W9" s="176" t="e" vm="9">
        <f ca="1"/>
        <v>#VALUE!</v>
      </c>
    </row>
    <row r="10" spans="1:23" ht="50.45" customHeight="1" x14ac:dyDescent="0.55000000000000004">
      <c r="A10" s="172">
        <v>8</v>
      </c>
      <c r="B10" s="335" t="str">
        <v>Leng Sitra</v>
      </c>
      <c r="C10" s="174" t="str">
        <v>พิมพ์</v>
      </c>
      <c r="D10" s="175">
        <v>3939</v>
      </c>
      <c r="E10" s="148" t="e" vm="10">
        <f ca="1"/>
        <v>#VALUE!</v>
      </c>
      <c r="G10" s="172">
        <v>8</v>
      </c>
      <c r="H10" s="173" t="str">
        <v xml:space="preserve"> SAW DIT MIKE MIKE </v>
      </c>
      <c r="I10" s="174" t="str">
        <v>ไม้</v>
      </c>
      <c r="J10" s="175">
        <v>13546</v>
      </c>
      <c r="K10" s="176" t="e" vm="11">
        <f ca="1"/>
        <v>#VALUE!</v>
      </c>
      <c r="L10" s="168" t="str">
        <v>https://promptpay.io/0642036364/13546</v>
      </c>
      <c r="M10" s="148"/>
      <c r="N10" s="178"/>
      <c r="O10" s="179"/>
      <c r="P10" s="149"/>
      <c r="S10" s="176">
        <v>8</v>
      </c>
      <c r="T10" s="177" t="str">
        <v>Mi Kommaly Vongphila</v>
      </c>
      <c r="U10" s="177" t="str">
        <v>กลม</v>
      </c>
      <c r="V10" s="192">
        <v>9828</v>
      </c>
      <c r="W10" s="176" t="e" vm="12">
        <f ca="1"/>
        <v>#VALUE!</v>
      </c>
    </row>
    <row r="11" spans="1:23" ht="50.45" customHeight="1" x14ac:dyDescent="0.55000000000000004">
      <c r="A11" s="172">
        <v>9</v>
      </c>
      <c r="B11" s="335" t="str">
        <v>ชานน ไชยะสาน (Chanon Chaisan) nam xayyasane</v>
      </c>
      <c r="C11" s="174" t="str">
        <v>ต่าย</v>
      </c>
      <c r="D11" s="175">
        <v>11931</v>
      </c>
      <c r="E11" s="172" t="str">
        <f ca="1"/>
        <v>N/A</v>
      </c>
      <c r="G11" s="172">
        <v>9</v>
      </c>
      <c r="H11" s="173" t="str">
        <v>ฮานาฟี เจะโดง</v>
      </c>
      <c r="I11" s="174" t="str">
        <v>ฟี</v>
      </c>
      <c r="J11" s="175">
        <v>14785</v>
      </c>
      <c r="K11" s="176" t="str">
        <f ca="1"/>
        <v>N/A</v>
      </c>
      <c r="L11" s="168" t="str">
        <v>N/A</v>
      </c>
      <c r="M11" s="148"/>
      <c r="N11" s="178"/>
      <c r="O11" s="179"/>
      <c r="P11" s="149"/>
      <c r="S11" s="176">
        <v>9</v>
      </c>
      <c r="T11" s="177" t="str">
        <v>มูฮัมหมัด นิโซะ</v>
      </c>
      <c r="U11" s="177" t="str">
        <v>มะ</v>
      </c>
      <c r="V11" s="192">
        <v>8357</v>
      </c>
      <c r="W11" s="176" t="str">
        <f ca="1"/>
        <v>N/A</v>
      </c>
    </row>
    <row r="12" spans="1:23" ht="50.45" customHeight="1" x14ac:dyDescent="0.55000000000000004">
      <c r="A12" s="172">
        <v>10</v>
      </c>
      <c r="B12" s="335" t="str">
        <v>นาย เมธาวี ทัศน์จันดา</v>
      </c>
      <c r="C12" s="174" t="str">
        <v>แม็ก</v>
      </c>
      <c r="D12" s="175">
        <v>19472</v>
      </c>
      <c r="E12" s="172" t="str">
        <f ca="1"/>
        <v>N/A</v>
      </c>
      <c r="G12" s="172">
        <v>10</v>
      </c>
      <c r="H12" s="173" t="str">
        <v>ธีรเดช​ แสงวิไร</v>
      </c>
      <c r="I12" s="174" t="str">
        <v>แจ็ค</v>
      </c>
      <c r="J12" s="175">
        <v>17435</v>
      </c>
      <c r="K12" s="176" t="e" vm="13">
        <f ca="1"/>
        <v>#VALUE!</v>
      </c>
      <c r="L12" s="168" t="str">
        <v>https://promptpay.io/0825849199/17435</v>
      </c>
      <c r="M12" s="148"/>
      <c r="N12" s="178"/>
      <c r="O12" s="179"/>
      <c r="P12" s="149"/>
      <c r="S12" s="176">
        <v>10</v>
      </c>
      <c r="T12" s="177" t="str">
        <v>มาหามะชารีฟ นาแว</v>
      </c>
      <c r="U12" s="177" t="str">
        <v>ชารีฟ</v>
      </c>
      <c r="V12" s="192">
        <v>12544</v>
      </c>
      <c r="W12" s="176" t="str">
        <f ca="1"/>
        <v>N/A</v>
      </c>
    </row>
    <row r="13" spans="1:23" ht="50.45" customHeight="1" x14ac:dyDescent="0.55000000000000004">
      <c r="A13" s="172">
        <v>11</v>
      </c>
      <c r="B13" s="335" t="str">
        <v>ราเชนทร์ วุฒิวงศ์</v>
      </c>
      <c r="C13" s="174" t="str">
        <v>เซน</v>
      </c>
      <c r="D13" s="175">
        <v>16376</v>
      </c>
      <c r="E13" s="172" t="str">
        <f ca="1"/>
        <v>N/A</v>
      </c>
      <c r="G13" s="172">
        <v>11</v>
      </c>
      <c r="H13" s="173" t="str">
        <v xml:space="preserve"> ไพลิน</v>
      </c>
      <c r="I13" s="174" t="str">
        <v>บีม</v>
      </c>
      <c r="J13" s="175">
        <v>9099</v>
      </c>
      <c r="K13" s="176" t="str">
        <f ca="1"/>
        <v>N/A</v>
      </c>
      <c r="L13" s="168" t="str">
        <v>N/A</v>
      </c>
      <c r="M13" s="148"/>
      <c r="N13" s="178"/>
      <c r="O13" s="179"/>
      <c r="P13" s="149"/>
      <c r="S13" s="176">
        <v>11</v>
      </c>
      <c r="T13" s="177" t="str">
        <v>พตีเมาะ  ลีมาดาอิ</v>
      </c>
      <c r="U13" s="177" t="str">
        <v>กะมี</v>
      </c>
      <c r="V13" s="192">
        <v>10661</v>
      </c>
      <c r="W13" s="176" t="str">
        <f ca="1"/>
        <v>N/A</v>
      </c>
    </row>
    <row r="14" spans="1:23" ht="50.45" customHeight="1" x14ac:dyDescent="0.55000000000000004">
      <c r="A14" s="172">
        <v>12</v>
      </c>
      <c r="B14" s="335" t="str">
        <v>อับดุลเลาะห์ อาแว</v>
      </c>
      <c r="C14" s="174" t="str">
        <v>บังเลาะ</v>
      </c>
      <c r="D14" s="175">
        <v>11273</v>
      </c>
      <c r="E14" s="172" t="str">
        <f ca="1"/>
        <v>N/A</v>
      </c>
      <c r="G14" s="172">
        <v>12</v>
      </c>
      <c r="H14" s="173" t="str">
        <v>เชษฐ์ฐา ประสงค์</v>
      </c>
      <c r="I14" s="174" t="str">
        <v>โอ</v>
      </c>
      <c r="J14" s="175">
        <v>6846</v>
      </c>
      <c r="K14" s="175" t="str">
        <f ca="1"/>
        <v>N/A</v>
      </c>
      <c r="L14" s="168" t="str">
        <v>N/A</v>
      </c>
      <c r="M14" s="148"/>
      <c r="N14" s="178"/>
      <c r="O14" s="179"/>
      <c r="P14" s="149"/>
      <c r="S14" s="176">
        <v>12</v>
      </c>
      <c r="T14" s="177" t="str">
        <v>Pou Chanthalath</v>
      </c>
      <c r="U14" s="177" t="str">
        <v>ปู</v>
      </c>
      <c r="V14" s="192">
        <v>8100</v>
      </c>
      <c r="W14" s="176" t="e" vm="14">
        <f ca="1"/>
        <v>#VALUE!</v>
      </c>
    </row>
    <row r="15" spans="1:23" ht="50.45" customHeight="1" x14ac:dyDescent="0.55000000000000004">
      <c r="A15" s="172">
        <v>13</v>
      </c>
      <c r="B15" s="335" t="str">
        <v>Kyaw Ye Htut</v>
      </c>
      <c r="C15" s="174" t="str">
        <v>เมาเล่</v>
      </c>
      <c r="D15" s="175">
        <v>12831</v>
      </c>
      <c r="E15" s="172" t="str">
        <f ca="1"/>
        <v>N/A</v>
      </c>
      <c r="G15" s="172">
        <v>13</v>
      </c>
      <c r="H15" s="173" t="str">
        <v>KEOVILAVONG SUNTISOUK</v>
      </c>
      <c r="I15" s="174" t="str">
        <v>เว่น</v>
      </c>
      <c r="J15" s="175">
        <v>3985</v>
      </c>
      <c r="K15" s="176" t="str">
        <f ca="1"/>
        <v>N/A</v>
      </c>
      <c r="L15" s="168" t="str">
        <v>N/A</v>
      </c>
      <c r="M15" s="148"/>
      <c r="N15" s="178"/>
      <c r="O15" s="179"/>
      <c r="P15" s="149"/>
      <c r="S15" s="176">
        <v>13</v>
      </c>
      <c r="T15" s="177" t="str">
        <v>Nan Maaye</v>
      </c>
      <c r="U15" s="177" t="str">
        <v>ไข่</v>
      </c>
      <c r="V15" s="192">
        <v>8050</v>
      </c>
      <c r="W15" s="176" t="e" vm="15">
        <f ca="1"/>
        <v>#VALUE!</v>
      </c>
    </row>
    <row r="16" spans="1:23" ht="50.45" customHeight="1" x14ac:dyDescent="0.55000000000000004">
      <c r="A16" s="172">
        <v>14</v>
      </c>
      <c r="B16" s="335" t="str">
        <v>Somean Phen</v>
      </c>
      <c r="C16" s="174" t="str">
        <v>นนท์</v>
      </c>
      <c r="D16" s="175">
        <v>12749</v>
      </c>
      <c r="E16" s="172" t="e" vm="16">
        <f ca="1"/>
        <v>#VALUE!</v>
      </c>
      <c r="G16" s="172">
        <v>14</v>
      </c>
      <c r="H16" s="173" t="str">
        <v>อาทิตย์  พรมเย็น</v>
      </c>
      <c r="I16" s="174" t="str">
        <v>บอส</v>
      </c>
      <c r="J16" s="175">
        <v>10292</v>
      </c>
      <c r="K16" s="176" t="e" vm="17">
        <f ca="1"/>
        <v>#VALUE!</v>
      </c>
      <c r="L16" s="168" t="str">
        <v>https://promptpay.io/0955349372/10292</v>
      </c>
      <c r="M16" s="148"/>
      <c r="N16" s="178"/>
      <c r="O16" s="179"/>
      <c r="P16" s="149"/>
      <c r="S16" s="176">
        <v>14</v>
      </c>
      <c r="T16" s="177" t="str">
        <v>Loun Xyyade</v>
      </c>
      <c r="U16" s="177" t="str">
        <v>อรุณ</v>
      </c>
      <c r="V16" s="192">
        <v>13700</v>
      </c>
      <c r="W16" s="176" t="e" vm="18">
        <f ca="1"/>
        <v>#VALUE!</v>
      </c>
    </row>
    <row r="17" spans="1:23" ht="50.45" customHeight="1" x14ac:dyDescent="0.55000000000000004">
      <c r="A17" s="172">
        <v>15</v>
      </c>
      <c r="B17" s="335" t="str">
        <v>เอกกวิน นุรักษ์ดีศรี</v>
      </c>
      <c r="C17" s="174" t="str">
        <v>ไอซ์น้องใหม่</v>
      </c>
      <c r="D17" s="175">
        <v>10412</v>
      </c>
      <c r="E17" s="172" t="e" vm="19">
        <f ca="1"/>
        <v>#VALUE!</v>
      </c>
      <c r="G17" s="172">
        <v>15</v>
      </c>
      <c r="H17" s="173" t="str">
        <v>พันมะหา พรมสุภา</v>
      </c>
      <c r="I17" s="174" t="str">
        <v>กีกี้</v>
      </c>
      <c r="J17" s="175">
        <v>3500</v>
      </c>
      <c r="K17" s="176" t="str">
        <f ca="1"/>
        <v>N/A</v>
      </c>
      <c r="L17" s="168" t="str">
        <v>N/A</v>
      </c>
      <c r="M17" s="148"/>
      <c r="N17" s="178"/>
      <c r="O17" s="179"/>
      <c r="P17" s="149"/>
      <c r="S17" s="170">
        <v>15</v>
      </c>
      <c r="T17" s="168" t="str">
        <v>Aung Thu</v>
      </c>
      <c r="U17" s="168" t="str">
        <v>ซูน</v>
      </c>
      <c r="V17" s="170">
        <v>5394</v>
      </c>
      <c r="W17" s="170" t="str">
        <f ca="1"/>
        <v>N/A</v>
      </c>
    </row>
    <row r="18" spans="1:23" ht="50.45" customHeight="1" x14ac:dyDescent="0.55000000000000004">
      <c r="A18" s="172">
        <v>16</v>
      </c>
      <c r="B18" s="335" t="str">
        <v>ภานุพล ทาลี</v>
      </c>
      <c r="C18" s="174" t="str">
        <v>กั๊ก</v>
      </c>
      <c r="D18" s="175">
        <v>15954</v>
      </c>
      <c r="E18" s="172" t="e" vm="20">
        <f ca="1"/>
        <v>#VALUE!</v>
      </c>
      <c r="G18" s="172">
        <v>16</v>
      </c>
      <c r="H18" s="173" t="str">
        <v>น.ส.เพ็ญนภา ใจฉ่ำ</v>
      </c>
      <c r="I18" s="174" t="str">
        <v>เฟิร์น</v>
      </c>
      <c r="J18" s="175">
        <v>7078</v>
      </c>
      <c r="K18" s="176" t="str">
        <f ca="1"/>
        <v>N/A</v>
      </c>
      <c r="L18" s="168" t="str">
        <v>N/A</v>
      </c>
      <c r="M18" s="148"/>
      <c r="N18" s="178"/>
      <c r="O18" s="179"/>
      <c r="P18" s="149"/>
      <c r="S18" s="170">
        <v>16</v>
      </c>
      <c r="T18" s="168" t="str">
        <v>พาราวาฮีมา มะลี</v>
      </c>
      <c r="U18" s="168" t="str">
        <v>ฟาร่า</v>
      </c>
      <c r="V18" s="170">
        <v>3156</v>
      </c>
      <c r="W18" s="170" t="e" vm="21">
        <f ca="1"/>
        <v>#VALUE!</v>
      </c>
    </row>
    <row r="19" spans="1:23" ht="50.45" customHeight="1" x14ac:dyDescent="0.55000000000000004">
      <c r="A19" s="172">
        <v>17</v>
      </c>
      <c r="B19" s="335" t="str">
        <v>สุธาสินี สาทอง</v>
      </c>
      <c r="C19" s="174" t="str">
        <v>หนิง</v>
      </c>
      <c r="D19" s="175">
        <v>11478</v>
      </c>
      <c r="E19" s="172" t="e" vm="22">
        <f ca="1"/>
        <v>#VALUE!</v>
      </c>
      <c r="G19" s="172">
        <v>17</v>
      </c>
      <c r="H19" s="173" t="str">
        <v>มณีวรรณ</v>
      </c>
      <c r="I19" s="174" t="str">
        <v>มายด์</v>
      </c>
      <c r="J19" s="175">
        <v>10650</v>
      </c>
      <c r="K19" s="176" t="str">
        <f ca="1"/>
        <v>N/A</v>
      </c>
      <c r="L19" s="168" t="str">
        <v>N/A</v>
      </c>
      <c r="M19" s="148"/>
      <c r="N19" s="178"/>
      <c r="O19" s="179"/>
      <c r="P19" s="149"/>
      <c r="S19" s="170">
        <v>17</v>
      </c>
      <c r="T19" s="168" t="str">
        <v>Nway Mar</v>
      </c>
      <c r="U19" s="168" t="str">
        <v>หนุ่ย</v>
      </c>
      <c r="V19" s="170">
        <v>4725</v>
      </c>
      <c r="W19" s="170" t="str">
        <f ca="1"/>
        <v>N/A</v>
      </c>
    </row>
    <row r="20" spans="1:23" ht="50.45" customHeight="1" x14ac:dyDescent="0.55000000000000004">
      <c r="A20" s="172">
        <v>18</v>
      </c>
      <c r="B20" s="335" t="str">
        <v>มยุฤดี ภู่ทอง</v>
      </c>
      <c r="C20" s="174" t="str">
        <v>นก</v>
      </c>
      <c r="D20" s="175">
        <v>14484</v>
      </c>
      <c r="E20" s="172" t="str">
        <f ca="1"/>
        <v>N/A</v>
      </c>
      <c r="G20" s="172">
        <v>18</v>
      </c>
      <c r="H20" s="173" t="str">
        <v>กฤษณา สีพรมมา (pitsana siphomma)</v>
      </c>
      <c r="I20" s="174" t="str">
        <v>กิจ</v>
      </c>
      <c r="J20" s="175">
        <v>10855</v>
      </c>
      <c r="K20" s="176" t="str">
        <f ca="1"/>
        <v>N/A</v>
      </c>
      <c r="L20" s="168" t="str">
        <v>N/A</v>
      </c>
      <c r="M20" s="148"/>
      <c r="N20" s="178"/>
      <c r="O20" s="179"/>
      <c r="P20" s="149"/>
      <c r="S20" s="170">
        <v>18</v>
      </c>
      <c r="T20" s="168" t="str">
        <v>Saw Lar</v>
      </c>
      <c r="U20" s="168" t="str">
        <v>ลับ</v>
      </c>
      <c r="V20" s="170">
        <v>10400</v>
      </c>
      <c r="W20" s="170" t="str">
        <f ca="1"/>
        <v>N/A</v>
      </c>
    </row>
    <row r="21" spans="1:23" ht="50.45" customHeight="1" x14ac:dyDescent="0.55000000000000004">
      <c r="A21" s="172">
        <v>19</v>
      </c>
      <c r="B21" s="335" t="str">
        <v>สุขสัตน์ ระยับ</v>
      </c>
      <c r="C21" s="174" t="str">
        <v>นิค</v>
      </c>
      <c r="D21" s="175">
        <v>9056</v>
      </c>
      <c r="E21" s="172" t="str">
        <f ca="1"/>
        <v>N/A</v>
      </c>
      <c r="G21" s="172">
        <v>19</v>
      </c>
      <c r="H21" s="173" t="str">
        <v>อริศรา สวัสดิชัย</v>
      </c>
      <c r="I21" s="174" t="str">
        <v>นีม</v>
      </c>
      <c r="J21" s="175">
        <v>9400</v>
      </c>
      <c r="K21" s="176" t="str">
        <f ca="1"/>
        <v>N/A</v>
      </c>
      <c r="L21" s="168" t="str">
        <v>N/A</v>
      </c>
      <c r="M21" s="148"/>
      <c r="N21" s="178"/>
      <c r="O21" s="179"/>
      <c r="P21" s="149"/>
      <c r="S21" s="170">
        <v>19</v>
      </c>
      <c r="T21" s="168" t="str">
        <v>พันธกานต์  สืบสุนการ</v>
      </c>
      <c r="U21" s="168" t="str">
        <v>ออย</v>
      </c>
      <c r="V21" s="170">
        <v>15333</v>
      </c>
      <c r="W21" s="170" t="e" vm="23">
        <f ca="1"/>
        <v>#VALUE!</v>
      </c>
    </row>
    <row r="22" spans="1:23" ht="50.45" customHeight="1" x14ac:dyDescent="0.55000000000000004">
      <c r="A22" s="172">
        <v>20</v>
      </c>
      <c r="B22" s="335" t="str">
        <v>ดวงกมล แก้วอุดร</v>
      </c>
      <c r="C22" s="174" t="str">
        <v>แนน</v>
      </c>
      <c r="D22" s="175">
        <v>9675</v>
      </c>
      <c r="E22" s="172" t="e" vm="24">
        <f ca="1"/>
        <v>#VALUE!</v>
      </c>
      <c r="G22" s="172">
        <v>20</v>
      </c>
      <c r="H22" s="173" t="str">
        <v>สุชาติ</v>
      </c>
      <c r="I22" s="174" t="str">
        <v>ชาติ</v>
      </c>
      <c r="J22" s="175">
        <v>13850</v>
      </c>
      <c r="K22" s="176" t="e" vm="25">
        <f ca="1"/>
        <v>#VALUE!</v>
      </c>
      <c r="L22" s="168" t="str">
        <v>https://promptpay.io/0630689101761/13850</v>
      </c>
      <c r="M22" s="148"/>
      <c r="N22" s="178"/>
      <c r="O22" s="179"/>
      <c r="P22" s="149"/>
      <c r="S22" s="170">
        <v>20</v>
      </c>
      <c r="T22" s="168" t="str">
        <v>สมเกียรติ  ยังเยี่ยม</v>
      </c>
      <c r="U22" s="168" t="str">
        <v>ฟ้า</v>
      </c>
      <c r="V22" s="170">
        <v>6750</v>
      </c>
      <c r="W22" s="170" t="e" vm="26">
        <f ca="1"/>
        <v>#VALUE!</v>
      </c>
    </row>
    <row r="23" spans="1:23" ht="50.45" customHeight="1" x14ac:dyDescent="0.55000000000000004">
      <c r="A23" s="172">
        <v>21</v>
      </c>
      <c r="B23" s="335" t="str">
        <v>รุ่งทวี ศรีงาม</v>
      </c>
      <c r="C23" s="174" t="str">
        <v>อัสริ</v>
      </c>
      <c r="D23" s="175">
        <v>11373</v>
      </c>
      <c r="E23" s="172" t="e" vm="27">
        <f ca="1"/>
        <v>#VALUE!</v>
      </c>
      <c r="G23" s="172">
        <v>21</v>
      </c>
      <c r="H23" s="173" t="str">
        <v>โจอี้บอย มนพักดี</v>
      </c>
      <c r="I23" s="174" t="str">
        <v>โจ</v>
      </c>
      <c r="J23" s="175">
        <v>11755</v>
      </c>
      <c r="K23" s="176" t="str">
        <f ca="1"/>
        <v>N/A</v>
      </c>
      <c r="L23" s="168" t="str">
        <v>N/A</v>
      </c>
      <c r="M23" s="148"/>
      <c r="N23" s="178"/>
      <c r="O23" s="179"/>
      <c r="P23" s="149"/>
      <c r="S23" s="170">
        <v>21</v>
      </c>
      <c r="T23" s="168" t="str">
        <v>นาย ซุกรี แดเบาะ</v>
      </c>
      <c r="U23" s="168" t="str">
        <v>กรี</v>
      </c>
      <c r="V23" s="170">
        <v>19885</v>
      </c>
      <c r="W23" s="170" t="str">
        <f ca="1"/>
        <v>N/A</v>
      </c>
    </row>
    <row r="24" spans="1:23" ht="50.45" customHeight="1" x14ac:dyDescent="0.55000000000000004">
      <c r="A24" s="172">
        <v>22</v>
      </c>
      <c r="B24" s="335" t="str">
        <v>ทิพย์ธิดา ลังบุบผา</v>
      </c>
      <c r="C24" s="174" t="str">
        <v>ทิพย์</v>
      </c>
      <c r="D24" s="175">
        <v>5674</v>
      </c>
      <c r="E24" s="172" t="str">
        <f ca="1"/>
        <v>N/A</v>
      </c>
      <c r="G24" s="172">
        <v>22</v>
      </c>
      <c r="H24" s="173" t="str">
        <v>เอมฤดี สมรักษ์</v>
      </c>
      <c r="I24" s="174" t="str">
        <v>เอมมี่</v>
      </c>
      <c r="J24" s="175">
        <v>6958</v>
      </c>
      <c r="K24" s="176" t="str">
        <f ca="1"/>
        <v>N/A</v>
      </c>
      <c r="L24" s="168" t="str">
        <v>N/A</v>
      </c>
      <c r="M24" s="148"/>
      <c r="N24" s="178"/>
      <c r="O24" s="179"/>
      <c r="P24" s="149"/>
      <c r="S24" s="170">
        <v>22</v>
      </c>
      <c r="T24" s="168" t="str">
        <v>วราภรณ์  โดต่อเนตร</v>
      </c>
      <c r="U24" s="168" t="str">
        <v>อุ๋มอิ๋ม</v>
      </c>
      <c r="V24" s="170">
        <v>11800</v>
      </c>
      <c r="W24" s="170" t="e" vm="28">
        <f ca="1"/>
        <v>#VALUE!</v>
      </c>
    </row>
    <row r="25" spans="1:23" ht="50.45" customHeight="1" x14ac:dyDescent="0.55000000000000004">
      <c r="A25" s="172">
        <v>23</v>
      </c>
      <c r="B25" s="335" t="str">
        <v>ปานทอง อิงพามิด Panthong Vongphanith</v>
      </c>
      <c r="C25" s="174" t="str">
        <v>ปาน</v>
      </c>
      <c r="D25" s="175">
        <v>11950</v>
      </c>
      <c r="E25" s="172" t="str">
        <f ca="1"/>
        <v>N/A</v>
      </c>
      <c r="G25" s="172">
        <v>23</v>
      </c>
      <c r="H25" s="173" t="str">
        <v>สหรัฐ มิ่งแม้น</v>
      </c>
      <c r="I25" s="174" t="str">
        <v>เก้า</v>
      </c>
      <c r="J25" s="175">
        <v>4800</v>
      </c>
      <c r="K25" s="176" t="e" vm="29">
        <f ca="1"/>
        <v>#VALUE!</v>
      </c>
      <c r="L25" s="168" t="str">
        <v>https://promptpay.io/0980948135/4800</v>
      </c>
      <c r="M25" s="148"/>
      <c r="N25" s="178"/>
      <c r="O25" s="179"/>
      <c r="P25" s="149"/>
      <c r="S25" s="170">
        <v>23</v>
      </c>
      <c r="T25" s="168" t="str">
        <v>Sein Than</v>
      </c>
      <c r="U25" s="168" t="str">
        <v>ดอน</v>
      </c>
      <c r="V25" s="170">
        <v>7560</v>
      </c>
      <c r="W25" s="170" t="str">
        <f ca="1"/>
        <v>N/A</v>
      </c>
    </row>
    <row r="26" spans="1:23" ht="50.45" customHeight="1" x14ac:dyDescent="0.55000000000000004">
      <c r="A26" s="172">
        <v>24</v>
      </c>
      <c r="B26" s="335" t="str">
        <v>เซยา ลิน</v>
      </c>
      <c r="C26" s="174" t="str">
        <v>ยาย่า</v>
      </c>
      <c r="D26" s="175">
        <v>11100</v>
      </c>
      <c r="E26" s="172" t="e" vm="30">
        <f ca="1"/>
        <v>#VALUE!</v>
      </c>
      <c r="G26" s="172">
        <v>24</v>
      </c>
      <c r="H26" s="173" t="str">
        <v>น่อพอพะ</v>
      </c>
      <c r="I26" s="174" t="str">
        <v>เฟริ์น</v>
      </c>
      <c r="J26" s="175">
        <v>14325</v>
      </c>
      <c r="K26" s="176" t="e" vm="31">
        <f ca="1"/>
        <v>#VALUE!</v>
      </c>
      <c r="L26" s="168" t="str">
        <v>https://promptpay.io/0630789048056/14325</v>
      </c>
      <c r="M26" s="148"/>
      <c r="N26" s="178"/>
      <c r="O26" s="179"/>
      <c r="P26" s="149"/>
      <c r="S26" s="170">
        <v>24</v>
      </c>
      <c r="T26" s="168" t="str">
        <v>ธนากร  เลืองนุกูล</v>
      </c>
      <c r="U26" s="168" t="str">
        <v>บอล</v>
      </c>
      <c r="V26" s="170">
        <v>14867</v>
      </c>
      <c r="W26" s="170" t="e" vm="32">
        <f ca="1"/>
        <v>#VALUE!</v>
      </c>
    </row>
    <row r="27" spans="1:23" ht="50.45" customHeight="1" x14ac:dyDescent="0.55000000000000004">
      <c r="A27" s="172">
        <v>25</v>
      </c>
      <c r="B27" s="335" t="str">
        <v>Thiha Naing</v>
      </c>
      <c r="C27" s="174" t="str">
        <v>นาย</v>
      </c>
      <c r="D27" s="175">
        <v>9300</v>
      </c>
      <c r="E27" s="172" t="e" vm="33">
        <f ca="1"/>
        <v>#VALUE!</v>
      </c>
      <c r="G27" s="172">
        <v>25</v>
      </c>
      <c r="H27" s="173" t="str">
        <v>ศิริพงษ์  พยุงวงษ์</v>
      </c>
      <c r="I27" s="174" t="str">
        <v>ฮีม</v>
      </c>
      <c r="J27" s="175">
        <v>8625</v>
      </c>
      <c r="K27" s="176" t="str">
        <f ca="1"/>
        <v>N/A</v>
      </c>
      <c r="L27" s="168" t="str">
        <v>N/A</v>
      </c>
      <c r="M27" s="148"/>
      <c r="N27" s="178"/>
      <c r="O27" s="179"/>
      <c r="P27" s="149"/>
      <c r="S27" s="170">
        <v>25</v>
      </c>
      <c r="T27" s="168" t="str">
        <v>Nan Shan ma lay</v>
      </c>
      <c r="U27" s="168" t="str">
        <v>มาเลย์</v>
      </c>
      <c r="V27" s="170">
        <v>10206</v>
      </c>
      <c r="W27" s="170" t="e" vm="34">
        <f ca="1"/>
        <v>#VALUE!</v>
      </c>
    </row>
    <row r="28" spans="1:23" ht="50.45" customHeight="1" x14ac:dyDescent="0.55000000000000004">
      <c r="A28" s="172">
        <v>26</v>
      </c>
      <c r="B28" s="335" t="str">
        <v>สุจิตรา  เพียรมานะ</v>
      </c>
      <c r="C28" s="174" t="str">
        <v>นิไม</v>
      </c>
      <c r="D28" s="175">
        <v>16816</v>
      </c>
      <c r="E28" s="172" t="str">
        <f ca="1"/>
        <v>N/A</v>
      </c>
      <c r="G28" s="172">
        <v>26</v>
      </c>
      <c r="H28" s="173" t="str">
        <v>เศรษฐิโชค เฮ้าประมงค์</v>
      </c>
      <c r="I28" s="174" t="str">
        <v>ปาร์ค</v>
      </c>
      <c r="J28" s="175">
        <v>12536</v>
      </c>
      <c r="K28" s="176" t="e" vm="35">
        <f ca="1"/>
        <v>#VALUE!</v>
      </c>
      <c r="L28" s="168" t="str">
        <v>https://promptpay.io/0987343018/12536</v>
      </c>
      <c r="M28" s="148"/>
      <c r="N28" s="178"/>
      <c r="O28" s="179"/>
      <c r="P28" s="149"/>
      <c r="S28" s="170">
        <v>26</v>
      </c>
      <c r="T28" s="168" t="str">
        <v>ดาววัน</v>
      </c>
      <c r="U28" s="168" t="str">
        <v>ชมพู่</v>
      </c>
      <c r="V28" s="170">
        <v>11300</v>
      </c>
      <c r="W28" s="170" t="e" vm="36">
        <f ca="1"/>
        <v>#VALUE!</v>
      </c>
    </row>
    <row r="29" spans="1:23" ht="50.45" customHeight="1" x14ac:dyDescent="0.55000000000000004">
      <c r="A29" s="172">
        <v>27</v>
      </c>
      <c r="B29" s="335" t="str">
        <v>ปลายฟ้า  นิรันสุข</v>
      </c>
      <c r="C29" s="174" t="str">
        <v>ฟ้า</v>
      </c>
      <c r="D29" s="175">
        <v>9313</v>
      </c>
      <c r="E29" s="172" t="e" vm="37">
        <f ca="1"/>
        <v>#VALUE!</v>
      </c>
      <c r="G29" s="172">
        <v>27</v>
      </c>
      <c r="H29" s="173" t="str">
        <v>น.ส นภัส เนตรสว่าง</v>
      </c>
      <c r="I29" s="174" t="str">
        <v>ฟ้า</v>
      </c>
      <c r="J29" s="175">
        <v>13575</v>
      </c>
      <c r="K29" s="176" t="str">
        <f ca="1"/>
        <v>N/A</v>
      </c>
      <c r="L29" s="168" t="str">
        <v>N/A</v>
      </c>
      <c r="M29" s="148"/>
      <c r="N29" s="178"/>
      <c r="O29" s="179"/>
      <c r="P29" s="149"/>
      <c r="S29" s="170">
        <v>27</v>
      </c>
      <c r="T29" s="168" t="str">
        <v>Thet chit Soe</v>
      </c>
      <c r="U29" s="168" t="str">
        <v>โซ</v>
      </c>
      <c r="V29" s="170">
        <v>13800</v>
      </c>
      <c r="W29" s="170" t="e" vm="34">
        <f ca="1"/>
        <v>#VALUE!</v>
      </c>
    </row>
    <row r="30" spans="1:23" ht="50.45" customHeight="1" x14ac:dyDescent="0.55000000000000004">
      <c r="A30" s="172">
        <v>28</v>
      </c>
      <c r="B30" s="335" t="str">
        <v>พลอยนภา  เจริญรัตน์</v>
      </c>
      <c r="C30" s="174" t="str">
        <v>พลอย</v>
      </c>
      <c r="D30" s="175">
        <v>7750</v>
      </c>
      <c r="E30" s="172" t="e" vm="38">
        <f ca="1"/>
        <v>#VALUE!</v>
      </c>
      <c r="G30" s="172">
        <v>28</v>
      </c>
      <c r="H30" s="342" t="str">
        <v xml:space="preserve">Phetvilaisin NETHMANYSONE </v>
      </c>
      <c r="I30" s="174" t="str">
        <v>สิงห์</v>
      </c>
      <c r="J30" s="175">
        <v>14125</v>
      </c>
      <c r="K30" s="176" t="e" vm="39">
        <f ca="1"/>
        <v>#VALUE!</v>
      </c>
      <c r="L30" s="168" t="str">
        <v>https://promptpay.io/0824728676/14125</v>
      </c>
      <c r="M30" s="148"/>
      <c r="N30" s="178"/>
      <c r="O30" s="179"/>
      <c r="P30" s="149"/>
      <c r="S30" s="170">
        <v>28</v>
      </c>
      <c r="T30" s="168" t="str">
        <v>Amkha Phimphaka</v>
      </c>
      <c r="U30" s="168" t="str">
        <v>ใต้หล้า</v>
      </c>
      <c r="V30" s="170">
        <v>8600</v>
      </c>
      <c r="W30" s="170" t="e" vm="40">
        <f ca="1"/>
        <v>#VALUE!</v>
      </c>
    </row>
    <row r="31" spans="1:23" ht="50.45" customHeight="1" x14ac:dyDescent="0.55000000000000004">
      <c r="A31" s="172">
        <v>29</v>
      </c>
      <c r="B31" s="335" t="str">
        <v>Nan Su Su Nyein</v>
      </c>
      <c r="C31" s="174" t="str">
        <v>บี</v>
      </c>
      <c r="D31" s="175">
        <v>13050</v>
      </c>
      <c r="E31" s="172" t="str">
        <f ca="1"/>
        <v>N/A</v>
      </c>
      <c r="G31" s="172">
        <v>31</v>
      </c>
      <c r="H31" s="342" t="str">
        <v>พรมณี พรหมจรรย์</v>
      </c>
      <c r="I31" s="174" t="str">
        <v>แจ็ค</v>
      </c>
      <c r="J31" s="175">
        <v>12325</v>
      </c>
      <c r="K31" s="176" t="str">
        <f ca="1"/>
        <v>N/A</v>
      </c>
      <c r="L31" s="168" t="str">
        <v>N/A</v>
      </c>
      <c r="M31" s="148"/>
      <c r="N31" s="178"/>
      <c r="O31" s="179"/>
      <c r="P31" s="149"/>
      <c r="S31" s="170">
        <v>29</v>
      </c>
      <c r="T31" s="168" t="str">
        <v>อัคคเดช คล้ายสุบรรณ</v>
      </c>
      <c r="U31" s="168" t="str">
        <v>เบนซ์</v>
      </c>
      <c r="V31" s="170">
        <v>9800</v>
      </c>
      <c r="W31" s="170" t="e" vm="41">
        <f ca="1"/>
        <v>#VALUE!</v>
      </c>
    </row>
    <row r="32" spans="1:23" ht="50.45" customHeight="1" x14ac:dyDescent="0.55000000000000004">
      <c r="A32" s="172">
        <v>30</v>
      </c>
      <c r="B32" s="335" t="str">
        <v>Su Su Win</v>
      </c>
      <c r="C32" s="174" t="str">
        <v>ซู</v>
      </c>
      <c r="D32" s="175">
        <v>16565</v>
      </c>
      <c r="E32" s="172" t="e" vm="42">
        <f ca="1"/>
        <v>#VALUE!</v>
      </c>
      <c r="G32" s="172">
        <v>29</v>
      </c>
      <c r="H32" s="342" t="str">
        <v>วาสนา  สิทประเสริฐ</v>
      </c>
      <c r="I32" s="174" t="str">
        <v>วาส</v>
      </c>
      <c r="J32" s="175">
        <v>5125</v>
      </c>
      <c r="K32" s="176" t="str">
        <f ca="1"/>
        <v>N/A</v>
      </c>
      <c r="L32" s="168" t="str">
        <v>N/A</v>
      </c>
      <c r="M32" s="148"/>
      <c r="N32" s="178"/>
      <c r="O32" s="179"/>
      <c r="P32" s="149"/>
    </row>
    <row r="33" spans="1:16" ht="50.45" customHeight="1" x14ac:dyDescent="0.55000000000000004">
      <c r="A33" s="172"/>
      <c r="B33" s="335"/>
      <c r="C33" s="174"/>
      <c r="D33" s="175"/>
      <c r="E33" s="172"/>
      <c r="G33" s="172">
        <v>30</v>
      </c>
      <c r="H33" s="342" t="str">
        <v>ไชยสิทธิ์  ลัดตะนะ</v>
      </c>
      <c r="I33" s="174" t="str">
        <v>น้อย</v>
      </c>
      <c r="J33" s="175">
        <v>12125</v>
      </c>
      <c r="K33" s="176" t="str">
        <f ca="1"/>
        <v>N/A</v>
      </c>
      <c r="L33" s="168" t="str">
        <v>N/A</v>
      </c>
      <c r="M33" s="148"/>
      <c r="N33" s="178"/>
      <c r="O33" s="179"/>
      <c r="P33" s="149"/>
    </row>
    <row r="34" spans="1:16" ht="50.45" customHeight="1" x14ac:dyDescent="0.55000000000000004">
      <c r="A34" s="172"/>
      <c r="B34" s="335"/>
      <c r="C34" s="174"/>
      <c r="D34" s="175"/>
      <c r="E34" s="172"/>
      <c r="G34" s="172">
        <v>32</v>
      </c>
      <c r="H34" s="342" t="str">
        <v>SEYLY  RASMEY</v>
      </c>
      <c r="I34" s="174" t="str">
        <v>ลี</v>
      </c>
      <c r="J34" s="175">
        <v>13325</v>
      </c>
      <c r="K34" s="176" t="e" vm="43">
        <f ca="1"/>
        <v>#VALUE!</v>
      </c>
      <c r="L34" s="168" t="str">
        <v>https://promptpay.io/0652136005/13325</v>
      </c>
      <c r="M34" s="148"/>
      <c r="N34" s="178"/>
      <c r="O34" s="179"/>
      <c r="P34" s="149"/>
    </row>
    <row r="35" spans="1:16" ht="50.45" customHeight="1" x14ac:dyDescent="0.55000000000000004">
      <c r="A35" s="172"/>
      <c r="B35" s="335"/>
      <c r="C35" s="174"/>
      <c r="D35" s="175"/>
      <c r="E35" s="172"/>
      <c r="G35" s="148"/>
      <c r="H35" s="178"/>
      <c r="I35" s="178"/>
      <c r="J35" s="149"/>
      <c r="M35" s="148"/>
      <c r="N35" s="178"/>
      <c r="O35" s="179"/>
      <c r="P35" s="149"/>
    </row>
    <row r="36" spans="1:16" ht="50.45" customHeight="1" x14ac:dyDescent="0.55000000000000004">
      <c r="B36" s="337"/>
      <c r="C36" s="178"/>
      <c r="D36" s="180"/>
      <c r="E36" s="148"/>
    </row>
    <row r="37" spans="1:16" ht="50.45" customHeight="1" x14ac:dyDescent="0.55000000000000004">
      <c r="B37" s="337"/>
      <c r="C37" s="178"/>
      <c r="D37" s="180"/>
      <c r="E37" s="148"/>
    </row>
    <row r="38" spans="1:16" ht="50.45" customHeight="1" x14ac:dyDescent="0.55000000000000004">
      <c r="B38" s="337"/>
      <c r="C38" s="178"/>
      <c r="D38" s="180"/>
      <c r="E38" s="148"/>
    </row>
    <row r="39" spans="1:16" ht="50.45" customHeight="1" x14ac:dyDescent="0.55000000000000004">
      <c r="B39" s="337"/>
      <c r="C39" s="178"/>
      <c r="D39" s="180"/>
      <c r="E39" s="148"/>
    </row>
    <row r="40" spans="1:16" ht="50.45" customHeight="1" x14ac:dyDescent="0.55000000000000004">
      <c r="B40" s="337"/>
      <c r="C40" s="178"/>
      <c r="D40" s="180"/>
      <c r="E40" s="148"/>
    </row>
    <row r="41" spans="1:16" ht="50.45" customHeight="1" x14ac:dyDescent="0.55000000000000004">
      <c r="B41" s="337"/>
      <c r="C41" s="178"/>
      <c r="D41" s="180"/>
      <c r="E41" s="148"/>
    </row>
    <row r="42" spans="1:16" ht="50.45" customHeight="1" x14ac:dyDescent="0.55000000000000004">
      <c r="B42" s="337"/>
      <c r="C42" s="178"/>
      <c r="D42" s="180"/>
      <c r="E42" s="148"/>
    </row>
    <row r="43" spans="1:16" ht="50.45" customHeight="1" x14ac:dyDescent="0.55000000000000004">
      <c r="B43" s="337"/>
      <c r="C43" s="178"/>
      <c r="D43" s="180"/>
      <c r="E43" s="148"/>
    </row>
    <row r="44" spans="1:16" ht="50.45" customHeight="1" x14ac:dyDescent="0.55000000000000004">
      <c r="B44" s="337"/>
      <c r="C44" s="178"/>
      <c r="D44" s="180"/>
      <c r="E44" s="148"/>
    </row>
    <row r="45" spans="1:16" ht="50.45" customHeight="1" x14ac:dyDescent="0.55000000000000004">
      <c r="B45" s="337"/>
      <c r="C45" s="178"/>
      <c r="D45" s="180"/>
      <c r="E45" s="148"/>
    </row>
    <row r="46" spans="1:16" ht="50.45" customHeight="1" x14ac:dyDescent="0.55000000000000004">
      <c r="B46" s="337"/>
      <c r="C46" s="178"/>
      <c r="D46" s="180"/>
      <c r="E46" s="148"/>
    </row>
    <row r="47" spans="1:16" ht="50.45" customHeight="1" x14ac:dyDescent="0.55000000000000004">
      <c r="B47" s="337"/>
      <c r="C47" s="178"/>
      <c r="D47" s="180"/>
      <c r="E47" s="148"/>
    </row>
    <row r="48" spans="1:16" ht="50.45" customHeight="1" x14ac:dyDescent="0.55000000000000004">
      <c r="B48" s="337"/>
      <c r="C48" s="178"/>
      <c r="D48" s="180"/>
      <c r="E48" s="148"/>
    </row>
    <row r="49" spans="2:5" ht="50.45" customHeight="1" x14ac:dyDescent="0.55000000000000004">
      <c r="B49" s="337"/>
      <c r="C49" s="178"/>
      <c r="D49" s="180"/>
      <c r="E49" s="148"/>
    </row>
    <row r="50" spans="2:5" ht="50.45" customHeight="1" x14ac:dyDescent="0.55000000000000004">
      <c r="B50" s="337"/>
      <c r="C50" s="178"/>
      <c r="D50" s="180"/>
      <c r="E50" s="148"/>
    </row>
    <row r="51" spans="2:5" ht="50.45" customHeight="1" x14ac:dyDescent="0.55000000000000004">
      <c r="B51" s="337"/>
      <c r="C51" s="178"/>
      <c r="D51" s="180"/>
      <c r="E51" s="148"/>
    </row>
    <row r="52" spans="2:5" ht="50.45" customHeight="1" x14ac:dyDescent="0.55000000000000004">
      <c r="B52" s="337"/>
      <c r="C52" s="178"/>
      <c r="D52" s="180"/>
      <c r="E52" s="148"/>
    </row>
    <row r="53" spans="2:5" ht="50.45" customHeight="1" x14ac:dyDescent="0.55000000000000004">
      <c r="B53" s="337"/>
      <c r="C53" s="178"/>
      <c r="D53" s="180"/>
      <c r="E53" s="148"/>
    </row>
    <row r="54" spans="2:5" ht="50.45" customHeight="1" x14ac:dyDescent="0.55000000000000004">
      <c r="B54" s="337"/>
      <c r="C54" s="178"/>
      <c r="D54" s="180"/>
      <c r="E54" s="148"/>
    </row>
    <row r="55" spans="2:5" ht="50.45" customHeight="1" x14ac:dyDescent="0.55000000000000004">
      <c r="B55" s="337"/>
      <c r="C55" s="178"/>
      <c r="D55" s="180"/>
      <c r="E55" s="148"/>
    </row>
    <row r="56" spans="2:5" ht="50.45" customHeight="1" x14ac:dyDescent="0.55000000000000004">
      <c r="B56" s="337"/>
      <c r="C56" s="178"/>
      <c r="D56" s="180"/>
      <c r="E56" s="148"/>
    </row>
    <row r="57" spans="2:5" ht="50.45" customHeight="1" x14ac:dyDescent="0.55000000000000004">
      <c r="B57" s="337"/>
      <c r="C57" s="178"/>
      <c r="D57" s="180"/>
      <c r="E57" s="148"/>
    </row>
    <row r="58" spans="2:5" ht="50.45" customHeight="1" x14ac:dyDescent="0.55000000000000004">
      <c r="B58" s="337"/>
      <c r="C58" s="178"/>
      <c r="D58" s="180"/>
      <c r="E58" s="148"/>
    </row>
    <row r="59" spans="2:5" ht="50.45" customHeight="1" x14ac:dyDescent="0.55000000000000004">
      <c r="B59" s="337"/>
      <c r="C59" s="178"/>
      <c r="D59" s="180"/>
      <c r="E59" s="148"/>
    </row>
    <row r="60" spans="2:5" ht="50.45" customHeight="1" x14ac:dyDescent="0.55000000000000004">
      <c r="B60" s="337"/>
      <c r="C60" s="178"/>
      <c r="D60" s="180"/>
      <c r="E60" s="148"/>
    </row>
    <row r="61" spans="2:5" ht="50.45" customHeight="1" x14ac:dyDescent="0.55000000000000004">
      <c r="B61" s="337"/>
      <c r="C61" s="178"/>
      <c r="D61" s="180"/>
      <c r="E61" s="148"/>
    </row>
    <row r="62" spans="2:5" ht="50.45" customHeight="1" x14ac:dyDescent="0.55000000000000004">
      <c r="B62" s="337"/>
      <c r="C62" s="178"/>
      <c r="D62" s="180"/>
      <c r="E62" s="148"/>
    </row>
    <row r="63" spans="2:5" ht="50.45" customHeight="1" x14ac:dyDescent="0.55000000000000004">
      <c r="B63" s="337"/>
      <c r="C63" s="178"/>
      <c r="D63" s="180"/>
      <c r="E63" s="148"/>
    </row>
    <row r="64" spans="2:5" ht="50.45" customHeight="1" x14ac:dyDescent="0.55000000000000004">
      <c r="B64" s="337"/>
      <c r="C64" s="178"/>
      <c r="D64" s="180"/>
      <c r="E64" s="148"/>
    </row>
    <row r="65" spans="2:5" ht="50.45" customHeight="1" x14ac:dyDescent="0.55000000000000004">
      <c r="B65" s="337"/>
      <c r="C65" s="178"/>
      <c r="D65" s="180"/>
      <c r="E65" s="148"/>
    </row>
    <row r="66" spans="2:5" ht="50.45" customHeight="1" x14ac:dyDescent="0.55000000000000004">
      <c r="B66" s="337"/>
      <c r="C66" s="178"/>
      <c r="D66" s="180"/>
    </row>
    <row r="67" spans="2:5" ht="50.45" customHeight="1" x14ac:dyDescent="0.55000000000000004">
      <c r="B67" s="337"/>
      <c r="C67" s="178"/>
      <c r="D67" s="180"/>
    </row>
    <row r="68" spans="2:5" ht="50.45" customHeight="1" x14ac:dyDescent="0.55000000000000004">
      <c r="B68" s="337"/>
      <c r="C68" s="178"/>
      <c r="D68" s="180"/>
    </row>
    <row r="69" spans="2:5" ht="50.45" customHeight="1" x14ac:dyDescent="0.55000000000000004">
      <c r="B69" s="337"/>
      <c r="C69" s="178"/>
      <c r="D69" s="180"/>
    </row>
    <row r="70" spans="2:5" ht="50.45" customHeight="1" x14ac:dyDescent="0.55000000000000004">
      <c r="B70" s="337"/>
      <c r="C70" s="178"/>
      <c r="D70" s="180"/>
    </row>
    <row r="71" spans="2:5" ht="50.45" customHeight="1" x14ac:dyDescent="0.55000000000000004">
      <c r="B71" s="337"/>
      <c r="C71" s="178"/>
      <c r="D71" s="180"/>
    </row>
    <row r="72" spans="2:5" ht="50.45" customHeight="1" x14ac:dyDescent="0.55000000000000004">
      <c r="B72" s="337"/>
      <c r="C72" s="178"/>
      <c r="D72" s="180"/>
    </row>
    <row r="73" spans="2:5" ht="50.45" customHeight="1" x14ac:dyDescent="0.55000000000000004">
      <c r="B73" s="337"/>
      <c r="C73" s="178"/>
      <c r="D73" s="180"/>
    </row>
  </sheetData>
  <hyperlinks>
    <hyperlink ref="B1" r:id="rId1" xr:uid="{4F7A516B-6E27-47F6-AD34-80A087CD5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Dรามอินทรา</vt:lpstr>
      <vt:lpstr>Dนนทบุรี</vt:lpstr>
      <vt:lpstr>Dครัวกลาง</vt:lpstr>
      <vt:lpstr>Dกัลปพฤกษ์</vt:lpstr>
      <vt:lpstr>สลิป</vt:lpstr>
      <vt:lpstr>qrcode</vt:lpstr>
      <vt:lpstr>Dกัลปพฤกษ์!Print_Area</vt:lpstr>
      <vt:lpstr>Dครัวกลาง!Print_Area</vt:lpstr>
      <vt:lpstr>Dนนทบุรี!Print_Area</vt:lpstr>
      <vt:lpstr>Dรามอินทรา!Print_Area</vt:lpstr>
      <vt:lpstr>Dกัลปพฤกษ์!ชื่อ</vt:lpstr>
      <vt:lpstr>Dครัวกลาง!ชื่อ</vt:lpstr>
      <vt:lpstr>Dนนทบุรี!ชื่อ</vt:lpstr>
      <vt:lpstr>Dกัลปพฤกษ์!ลำดับ</vt:lpstr>
      <vt:lpstr>Dครัวกลาง!ลำดับ</vt:lpstr>
      <vt:lpstr>Dนนทบุรี!ลำดับ</vt:lpstr>
      <vt:lpstr>Dกัลปพฤกษ์!อิ</vt:lpstr>
      <vt:lpstr>Dครัวกลาง!อิ</vt:lpstr>
      <vt:lpstr>Dนนทบุรี!อิ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Tunwit Minimal</dc:creator>
  <cp:keywords/>
  <dc:description/>
  <cp:lastModifiedBy>thanthap chanachai</cp:lastModifiedBy>
  <cp:revision/>
  <cp:lastPrinted>2025-06-04T11:01:03Z</cp:lastPrinted>
  <dcterms:created xsi:type="dcterms:W3CDTF">2021-12-27T22:27:25Z</dcterms:created>
  <dcterms:modified xsi:type="dcterms:W3CDTF">2025-06-05T15:27:23Z</dcterms:modified>
  <cp:category/>
  <cp:contentStatus/>
</cp:coreProperties>
</file>