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01D79E48-5A77-45A7-BD3E-D460FF42AC0F}" xr6:coauthVersionLast="47" xr6:coauthVersionMax="47" xr10:uidLastSave="{00000000-0000-0000-0000-000000000000}"/>
  <bookViews>
    <workbookView xWindow="30180" yWindow="5556" windowWidth="19128" windowHeight="10452" tabRatio="576" activeTab="1" xr2:uid="{00000000-000D-0000-FFFF-FFFF00000000}"/>
  </bookViews>
  <sheets>
    <sheet name="Dรามอินทรา" sheetId="2" r:id="rId1"/>
    <sheet name="Dนนทบุรี" sheetId="1" r:id="rId2"/>
    <sheet name="สลิป" sheetId="12" r:id="rId3"/>
  </sheets>
  <definedNames>
    <definedName name="_xlnm.Print_Area" localSheetId="1">Dนนทบุรี!$A$1:$AF$35</definedName>
    <definedName name="_xlnm.Print_Area" localSheetId="0">Dรามอินทรา!$A$2:$AE$31</definedName>
    <definedName name="ชื่อ">Dนนทบุรี!$B$3:$B$39</definedName>
    <definedName name="ลำดับ">Dนนทบุรี!$A$3:$A$13</definedName>
    <definedName name="อิ">Dนนทบุรี!$A$3:$A$13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G3" i="1" s="1"/>
  <c r="U32" i="2"/>
  <c r="I33" i="1"/>
  <c r="I34" i="1"/>
  <c r="I4" i="1"/>
  <c r="I14" i="1"/>
  <c r="I16" i="1"/>
  <c r="I17" i="1"/>
  <c r="I18" i="1"/>
  <c r="I19" i="1"/>
  <c r="I21" i="1"/>
  <c r="I22" i="1"/>
  <c r="I23" i="1"/>
  <c r="I24" i="1"/>
  <c r="I25" i="1"/>
  <c r="I26" i="1"/>
  <c r="I27" i="1"/>
  <c r="I28" i="1"/>
  <c r="I29" i="1"/>
  <c r="I30" i="1"/>
  <c r="I31" i="1"/>
  <c r="I32" i="1"/>
  <c r="I17" i="2"/>
  <c r="I18" i="2"/>
  <c r="I19" i="2"/>
  <c r="I22" i="2"/>
  <c r="I23" i="2"/>
  <c r="I24" i="2"/>
  <c r="I25" i="2"/>
  <c r="I26" i="2"/>
  <c r="I27" i="2"/>
  <c r="I28" i="2"/>
  <c r="I29" i="2"/>
  <c r="I30" i="2"/>
  <c r="K31" i="2"/>
  <c r="G29" i="2"/>
  <c r="H29" i="2"/>
  <c r="R29" i="2"/>
  <c r="T31" i="2"/>
  <c r="S31" i="2"/>
  <c r="G30" i="2"/>
  <c r="H30" i="2"/>
  <c r="R30" i="2"/>
  <c r="R33" i="1"/>
  <c r="S35" i="1"/>
  <c r="T35" i="1"/>
  <c r="G28" i="2"/>
  <c r="H28" i="2"/>
  <c r="R28" i="2"/>
  <c r="K35" i="1"/>
  <c r="G26" i="2"/>
  <c r="H26" i="2"/>
  <c r="R26" i="2"/>
  <c r="G27" i="2"/>
  <c r="H27" i="2"/>
  <c r="R27" i="2"/>
  <c r="G34" i="1"/>
  <c r="H34" i="1"/>
  <c r="R34" i="1"/>
  <c r="G25" i="2"/>
  <c r="H25" i="2"/>
  <c r="R25" i="2"/>
  <c r="G33" i="1"/>
  <c r="H33" i="1"/>
  <c r="C17" i="12"/>
  <c r="L11" i="12"/>
  <c r="C7" i="12"/>
  <c r="G13" i="12"/>
  <c r="L16" i="12"/>
  <c r="C18" i="12"/>
  <c r="L13" i="12"/>
  <c r="L18" i="12"/>
  <c r="G12" i="12"/>
  <c r="G16" i="12"/>
  <c r="C19" i="12"/>
  <c r="G11" i="12"/>
  <c r="C14" i="12"/>
  <c r="L17" i="12"/>
  <c r="G17" i="12"/>
  <c r="C6" i="12"/>
  <c r="C23" i="12"/>
  <c r="C15" i="12"/>
  <c r="L14" i="12"/>
  <c r="C12" i="12"/>
  <c r="C11" i="12"/>
  <c r="C16" i="12"/>
  <c r="C13" i="12"/>
  <c r="G15" i="12"/>
  <c r="G14" i="12"/>
  <c r="L15" i="12"/>
  <c r="L12" i="12"/>
  <c r="R3" i="1" l="1"/>
  <c r="I3" i="1"/>
  <c r="H3" i="1"/>
  <c r="U3" i="1" s="1"/>
  <c r="U34" i="1"/>
  <c r="U33" i="1"/>
  <c r="C21" i="12"/>
  <c r="C22" i="12" s="1"/>
  <c r="G21" i="12"/>
  <c r="U28" i="2"/>
  <c r="U27" i="2"/>
  <c r="U29" i="2"/>
  <c r="U25" i="2"/>
  <c r="U26" i="2"/>
  <c r="U30" i="2"/>
  <c r="E12" i="1"/>
  <c r="E21" i="2"/>
  <c r="E20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0" i="1"/>
  <c r="E15" i="1"/>
  <c r="E13" i="1"/>
  <c r="E11" i="1"/>
  <c r="E10" i="1"/>
  <c r="E9" i="1"/>
  <c r="E7" i="1"/>
  <c r="E8" i="1"/>
  <c r="E6" i="1"/>
  <c r="E5" i="1"/>
  <c r="G32" i="1"/>
  <c r="H32" i="1"/>
  <c r="R32" i="1"/>
  <c r="G31" i="1"/>
  <c r="H31" i="1"/>
  <c r="R31" i="1"/>
  <c r="G30" i="1"/>
  <c r="H30" i="1"/>
  <c r="R30" i="1"/>
  <c r="G24" i="2"/>
  <c r="H24" i="2"/>
  <c r="R24" i="2"/>
  <c r="H4" i="1"/>
  <c r="G28" i="1"/>
  <c r="H28" i="1"/>
  <c r="R28" i="1"/>
  <c r="G29" i="1"/>
  <c r="H29" i="1"/>
  <c r="R29" i="1"/>
  <c r="U31" i="1" l="1"/>
  <c r="I3" i="2"/>
  <c r="H9" i="2"/>
  <c r="I9" i="2"/>
  <c r="R15" i="2"/>
  <c r="I15" i="2"/>
  <c r="H4" i="2"/>
  <c r="I4" i="2"/>
  <c r="I10" i="2"/>
  <c r="I16" i="2"/>
  <c r="H5" i="2"/>
  <c r="I5" i="2"/>
  <c r="U5" i="2" s="1"/>
  <c r="I11" i="2"/>
  <c r="I20" i="2"/>
  <c r="U24" i="2"/>
  <c r="H6" i="2"/>
  <c r="I6" i="2"/>
  <c r="I12" i="2"/>
  <c r="H21" i="2"/>
  <c r="I21" i="2"/>
  <c r="H7" i="2"/>
  <c r="G7" i="2"/>
  <c r="I7" i="2"/>
  <c r="I13" i="2"/>
  <c r="I8" i="2"/>
  <c r="I14" i="2"/>
  <c r="U28" i="1"/>
  <c r="I7" i="1"/>
  <c r="U30" i="1"/>
  <c r="U32" i="1"/>
  <c r="I9" i="1"/>
  <c r="I10" i="1"/>
  <c r="U29" i="1"/>
  <c r="I5" i="1"/>
  <c r="G11" i="1"/>
  <c r="I11" i="1"/>
  <c r="G20" i="1"/>
  <c r="I20" i="1"/>
  <c r="I6" i="1"/>
  <c r="I13" i="1"/>
  <c r="I8" i="1"/>
  <c r="I15" i="1"/>
  <c r="I12" i="1"/>
  <c r="G3" i="2"/>
  <c r="U3" i="2" s="1"/>
  <c r="E35" i="1"/>
  <c r="H3" i="2"/>
  <c r="G7" i="1"/>
  <c r="G23" i="2"/>
  <c r="U23" i="2" s="1"/>
  <c r="H23" i="2"/>
  <c r="R23" i="2"/>
  <c r="H22" i="2"/>
  <c r="G22" i="2"/>
  <c r="R22" i="2"/>
  <c r="H13" i="2"/>
  <c r="H12" i="2"/>
  <c r="H11" i="2"/>
  <c r="H10" i="2"/>
  <c r="U10" i="2" s="1"/>
  <c r="H8" i="2"/>
  <c r="H14" i="2"/>
  <c r="H15" i="2"/>
  <c r="H16" i="2"/>
  <c r="H17" i="2"/>
  <c r="H18" i="2"/>
  <c r="H19" i="2"/>
  <c r="H20" i="2"/>
  <c r="H27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G27" i="1"/>
  <c r="R27" i="1"/>
  <c r="G23" i="1"/>
  <c r="R23" i="1"/>
  <c r="G25" i="1"/>
  <c r="R25" i="1"/>
  <c r="G24" i="1"/>
  <c r="R24" i="1"/>
  <c r="G26" i="1"/>
  <c r="R26" i="1"/>
  <c r="G15" i="2"/>
  <c r="U15" i="2" s="1"/>
  <c r="R3" i="2"/>
  <c r="G4" i="2"/>
  <c r="R4" i="2"/>
  <c r="G5" i="2"/>
  <c r="R5" i="2"/>
  <c r="G6" i="2"/>
  <c r="U6" i="2" s="1"/>
  <c r="R6" i="2"/>
  <c r="R7" i="2"/>
  <c r="G8" i="2"/>
  <c r="U8" i="2" s="1"/>
  <c r="R8" i="2"/>
  <c r="G9" i="2"/>
  <c r="R9" i="2"/>
  <c r="G10" i="2"/>
  <c r="R10" i="2"/>
  <c r="G11" i="2"/>
  <c r="R11" i="2"/>
  <c r="G12" i="2"/>
  <c r="R12" i="2"/>
  <c r="G13" i="2"/>
  <c r="R13" i="2"/>
  <c r="G14" i="2"/>
  <c r="U14" i="2" s="1"/>
  <c r="R14" i="2"/>
  <c r="G16" i="2"/>
  <c r="R16" i="2"/>
  <c r="G17" i="2"/>
  <c r="R17" i="2"/>
  <c r="G18" i="2"/>
  <c r="R18" i="2"/>
  <c r="G19" i="2"/>
  <c r="R19" i="2"/>
  <c r="G20" i="2"/>
  <c r="R20" i="2"/>
  <c r="G21" i="2"/>
  <c r="U21" i="2" s="1"/>
  <c r="R21" i="2"/>
  <c r="U12" i="2" l="1"/>
  <c r="U7" i="2"/>
  <c r="U16" i="2"/>
  <c r="U18" i="2"/>
  <c r="U11" i="2"/>
  <c r="U13" i="2"/>
  <c r="U9" i="2"/>
  <c r="U4" i="2"/>
  <c r="U20" i="2"/>
  <c r="U17" i="2"/>
  <c r="U22" i="2"/>
  <c r="U19" i="2"/>
  <c r="U27" i="1"/>
  <c r="U25" i="1"/>
  <c r="U24" i="1"/>
  <c r="U26" i="1"/>
  <c r="U23" i="1"/>
  <c r="H35" i="1"/>
  <c r="G8" i="1"/>
  <c r="G9" i="1"/>
  <c r="G10" i="1"/>
  <c r="G22" i="1"/>
  <c r="R22" i="1"/>
  <c r="G21" i="1"/>
  <c r="R21" i="1"/>
  <c r="G12" i="1"/>
  <c r="G13" i="1"/>
  <c r="G14" i="1"/>
  <c r="G15" i="1"/>
  <c r="G16" i="1"/>
  <c r="G17" i="1"/>
  <c r="G18" i="1"/>
  <c r="G19" i="1"/>
  <c r="G4" i="1"/>
  <c r="G5" i="1"/>
  <c r="G6" i="1"/>
  <c r="R4" i="1"/>
  <c r="R5" i="1"/>
  <c r="R6" i="1"/>
  <c r="R7" i="1"/>
  <c r="U7" i="1" s="1"/>
  <c r="R8" i="1"/>
  <c r="R9" i="1"/>
  <c r="R10" i="1"/>
  <c r="R11" i="1"/>
  <c r="U11" i="1" s="1"/>
  <c r="R12" i="1"/>
  <c r="R13" i="1"/>
  <c r="R14" i="1"/>
  <c r="R15" i="1"/>
  <c r="R16" i="1"/>
  <c r="R17" i="1"/>
  <c r="R18" i="1"/>
  <c r="R19" i="1"/>
  <c r="R20" i="1"/>
  <c r="U20" i="1" s="1"/>
  <c r="U15" i="1" l="1"/>
  <c r="U10" i="1"/>
  <c r="U31" i="2"/>
  <c r="U13" i="1"/>
  <c r="U19" i="1"/>
  <c r="U9" i="1"/>
  <c r="U18" i="1"/>
  <c r="U12" i="1"/>
  <c r="U17" i="1"/>
  <c r="U8" i="1"/>
  <c r="U6" i="1"/>
  <c r="U16" i="1"/>
  <c r="U21" i="1"/>
  <c r="U5" i="1"/>
  <c r="U4" i="1"/>
  <c r="U14" i="1"/>
  <c r="U22" i="1"/>
  <c r="G35" i="1"/>
  <c r="L35" i="1" l="1"/>
  <c r="U35" i="1"/>
</calcChain>
</file>

<file path=xl/sharedStrings.xml><?xml version="1.0" encoding="utf-8"?>
<sst xmlns="http://schemas.openxmlformats.org/spreadsheetml/2006/main" count="418" uniqueCount="256">
  <si>
    <t>ลำดับ</t>
  </si>
  <si>
    <t>ชื่อ-นามสกุล</t>
  </si>
  <si>
    <t>ชื่อเล่น</t>
  </si>
  <si>
    <t>ตำแหน่ง</t>
  </si>
  <si>
    <t>อัตราเงินเดือน</t>
  </si>
  <si>
    <t>ค่าตำแหน่ง</t>
  </si>
  <si>
    <t>โอที/วัน</t>
  </si>
  <si>
    <t>โอที/ชม.</t>
  </si>
  <si>
    <t>เบี้ยขยัน</t>
  </si>
  <si>
    <t>เบิก</t>
  </si>
  <si>
    <t>ปกส.</t>
  </si>
  <si>
    <t>ยอดจ่ายเงินกู้</t>
  </si>
  <si>
    <t>เงินกู้ค้าง</t>
  </si>
  <si>
    <t>สวัสดิการอื่นๆ</t>
  </si>
  <si>
    <t>หนี้</t>
  </si>
  <si>
    <t>สาย</t>
  </si>
  <si>
    <t>ลา</t>
  </si>
  <si>
    <t>ยอดเป้า</t>
  </si>
  <si>
    <t>โบนัส</t>
  </si>
  <si>
    <t>รายได้สุทธิ</t>
  </si>
  <si>
    <t>Email</t>
  </si>
  <si>
    <t>ขาด (วัน)</t>
  </si>
  <si>
    <t>สาย (นาที)</t>
  </si>
  <si>
    <t>ลาป่วย (วัน)</t>
  </si>
  <si>
    <t>ลากิจ (วัน)</t>
  </si>
  <si>
    <t>ลาพักร้อน (วัน)</t>
  </si>
  <si>
    <t>OT (วัน)</t>
  </si>
  <si>
    <t>ค่าล่วงเวลา (ชั่วโมง)</t>
  </si>
  <si>
    <t>ภาษา</t>
  </si>
  <si>
    <t>นาย อดิสรณ์ มีพบ</t>
  </si>
  <si>
    <t>รอน</t>
  </si>
  <si>
    <t>รองผู้จัดการ</t>
  </si>
  <si>
    <t>adisornn1996@gmail.com</t>
  </si>
  <si>
    <t>th</t>
  </si>
  <si>
    <t>ฟาตีฮะ  ยีหะมะ</t>
  </si>
  <si>
    <t>ฟา</t>
  </si>
  <si>
    <t>fatihah.yihama@gmail.com</t>
  </si>
  <si>
    <t xml:space="preserve">ต่วนมีด๊ะ  เสะอุเซ็ง </t>
  </si>
  <si>
    <t>ซันเดย์</t>
  </si>
  <si>
    <t>บริการ</t>
  </si>
  <si>
    <t>love_sun8297@hotmail.com</t>
  </si>
  <si>
    <t>Channy La</t>
  </si>
  <si>
    <t>น้ำ</t>
  </si>
  <si>
    <t>TAK</t>
  </si>
  <si>
    <t>ตั๊ก</t>
  </si>
  <si>
    <t>หัวหน้าครัว</t>
  </si>
  <si>
    <t>takkyvillai@gmail.com</t>
  </si>
  <si>
    <t>เจี๊ยบ</t>
  </si>
  <si>
    <t>ครัว</t>
  </si>
  <si>
    <t>ahla78453@gmail.com</t>
  </si>
  <si>
    <t>ฟาอิส นิเฮง</t>
  </si>
  <si>
    <t>อิฟ</t>
  </si>
  <si>
    <t>หัวหน้าครัวร้อน</t>
  </si>
  <si>
    <t>faisniheng@gmail.com</t>
  </si>
  <si>
    <t>ดาวี</t>
  </si>
  <si>
    <t>ladavi884@gmail.com</t>
  </si>
  <si>
    <t>นางสาว จิราภา มั่งมีทรัพย์</t>
  </si>
  <si>
    <t xml:space="preserve"> แนท</t>
  </si>
  <si>
    <t>jirapa1999nat@gmail.com</t>
  </si>
  <si>
    <t>นาย ซุกรี แดเบาะ</t>
  </si>
  <si>
    <t>กรี</t>
  </si>
  <si>
    <t>รองหัวหน้าบริการ</t>
  </si>
  <si>
    <t>leescreamoemopunk@hotmail.com</t>
  </si>
  <si>
    <t>LAN LATH</t>
  </si>
  <si>
    <t>LAN</t>
  </si>
  <si>
    <t>รองหัวหน้าครัว</t>
  </si>
  <si>
    <t>latlan98@gmail.com</t>
  </si>
  <si>
    <t>จิตา</t>
  </si>
  <si>
    <t>jta875094@gmail.com</t>
  </si>
  <si>
    <t>พิมพ์</t>
  </si>
  <si>
    <t>serypim279@gmail.com</t>
  </si>
  <si>
    <t>นาง</t>
  </si>
  <si>
    <t>khammany557@gmail.com</t>
  </si>
  <si>
    <t>ต่อ</t>
  </si>
  <si>
    <t>ต่าย</t>
  </si>
  <si>
    <t>ครัวเย็น</t>
  </si>
  <si>
    <t>นาย เมธาวี ทัศน์จันดา</t>
  </si>
  <si>
    <t>แม็ก</t>
  </si>
  <si>
    <t>maxwwecom@gmail.com</t>
  </si>
  <si>
    <t xml:space="preserve"> </t>
  </si>
  <si>
    <t>นางสาว รัชนี รอดภิบัติ</t>
  </si>
  <si>
    <t>เบียร์</t>
  </si>
  <si>
    <t>ฝุ่น</t>
  </si>
  <si>
    <t>sickxchef@gmail.com</t>
  </si>
  <si>
    <t>นาย พีรพัฒน์ พรมมนต์</t>
  </si>
  <si>
    <t>เต้</t>
  </si>
  <si>
    <t>รองหัวหน้าครัวร้อน</t>
  </si>
  <si>
    <t>peerapattae80s@gmail.com</t>
  </si>
  <si>
    <t>ใหม่</t>
  </si>
  <si>
    <t>bunthoeurn08092@gmail.com</t>
  </si>
  <si>
    <t>นาย ชัยชาญ สนธิรอด</t>
  </si>
  <si>
    <t>อั้ม</t>
  </si>
  <si>
    <t>ผู้จัดการ</t>
  </si>
  <si>
    <t xml:space="preserve"> นางสาว ฟารีดา นิแห</t>
  </si>
  <si>
    <t>ดา</t>
  </si>
  <si>
    <t>หัวหน้าบริการ</t>
  </si>
  <si>
    <t>fareeda426677@gmail.com</t>
  </si>
  <si>
    <t>ป้าน้อย</t>
  </si>
  <si>
    <t>cfdd4726@gmail.com</t>
  </si>
  <si>
    <t>Mi Kommaly Vongphila</t>
  </si>
  <si>
    <t>กลม</t>
  </si>
  <si>
    <t>oo7419074@gmail.com</t>
  </si>
  <si>
    <t>สแตมป์</t>
  </si>
  <si>
    <t>paponpatrojjanadara@gmail.com</t>
  </si>
  <si>
    <t>นางสาว คำนัน บุญเพ็ญ</t>
  </si>
  <si>
    <t>นันหญิง</t>
  </si>
  <si>
    <t>khamnanboonpen7@gmail.com</t>
  </si>
  <si>
    <t>นาย อาดือนัน เจ๊ะมุ</t>
  </si>
  <si>
    <t>นันชาย</t>
  </si>
  <si>
    <t>นาย อิบรอเฮง มะแซ</t>
  </si>
  <si>
    <t>จู</t>
  </si>
  <si>
    <t>รองหัวหน้าครัวเย็น</t>
  </si>
  <si>
    <t>ibrohengmasae280742@gmail.com</t>
  </si>
  <si>
    <t>นาย มูฮำหมัดอิกควาล เต๊ะหมะ</t>
  </si>
  <si>
    <t>วัน</t>
  </si>
  <si>
    <t>วิน</t>
  </si>
  <si>
    <t>vinwia992002@gmail.com</t>
  </si>
  <si>
    <t>วิภาภรณ์ ประสงค์</t>
  </si>
  <si>
    <t>แอน</t>
  </si>
  <si>
    <t>Wipaporn.pra50@gmail.com</t>
  </si>
  <si>
    <t xml:space="preserve">YE KHANT KO KO </t>
  </si>
  <si>
    <t>ตะวัน</t>
  </si>
  <si>
    <t>tawan.yekoko@gmail.com</t>
  </si>
  <si>
    <t>mineminechit1@gmail.com</t>
  </si>
  <si>
    <t>SAW SHUE KHALANE</t>
  </si>
  <si>
    <t>นา</t>
  </si>
  <si>
    <t>shoeklane@gmail.com</t>
  </si>
  <si>
    <t>ฮานาฟี เจะโดง</t>
  </si>
  <si>
    <t>ฟี</t>
  </si>
  <si>
    <t>hanafeechedong@gmail.com</t>
  </si>
  <si>
    <t>ธนากร สุ่นศีร</t>
  </si>
  <si>
    <t>โย</t>
  </si>
  <si>
    <t>sunsrithnakr@gmail.com</t>
  </si>
  <si>
    <t>ฮัลวา ยูโซ๊ะ</t>
  </si>
  <si>
    <t>สา</t>
  </si>
  <si>
    <t>halwa324@gmail.com</t>
  </si>
  <si>
    <t>บริษัท ไอแอมฟู้ด จำกัด 
63/34 ซอย1 แขวง คันนายาว เขตคันนายาว กรุงเทพมหานคร 10230 
เลขที่ผู้เสียภาษี 0125562015764</t>
  </si>
  <si>
    <t>สลิปเงินเดือน / Pay Slip</t>
  </si>
  <si>
    <t>63/34 ซอย1 แขวง คันนายาว เขตคันนายาว กรุงเทพมหานคร 10230</t>
  </si>
  <si>
    <t>เลขที่ผู้เสียภาษี 0125562015764</t>
  </si>
  <si>
    <t>สาขาที่ทำงาน:</t>
  </si>
  <si>
    <t>รหัสพนักงาน :</t>
  </si>
  <si>
    <t>ชื่อ - นามสกุล :</t>
  </si>
  <si>
    <t>ตำแหน่ง :</t>
  </si>
  <si>
    <t>ประจำเดือน กุมพาพันธ์ 2566</t>
  </si>
  <si>
    <t>เงินได้</t>
  </si>
  <si>
    <t>รายการหัก</t>
  </si>
  <si>
    <t>รายละเอียด</t>
  </si>
  <si>
    <t>ขาด</t>
  </si>
  <si>
    <t>ประกันสังคม</t>
  </si>
  <si>
    <t>นาที</t>
  </si>
  <si>
    <t>ลาป่วย</t>
  </si>
  <si>
    <t>OT (ชั่วโมง)</t>
  </si>
  <si>
    <t>ลากิจ</t>
  </si>
  <si>
    <t>ลาพักร้อน</t>
  </si>
  <si>
    <t>ยอดเงินกู้คงเหลือ</t>
  </si>
  <si>
    <t>ชั่วโมง</t>
  </si>
  <si>
    <t>รวมเงินได้</t>
  </si>
  <si>
    <t>รวมรายการหัก</t>
  </si>
  <si>
    <t>ข้อมูลเงินเดือนและค่าจ้างเป็นข้อมูลส่วนบุคคล ห้ามเปิดเผยโดยเด็ดขาดเอกสารนี้จะสมบูรณ์เมื่อมีลายเซ็นผู้มีอำนาจ และตราประทับเท่านั้น
Salary and wages are confidential infomation. Disclosure is strictly prohibited. This document is only valid with an autorized signature and company stamp</t>
  </si>
  <si>
    <t>ด้า</t>
  </si>
  <si>
    <t>เซน</t>
  </si>
  <si>
    <t>mew29052545@gmail.com</t>
  </si>
  <si>
    <t>ไม้</t>
  </si>
  <si>
    <t>เจ็ก</t>
  </si>
  <si>
    <t>บีม</t>
  </si>
  <si>
    <t>เพียบ</t>
  </si>
  <si>
    <t>แจ็ค</t>
  </si>
  <si>
    <t>CHECK</t>
  </si>
  <si>
    <t>นางสาว ไพลิน</t>
  </si>
  <si>
    <t>CHAOCHEK PROEURN</t>
  </si>
  <si>
    <t>นางสาว สุเพียบ พวด</t>
  </si>
  <si>
    <t>โอ</t>
  </si>
  <si>
    <t>เชษฐ์ฐา ประสงค์</t>
  </si>
  <si>
    <t>บังเลาะ</t>
  </si>
  <si>
    <t>aduenan876@gmail.com</t>
  </si>
  <si>
    <t>ราเชนทร์ วุฒิวงศ์</t>
  </si>
  <si>
    <t>อับดุลเลาะห์ อาแว</t>
  </si>
  <si>
    <t>วราภรณ์  สิงฆาฬะ</t>
  </si>
  <si>
    <t>นาย วรมัน ทิพย์สุมณฑา</t>
  </si>
  <si>
    <t>เมาเล่</t>
  </si>
  <si>
    <t>ไอซ์</t>
  </si>
  <si>
    <t>ปาย</t>
  </si>
  <si>
    <t>ภานุวัฒน์ รอดพิบัติ</t>
  </si>
  <si>
    <t>คณิตสนันท์  สัตยโยธี</t>
  </si>
  <si>
    <t>นัน ไอติมหางเสือ ยัง</t>
  </si>
  <si>
    <t>ฟัดต๊ะ</t>
  </si>
  <si>
    <t>เบ้น</t>
  </si>
  <si>
    <t>KEOVILAVONG SUNTISOUK</t>
  </si>
  <si>
    <t>เบ้นล้างจ้าน เงินสด</t>
  </si>
  <si>
    <t>Fattah150520@gmail.com</t>
  </si>
  <si>
    <t>ฟัตตะห์ มะรอแม</t>
  </si>
  <si>
    <t>abdullohawae141997@gmail.com</t>
  </si>
  <si>
    <t>chen.wutthiwong4@gmail.com</t>
  </si>
  <si>
    <t>warapornsingkala@gmail.com</t>
  </si>
  <si>
    <t>bi8079454@gmail.com</t>
  </si>
  <si>
    <t>zzzza8877@gmail.com</t>
  </si>
  <si>
    <t>sornphet263@gmail.com</t>
  </si>
  <si>
    <t>นนท์</t>
  </si>
  <si>
    <t>ปุ๋ย</t>
  </si>
  <si>
    <t>หนูนา</t>
  </si>
  <si>
    <t>lac98839@gmail.com</t>
  </si>
  <si>
    <t>rodpibat1992@gmail.com</t>
  </si>
  <si>
    <t>aisa79328@gmail.com</t>
  </si>
  <si>
    <t>aaaeee33240@gmail.com</t>
  </si>
  <si>
    <t>seedarjun4@gmail.com</t>
  </si>
  <si>
    <t>beempailin27@gmail.com</t>
  </si>
  <si>
    <t>สายฝน ไขกลางดอน</t>
  </si>
  <si>
    <t>เจมส์</t>
  </si>
  <si>
    <t>นาย ปพนพัทธ์ โรจนดารา</t>
  </si>
  <si>
    <t xml:space="preserve">Mrs.Vat Loar </t>
  </si>
  <si>
    <t>Sokcheat chhoeurm</t>
  </si>
  <si>
    <t xml:space="preserve"> SAW DIT MIKE MIKE </t>
  </si>
  <si>
    <t>Leng Sitra</t>
  </si>
  <si>
    <t>Che ta la</t>
  </si>
  <si>
    <t xml:space="preserve"> Reaksmey Bunthoeurn</t>
  </si>
  <si>
    <t>คำมณี แสงสุราช (khammany Sengsoulath)</t>
  </si>
  <si>
    <t>ศรเพชร ดวงปัญญา (Sonpheth couangpanya)</t>
  </si>
  <si>
    <t>ชานน ไชยะสาน (Chanon Chaisan)</t>
  </si>
  <si>
    <t>Kyaw Ye Htut</t>
  </si>
  <si>
    <t>เด็ดเดี่ยว สิทธิ์ราด (Detdieo Sitthilath)</t>
  </si>
  <si>
    <t>DAVY LAY</t>
  </si>
  <si>
    <t>บอส</t>
  </si>
  <si>
    <t>เจมส์ เงินสด</t>
  </si>
  <si>
    <t>ดี้</t>
  </si>
  <si>
    <t>ไอซ์น้องใหม่</t>
  </si>
  <si>
    <t>yago23my@gmail.com</t>
  </si>
  <si>
    <t>อาทิตย์  พรมเย็น</t>
  </si>
  <si>
    <t>alisa.ip7xx@gmail.com</t>
  </si>
  <si>
    <t>chetthaprgg@gmail.com</t>
  </si>
  <si>
    <t>วรนุช สิงฆาฬะ</t>
  </si>
  <si>
    <t>เอกกวิน นุรักษ์ดีศรี</t>
  </si>
  <si>
    <t>woranuchindg@gmail.com</t>
  </si>
  <si>
    <t>Akekawin05s@gmail.com</t>
  </si>
  <si>
    <t>SIDACHANH PHOMSOUPHA</t>
  </si>
  <si>
    <t>กั๊ก</t>
  </si>
  <si>
    <t>ราเชน เข้าบ้ญชีใหม่ กรุงไทย</t>
  </si>
  <si>
    <t>เจมมี่ พลพรรคดี Chemmy phonphakdy</t>
  </si>
  <si>
    <t>Somean Phen</t>
  </si>
  <si>
    <t>ภานุพล ทาลี</t>
  </si>
  <si>
    <t>เมษายน 2567</t>
  </si>
  <si>
    <t>สุทาสินี ทาสิง</t>
  </si>
  <si>
    <t>หนิง</t>
  </si>
  <si>
    <t>ค่าล่วงเวลา (ชั่วโมง)คูณ 3</t>
  </si>
  <si>
    <t>ค่าล่วงเวลา (ชั่วโมง) คูณ 3</t>
  </si>
  <si>
    <t>โอที/ชม. X 3</t>
  </si>
  <si>
    <t>แจ๊ค เข้าธนาคารกสิกรไทย เลขที่ 180-3-16705-9</t>
  </si>
  <si>
    <t>เอกกวิน นุรักษ์ดีศรี บัญชีใหม่ กสิกรไทย 139-1-22708-6</t>
  </si>
  <si>
    <t>OT (ชั่วโมงวันขัตฤกษ์)</t>
  </si>
  <si>
    <t>OT (วันขัตฤกษ์)</t>
  </si>
  <si>
    <t>panuwatrodpibat@gmail.com</t>
  </si>
  <si>
    <t>panupol123za@gmail.com</t>
  </si>
  <si>
    <t>kanitsananice@gmail.com</t>
  </si>
  <si>
    <t>suthasinee2817@gmail.com</t>
  </si>
  <si>
    <t>jackmui2002@gmail.com</t>
  </si>
  <si>
    <t>Dรามอินทรา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</si>
</sst>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35">
    <font>
      <sz val="11"/>
      <color theme="1"/>
      <name val="Calibri"/>
      <family val="2"/>
      <charset val="222"/>
      <scheme val="minor"/>
    </font>
    <font>
      <sz val="11"/>
      <color theme="1"/>
      <name val="TH Sarabun New"/>
      <family val="2"/>
    </font>
    <font>
      <sz val="12"/>
      <color theme="1"/>
      <name val="TH Sarabun New"/>
      <family val="2"/>
    </font>
    <font>
      <b/>
      <sz val="12"/>
      <color theme="1"/>
      <name val="TH Sarabun New"/>
      <family val="2"/>
    </font>
    <font>
      <u/>
      <sz val="11"/>
      <color theme="10"/>
      <name val="Calibri"/>
      <family val="2"/>
      <charset val="222"/>
      <scheme val="minor"/>
    </font>
    <font>
      <sz val="12"/>
      <color theme="1"/>
      <name val="TH SarabunPSK"/>
      <family val="2"/>
    </font>
    <font>
      <b/>
      <sz val="12"/>
      <color theme="1"/>
      <name val="TH SarabunPSK"/>
      <family val="2"/>
    </font>
    <font>
      <sz val="12"/>
      <name val="TH SarabunPSK"/>
      <family val="2"/>
    </font>
    <font>
      <u/>
      <sz val="12"/>
      <color theme="10"/>
      <name val="TH SarabunPSK"/>
      <family val="2"/>
    </font>
    <font>
      <sz val="14"/>
      <color theme="1"/>
      <name val="TH SarabunPSK"/>
      <family val="2"/>
    </font>
    <font>
      <sz val="12"/>
      <color rgb="FFFF0000"/>
      <name val="TH SarabunPSK"/>
      <family val="2"/>
    </font>
    <font>
      <sz val="11"/>
      <color theme="1"/>
      <name val="Calibri"/>
      <family val="2"/>
      <charset val="222"/>
      <scheme val="minor"/>
    </font>
    <font>
      <sz val="14"/>
      <color theme="1"/>
      <name val="Calibri"/>
      <family val="2"/>
      <scheme val="minor"/>
    </font>
    <font>
      <b/>
      <sz val="12"/>
      <color theme="1"/>
      <name val="TH SarabunPSK"/>
      <family val="2"/>
      <charset val="222"/>
    </font>
    <font>
      <b/>
      <sz val="20"/>
      <color rgb="FFFF0000"/>
      <name val="TH SarabunPSK"/>
      <family val="2"/>
    </font>
    <font>
      <b/>
      <sz val="11"/>
      <color theme="1"/>
      <name val="TH Sarabun New"/>
      <family val="2"/>
    </font>
    <font>
      <b/>
      <sz val="12"/>
      <color rgb="FFFF0000"/>
      <name val="TH SarabunPSK"/>
      <family val="2"/>
    </font>
    <font>
      <sz val="12"/>
      <color rgb="FFC00000"/>
      <name val="TH SarabunPSK"/>
      <family val="2"/>
    </font>
    <font>
      <u/>
      <sz val="11"/>
      <color theme="10"/>
      <name val="TH SarabunPSK"/>
      <family val="2"/>
    </font>
    <font>
      <b/>
      <sz val="14"/>
      <color theme="1"/>
      <name val="TH SarabunPSK"/>
      <family val="2"/>
    </font>
    <font>
      <b/>
      <sz val="16"/>
      <color theme="1"/>
      <name val="TH SarabunPSK"/>
      <family val="2"/>
    </font>
    <font>
      <sz val="12"/>
      <color rgb="FF000000"/>
      <name val="TH SarabunPSK"/>
      <family val="2"/>
    </font>
    <font>
      <sz val="11"/>
      <color theme="1"/>
      <name val="TH SarabunPSK"/>
      <family val="2"/>
    </font>
    <font>
      <sz val="12"/>
      <name val="TH Sarabun New"/>
      <family val="2"/>
    </font>
    <font>
      <b/>
      <sz val="20"/>
      <color theme="1"/>
      <name val="TH Sarabun New"/>
      <family val="2"/>
    </font>
    <font>
      <sz val="14"/>
      <color theme="1"/>
      <name val="TH Sarabun New"/>
      <family val="2"/>
    </font>
    <font>
      <vertAlign val="subscript"/>
      <sz val="12"/>
      <color theme="1"/>
      <name val="TH Sarabun New"/>
      <family val="2"/>
    </font>
    <font>
      <b/>
      <sz val="14"/>
      <color theme="1"/>
      <name val="TH SarabunPSK"/>
      <family val="2"/>
      <charset val="222"/>
    </font>
    <font>
      <b/>
      <sz val="16"/>
      <color theme="1"/>
      <name val="TH SarabunPSK"/>
      <family val="2"/>
      <charset val="222"/>
    </font>
    <font>
      <sz val="14"/>
      <color theme="1"/>
      <name val="Angsana New"/>
      <family val="1"/>
    </font>
    <font>
      <sz val="14"/>
      <name val="Angsana New"/>
      <family val="1"/>
    </font>
    <font>
      <sz val="14"/>
      <color rgb="FF000000"/>
      <name val="TH SarabunPSK"/>
      <family val="2"/>
    </font>
    <font>
      <sz val="14"/>
      <color rgb="FFFF0000"/>
      <name val="Angsana New"/>
      <family val="1"/>
    </font>
    <font>
      <sz val="14"/>
      <name val="TH SarabunPSK"/>
      <family val="2"/>
    </font>
    <font>
      <sz val="12"/>
      <color rgb="FFFF0000"/>
      <name val="TH Sarabun New"/>
      <family val="2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D1D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AE2F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indexed="64"/>
      </left>
      <right style="thin">
        <color rgb="FF50505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505050"/>
      </top>
      <bottom/>
      <diagonal/>
    </border>
    <border>
      <left style="thin">
        <color rgb="FF505050"/>
      </left>
      <right style="thin">
        <color indexed="64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indexed="64"/>
      </bottom>
      <diagonal/>
    </border>
    <border>
      <left style="thin">
        <color rgb="FF505050"/>
      </left>
      <right/>
      <top style="thin">
        <color rgb="FF505050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11" fillId="0" borderId="0" applyFont="0" applyFill="0" applyBorder="0" applyAlignment="0" applyProtection="0"/>
  </cellStyleXfs>
  <cellXfs count="21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4" fontId="5" fillId="2" borderId="3" xfId="0" applyNumberFormat="1" applyFont="1" applyFill="1" applyBorder="1" applyAlignment="1">
      <alignment horizontal="center" vertical="center"/>
    </xf>
    <xf numFmtId="4" fontId="5" fillId="3" borderId="3" xfId="0" applyNumberFormat="1" applyFont="1" applyFill="1" applyBorder="1" applyAlignment="1">
      <alignment horizontal="center" vertical="center"/>
    </xf>
    <xf numFmtId="164" fontId="5" fillId="3" borderId="3" xfId="0" applyNumberFormat="1" applyFont="1" applyFill="1" applyBorder="1" applyAlignment="1">
      <alignment horizontal="center" vertical="center"/>
    </xf>
    <xf numFmtId="4" fontId="5" fillId="2" borderId="3" xfId="0" applyNumberFormat="1" applyFont="1" applyFill="1" applyBorder="1" applyAlignment="1">
      <alignment horizontal="center" vertical="center"/>
    </xf>
    <xf numFmtId="4" fontId="5" fillId="0" borderId="3" xfId="0" applyNumberFormat="1" applyFont="1" applyBorder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/>
    </xf>
    <xf numFmtId="4" fontId="5" fillId="0" borderId="1" xfId="0" applyNumberFormat="1" applyFont="1" applyBorder="1" applyAlignment="1">
      <alignment horizontal="center" vertical="center"/>
    </xf>
    <xf numFmtId="4" fontId="5" fillId="0" borderId="15" xfId="0" applyNumberFormat="1" applyFont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4" fontId="5" fillId="0" borderId="17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4" fontId="6" fillId="3" borderId="3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4" fontId="5" fillId="2" borderId="1" xfId="0" applyNumberFormat="1" applyFont="1" applyFill="1" applyBorder="1" applyAlignment="1">
      <alignment horizontal="center" vertical="center"/>
    </xf>
    <xf numFmtId="4" fontId="5" fillId="2" borderId="2" xfId="0" applyNumberFormat="1" applyFont="1" applyFill="1" applyBorder="1" applyAlignment="1">
      <alignment horizontal="center" vertical="center"/>
    </xf>
    <xf numFmtId="4" fontId="5" fillId="3" borderId="2" xfId="0" applyNumberFormat="1" applyFont="1" applyFill="1" applyBorder="1" applyAlignment="1">
      <alignment horizontal="center" vertical="center"/>
    </xf>
    <xf numFmtId="4" fontId="5" fillId="3" borderId="1" xfId="0" applyNumberFormat="1" applyFont="1" applyFill="1" applyBorder="1" applyAlignment="1">
      <alignment horizontal="center" vertical="center"/>
    </xf>
    <xf numFmtId="4" fontId="5" fillId="2" borderId="4" xfId="0" applyNumberFormat="1" applyFont="1" applyFill="1" applyBorder="1" applyAlignment="1">
      <alignment horizontal="center" vertical="center"/>
    </xf>
    <xf numFmtId="4" fontId="5" fillId="0" borderId="20" xfId="0" applyNumberFormat="1" applyFont="1" applyBorder="1" applyAlignment="1">
      <alignment horizontal="center" vertical="center"/>
    </xf>
    <xf numFmtId="4" fontId="5" fillId="0" borderId="4" xfId="0" applyNumberFormat="1" applyFont="1" applyBorder="1" applyAlignment="1">
      <alignment horizontal="center" vertical="center"/>
    </xf>
    <xf numFmtId="4" fontId="5" fillId="0" borderId="2" xfId="0" applyNumberFormat="1" applyFont="1" applyBorder="1" applyAlignment="1">
      <alignment horizontal="center" vertical="center"/>
    </xf>
    <xf numFmtId="4" fontId="8" fillId="0" borderId="0" xfId="1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vertical="top"/>
    </xf>
    <xf numFmtId="4" fontId="4" fillId="0" borderId="3" xfId="1" applyNumberFormat="1" applyBorder="1" applyAlignment="1">
      <alignment horizontal="center" vertical="center"/>
    </xf>
    <xf numFmtId="4" fontId="7" fillId="0" borderId="3" xfId="0" applyNumberFormat="1" applyFont="1" applyBorder="1" applyAlignment="1">
      <alignment horizontal="center" vertical="center"/>
    </xf>
    <xf numFmtId="4" fontId="10" fillId="0" borderId="3" xfId="0" applyNumberFormat="1" applyFont="1" applyBorder="1" applyAlignment="1">
      <alignment horizontal="center" vertical="center"/>
    </xf>
    <xf numFmtId="43" fontId="5" fillId="0" borderId="24" xfId="2" applyFont="1" applyBorder="1" applyAlignment="1">
      <alignment horizontal="center" vertical="center"/>
    </xf>
    <xf numFmtId="4" fontId="10" fillId="0" borderId="20" xfId="0" applyNumberFormat="1" applyFont="1" applyBorder="1" applyAlignment="1">
      <alignment horizontal="center" vertical="center"/>
    </xf>
    <xf numFmtId="4" fontId="10" fillId="0" borderId="22" xfId="0" applyNumberFormat="1" applyFont="1" applyBorder="1" applyAlignment="1">
      <alignment horizontal="center" vertical="center"/>
    </xf>
    <xf numFmtId="4" fontId="10" fillId="0" borderId="16" xfId="0" applyNumberFormat="1" applyFont="1" applyBorder="1" applyAlignment="1">
      <alignment horizontal="center" vertical="center"/>
    </xf>
    <xf numFmtId="4" fontId="4" fillId="0" borderId="3" xfId="1" applyNumberFormat="1" applyFill="1" applyBorder="1" applyAlignment="1">
      <alignment horizontal="center" vertical="center"/>
    </xf>
    <xf numFmtId="4" fontId="8" fillId="0" borderId="3" xfId="1" applyNumberFormat="1" applyFont="1" applyFill="1" applyBorder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5" fillId="7" borderId="0" xfId="0" applyFont="1" applyFill="1" applyAlignment="1">
      <alignment vertical="center"/>
    </xf>
    <xf numFmtId="0" fontId="14" fillId="7" borderId="0" xfId="0" applyFont="1" applyFill="1" applyAlignment="1">
      <alignment vertical="center"/>
    </xf>
    <xf numFmtId="164" fontId="5" fillId="6" borderId="0" xfId="0" applyNumberFormat="1" applyFont="1" applyFill="1" applyAlignment="1">
      <alignment horizontal="center" vertical="center"/>
    </xf>
    <xf numFmtId="4" fontId="5" fillId="6" borderId="0" xfId="0" applyNumberFormat="1" applyFont="1" applyFill="1" applyAlignment="1">
      <alignment horizontal="center" vertical="center"/>
    </xf>
    <xf numFmtId="4" fontId="5" fillId="6" borderId="1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4" fontId="5" fillId="3" borderId="0" xfId="0" applyNumberFormat="1" applyFont="1" applyFill="1" applyAlignment="1">
      <alignment horizontal="center" vertical="center"/>
    </xf>
    <xf numFmtId="4" fontId="16" fillId="0" borderId="3" xfId="0" applyNumberFormat="1" applyFont="1" applyBorder="1" applyAlignment="1">
      <alignment horizontal="center" vertical="center"/>
    </xf>
    <xf numFmtId="4" fontId="16" fillId="0" borderId="17" xfId="0" applyNumberFormat="1" applyFont="1" applyBorder="1" applyAlignment="1">
      <alignment horizontal="center" vertical="center"/>
    </xf>
    <xf numFmtId="4" fontId="16" fillId="0" borderId="15" xfId="0" applyNumberFormat="1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" fontId="6" fillId="0" borderId="3" xfId="0" applyNumberFormat="1" applyFont="1" applyBorder="1" applyAlignment="1">
      <alignment horizontal="center" vertical="center"/>
    </xf>
    <xf numFmtId="4" fontId="18" fillId="0" borderId="3" xfId="1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8" fillId="0" borderId="6" xfId="1" applyFont="1" applyFill="1" applyBorder="1" applyAlignment="1">
      <alignment horizontal="center"/>
    </xf>
    <xf numFmtId="0" fontId="9" fillId="0" borderId="21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vertical="top" wrapText="1"/>
    </xf>
    <xf numFmtId="0" fontId="2" fillId="0" borderId="0" xfId="0" applyFont="1" applyAlignment="1">
      <alignment vertical="center"/>
    </xf>
    <xf numFmtId="0" fontId="25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/>
    <xf numFmtId="0" fontId="2" fillId="0" borderId="13" xfId="0" applyFont="1" applyBorder="1"/>
    <xf numFmtId="0" fontId="2" fillId="0" borderId="6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left"/>
    </xf>
    <xf numFmtId="0" fontId="2" fillId="0" borderId="9" xfId="0" applyFont="1" applyBorder="1" applyAlignment="1">
      <alignment horizontal="center"/>
    </xf>
    <xf numFmtId="0" fontId="3" fillId="0" borderId="0" xfId="0" applyFont="1" applyAlignment="1">
      <alignment horizontal="left"/>
    </xf>
    <xf numFmtId="164" fontId="2" fillId="0" borderId="0" xfId="0" applyNumberFormat="1" applyFont="1" applyAlignment="1">
      <alignment horizontal="right"/>
    </xf>
    <xf numFmtId="0" fontId="2" fillId="0" borderId="11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39" fontId="2" fillId="0" borderId="9" xfId="0" applyNumberFormat="1" applyFont="1" applyBorder="1" applyAlignment="1">
      <alignment horizontal="right"/>
    </xf>
    <xf numFmtId="0" fontId="2" fillId="0" borderId="10" xfId="0" applyFont="1" applyBorder="1" applyAlignment="1">
      <alignment horizontal="center"/>
    </xf>
    <xf numFmtId="164" fontId="2" fillId="0" borderId="9" xfId="0" applyNumberFormat="1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4" fontId="2" fillId="0" borderId="0" xfId="0" applyNumberFormat="1" applyFont="1" applyAlignment="1">
      <alignment horizontal="center" vertical="center"/>
    </xf>
    <xf numFmtId="0" fontId="3" fillId="0" borderId="13" xfId="0" applyFont="1" applyBorder="1" applyAlignment="1">
      <alignment horizontal="center"/>
    </xf>
    <xf numFmtId="39" fontId="2" fillId="0" borderId="0" xfId="0" applyNumberFormat="1" applyFont="1" applyAlignment="1">
      <alignment horizontal="right"/>
    </xf>
    <xf numFmtId="0" fontId="2" fillId="0" borderId="13" xfId="0" applyFont="1" applyBorder="1" applyAlignment="1">
      <alignment horizontal="left"/>
    </xf>
    <xf numFmtId="0" fontId="2" fillId="0" borderId="14" xfId="0" applyFont="1" applyBorder="1" applyAlignment="1">
      <alignment horizontal="right"/>
    </xf>
    <xf numFmtId="0" fontId="26" fillId="0" borderId="0" xfId="0" applyFont="1" applyAlignment="1">
      <alignment horizontal="center" wrapText="1"/>
    </xf>
    <xf numFmtId="0" fontId="2" fillId="0" borderId="0" xfId="0" applyFont="1" applyAlignment="1">
      <alignment horizontal="center" vertical="top"/>
    </xf>
    <xf numFmtId="4" fontId="10" fillId="0" borderId="10" xfId="0" applyNumberFormat="1" applyFont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4" fontId="6" fillId="5" borderId="3" xfId="0" applyNumberFormat="1" applyFont="1" applyFill="1" applyBorder="1" applyAlignment="1">
      <alignment horizontal="center" vertical="center"/>
    </xf>
    <xf numFmtId="2" fontId="5" fillId="0" borderId="24" xfId="2" applyNumberFormat="1" applyFont="1" applyFill="1" applyBorder="1" applyAlignment="1"/>
    <xf numFmtId="0" fontId="29" fillId="0" borderId="3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29" fillId="4" borderId="3" xfId="0" applyFont="1" applyFill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3" fillId="4" borderId="3" xfId="0" applyFont="1" applyFill="1" applyBorder="1" applyAlignment="1">
      <alignment horizontal="center" vertical="center"/>
    </xf>
    <xf numFmtId="4" fontId="5" fillId="6" borderId="3" xfId="0" applyNumberFormat="1" applyFont="1" applyFill="1" applyBorder="1" applyAlignment="1">
      <alignment horizontal="center" vertical="center"/>
    </xf>
    <xf numFmtId="0" fontId="29" fillId="6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4" fontId="5" fillId="6" borderId="1" xfId="0" applyNumberFormat="1" applyFont="1" applyFill="1" applyBorder="1" applyAlignment="1">
      <alignment horizontal="center" vertical="center"/>
    </xf>
    <xf numFmtId="4" fontId="5" fillId="6" borderId="4" xfId="0" applyNumberFormat="1" applyFont="1" applyFill="1" applyBorder="1" applyAlignment="1">
      <alignment horizontal="center" vertical="center"/>
    </xf>
    <xf numFmtId="4" fontId="10" fillId="6" borderId="3" xfId="0" applyNumberFormat="1" applyFont="1" applyFill="1" applyBorder="1" applyAlignment="1">
      <alignment horizontal="center" vertical="center"/>
    </xf>
    <xf numFmtId="43" fontId="5" fillId="0" borderId="24" xfId="2" applyFont="1" applyBorder="1" applyAlignment="1">
      <alignment horizontal="left"/>
    </xf>
    <xf numFmtId="43" fontId="5" fillId="0" borderId="24" xfId="2" applyFont="1" applyFill="1" applyBorder="1" applyAlignment="1"/>
    <xf numFmtId="4" fontId="5" fillId="0" borderId="5" xfId="0" applyNumberFormat="1" applyFont="1" applyBorder="1" applyAlignment="1">
      <alignment horizontal="center" vertical="center"/>
    </xf>
    <xf numFmtId="4" fontId="5" fillId="0" borderId="19" xfId="0" applyNumberFormat="1" applyFont="1" applyBorder="1" applyAlignment="1">
      <alignment horizontal="center" vertical="center"/>
    </xf>
    <xf numFmtId="0" fontId="1" fillId="9" borderId="0" xfId="0" applyFont="1" applyFill="1" applyAlignment="1">
      <alignment horizontal="left" vertical="center"/>
    </xf>
    <xf numFmtId="0" fontId="1" fillId="9" borderId="0" xfId="0" applyFont="1" applyFill="1" applyAlignment="1">
      <alignment horizontal="center" vertical="center"/>
    </xf>
    <xf numFmtId="4" fontId="10" fillId="2" borderId="3" xfId="0" applyNumberFormat="1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4" fontId="10" fillId="11" borderId="3" xfId="0" applyNumberFormat="1" applyFont="1" applyFill="1" applyBorder="1" applyAlignment="1">
      <alignment horizontal="center" vertical="center"/>
    </xf>
    <xf numFmtId="0" fontId="28" fillId="6" borderId="0" xfId="0" applyFont="1" applyFill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4" fontId="16" fillId="3" borderId="3" xfId="0" applyNumberFormat="1" applyFont="1" applyFill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6" borderId="3" xfId="0" applyFont="1" applyFill="1" applyBorder="1" applyAlignment="1">
      <alignment horizontal="center" vertical="center"/>
    </xf>
    <xf numFmtId="2" fontId="5" fillId="0" borderId="17" xfId="2" applyNumberFormat="1" applyFont="1" applyBorder="1" applyAlignment="1">
      <alignment horizontal="center" vertical="center"/>
    </xf>
    <xf numFmtId="43" fontId="5" fillId="0" borderId="17" xfId="2" applyFont="1" applyBorder="1" applyAlignment="1">
      <alignment horizontal="center" vertical="center"/>
    </xf>
    <xf numFmtId="164" fontId="5" fillId="2" borderId="6" xfId="0" applyNumberFormat="1" applyFont="1" applyFill="1" applyBorder="1" applyAlignment="1">
      <alignment horizontal="center" vertical="center"/>
    </xf>
    <xf numFmtId="4" fontId="5" fillId="6" borderId="22" xfId="0" applyNumberFormat="1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32" fillId="6" borderId="3" xfId="0" applyFont="1" applyFill="1" applyBorder="1" applyAlignment="1">
      <alignment horizontal="center" vertical="center"/>
    </xf>
    <xf numFmtId="43" fontId="5" fillId="6" borderId="17" xfId="2" applyFont="1" applyFill="1" applyBorder="1" applyAlignment="1">
      <alignment horizontal="center" vertical="center"/>
    </xf>
    <xf numFmtId="2" fontId="5" fillId="6" borderId="24" xfId="2" applyNumberFormat="1" applyFont="1" applyFill="1" applyBorder="1" applyAlignment="1"/>
    <xf numFmtId="4" fontId="6" fillId="6" borderId="3" xfId="0" applyNumberFormat="1" applyFont="1" applyFill="1" applyBorder="1" applyAlignment="1">
      <alignment horizontal="center" vertical="center"/>
    </xf>
    <xf numFmtId="4" fontId="16" fillId="6" borderId="3" xfId="0" applyNumberFormat="1" applyFont="1" applyFill="1" applyBorder="1" applyAlignment="1">
      <alignment horizontal="center" vertical="center"/>
    </xf>
    <xf numFmtId="4" fontId="5" fillId="6" borderId="17" xfId="0" applyNumberFormat="1" applyFont="1" applyFill="1" applyBorder="1" applyAlignment="1">
      <alignment horizontal="center" vertical="center"/>
    </xf>
    <xf numFmtId="2" fontId="5" fillId="0" borderId="3" xfId="0" applyNumberFormat="1" applyFont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13" fillId="5" borderId="3" xfId="0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5" fillId="8" borderId="3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/>
    </xf>
    <xf numFmtId="2" fontId="4" fillId="0" borderId="3" xfId="1" applyNumberForma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2" fontId="13" fillId="0" borderId="3" xfId="0" applyNumberFormat="1" applyFont="1" applyBorder="1" applyAlignment="1">
      <alignment horizontal="center" vertical="center"/>
    </xf>
    <xf numFmtId="2" fontId="8" fillId="0" borderId="3" xfId="1" applyNumberFormat="1" applyFont="1" applyFill="1" applyBorder="1" applyAlignment="1">
      <alignment horizontal="center" vertical="center"/>
    </xf>
    <xf numFmtId="2" fontId="10" fillId="10" borderId="3" xfId="0" applyNumberFormat="1" applyFont="1" applyFill="1" applyBorder="1" applyAlignment="1">
      <alignment horizontal="center" vertical="center"/>
    </xf>
    <xf numFmtId="2" fontId="4" fillId="0" borderId="3" xfId="1" applyNumberFormat="1" applyFill="1" applyBorder="1" applyAlignment="1">
      <alignment horizontal="center" vertical="center"/>
    </xf>
    <xf numFmtId="2" fontId="5" fillId="0" borderId="15" xfId="0" applyNumberFormat="1" applyFont="1" applyBorder="1" applyAlignment="1">
      <alignment horizontal="center" vertical="center"/>
    </xf>
    <xf numFmtId="2" fontId="5" fillId="0" borderId="3" xfId="0" applyNumberFormat="1" applyFont="1" applyBorder="1" applyAlignment="1">
      <alignment vertical="center"/>
    </xf>
    <xf numFmtId="2" fontId="5" fillId="0" borderId="28" xfId="0" applyNumberFormat="1" applyFont="1" applyBorder="1" applyAlignment="1">
      <alignment horizontal="center" vertical="center"/>
    </xf>
    <xf numFmtId="2" fontId="5" fillId="0" borderId="29" xfId="0" applyNumberFormat="1" applyFont="1" applyBorder="1" applyAlignment="1">
      <alignment horizontal="center" vertical="center"/>
    </xf>
    <xf numFmtId="2" fontId="5" fillId="0" borderId="25" xfId="0" applyNumberFormat="1" applyFont="1" applyBorder="1" applyAlignment="1">
      <alignment horizontal="center" vertical="center"/>
    </xf>
    <xf numFmtId="2" fontId="5" fillId="2" borderId="25" xfId="2" applyNumberFormat="1" applyFont="1" applyFill="1" applyBorder="1" applyAlignment="1">
      <alignment horizontal="center" vertical="center"/>
    </xf>
    <xf numFmtId="2" fontId="5" fillId="0" borderId="26" xfId="0" applyNumberFormat="1" applyFont="1" applyBorder="1" applyAlignment="1">
      <alignment horizontal="center" vertical="center"/>
    </xf>
    <xf numFmtId="2" fontId="5" fillId="0" borderId="27" xfId="0" applyNumberFormat="1" applyFont="1" applyBorder="1" applyAlignment="1">
      <alignment horizontal="center" vertical="center"/>
    </xf>
    <xf numFmtId="2" fontId="13" fillId="5" borderId="25" xfId="0" applyNumberFormat="1" applyFont="1" applyFill="1" applyBorder="1" applyAlignment="1">
      <alignment horizontal="center" vertical="center"/>
    </xf>
    <xf numFmtId="2" fontId="10" fillId="0" borderId="25" xfId="0" applyNumberFormat="1" applyFont="1" applyBorder="1" applyAlignment="1">
      <alignment horizontal="center" vertical="center"/>
    </xf>
    <xf numFmtId="2" fontId="5" fillId="4" borderId="25" xfId="0" applyNumberFormat="1" applyFont="1" applyFill="1" applyBorder="1" applyAlignment="1">
      <alignment horizontal="center" vertical="center"/>
    </xf>
    <xf numFmtId="2" fontId="8" fillId="0" borderId="25" xfId="1" applyNumberFormat="1" applyFont="1" applyBorder="1" applyAlignment="1">
      <alignment horizontal="center" vertical="center"/>
    </xf>
    <xf numFmtId="2" fontId="2" fillId="0" borderId="25" xfId="0" applyNumberFormat="1" applyFont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2" fontId="5" fillId="6" borderId="3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5" fillId="6" borderId="4" xfId="0" applyNumberFormat="1" applyFont="1" applyFill="1" applyBorder="1" applyAlignment="1">
      <alignment horizontal="center" vertical="center"/>
    </xf>
    <xf numFmtId="2" fontId="5" fillId="6" borderId="25" xfId="0" applyNumberFormat="1" applyFont="1" applyFill="1" applyBorder="1" applyAlignment="1">
      <alignment horizontal="center" vertical="center"/>
    </xf>
    <xf numFmtId="2" fontId="13" fillId="6" borderId="3" xfId="0" applyNumberFormat="1" applyFont="1" applyFill="1" applyBorder="1" applyAlignment="1">
      <alignment horizontal="center" vertical="center"/>
    </xf>
    <xf numFmtId="2" fontId="10" fillId="6" borderId="3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4" fontId="1" fillId="0" borderId="0" xfId="0" applyNumberFormat="1" applyFont="1" applyAlignment="1">
      <alignment horizontal="center" vertical="center"/>
    </xf>
    <xf numFmtId="0" fontId="27" fillId="0" borderId="3" xfId="0" applyFont="1" applyBorder="1" applyAlignment="1">
      <alignment horizontal="left" vertical="center"/>
    </xf>
    <xf numFmtId="0" fontId="27" fillId="0" borderId="6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/>
    </xf>
    <xf numFmtId="0" fontId="25" fillId="0" borderId="0" xfId="0" applyFont="1" applyAlignment="1">
      <alignment horizontal="left"/>
    </xf>
    <xf numFmtId="0" fontId="3" fillId="0" borderId="18" xfId="0" applyFont="1" applyBorder="1" applyAlignment="1">
      <alignment horizontal="center" vertical="center"/>
    </xf>
  </cellXfs>
  <cellStyles count="3">
    <cellStyle name="Hyperlink" xfId="1" builtinId="8"/>
    <cellStyle name="จุลภาค" xfId="2" builtinId="3"/>
    <cellStyle name="ปกติ" xfId="0" builtinId="0"/>
  </cellStyles>
  <dxfs count="0"/>
  <tableStyles count="0" defaultTableStyle="TableStyleMedium2" defaultPivotStyle="PivotStyleLight16"/>
  <colors>
    <mruColors>
      <color rgb="FFFFD1D1"/>
      <color rgb="FFDAE2F2"/>
      <color rgb="FFECF0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ove_sun8297@hotmail.com" TargetMode="External"/><Relationship Id="rId13" Type="http://schemas.openxmlformats.org/officeDocument/2006/relationships/hyperlink" Target="mailto:adisornn1996@gmail.com" TargetMode="External"/><Relationship Id="rId18" Type="http://schemas.openxmlformats.org/officeDocument/2006/relationships/hyperlink" Target="mailto:warapornsingkala@gmail.com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mailto:ahla78453@gmail.com" TargetMode="External"/><Relationship Id="rId21" Type="http://schemas.openxmlformats.org/officeDocument/2006/relationships/hyperlink" Target="mailto:woranuchindg@gmail.com" TargetMode="External"/><Relationship Id="rId7" Type="http://schemas.openxmlformats.org/officeDocument/2006/relationships/hyperlink" Target="mailto:latlan98@gmail.com" TargetMode="External"/><Relationship Id="rId12" Type="http://schemas.openxmlformats.org/officeDocument/2006/relationships/hyperlink" Target="mailto:jirapa1999nat@gmail.com" TargetMode="External"/><Relationship Id="rId17" Type="http://schemas.openxmlformats.org/officeDocument/2006/relationships/hyperlink" Target="mailto:chen.wutthiwong4@gmail.com" TargetMode="External"/><Relationship Id="rId25" Type="http://schemas.openxmlformats.org/officeDocument/2006/relationships/hyperlink" Target="mailto:suthasinee2817@gmail.com" TargetMode="External"/><Relationship Id="rId2" Type="http://schemas.openxmlformats.org/officeDocument/2006/relationships/hyperlink" Target="mailto:khammany557@gmail.com" TargetMode="External"/><Relationship Id="rId16" Type="http://schemas.openxmlformats.org/officeDocument/2006/relationships/hyperlink" Target="mailto:abdullohawae141997@gmail.com" TargetMode="External"/><Relationship Id="rId20" Type="http://schemas.openxmlformats.org/officeDocument/2006/relationships/hyperlink" Target="mailto:oo7419074@gmail.com" TargetMode="External"/><Relationship Id="rId1" Type="http://schemas.openxmlformats.org/officeDocument/2006/relationships/hyperlink" Target="mailto:maxwwecom@gmail.com" TargetMode="External"/><Relationship Id="rId6" Type="http://schemas.openxmlformats.org/officeDocument/2006/relationships/hyperlink" Target="mailto:jta875094@gmail.com" TargetMode="External"/><Relationship Id="rId11" Type="http://schemas.openxmlformats.org/officeDocument/2006/relationships/hyperlink" Target="mailto:ladavi884@gmail.com" TargetMode="External"/><Relationship Id="rId24" Type="http://schemas.openxmlformats.org/officeDocument/2006/relationships/hyperlink" Target="mailto:kanitsananice@gmail.com" TargetMode="External"/><Relationship Id="rId5" Type="http://schemas.openxmlformats.org/officeDocument/2006/relationships/hyperlink" Target="mailto:lac98839@gmail.com" TargetMode="External"/><Relationship Id="rId15" Type="http://schemas.openxmlformats.org/officeDocument/2006/relationships/hyperlink" Target="mailto:serypim279@gmail.com" TargetMode="External"/><Relationship Id="rId23" Type="http://schemas.openxmlformats.org/officeDocument/2006/relationships/hyperlink" Target="mailto:panupol123za@gmail.com" TargetMode="External"/><Relationship Id="rId10" Type="http://schemas.openxmlformats.org/officeDocument/2006/relationships/hyperlink" Target="mailto:fatihah.yihama@gmail.com" TargetMode="External"/><Relationship Id="rId19" Type="http://schemas.openxmlformats.org/officeDocument/2006/relationships/hyperlink" Target="mailto:sornphet263@gmail.com" TargetMode="External"/><Relationship Id="rId4" Type="http://schemas.openxmlformats.org/officeDocument/2006/relationships/hyperlink" Target="mailto:takkyvillai@gmail.com" TargetMode="External"/><Relationship Id="rId9" Type="http://schemas.openxmlformats.org/officeDocument/2006/relationships/hyperlink" Target="mailto:leescreamoemopunk@hotmail.com" TargetMode="External"/><Relationship Id="rId14" Type="http://schemas.openxmlformats.org/officeDocument/2006/relationships/hyperlink" Target="mailto:faisniheng@gmail.com" TargetMode="External"/><Relationship Id="rId22" Type="http://schemas.openxmlformats.org/officeDocument/2006/relationships/hyperlink" Target="mailto:Akekawin05s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hanafeechedong@gmail.com" TargetMode="External"/><Relationship Id="rId13" Type="http://schemas.openxmlformats.org/officeDocument/2006/relationships/hyperlink" Target="mailto:mineminechit1@gmail.com" TargetMode="External"/><Relationship Id="rId18" Type="http://schemas.openxmlformats.org/officeDocument/2006/relationships/hyperlink" Target="mailto:mew29052545@gmail.com" TargetMode="External"/><Relationship Id="rId26" Type="http://schemas.openxmlformats.org/officeDocument/2006/relationships/hyperlink" Target="mailto:panuwatrodpibat@gmail.com" TargetMode="External"/><Relationship Id="rId3" Type="http://schemas.openxmlformats.org/officeDocument/2006/relationships/hyperlink" Target="mailto:tawan.yekoko@gmail.com" TargetMode="External"/><Relationship Id="rId21" Type="http://schemas.openxmlformats.org/officeDocument/2006/relationships/hyperlink" Target="mailto:bi8079454@gmail.com" TargetMode="External"/><Relationship Id="rId7" Type="http://schemas.openxmlformats.org/officeDocument/2006/relationships/hyperlink" Target="mailto:sickxchef@gmail.com" TargetMode="External"/><Relationship Id="rId12" Type="http://schemas.openxmlformats.org/officeDocument/2006/relationships/hyperlink" Target="mailto:cfdd4726@gmail.com" TargetMode="External"/><Relationship Id="rId17" Type="http://schemas.openxmlformats.org/officeDocument/2006/relationships/hyperlink" Target="mailto:khamnanboonpen7@gmail.com" TargetMode="External"/><Relationship Id="rId25" Type="http://schemas.openxmlformats.org/officeDocument/2006/relationships/hyperlink" Target="mailto:beempailin27@gmail.com" TargetMode="External"/><Relationship Id="rId2" Type="http://schemas.openxmlformats.org/officeDocument/2006/relationships/hyperlink" Target="mailto:bunthoeurn08092@gmail.com" TargetMode="External"/><Relationship Id="rId16" Type="http://schemas.openxmlformats.org/officeDocument/2006/relationships/hyperlink" Target="mailto:paponpatrojjanadara@gmail.com" TargetMode="External"/><Relationship Id="rId20" Type="http://schemas.openxmlformats.org/officeDocument/2006/relationships/hyperlink" Target="mailto:Fattah150520@gmail.com" TargetMode="External"/><Relationship Id="rId29" Type="http://schemas.openxmlformats.org/officeDocument/2006/relationships/hyperlink" Target="mailto:chetthaprgg@gmail.com" TargetMode="External"/><Relationship Id="rId1" Type="http://schemas.openxmlformats.org/officeDocument/2006/relationships/hyperlink" Target="mailto:fareeda426677@gmail.com" TargetMode="External"/><Relationship Id="rId6" Type="http://schemas.openxmlformats.org/officeDocument/2006/relationships/hyperlink" Target="mailto:aisa79328@gmail.com" TargetMode="External"/><Relationship Id="rId11" Type="http://schemas.openxmlformats.org/officeDocument/2006/relationships/hyperlink" Target="mailto:peerapattae80s@gmail.com" TargetMode="External"/><Relationship Id="rId24" Type="http://schemas.openxmlformats.org/officeDocument/2006/relationships/hyperlink" Target="mailto:seedarjun4@gmail.com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mailto:ibrohengmasae280742@gmail.com" TargetMode="External"/><Relationship Id="rId15" Type="http://schemas.openxmlformats.org/officeDocument/2006/relationships/hyperlink" Target="mailto:halwa324@gmail.com" TargetMode="External"/><Relationship Id="rId23" Type="http://schemas.openxmlformats.org/officeDocument/2006/relationships/hyperlink" Target="mailto:aaaeee33240@gmail.com" TargetMode="External"/><Relationship Id="rId28" Type="http://schemas.openxmlformats.org/officeDocument/2006/relationships/hyperlink" Target="mailto:alisa.ip7xx@gmail.com" TargetMode="External"/><Relationship Id="rId10" Type="http://schemas.openxmlformats.org/officeDocument/2006/relationships/hyperlink" Target="mailto:vinwia992002@gmail.com" TargetMode="External"/><Relationship Id="rId19" Type="http://schemas.openxmlformats.org/officeDocument/2006/relationships/hyperlink" Target="mailto:aduenan876@gmail.com" TargetMode="External"/><Relationship Id="rId31" Type="http://schemas.openxmlformats.org/officeDocument/2006/relationships/hyperlink" Target="mailto:rodpibat1992@gmail.com" TargetMode="External"/><Relationship Id="rId4" Type="http://schemas.openxmlformats.org/officeDocument/2006/relationships/hyperlink" Target="mailto:Wipaporn.pra50@gmail.com" TargetMode="External"/><Relationship Id="rId9" Type="http://schemas.openxmlformats.org/officeDocument/2006/relationships/hyperlink" Target="mailto:shoeklane@gmail.com" TargetMode="External"/><Relationship Id="rId14" Type="http://schemas.openxmlformats.org/officeDocument/2006/relationships/hyperlink" Target="mailto:sunsrithnakr@gmail.com" TargetMode="External"/><Relationship Id="rId22" Type="http://schemas.openxmlformats.org/officeDocument/2006/relationships/hyperlink" Target="mailto:zzzza8877@gmail.com" TargetMode="External"/><Relationship Id="rId27" Type="http://schemas.openxmlformats.org/officeDocument/2006/relationships/hyperlink" Target="mailto:yago23my@gmail.com" TargetMode="External"/><Relationship Id="rId30" Type="http://schemas.openxmlformats.org/officeDocument/2006/relationships/hyperlink" Target="mailto:jackmui200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2AA9-4506-EC43-96A0-E9B6D7E62CFE}">
  <dimension ref="A1:AF38"/>
  <sheetViews>
    <sheetView showGridLines="0" topLeftCell="T1" zoomScaleNormal="100" zoomScaleSheetLayoutView="52" workbookViewId="0">
      <pane ySplit="2" topLeftCell="A3" activePane="bottomLeft" state="frozen"/>
      <selection pane="bottomLeft" activeCell="AF7" sqref="AF7"/>
    </sheetView>
  </sheetViews>
  <sheetFormatPr defaultColWidth="7.5546875" defaultRowHeight="22.5" customHeight="1"/>
  <cols>
    <col min="1" max="1" width="7.77734375" style="1" customWidth="1"/>
    <col min="2" max="2" width="29" style="1" customWidth="1"/>
    <col min="3" max="3" width="9.88671875" style="1" customWidth="1"/>
    <col min="4" max="4" width="7.5546875" style="1" customWidth="1"/>
    <col min="5" max="5" width="14.21875" style="1" customWidth="1"/>
    <col min="6" max="6" width="11.77734375" style="1" customWidth="1"/>
    <col min="7" max="7" width="14.21875" style="1" customWidth="1"/>
    <col min="8" max="9" width="11.5546875" style="1" customWidth="1"/>
    <col min="10" max="10" width="10.88671875" style="1" customWidth="1"/>
    <col min="11" max="11" width="12.109375" style="1" customWidth="1"/>
    <col min="12" max="12" width="7.77734375" style="1" customWidth="1"/>
    <col min="13" max="13" width="15.21875" style="1" customWidth="1"/>
    <col min="14" max="14" width="12.33203125" style="1" customWidth="1"/>
    <col min="15" max="15" width="14.44140625" style="1" customWidth="1"/>
    <col min="16" max="16" width="10.6640625" style="53" customWidth="1"/>
    <col min="17" max="19" width="7.77734375" style="1" customWidth="1"/>
    <col min="20" max="20" width="8.6640625" style="1" customWidth="1"/>
    <col min="21" max="21" width="18.109375" style="1" customWidth="1"/>
    <col min="22" max="22" width="9.6640625" style="1" customWidth="1"/>
    <col min="23" max="23" width="8.77734375" style="5" customWidth="1"/>
    <col min="24" max="26" width="7.5546875" style="5" customWidth="1"/>
    <col min="27" max="27" width="10.6640625" style="5" customWidth="1"/>
    <col min="28" max="28" width="9.21875" style="5" customWidth="1"/>
    <col min="29" max="29" width="12.21875" style="5" customWidth="1"/>
    <col min="30" max="30" width="16.21875" style="151" bestFit="1" customWidth="1"/>
    <col min="31" max="31" width="8.77734375" style="1" customWidth="1"/>
    <col min="33" max="16384" width="7.5546875" style="1"/>
  </cols>
  <sheetData>
    <row r="1" spans="1:31" ht="21.9" customHeight="1">
      <c r="A1" s="207" t="s">
        <v>240</v>
      </c>
      <c r="B1" s="208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2"/>
      <c r="Q1" s="5"/>
      <c r="R1" s="5"/>
      <c r="S1" s="5"/>
      <c r="T1" s="5"/>
      <c r="U1" s="5"/>
      <c r="V1" s="5"/>
      <c r="AE1" s="5"/>
    </row>
    <row r="2" spans="1:31" ht="21.9" customHeight="1">
      <c r="A2" s="9" t="s">
        <v>0</v>
      </c>
      <c r="B2" s="24" t="s">
        <v>1</v>
      </c>
      <c r="C2" s="9" t="s">
        <v>2</v>
      </c>
      <c r="D2" s="9" t="s">
        <v>3</v>
      </c>
      <c r="E2" s="25" t="s">
        <v>4</v>
      </c>
      <c r="F2" s="25" t="s">
        <v>5</v>
      </c>
      <c r="G2" s="25" t="s">
        <v>6</v>
      </c>
      <c r="H2" s="26" t="s">
        <v>7</v>
      </c>
      <c r="I2" s="26" t="s">
        <v>245</v>
      </c>
      <c r="J2" s="27" t="s">
        <v>8</v>
      </c>
      <c r="K2" s="28" t="s">
        <v>9</v>
      </c>
      <c r="L2" s="26" t="s">
        <v>10</v>
      </c>
      <c r="M2" s="28" t="s">
        <v>11</v>
      </c>
      <c r="N2" s="29" t="s">
        <v>12</v>
      </c>
      <c r="O2" s="11" t="s">
        <v>13</v>
      </c>
      <c r="P2" s="22" t="s">
        <v>14</v>
      </c>
      <c r="Q2" s="13" t="s">
        <v>15</v>
      </c>
      <c r="R2" s="13" t="s">
        <v>16</v>
      </c>
      <c r="S2" s="11" t="s">
        <v>17</v>
      </c>
      <c r="T2" s="11" t="s">
        <v>18</v>
      </c>
      <c r="U2" s="160" t="s">
        <v>19</v>
      </c>
      <c r="V2" s="8" t="s">
        <v>20</v>
      </c>
      <c r="W2" s="22" t="s">
        <v>21</v>
      </c>
      <c r="X2" s="22" t="s">
        <v>22</v>
      </c>
      <c r="Y2" s="22" t="s">
        <v>23</v>
      </c>
      <c r="Z2" s="22" t="s">
        <v>24</v>
      </c>
      <c r="AA2" s="22" t="s">
        <v>25</v>
      </c>
      <c r="AB2" s="22" t="s">
        <v>26</v>
      </c>
      <c r="AC2" s="22" t="s">
        <v>27</v>
      </c>
      <c r="AD2" s="152" t="s">
        <v>243</v>
      </c>
      <c r="AE2" s="120" t="s">
        <v>28</v>
      </c>
    </row>
    <row r="3" spans="1:31" ht="21.9" customHeight="1">
      <c r="A3" s="130">
        <v>1</v>
      </c>
      <c r="B3" s="4" t="s">
        <v>29</v>
      </c>
      <c r="C3" s="58" t="s">
        <v>30</v>
      </c>
      <c r="D3" s="59" t="s">
        <v>31</v>
      </c>
      <c r="E3" s="16">
        <f>15000+450</f>
        <v>15450</v>
      </c>
      <c r="F3" s="25">
        <v>2000</v>
      </c>
      <c r="G3" s="16">
        <f>(E3/30)*AB3</f>
        <v>2060</v>
      </c>
      <c r="H3" s="31">
        <f>(((E3/30)/8*1.5))*AC3</f>
        <v>579.375</v>
      </c>
      <c r="I3" s="14">
        <f t="shared" ref="I3:I30" si="0">(((E3/30)/8*3))*AD3</f>
        <v>579.375</v>
      </c>
      <c r="J3" s="19">
        <v>1000</v>
      </c>
      <c r="K3" s="14">
        <v>4000</v>
      </c>
      <c r="L3" s="121">
        <v>750</v>
      </c>
      <c r="M3" s="30"/>
      <c r="N3" s="31"/>
      <c r="O3" s="13">
        <v>4000</v>
      </c>
      <c r="P3" s="55">
        <v>600</v>
      </c>
      <c r="Q3" s="14"/>
      <c r="R3" s="15">
        <f t="shared" ref="R3:R21" si="1">(E3/30)*IF(W3=0,0,W3) + (E3/30)*IF(Z3=0,0,Z3)</f>
        <v>0</v>
      </c>
      <c r="S3" s="19"/>
      <c r="T3" s="14"/>
      <c r="U3" s="14">
        <f>ROUND(E3+F3+G3+H3+I3+J3-K3-L3-M3+O3-P3-Q3-R3+S3+T3,0)</f>
        <v>20319</v>
      </c>
      <c r="V3" s="61" t="s">
        <v>32</v>
      </c>
      <c r="X3" s="4"/>
      <c r="Y3" s="4"/>
      <c r="Z3" s="4"/>
      <c r="AA3" s="4"/>
      <c r="AB3" s="4">
        <v>4</v>
      </c>
      <c r="AC3" s="4">
        <v>6</v>
      </c>
      <c r="AD3" s="75">
        <v>3</v>
      </c>
      <c r="AE3" s="23" t="s">
        <v>33</v>
      </c>
    </row>
    <row r="4" spans="1:31" ht="21.9" customHeight="1">
      <c r="A4" s="130">
        <v>2</v>
      </c>
      <c r="B4" s="62" t="s">
        <v>34</v>
      </c>
      <c r="C4" s="63" t="s">
        <v>35</v>
      </c>
      <c r="D4" s="64" t="s">
        <v>95</v>
      </c>
      <c r="E4" s="16">
        <f>14700+441</f>
        <v>15141</v>
      </c>
      <c r="F4" s="25">
        <v>1500</v>
      </c>
      <c r="G4" s="16">
        <f t="shared" ref="G4:G21" si="2">(E4/30)*AB4</f>
        <v>2018.8</v>
      </c>
      <c r="H4" s="31">
        <f>(((E4/30)/8*1.5))*AC4</f>
        <v>567.78749999999991</v>
      </c>
      <c r="I4" s="14">
        <f t="shared" si="0"/>
        <v>567.78749999999991</v>
      </c>
      <c r="J4" s="19">
        <v>800</v>
      </c>
      <c r="K4" s="14">
        <v>3000</v>
      </c>
      <c r="L4" s="121">
        <v>750</v>
      </c>
      <c r="M4" s="30"/>
      <c r="N4" s="31"/>
      <c r="O4" s="14"/>
      <c r="P4" s="55"/>
      <c r="Q4" s="14"/>
      <c r="R4" s="15">
        <f t="shared" si="1"/>
        <v>0</v>
      </c>
      <c r="S4" s="19"/>
      <c r="T4" s="14"/>
      <c r="U4" s="14">
        <f t="shared" ref="U4:U30" si="3">ROUND(E4+F4+G4+H4+I4+J4-K4-L4-M4+O4-P4-Q4-R4+S4+T4,0)</f>
        <v>16845</v>
      </c>
      <c r="V4" s="45" t="s">
        <v>36</v>
      </c>
      <c r="W4" s="4"/>
      <c r="X4" s="4"/>
      <c r="Y4" s="4"/>
      <c r="Z4" s="4"/>
      <c r="AA4" s="4"/>
      <c r="AB4" s="4">
        <v>4</v>
      </c>
      <c r="AC4" s="4">
        <v>6</v>
      </c>
      <c r="AD4" s="75">
        <v>3</v>
      </c>
      <c r="AE4" s="23" t="s">
        <v>33</v>
      </c>
    </row>
    <row r="5" spans="1:31" ht="21.9" customHeight="1">
      <c r="A5" s="130">
        <v>3</v>
      </c>
      <c r="B5" s="4" t="s">
        <v>37</v>
      </c>
      <c r="C5" s="58" t="s">
        <v>38</v>
      </c>
      <c r="D5" s="59" t="s">
        <v>39</v>
      </c>
      <c r="E5" s="16">
        <f>13520+406</f>
        <v>13926</v>
      </c>
      <c r="F5" s="16"/>
      <c r="G5" s="16">
        <f t="shared" si="2"/>
        <v>1856.8</v>
      </c>
      <c r="H5" s="31">
        <f>(((E5/30)/8*1.5))*AC5</f>
        <v>522.22499999999991</v>
      </c>
      <c r="I5" s="14">
        <f t="shared" si="0"/>
        <v>522.22499999999991</v>
      </c>
      <c r="J5" s="19">
        <v>800</v>
      </c>
      <c r="K5" s="14">
        <v>3000</v>
      </c>
      <c r="L5" s="121">
        <v>696.3</v>
      </c>
      <c r="M5" s="30"/>
      <c r="N5" s="31"/>
      <c r="O5" s="14"/>
      <c r="P5" s="55">
        <v>556</v>
      </c>
      <c r="Q5" s="14"/>
      <c r="R5" s="15">
        <f t="shared" si="1"/>
        <v>464.2</v>
      </c>
      <c r="S5" s="19"/>
      <c r="T5" s="38"/>
      <c r="U5" s="14">
        <f t="shared" si="3"/>
        <v>12911</v>
      </c>
      <c r="V5" s="45" t="s">
        <v>40</v>
      </c>
      <c r="W5" s="4">
        <v>1</v>
      </c>
      <c r="X5" s="4"/>
      <c r="Y5" s="4"/>
      <c r="Z5" s="4"/>
      <c r="AA5" s="4"/>
      <c r="AB5" s="4">
        <v>4</v>
      </c>
      <c r="AC5" s="4">
        <v>6</v>
      </c>
      <c r="AD5" s="75">
        <v>3</v>
      </c>
      <c r="AE5" s="23" t="s">
        <v>33</v>
      </c>
    </row>
    <row r="6" spans="1:31" ht="21.9" customHeight="1">
      <c r="A6" s="130">
        <v>4</v>
      </c>
      <c r="B6" s="65" t="s">
        <v>41</v>
      </c>
      <c r="C6" s="58" t="s">
        <v>42</v>
      </c>
      <c r="D6" s="59" t="s">
        <v>39</v>
      </c>
      <c r="E6" s="16">
        <f>13520+271</f>
        <v>13791</v>
      </c>
      <c r="F6" s="16"/>
      <c r="G6" s="16">
        <f t="shared" si="2"/>
        <v>1838.8</v>
      </c>
      <c r="H6" s="31">
        <f>(((E6/30)/8*1.5))*AC6</f>
        <v>517.16249999999991</v>
      </c>
      <c r="I6" s="14">
        <f t="shared" si="0"/>
        <v>517.16249999999991</v>
      </c>
      <c r="J6" s="19">
        <v>1000</v>
      </c>
      <c r="K6" s="14">
        <v>2000</v>
      </c>
      <c r="L6" s="60"/>
      <c r="M6" s="30"/>
      <c r="N6" s="31"/>
      <c r="O6" s="148">
        <v>200</v>
      </c>
      <c r="P6" s="56"/>
      <c r="Q6" s="14"/>
      <c r="R6" s="15">
        <f t="shared" si="1"/>
        <v>0</v>
      </c>
      <c r="S6" s="19"/>
      <c r="T6" s="14"/>
      <c r="U6" s="14">
        <f t="shared" si="3"/>
        <v>15864</v>
      </c>
      <c r="V6" s="44" t="s">
        <v>201</v>
      </c>
      <c r="W6" s="4"/>
      <c r="X6" s="4"/>
      <c r="Y6" s="4"/>
      <c r="Z6" s="4"/>
      <c r="AA6" s="4"/>
      <c r="AB6" s="4">
        <v>4</v>
      </c>
      <c r="AC6" s="4">
        <v>6</v>
      </c>
      <c r="AD6" s="75">
        <v>3</v>
      </c>
      <c r="AE6" s="23" t="s">
        <v>33</v>
      </c>
    </row>
    <row r="7" spans="1:31" ht="21.9" customHeight="1">
      <c r="A7" s="130">
        <v>5</v>
      </c>
      <c r="B7" s="65" t="s">
        <v>43</v>
      </c>
      <c r="C7" s="58" t="s">
        <v>44</v>
      </c>
      <c r="D7" s="59" t="s">
        <v>45</v>
      </c>
      <c r="E7" s="16">
        <f>21000+630</f>
        <v>21630</v>
      </c>
      <c r="F7" s="25">
        <v>1500</v>
      </c>
      <c r="G7" s="16">
        <f>(E7/30)*AB7</f>
        <v>2884</v>
      </c>
      <c r="H7" s="31">
        <f>(((E7/30)/8*1.5))*AC7</f>
        <v>811.125</v>
      </c>
      <c r="I7" s="14">
        <f t="shared" si="0"/>
        <v>811.125</v>
      </c>
      <c r="J7" s="19">
        <v>900</v>
      </c>
      <c r="K7" s="14">
        <v>2500</v>
      </c>
      <c r="L7" s="60"/>
      <c r="M7" s="30"/>
      <c r="N7" s="31"/>
      <c r="O7" s="39"/>
      <c r="P7" s="56">
        <v>324</v>
      </c>
      <c r="Q7" s="14"/>
      <c r="R7" s="14">
        <f t="shared" si="1"/>
        <v>0</v>
      </c>
      <c r="S7" s="19"/>
      <c r="T7" s="14"/>
      <c r="U7" s="14">
        <f t="shared" si="3"/>
        <v>25712</v>
      </c>
      <c r="V7" s="45" t="s">
        <v>46</v>
      </c>
      <c r="W7" s="4"/>
      <c r="X7" s="4"/>
      <c r="Y7" s="4"/>
      <c r="Z7" s="4"/>
      <c r="AA7" s="4"/>
      <c r="AB7" s="4">
        <v>4</v>
      </c>
      <c r="AC7" s="4">
        <v>6</v>
      </c>
      <c r="AD7" s="75">
        <v>3</v>
      </c>
      <c r="AE7" s="23" t="s">
        <v>33</v>
      </c>
    </row>
    <row r="8" spans="1:31" ht="21.9" customHeight="1">
      <c r="A8" s="130">
        <v>6</v>
      </c>
      <c r="B8" s="65" t="s">
        <v>211</v>
      </c>
      <c r="C8" s="58" t="s">
        <v>47</v>
      </c>
      <c r="D8" s="59" t="s">
        <v>48</v>
      </c>
      <c r="E8" s="16">
        <f>12600+378</f>
        <v>12978</v>
      </c>
      <c r="F8" s="16"/>
      <c r="G8" s="16">
        <f t="shared" si="2"/>
        <v>1730.4</v>
      </c>
      <c r="H8" s="31">
        <f t="shared" ref="H8:H13" si="4">(((E8/30)/8*1.5))*AC8</f>
        <v>405.56250000000006</v>
      </c>
      <c r="I8" s="14">
        <f t="shared" si="0"/>
        <v>486.67500000000007</v>
      </c>
      <c r="J8" s="19">
        <v>500</v>
      </c>
      <c r="K8" s="14">
        <v>5000</v>
      </c>
      <c r="L8" s="60"/>
      <c r="M8" s="41"/>
      <c r="N8" s="31"/>
      <c r="O8" s="13">
        <v>1000</v>
      </c>
      <c r="P8" s="56">
        <v>544</v>
      </c>
      <c r="Q8" s="14"/>
      <c r="R8" s="15">
        <f t="shared" si="1"/>
        <v>432.6</v>
      </c>
      <c r="S8" s="19"/>
      <c r="T8" s="14"/>
      <c r="U8" s="14">
        <f t="shared" si="3"/>
        <v>11124</v>
      </c>
      <c r="V8" s="66" t="s">
        <v>49</v>
      </c>
      <c r="W8" s="4">
        <v>1</v>
      </c>
      <c r="X8" s="4"/>
      <c r="Y8" s="4"/>
      <c r="Z8" s="4"/>
      <c r="AA8" s="4">
        <v>8</v>
      </c>
      <c r="AB8" s="4">
        <v>4</v>
      </c>
      <c r="AC8" s="134">
        <v>5</v>
      </c>
      <c r="AD8" s="154">
        <v>3</v>
      </c>
      <c r="AE8" s="23" t="s">
        <v>33</v>
      </c>
    </row>
    <row r="9" spans="1:31" ht="21.9" customHeight="1">
      <c r="A9" s="130">
        <v>7</v>
      </c>
      <c r="B9" s="67" t="s">
        <v>50</v>
      </c>
      <c r="C9" s="63" t="s">
        <v>51</v>
      </c>
      <c r="D9" s="64" t="s">
        <v>52</v>
      </c>
      <c r="E9" s="16">
        <f>14700+441</f>
        <v>15141</v>
      </c>
      <c r="F9" s="25">
        <v>1500</v>
      </c>
      <c r="G9" s="16">
        <f t="shared" si="2"/>
        <v>2018.8</v>
      </c>
      <c r="H9" s="31">
        <f>(((E9/30)/8*1.5))*AC9</f>
        <v>567.78749999999991</v>
      </c>
      <c r="I9" s="14">
        <f t="shared" si="0"/>
        <v>567.78749999999991</v>
      </c>
      <c r="J9" s="19">
        <v>800</v>
      </c>
      <c r="K9" s="14">
        <v>3000</v>
      </c>
      <c r="L9" s="121">
        <v>750</v>
      </c>
      <c r="M9" s="41"/>
      <c r="N9" s="140"/>
      <c r="O9" s="14"/>
      <c r="P9" s="56"/>
      <c r="Q9" s="14"/>
      <c r="R9" s="15">
        <f t="shared" si="1"/>
        <v>0</v>
      </c>
      <c r="S9" s="19"/>
      <c r="T9" s="14"/>
      <c r="U9" s="14">
        <f t="shared" si="3"/>
        <v>16845</v>
      </c>
      <c r="V9" s="45" t="s">
        <v>53</v>
      </c>
      <c r="X9" s="4"/>
      <c r="Y9" s="4"/>
      <c r="Z9" s="4"/>
      <c r="AA9" s="4"/>
      <c r="AB9" s="4">
        <v>4</v>
      </c>
      <c r="AC9" s="4">
        <v>6</v>
      </c>
      <c r="AD9" s="75">
        <v>3</v>
      </c>
      <c r="AE9" s="23" t="s">
        <v>33</v>
      </c>
    </row>
    <row r="10" spans="1:31" ht="21.9" customHeight="1">
      <c r="A10" s="130">
        <v>8</v>
      </c>
      <c r="B10" s="65" t="s">
        <v>221</v>
      </c>
      <c r="C10" s="68" t="s">
        <v>54</v>
      </c>
      <c r="D10" s="69" t="s">
        <v>48</v>
      </c>
      <c r="E10" s="32">
        <f>11550+347</f>
        <v>11897</v>
      </c>
      <c r="F10" s="32"/>
      <c r="G10" s="16">
        <f t="shared" si="2"/>
        <v>1586.2666666666667</v>
      </c>
      <c r="H10" s="31">
        <f t="shared" si="4"/>
        <v>446.13750000000005</v>
      </c>
      <c r="I10" s="14">
        <f t="shared" si="0"/>
        <v>446.13750000000005</v>
      </c>
      <c r="J10" s="19">
        <v>1000</v>
      </c>
      <c r="K10" s="14">
        <v>1000</v>
      </c>
      <c r="L10" s="60"/>
      <c r="M10" s="30"/>
      <c r="N10" s="31"/>
      <c r="O10" s="14"/>
      <c r="P10" s="56"/>
      <c r="Q10" s="14"/>
      <c r="R10" s="15">
        <f t="shared" si="1"/>
        <v>0</v>
      </c>
      <c r="S10" s="19"/>
      <c r="T10" s="14"/>
      <c r="U10" s="14">
        <f t="shared" si="3"/>
        <v>14376</v>
      </c>
      <c r="V10" s="45" t="s">
        <v>55</v>
      </c>
      <c r="W10" s="4"/>
      <c r="X10" s="4"/>
      <c r="Y10" s="4"/>
      <c r="Z10" s="4"/>
      <c r="AA10" s="4"/>
      <c r="AB10" s="4">
        <v>4</v>
      </c>
      <c r="AC10" s="4">
        <v>6</v>
      </c>
      <c r="AD10" s="75">
        <v>3</v>
      </c>
      <c r="AE10" s="23" t="s">
        <v>33</v>
      </c>
    </row>
    <row r="11" spans="1:31" ht="21.9" customHeight="1">
      <c r="A11" s="130">
        <v>9</v>
      </c>
      <c r="B11" s="4" t="s">
        <v>56</v>
      </c>
      <c r="C11" s="68" t="s">
        <v>57</v>
      </c>
      <c r="D11" s="59" t="s">
        <v>39</v>
      </c>
      <c r="E11" s="32">
        <f>13125+394</f>
        <v>13519</v>
      </c>
      <c r="F11" s="26">
        <v>1000</v>
      </c>
      <c r="G11" s="16">
        <f t="shared" si="2"/>
        <v>1802.5333333333333</v>
      </c>
      <c r="H11" s="31">
        <f t="shared" si="4"/>
        <v>506.96250000000003</v>
      </c>
      <c r="I11" s="14">
        <f t="shared" si="0"/>
        <v>506.96250000000003</v>
      </c>
      <c r="J11" s="19">
        <v>800</v>
      </c>
      <c r="K11" s="14">
        <v>4000</v>
      </c>
      <c r="L11" s="121">
        <v>675.95</v>
      </c>
      <c r="M11" s="43"/>
      <c r="N11" s="141"/>
      <c r="O11" s="14"/>
      <c r="P11" s="56"/>
      <c r="Q11" s="14"/>
      <c r="R11" s="15">
        <f t="shared" si="1"/>
        <v>0</v>
      </c>
      <c r="S11" s="19"/>
      <c r="T11" s="14"/>
      <c r="U11" s="14">
        <f t="shared" si="3"/>
        <v>13460</v>
      </c>
      <c r="V11" s="44" t="s">
        <v>58</v>
      </c>
      <c r="W11" s="4"/>
      <c r="X11" s="4"/>
      <c r="Y11" s="4"/>
      <c r="Z11" s="4"/>
      <c r="AA11" s="4">
        <v>1</v>
      </c>
      <c r="AB11" s="4">
        <v>4</v>
      </c>
      <c r="AC11" s="4">
        <v>6</v>
      </c>
      <c r="AD11" s="75">
        <v>3</v>
      </c>
      <c r="AE11" s="23" t="s">
        <v>33</v>
      </c>
    </row>
    <row r="12" spans="1:31" ht="21.9" customHeight="1">
      <c r="A12" s="130">
        <v>10</v>
      </c>
      <c r="B12" s="4" t="s">
        <v>59</v>
      </c>
      <c r="C12" s="68" t="s">
        <v>60</v>
      </c>
      <c r="D12" s="69" t="s">
        <v>61</v>
      </c>
      <c r="E12" s="32">
        <f>14175+426</f>
        <v>14601</v>
      </c>
      <c r="F12" s="26">
        <v>1500</v>
      </c>
      <c r="G12" s="16">
        <f t="shared" si="2"/>
        <v>1946.8</v>
      </c>
      <c r="H12" s="31">
        <f t="shared" si="4"/>
        <v>547.53749999999991</v>
      </c>
      <c r="I12" s="14">
        <f t="shared" si="0"/>
        <v>547.53749999999991</v>
      </c>
      <c r="J12" s="19">
        <v>800</v>
      </c>
      <c r="K12" s="14"/>
      <c r="L12" s="121">
        <v>730.05</v>
      </c>
      <c r="M12" s="43"/>
      <c r="N12" s="140"/>
      <c r="O12" s="14"/>
      <c r="P12" s="56">
        <v>324</v>
      </c>
      <c r="Q12" s="14"/>
      <c r="R12" s="15">
        <f t="shared" si="1"/>
        <v>0</v>
      </c>
      <c r="S12" s="19"/>
      <c r="T12" s="14"/>
      <c r="U12" s="14">
        <f t="shared" si="3"/>
        <v>18889</v>
      </c>
      <c r="V12" s="45" t="s">
        <v>62</v>
      </c>
      <c r="W12" s="4"/>
      <c r="X12" s="4"/>
      <c r="Y12" s="4">
        <v>1</v>
      </c>
      <c r="Z12" s="4"/>
      <c r="AA12" s="4"/>
      <c r="AB12" s="4">
        <v>4</v>
      </c>
      <c r="AC12" s="4">
        <v>6</v>
      </c>
      <c r="AD12" s="75">
        <v>3</v>
      </c>
      <c r="AE12" s="23" t="s">
        <v>33</v>
      </c>
    </row>
    <row r="13" spans="1:31" ht="21.9" customHeight="1">
      <c r="A13" s="130">
        <v>11</v>
      </c>
      <c r="B13" s="65" t="s">
        <v>63</v>
      </c>
      <c r="C13" s="68" t="s">
        <v>64</v>
      </c>
      <c r="D13" s="69" t="s">
        <v>65</v>
      </c>
      <c r="E13" s="32">
        <f>12600+378</f>
        <v>12978</v>
      </c>
      <c r="F13" s="26">
        <v>1500</v>
      </c>
      <c r="G13" s="16">
        <f t="shared" si="2"/>
        <v>1730.4</v>
      </c>
      <c r="H13" s="31">
        <f t="shared" si="4"/>
        <v>486.67500000000007</v>
      </c>
      <c r="I13" s="14">
        <f t="shared" si="0"/>
        <v>486.67500000000007</v>
      </c>
      <c r="J13" s="19">
        <v>1000</v>
      </c>
      <c r="K13" s="14">
        <v>2000</v>
      </c>
      <c r="L13" s="60"/>
      <c r="M13" s="30"/>
      <c r="N13" s="31"/>
      <c r="O13" s="14"/>
      <c r="P13" s="56"/>
      <c r="Q13" s="14"/>
      <c r="R13" s="15">
        <f t="shared" si="1"/>
        <v>0</v>
      </c>
      <c r="S13" s="19"/>
      <c r="T13" s="14"/>
      <c r="U13" s="14">
        <f t="shared" si="3"/>
        <v>16182</v>
      </c>
      <c r="V13" s="45" t="s">
        <v>66</v>
      </c>
      <c r="W13" s="4"/>
      <c r="X13" s="4"/>
      <c r="Y13" s="4"/>
      <c r="Z13" s="4"/>
      <c r="AA13" s="4"/>
      <c r="AB13" s="4">
        <v>4</v>
      </c>
      <c r="AC13" s="4">
        <v>6</v>
      </c>
      <c r="AD13" s="75">
        <v>3</v>
      </c>
      <c r="AE13" s="23" t="s">
        <v>33</v>
      </c>
    </row>
    <row r="14" spans="1:31" ht="21.9" customHeight="1">
      <c r="A14" s="130">
        <v>12</v>
      </c>
      <c r="B14" s="65" t="s">
        <v>214</v>
      </c>
      <c r="C14" s="68" t="s">
        <v>67</v>
      </c>
      <c r="D14" s="59" t="s">
        <v>39</v>
      </c>
      <c r="E14" s="32">
        <f>11440+344</f>
        <v>11784</v>
      </c>
      <c r="F14" s="32"/>
      <c r="G14" s="16">
        <f t="shared" si="2"/>
        <v>1571.2</v>
      </c>
      <c r="H14" s="31">
        <f t="shared" ref="H14:H19" si="5">(((E14/30)/8*1.5))*AC14</f>
        <v>441.90000000000003</v>
      </c>
      <c r="I14" s="14">
        <f t="shared" si="0"/>
        <v>441.90000000000003</v>
      </c>
      <c r="J14" s="19">
        <v>1000</v>
      </c>
      <c r="K14" s="14">
        <v>1500</v>
      </c>
      <c r="L14" s="60"/>
      <c r="M14" s="42"/>
      <c r="N14" s="14"/>
      <c r="O14" s="14"/>
      <c r="P14" s="56"/>
      <c r="Q14" s="14"/>
      <c r="R14" s="15">
        <f t="shared" si="1"/>
        <v>0</v>
      </c>
      <c r="S14" s="19"/>
      <c r="T14" s="14"/>
      <c r="U14" s="14">
        <f t="shared" si="3"/>
        <v>13739</v>
      </c>
      <c r="V14" s="45" t="s">
        <v>68</v>
      </c>
      <c r="W14" s="4"/>
      <c r="X14" s="4"/>
      <c r="Y14" s="4"/>
      <c r="Z14" s="4"/>
      <c r="AA14" s="4"/>
      <c r="AB14" s="4">
        <v>4</v>
      </c>
      <c r="AC14" s="4">
        <v>6</v>
      </c>
      <c r="AD14" s="75">
        <v>3</v>
      </c>
      <c r="AE14" s="23" t="s">
        <v>33</v>
      </c>
    </row>
    <row r="15" spans="1:31" ht="21.9" customHeight="1">
      <c r="A15" s="130">
        <v>13</v>
      </c>
      <c r="B15" s="71" t="s">
        <v>213</v>
      </c>
      <c r="C15" s="72" t="s">
        <v>69</v>
      </c>
      <c r="D15" s="70" t="s">
        <v>48</v>
      </c>
      <c r="E15" s="17">
        <f>10400+312</f>
        <v>10712</v>
      </c>
      <c r="F15" s="14"/>
      <c r="G15" s="16">
        <f t="shared" ref="G15" si="6">(E15/30)*AB15</f>
        <v>1428.2666666666667</v>
      </c>
      <c r="H15" s="31">
        <f t="shared" si="5"/>
        <v>334.75</v>
      </c>
      <c r="I15" s="14">
        <f t="shared" si="0"/>
        <v>401.70000000000005</v>
      </c>
      <c r="J15" s="19">
        <v>500</v>
      </c>
      <c r="K15" s="14">
        <v>5000</v>
      </c>
      <c r="L15" s="60"/>
      <c r="M15" s="30"/>
      <c r="N15" s="31"/>
      <c r="O15" s="14"/>
      <c r="P15" s="55"/>
      <c r="Q15" s="14"/>
      <c r="R15" s="15">
        <f t="shared" si="1"/>
        <v>1071.2</v>
      </c>
      <c r="S15" s="19"/>
      <c r="T15" s="14"/>
      <c r="U15" s="14">
        <f t="shared" si="3"/>
        <v>7306</v>
      </c>
      <c r="V15" s="45" t="s">
        <v>70</v>
      </c>
      <c r="W15" s="5">
        <v>3</v>
      </c>
      <c r="X15" s="4"/>
      <c r="Y15" s="4"/>
      <c r="Z15" s="4"/>
      <c r="AA15" s="4">
        <v>6</v>
      </c>
      <c r="AB15" s="4">
        <v>4</v>
      </c>
      <c r="AC15" s="134">
        <v>5</v>
      </c>
      <c r="AD15" s="154">
        <v>3</v>
      </c>
      <c r="AE15" s="23" t="s">
        <v>33</v>
      </c>
    </row>
    <row r="16" spans="1:31" ht="21.9" customHeight="1">
      <c r="A16" s="130">
        <v>14</v>
      </c>
      <c r="B16" s="147" t="s">
        <v>216</v>
      </c>
      <c r="C16" s="72" t="s">
        <v>71</v>
      </c>
      <c r="D16" s="59" t="s">
        <v>39</v>
      </c>
      <c r="E16" s="17">
        <f>13520+406</f>
        <v>13926</v>
      </c>
      <c r="F16" s="17"/>
      <c r="G16" s="16">
        <f t="shared" si="2"/>
        <v>1856.8</v>
      </c>
      <c r="H16" s="31">
        <f t="shared" si="5"/>
        <v>522.22499999999991</v>
      </c>
      <c r="I16" s="14">
        <f t="shared" si="0"/>
        <v>522.22499999999991</v>
      </c>
      <c r="J16" s="19">
        <v>1000</v>
      </c>
      <c r="K16" s="14"/>
      <c r="L16" s="60"/>
      <c r="M16" s="118">
        <v>2300</v>
      </c>
      <c r="N16" s="51">
        <v>11500</v>
      </c>
      <c r="O16" s="17"/>
      <c r="P16" s="57"/>
      <c r="Q16" s="14"/>
      <c r="R16" s="15">
        <f t="shared" si="1"/>
        <v>0</v>
      </c>
      <c r="S16" s="19"/>
      <c r="T16" s="14"/>
      <c r="U16" s="14">
        <f t="shared" si="3"/>
        <v>15527</v>
      </c>
      <c r="V16" s="45" t="s">
        <v>72</v>
      </c>
      <c r="W16" s="4"/>
      <c r="X16" s="4"/>
      <c r="Y16" s="4"/>
      <c r="Z16" s="4"/>
      <c r="AA16" s="4"/>
      <c r="AB16" s="4">
        <v>4</v>
      </c>
      <c r="AC16" s="4">
        <v>6</v>
      </c>
      <c r="AD16" s="75">
        <v>3</v>
      </c>
      <c r="AE16" s="23" t="s">
        <v>33</v>
      </c>
    </row>
    <row r="17" spans="1:31" ht="21.9" customHeight="1">
      <c r="A17" s="130">
        <v>15</v>
      </c>
      <c r="B17" s="4" t="s">
        <v>217</v>
      </c>
      <c r="C17" s="73" t="s">
        <v>73</v>
      </c>
      <c r="D17" s="5" t="s">
        <v>48</v>
      </c>
      <c r="E17" s="14">
        <v>13000</v>
      </c>
      <c r="F17" s="14"/>
      <c r="G17" s="16">
        <f t="shared" si="2"/>
        <v>1733.3333333333333</v>
      </c>
      <c r="H17" s="31">
        <f t="shared" si="5"/>
        <v>487.5</v>
      </c>
      <c r="I17" s="14">
        <f t="shared" si="0"/>
        <v>487.5</v>
      </c>
      <c r="J17" s="19">
        <v>800</v>
      </c>
      <c r="K17" s="14">
        <v>9000</v>
      </c>
      <c r="L17" s="60"/>
      <c r="M17" s="30"/>
      <c r="N17" s="136">
        <v>8500</v>
      </c>
      <c r="O17" s="14"/>
      <c r="P17" s="55">
        <v>444</v>
      </c>
      <c r="Q17" s="14"/>
      <c r="R17" s="15">
        <f t="shared" si="1"/>
        <v>433.33333333333331</v>
      </c>
      <c r="S17" s="19"/>
      <c r="T17" s="14"/>
      <c r="U17" s="14">
        <f t="shared" si="3"/>
        <v>6631</v>
      </c>
      <c r="V17" s="37" t="s">
        <v>197</v>
      </c>
      <c r="W17" s="4">
        <v>1</v>
      </c>
      <c r="X17" s="4"/>
      <c r="Y17" s="4"/>
      <c r="Z17" s="4"/>
      <c r="AA17" s="4"/>
      <c r="AB17" s="4">
        <v>4</v>
      </c>
      <c r="AC17" s="4">
        <v>6</v>
      </c>
      <c r="AD17" s="75">
        <v>3</v>
      </c>
      <c r="AE17" s="23" t="s">
        <v>33</v>
      </c>
    </row>
    <row r="18" spans="1:31" ht="21.9" customHeight="1">
      <c r="A18" s="130">
        <v>16</v>
      </c>
      <c r="B18" s="74" t="s">
        <v>218</v>
      </c>
      <c r="C18" s="75" t="s">
        <v>74</v>
      </c>
      <c r="D18" s="4" t="s">
        <v>75</v>
      </c>
      <c r="E18" s="14">
        <v>13000</v>
      </c>
      <c r="F18" s="14"/>
      <c r="G18" s="16">
        <f t="shared" ref="G18:G19" si="7">(E18/30)*AB18</f>
        <v>1733.3333333333333</v>
      </c>
      <c r="H18" s="31">
        <f t="shared" si="5"/>
        <v>487.5</v>
      </c>
      <c r="I18" s="14">
        <f t="shared" si="0"/>
        <v>487.5</v>
      </c>
      <c r="J18" s="19">
        <v>900</v>
      </c>
      <c r="K18" s="14"/>
      <c r="L18" s="60"/>
      <c r="M18" s="39"/>
      <c r="N18" s="14"/>
      <c r="O18" s="14"/>
      <c r="P18" s="55"/>
      <c r="Q18" s="14"/>
      <c r="R18" s="15">
        <f t="shared" ref="R18:R19" si="8">(E18/30)*IF(W18=0,0,W18) + (E18/30)*IF(Z18=0,0,Z18)</f>
        <v>0</v>
      </c>
      <c r="S18" s="19"/>
      <c r="T18" s="14"/>
      <c r="U18" s="14">
        <f t="shared" si="3"/>
        <v>16608</v>
      </c>
      <c r="V18" s="45"/>
      <c r="W18" s="4"/>
      <c r="X18" s="4"/>
      <c r="Y18" s="4"/>
      <c r="Z18" s="4"/>
      <c r="AA18" s="4"/>
      <c r="AB18" s="4">
        <v>4</v>
      </c>
      <c r="AC18" s="4">
        <v>6</v>
      </c>
      <c r="AD18" s="75">
        <v>3</v>
      </c>
      <c r="AE18" s="23" t="s">
        <v>33</v>
      </c>
    </row>
    <row r="19" spans="1:31" ht="21.9" customHeight="1">
      <c r="A19" s="130">
        <v>17</v>
      </c>
      <c r="B19" s="74" t="s">
        <v>76</v>
      </c>
      <c r="C19" s="75" t="s">
        <v>77</v>
      </c>
      <c r="D19" s="4" t="s">
        <v>48</v>
      </c>
      <c r="E19" s="14">
        <v>18000</v>
      </c>
      <c r="F19" s="14"/>
      <c r="G19" s="16">
        <f t="shared" si="7"/>
        <v>2400</v>
      </c>
      <c r="H19" s="31">
        <f t="shared" si="5"/>
        <v>675</v>
      </c>
      <c r="I19" s="14">
        <f t="shared" si="0"/>
        <v>675</v>
      </c>
      <c r="J19" s="19">
        <v>1000</v>
      </c>
      <c r="K19" s="14">
        <v>4000</v>
      </c>
      <c r="L19" s="121">
        <v>750</v>
      </c>
      <c r="M19" s="14"/>
      <c r="N19" s="14"/>
      <c r="O19" s="14"/>
      <c r="P19" s="55">
        <v>382</v>
      </c>
      <c r="Q19" s="14"/>
      <c r="R19" s="15">
        <f t="shared" si="8"/>
        <v>0</v>
      </c>
      <c r="S19" s="19"/>
      <c r="T19" s="14"/>
      <c r="U19" s="14">
        <f t="shared" si="3"/>
        <v>17618</v>
      </c>
      <c r="V19" s="61" t="s">
        <v>78</v>
      </c>
      <c r="W19" s="4"/>
      <c r="X19" s="4"/>
      <c r="Y19" s="4"/>
      <c r="Z19" s="4"/>
      <c r="AA19" s="4"/>
      <c r="AB19" s="4">
        <v>4</v>
      </c>
      <c r="AC19" s="4">
        <v>6</v>
      </c>
      <c r="AD19" s="75">
        <v>3</v>
      </c>
      <c r="AE19" s="23" t="s">
        <v>33</v>
      </c>
    </row>
    <row r="20" spans="1:31" ht="21.9" customHeight="1">
      <c r="A20" s="130">
        <v>18</v>
      </c>
      <c r="B20" s="74" t="s">
        <v>178</v>
      </c>
      <c r="C20" s="75" t="s">
        <v>160</v>
      </c>
      <c r="D20" s="4" t="s">
        <v>39</v>
      </c>
      <c r="E20" s="14">
        <f>12000+360</f>
        <v>12360</v>
      </c>
      <c r="F20" s="14"/>
      <c r="G20" s="16">
        <f t="shared" si="2"/>
        <v>1648</v>
      </c>
      <c r="H20" s="31">
        <f>(((E20/30)/8*1.5))*AC21</f>
        <v>463.5</v>
      </c>
      <c r="I20" s="14">
        <f t="shared" si="0"/>
        <v>463.5</v>
      </c>
      <c r="J20" s="19">
        <v>1000</v>
      </c>
      <c r="K20" s="14"/>
      <c r="L20" s="121">
        <v>618</v>
      </c>
      <c r="M20" s="14"/>
      <c r="N20" s="14"/>
      <c r="O20" s="14"/>
      <c r="P20" s="55"/>
      <c r="Q20" s="14"/>
      <c r="R20" s="15">
        <f t="shared" si="1"/>
        <v>0</v>
      </c>
      <c r="S20" s="19"/>
      <c r="T20" s="14"/>
      <c r="U20" s="14">
        <f t="shared" si="3"/>
        <v>15317</v>
      </c>
      <c r="V20" s="44" t="s">
        <v>194</v>
      </c>
      <c r="W20" s="4"/>
      <c r="X20" s="4"/>
      <c r="Y20" s="4"/>
      <c r="Z20" s="4"/>
      <c r="AA20" s="4"/>
      <c r="AB20" s="4">
        <v>4</v>
      </c>
      <c r="AC20" s="4">
        <v>6</v>
      </c>
      <c r="AD20" s="75">
        <v>3</v>
      </c>
      <c r="AE20" s="23" t="s">
        <v>33</v>
      </c>
    </row>
    <row r="21" spans="1:31" ht="21.9" customHeight="1">
      <c r="A21" s="130">
        <v>19</v>
      </c>
      <c r="B21" s="74" t="s">
        <v>176</v>
      </c>
      <c r="C21" s="75" t="s">
        <v>161</v>
      </c>
      <c r="D21" s="4" t="s">
        <v>48</v>
      </c>
      <c r="E21" s="14">
        <f>13500+405</f>
        <v>13905</v>
      </c>
      <c r="F21" s="13">
        <v>1000</v>
      </c>
      <c r="G21" s="16">
        <f t="shared" si="2"/>
        <v>1854</v>
      </c>
      <c r="H21" s="31">
        <f>(((E21/30)/8*1.5))*AC21</f>
        <v>521.4375</v>
      </c>
      <c r="I21" s="14">
        <f t="shared" si="0"/>
        <v>521.4375</v>
      </c>
      <c r="J21" s="19">
        <v>1000</v>
      </c>
      <c r="K21" s="14">
        <v>1000</v>
      </c>
      <c r="L21" s="121">
        <v>695.25</v>
      </c>
      <c r="M21" s="14"/>
      <c r="N21" s="14"/>
      <c r="O21" s="14"/>
      <c r="P21" s="55"/>
      <c r="Q21" s="14"/>
      <c r="R21" s="14">
        <f t="shared" si="1"/>
        <v>0</v>
      </c>
      <c r="S21" s="19"/>
      <c r="T21" s="14"/>
      <c r="U21" s="14">
        <f t="shared" si="3"/>
        <v>17107</v>
      </c>
      <c r="V21" s="44" t="s">
        <v>193</v>
      </c>
      <c r="W21" s="4"/>
      <c r="X21" s="4"/>
      <c r="Y21" s="4"/>
      <c r="Z21" s="4"/>
      <c r="AA21" s="4"/>
      <c r="AB21" s="4">
        <v>4</v>
      </c>
      <c r="AC21" s="4">
        <v>6</v>
      </c>
      <c r="AD21" s="75">
        <v>3</v>
      </c>
      <c r="AE21" s="23" t="s">
        <v>33</v>
      </c>
    </row>
    <row r="22" spans="1:31" ht="21.9" customHeight="1">
      <c r="A22" s="130">
        <v>20</v>
      </c>
      <c r="B22" s="74" t="s">
        <v>177</v>
      </c>
      <c r="C22" s="76" t="s">
        <v>174</v>
      </c>
      <c r="D22" s="4" t="s">
        <v>48</v>
      </c>
      <c r="E22" s="14">
        <v>12500</v>
      </c>
      <c r="F22" s="14"/>
      <c r="G22" s="16">
        <f t="shared" ref="G22" si="9">(E22/30)*AB22</f>
        <v>1666.6666666666667</v>
      </c>
      <c r="H22" s="31">
        <f>(((E22/30)/8*1.5))*AC22</f>
        <v>468.75</v>
      </c>
      <c r="I22" s="14">
        <f t="shared" si="0"/>
        <v>468.75</v>
      </c>
      <c r="J22" s="157">
        <v>900</v>
      </c>
      <c r="K22" s="40"/>
      <c r="L22" s="121">
        <v>625</v>
      </c>
      <c r="M22" s="14"/>
      <c r="N22" s="14"/>
      <c r="O22" s="14"/>
      <c r="P22" s="55">
        <v>98</v>
      </c>
      <c r="Q22" s="14"/>
      <c r="R22" s="15">
        <f t="shared" ref="R22" si="10">(E22/30)*IF(W22=0,0,W22) + (E22/30)*IF(Z22=0,0,Z22)</f>
        <v>0</v>
      </c>
      <c r="S22" s="19"/>
      <c r="T22" s="14"/>
      <c r="U22" s="14">
        <f t="shared" si="3"/>
        <v>15281</v>
      </c>
      <c r="V22" s="44" t="s">
        <v>192</v>
      </c>
      <c r="W22" s="4"/>
      <c r="X22" s="4"/>
      <c r="Y22" s="4">
        <v>2</v>
      </c>
      <c r="Z22" s="4"/>
      <c r="AA22" s="4"/>
      <c r="AB22" s="4">
        <v>4</v>
      </c>
      <c r="AC22" s="4">
        <v>6</v>
      </c>
      <c r="AD22" s="75">
        <v>3</v>
      </c>
      <c r="AE22" s="23" t="s">
        <v>33</v>
      </c>
    </row>
    <row r="23" spans="1:31" ht="21.9" customHeight="1">
      <c r="A23" s="130">
        <v>21</v>
      </c>
      <c r="B23" s="74" t="s">
        <v>219</v>
      </c>
      <c r="C23" s="76" t="s">
        <v>180</v>
      </c>
      <c r="D23" s="4" t="s">
        <v>48</v>
      </c>
      <c r="E23" s="14">
        <v>12000</v>
      </c>
      <c r="F23" s="14"/>
      <c r="G23" s="16">
        <f t="shared" ref="G23:G24" si="11">(E23/30)*AB23</f>
        <v>1600</v>
      </c>
      <c r="H23" s="31">
        <f t="shared" ref="H23:H24" si="12">(((E23/30)/8*1.5))*AC23</f>
        <v>450</v>
      </c>
      <c r="I23" s="14">
        <f t="shared" si="0"/>
        <v>450</v>
      </c>
      <c r="J23" s="157">
        <v>900</v>
      </c>
      <c r="K23" s="138"/>
      <c r="L23" s="60"/>
      <c r="M23" s="39"/>
      <c r="N23" s="14"/>
      <c r="O23" s="14"/>
      <c r="P23" s="55"/>
      <c r="Q23" s="14"/>
      <c r="R23" s="15">
        <f t="shared" ref="R23" si="13">(E23/30)*IF(W23=0,0,W23) + (E23/30)*IF(Z23=0,0,Z23)</f>
        <v>0</v>
      </c>
      <c r="S23" s="19"/>
      <c r="T23" s="14"/>
      <c r="U23" s="14">
        <f t="shared" si="3"/>
        <v>15400</v>
      </c>
      <c r="V23" s="61"/>
      <c r="W23" s="4"/>
      <c r="X23" s="4"/>
      <c r="Y23" s="4"/>
      <c r="Z23" s="4"/>
      <c r="AA23" s="4"/>
      <c r="AB23" s="4">
        <v>4</v>
      </c>
      <c r="AC23" s="4">
        <v>6</v>
      </c>
      <c r="AD23" s="75">
        <v>3</v>
      </c>
      <c r="AE23" s="23" t="s">
        <v>33</v>
      </c>
    </row>
    <row r="24" spans="1:31" ht="21.9" customHeight="1">
      <c r="A24" s="130">
        <v>22</v>
      </c>
      <c r="B24" s="119" t="s">
        <v>238</v>
      </c>
      <c r="C24" s="76" t="s">
        <v>198</v>
      </c>
      <c r="D24" s="4" t="s">
        <v>48</v>
      </c>
      <c r="E24" s="14">
        <v>12000</v>
      </c>
      <c r="F24" s="14"/>
      <c r="G24" s="16">
        <f t="shared" si="11"/>
        <v>1600</v>
      </c>
      <c r="H24" s="31">
        <f t="shared" si="12"/>
        <v>450</v>
      </c>
      <c r="I24" s="14">
        <f t="shared" si="0"/>
        <v>450</v>
      </c>
      <c r="J24" s="158">
        <v>650</v>
      </c>
      <c r="K24" s="139">
        <v>2500</v>
      </c>
      <c r="L24" s="60"/>
      <c r="M24" s="14"/>
      <c r="N24" s="14"/>
      <c r="O24" s="144">
        <v>1000</v>
      </c>
      <c r="P24" s="55"/>
      <c r="Q24" s="14"/>
      <c r="R24" s="15">
        <f t="shared" ref="R24" si="14">(E24/30)*IF(W24=0,0,W24) + (E24/30)*IF(Z24=0,0,Z24)</f>
        <v>0</v>
      </c>
      <c r="S24" s="19"/>
      <c r="T24" s="14"/>
      <c r="U24" s="14">
        <f t="shared" si="3"/>
        <v>13650</v>
      </c>
      <c r="V24" s="44"/>
      <c r="W24" s="4"/>
      <c r="X24" s="4"/>
      <c r="Y24" s="4"/>
      <c r="Z24" s="4"/>
      <c r="AA24" s="4"/>
      <c r="AB24" s="4">
        <v>4</v>
      </c>
      <c r="AC24" s="4">
        <v>6</v>
      </c>
      <c r="AD24" s="75">
        <v>3</v>
      </c>
      <c r="AE24" s="23" t="s">
        <v>33</v>
      </c>
    </row>
    <row r="25" spans="1:31" ht="21.9" customHeight="1">
      <c r="A25" s="130">
        <v>23</v>
      </c>
      <c r="B25" s="123" t="s">
        <v>99</v>
      </c>
      <c r="C25" s="129" t="s">
        <v>100</v>
      </c>
      <c r="D25" s="123" t="s">
        <v>39</v>
      </c>
      <c r="E25" s="14">
        <v>14459</v>
      </c>
      <c r="F25" s="14"/>
      <c r="G25" s="16">
        <f t="shared" ref="G25" si="15">(E25/30)*AB25</f>
        <v>1927.8666666666666</v>
      </c>
      <c r="H25" s="31">
        <f t="shared" ref="H25" si="16">(((E25/30)/8*1.5))*AC25</f>
        <v>542.21249999999998</v>
      </c>
      <c r="I25" s="14">
        <f t="shared" si="0"/>
        <v>542.21249999999998</v>
      </c>
      <c r="J25" s="158">
        <v>1000</v>
      </c>
      <c r="K25" s="122">
        <v>1000</v>
      </c>
      <c r="L25" s="60"/>
      <c r="M25" s="14"/>
      <c r="N25" s="14"/>
      <c r="O25" s="148">
        <v>300</v>
      </c>
      <c r="P25" s="55"/>
      <c r="Q25" s="14"/>
      <c r="R25" s="15">
        <f t="shared" ref="R25" si="17">(E25/30)*IF(W25=0,0,W25) + (E25/30)*IF(Z25=0,0,Z25)</f>
        <v>0</v>
      </c>
      <c r="S25" s="19"/>
      <c r="T25" s="14"/>
      <c r="U25" s="14">
        <f t="shared" si="3"/>
        <v>17771</v>
      </c>
      <c r="V25" s="37" t="s">
        <v>101</v>
      </c>
      <c r="W25" s="4"/>
      <c r="X25" s="4"/>
      <c r="Y25" s="4"/>
      <c r="Z25" s="4"/>
      <c r="AA25" s="4"/>
      <c r="AB25" s="4">
        <v>4</v>
      </c>
      <c r="AC25" s="4">
        <v>6</v>
      </c>
      <c r="AD25" s="75">
        <v>3</v>
      </c>
      <c r="AE25" s="23" t="s">
        <v>33</v>
      </c>
    </row>
    <row r="26" spans="1:31" ht="21.9" customHeight="1">
      <c r="A26" s="130">
        <v>24</v>
      </c>
      <c r="B26" s="123" t="s">
        <v>230</v>
      </c>
      <c r="C26" s="129" t="s">
        <v>224</v>
      </c>
      <c r="D26" s="123" t="s">
        <v>39</v>
      </c>
      <c r="E26" s="14">
        <v>12000</v>
      </c>
      <c r="F26" s="14"/>
      <c r="G26" s="16">
        <f t="shared" ref="G26:G27" si="18">(E26/30)*AB26</f>
        <v>1600</v>
      </c>
      <c r="H26" s="31">
        <f t="shared" ref="H26:H27" si="19">(((E26/30)/8*1.5))*AC26</f>
        <v>450</v>
      </c>
      <c r="I26" s="14">
        <f t="shared" si="0"/>
        <v>450</v>
      </c>
      <c r="J26" s="158">
        <v>650</v>
      </c>
      <c r="K26" s="139">
        <v>2500</v>
      </c>
      <c r="L26" s="60"/>
      <c r="M26" s="14"/>
      <c r="N26" s="14"/>
      <c r="O26" s="14"/>
      <c r="P26" s="55">
        <v>1111</v>
      </c>
      <c r="Q26" s="14"/>
      <c r="R26" s="15">
        <f t="shared" ref="R26:R27" si="20">(E26/30)*IF(W26=0,0,W26) + (E26/30)*IF(Z26=0,0,Z26)</f>
        <v>0</v>
      </c>
      <c r="S26" s="19"/>
      <c r="T26" s="14"/>
      <c r="U26" s="14">
        <f t="shared" si="3"/>
        <v>11539</v>
      </c>
      <c r="V26" s="37" t="s">
        <v>232</v>
      </c>
      <c r="W26" s="4"/>
      <c r="X26" s="4"/>
      <c r="Y26" s="4">
        <v>1.5</v>
      </c>
      <c r="Z26" s="4"/>
      <c r="AA26" s="4"/>
      <c r="AB26" s="4">
        <v>4</v>
      </c>
      <c r="AC26" s="4">
        <v>6</v>
      </c>
      <c r="AD26" s="75">
        <v>3</v>
      </c>
      <c r="AE26" s="23" t="s">
        <v>33</v>
      </c>
    </row>
    <row r="27" spans="1:31" ht="21.9" customHeight="1">
      <c r="A27" s="130">
        <v>25</v>
      </c>
      <c r="B27" s="123" t="s">
        <v>231</v>
      </c>
      <c r="C27" s="129" t="s">
        <v>225</v>
      </c>
      <c r="D27" s="123"/>
      <c r="E27" s="14">
        <v>12000</v>
      </c>
      <c r="F27" s="14"/>
      <c r="G27" s="16">
        <f t="shared" si="18"/>
        <v>1600</v>
      </c>
      <c r="H27" s="31">
        <f t="shared" si="19"/>
        <v>450</v>
      </c>
      <c r="I27" s="14">
        <f t="shared" si="0"/>
        <v>450</v>
      </c>
      <c r="J27" s="158"/>
      <c r="K27" s="122"/>
      <c r="L27" s="60"/>
      <c r="M27" s="14"/>
      <c r="N27" s="14"/>
      <c r="O27" s="14"/>
      <c r="P27" s="55"/>
      <c r="Q27" s="14"/>
      <c r="R27" s="15">
        <f t="shared" si="20"/>
        <v>0</v>
      </c>
      <c r="S27" s="19"/>
      <c r="T27" s="14"/>
      <c r="U27" s="14">
        <f t="shared" si="3"/>
        <v>14500</v>
      </c>
      <c r="V27" s="37" t="s">
        <v>233</v>
      </c>
      <c r="W27" s="4"/>
      <c r="X27" s="4"/>
      <c r="Y27" s="4"/>
      <c r="Z27" s="4"/>
      <c r="AA27" s="4"/>
      <c r="AB27" s="4">
        <v>4</v>
      </c>
      <c r="AC27" s="4">
        <v>6</v>
      </c>
      <c r="AD27" s="75">
        <v>3</v>
      </c>
      <c r="AE27" s="23" t="s">
        <v>33</v>
      </c>
    </row>
    <row r="28" spans="1:31" ht="21.9" customHeight="1">
      <c r="A28" s="130">
        <v>26</v>
      </c>
      <c r="B28" s="123" t="s">
        <v>239</v>
      </c>
      <c r="C28" s="129" t="s">
        <v>235</v>
      </c>
      <c r="D28" s="123" t="s">
        <v>48</v>
      </c>
      <c r="E28" s="14">
        <v>12000</v>
      </c>
      <c r="F28" s="14"/>
      <c r="G28" s="16">
        <f t="shared" ref="G28" si="21">(E28/30)*AB28</f>
        <v>1600</v>
      </c>
      <c r="H28" s="31">
        <f t="shared" ref="H28" si="22">(((E28/30)/8*1.5))*AC28</f>
        <v>450</v>
      </c>
      <c r="I28" s="14">
        <f t="shared" si="0"/>
        <v>450</v>
      </c>
      <c r="J28" s="158"/>
      <c r="K28" s="122"/>
      <c r="L28" s="60"/>
      <c r="M28" s="14"/>
      <c r="N28" s="14"/>
      <c r="O28" s="144">
        <v>1000</v>
      </c>
      <c r="P28" s="55"/>
      <c r="Q28" s="14"/>
      <c r="R28" s="15">
        <f t="shared" ref="R28" si="23">(E28/30)*IF(W28=0,0,W28) + (E28/30)*IF(Z28=0,0,Z28)</f>
        <v>0</v>
      </c>
      <c r="S28" s="19"/>
      <c r="T28" s="14"/>
      <c r="U28" s="14">
        <f t="shared" si="3"/>
        <v>15500</v>
      </c>
      <c r="V28" s="37" t="s">
        <v>251</v>
      </c>
      <c r="W28" s="4"/>
      <c r="X28" s="4"/>
      <c r="Y28" s="4"/>
      <c r="Z28" s="4"/>
      <c r="AA28" s="4"/>
      <c r="AB28" s="4">
        <v>4</v>
      </c>
      <c r="AC28" s="4">
        <v>6</v>
      </c>
      <c r="AD28" s="75">
        <v>3</v>
      </c>
      <c r="AE28" s="23" t="s">
        <v>33</v>
      </c>
    </row>
    <row r="29" spans="1:31" ht="21.9" customHeight="1">
      <c r="A29" s="161">
        <v>27</v>
      </c>
      <c r="B29" s="133" t="s">
        <v>184</v>
      </c>
      <c r="C29" s="162" t="s">
        <v>181</v>
      </c>
      <c r="D29" s="133" t="s">
        <v>39</v>
      </c>
      <c r="E29" s="132"/>
      <c r="F29" s="132"/>
      <c r="G29" s="135">
        <f>(E29/30)*AB29</f>
        <v>0</v>
      </c>
      <c r="H29" s="136">
        <f t="shared" ref="H29" si="24">(((E29/30)/8*1.5))*AC29</f>
        <v>0</v>
      </c>
      <c r="I29" s="132">
        <f t="shared" si="0"/>
        <v>0</v>
      </c>
      <c r="J29" s="163"/>
      <c r="K29" s="164"/>
      <c r="L29" s="165">
        <v>600</v>
      </c>
      <c r="M29" s="132"/>
      <c r="N29" s="132"/>
      <c r="O29" s="137"/>
      <c r="P29" s="166"/>
      <c r="Q29" s="132"/>
      <c r="R29" s="132">
        <f t="shared" ref="R29" si="25">(E29/30)*IF(W29=0,0,W29) + (E29/30)*IF(Z29=0,0,Z29)</f>
        <v>0</v>
      </c>
      <c r="S29" s="167"/>
      <c r="T29" s="132"/>
      <c r="U29" s="14">
        <f t="shared" si="3"/>
        <v>-600</v>
      </c>
      <c r="V29" s="37" t="s">
        <v>252</v>
      </c>
      <c r="W29" s="4"/>
      <c r="X29" s="4"/>
      <c r="Y29" s="4"/>
      <c r="Z29" s="4"/>
      <c r="AA29" s="4"/>
      <c r="AB29" s="134"/>
      <c r="AC29" s="134"/>
      <c r="AD29" s="154"/>
      <c r="AE29" s="23" t="s">
        <v>33</v>
      </c>
    </row>
    <row r="30" spans="1:31" ht="21.9" customHeight="1">
      <c r="A30" s="130">
        <v>28</v>
      </c>
      <c r="B30" s="123" t="s">
        <v>241</v>
      </c>
      <c r="C30" s="129" t="s">
        <v>242</v>
      </c>
      <c r="D30" s="123" t="s">
        <v>48</v>
      </c>
      <c r="E30" s="14">
        <v>13000</v>
      </c>
      <c r="F30" s="14"/>
      <c r="G30" s="16">
        <f>(E30/30)*AB30</f>
        <v>1300</v>
      </c>
      <c r="H30" s="31">
        <f t="shared" ref="H30" si="26">(((E30/30)/8*1.5))*AC30</f>
        <v>243.75</v>
      </c>
      <c r="I30" s="14">
        <f t="shared" si="0"/>
        <v>325</v>
      </c>
      <c r="J30" s="158"/>
      <c r="K30" s="122">
        <v>6000</v>
      </c>
      <c r="L30" s="60"/>
      <c r="M30" s="14"/>
      <c r="N30" s="14"/>
      <c r="O30" s="39"/>
      <c r="P30" s="55"/>
      <c r="Q30" s="14"/>
      <c r="R30" s="15">
        <f t="shared" ref="R30" si="27">(E30/30)*IF(W30=0,0,W30) + (E30/30)*IF(Z30=0,0,Z30)</f>
        <v>0</v>
      </c>
      <c r="S30" s="19"/>
      <c r="T30" s="14"/>
      <c r="U30" s="14">
        <f t="shared" si="3"/>
        <v>8869</v>
      </c>
      <c r="V30" s="37" t="s">
        <v>253</v>
      </c>
      <c r="W30" s="4"/>
      <c r="X30" s="4"/>
      <c r="Y30" s="4">
        <v>1</v>
      </c>
      <c r="Z30" s="4"/>
      <c r="AA30" s="4"/>
      <c r="AB30" s="134">
        <v>3</v>
      </c>
      <c r="AC30" s="134">
        <v>3</v>
      </c>
      <c r="AD30" s="154">
        <v>2</v>
      </c>
      <c r="AE30" s="23" t="s">
        <v>33</v>
      </c>
    </row>
    <row r="31" spans="1:31" ht="21.9" customHeight="1">
      <c r="A31" s="5"/>
      <c r="B31" s="5"/>
      <c r="C31" s="5" t="s">
        <v>79</v>
      </c>
      <c r="D31" s="5" t="s">
        <v>79</v>
      </c>
      <c r="E31" s="5"/>
      <c r="F31" s="5"/>
      <c r="G31" s="5"/>
      <c r="H31" s="5"/>
      <c r="I31" s="6"/>
      <c r="J31" s="77"/>
      <c r="K31" s="54">
        <f>SUM(K3:K30)</f>
        <v>62000</v>
      </c>
      <c r="L31" s="6"/>
      <c r="M31" s="5"/>
      <c r="N31" s="5"/>
      <c r="O31" s="5"/>
      <c r="P31" s="52"/>
      <c r="Q31" s="5"/>
      <c r="R31" s="5"/>
      <c r="S31" s="50">
        <f>SUM(S3:S30)</f>
        <v>0</v>
      </c>
      <c r="T31" s="50">
        <f>SUM(T3:T30)</f>
        <v>0</v>
      </c>
      <c r="U31" s="14">
        <f>SUM(U3:U30)</f>
        <v>404290</v>
      </c>
      <c r="V31" s="33"/>
      <c r="AE31" s="5"/>
    </row>
    <row r="32" spans="1:31" ht="22.5" customHeight="1">
      <c r="A32" s="142" t="s">
        <v>236</v>
      </c>
      <c r="B32" s="142"/>
      <c r="C32" s="143"/>
      <c r="D32" s="143"/>
      <c r="E32" s="143"/>
      <c r="F32" s="143"/>
      <c r="I32" s="6"/>
      <c r="U32" s="206">
        <f>U22+U21+U20+U19+U12+U11+U9+U5+U4+U3</f>
        <v>164592</v>
      </c>
    </row>
    <row r="33" spans="1:30" ht="22.5" customHeight="1">
      <c r="A33" s="142" t="s">
        <v>247</v>
      </c>
      <c r="B33" s="142"/>
      <c r="C33" s="143"/>
      <c r="D33" s="143"/>
      <c r="E33" s="143"/>
      <c r="F33" s="143"/>
      <c r="U33" s="206"/>
    </row>
    <row r="38" spans="1:30" ht="22.5" customHeight="1">
      <c r="AC38" s="20"/>
      <c r="AD38" s="155"/>
    </row>
  </sheetData>
  <mergeCells count="1">
    <mergeCell ref="A1:B1"/>
  </mergeCells>
  <hyperlinks>
    <hyperlink ref="V19" r:id="rId1" xr:uid="{90A5B456-840A-4C3C-AEDF-135DD074070C}"/>
    <hyperlink ref="V16" r:id="rId2" xr:uid="{6174BBFC-BE9E-43FE-93C9-1886BC95B09C}"/>
    <hyperlink ref="V8" r:id="rId3" xr:uid="{A51C0BCB-E155-41C2-9A1F-2F16FC66C6D8}"/>
    <hyperlink ref="V7" r:id="rId4" xr:uid="{8BA47AB9-5FD8-4C74-B2AC-B4E13445E69A}"/>
    <hyperlink ref="V6" r:id="rId5" xr:uid="{923D78FF-2DCB-48A7-9AA5-AFCF86873737}"/>
    <hyperlink ref="V14" r:id="rId6" xr:uid="{02265B5B-1158-4D9A-ABFA-4DD90A0A2305}"/>
    <hyperlink ref="V13" r:id="rId7" xr:uid="{A0981867-2E38-41C1-AEF9-7F3339BC6C78}"/>
    <hyperlink ref="V5" r:id="rId8" xr:uid="{5CB73206-660C-4C2F-8064-81FE95B43ECA}"/>
    <hyperlink ref="V12" r:id="rId9" xr:uid="{00F4951C-BD7B-48CC-8E56-DB126CA29FDB}"/>
    <hyperlink ref="V4" r:id="rId10" xr:uid="{E64C4A6C-1538-4CA8-9222-74FB87F83420}"/>
    <hyperlink ref="V10" r:id="rId11" xr:uid="{038E7069-7812-4186-8766-DF74C3251A6E}"/>
    <hyperlink ref="V11" r:id="rId12" xr:uid="{336C0F59-EC53-46FD-A3FF-4614002909FF}"/>
    <hyperlink ref="V3" r:id="rId13" xr:uid="{38B106F8-A403-41D9-8778-FBF3F4F9DF91}"/>
    <hyperlink ref="V9" r:id="rId14" xr:uid="{920EABFC-5692-480D-9988-58FD4C31B055}"/>
    <hyperlink ref="V15" r:id="rId15" xr:uid="{D1122FE4-967D-4D71-A478-9FD7BD7D3B2F}"/>
    <hyperlink ref="V22" r:id="rId16" xr:uid="{F09C44EE-C28D-45E2-8588-85030BF34A13}"/>
    <hyperlink ref="V21" r:id="rId17" xr:uid="{0F9351F3-CB81-4F35-B4CA-887F850A2689}"/>
    <hyperlink ref="V20" r:id="rId18" xr:uid="{62CB9021-3B66-4E0A-8094-3734807B5CFB}"/>
    <hyperlink ref="V17" r:id="rId19" xr:uid="{44229F1D-48FF-48E9-8FD8-C70D5C681ED7}"/>
    <hyperlink ref="V25" r:id="rId20" xr:uid="{2EE53EDA-0992-4C0A-86C1-F86438B896A0}"/>
    <hyperlink ref="V26" r:id="rId21" xr:uid="{E801F6C3-10CA-45DE-8DDC-CD8F0C9FD885}"/>
    <hyperlink ref="V27" r:id="rId22" xr:uid="{E128AAD0-F9DD-4A9D-A4FF-070D4DB3B72B}"/>
    <hyperlink ref="V28" r:id="rId23" xr:uid="{3AF41F22-C0E9-4EDF-96F6-05BEA0B7F848}"/>
    <hyperlink ref="V29" r:id="rId24" xr:uid="{6F683B2C-DF7D-4800-A621-C70D49E5F31A}"/>
    <hyperlink ref="V30" r:id="rId25" xr:uid="{9A940542-83F5-4D47-8763-E819580FC0C8}"/>
  </hyperlinks>
  <pageMargins left="0.33" right="0.23" top="0.14000000000000001" bottom="0.23" header="0.06" footer="0.08"/>
  <pageSetup paperSize="9" scale="75" orientation="landscape" horizontalDpi="360" verticalDpi="360"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99EA2-3122-C645-994D-6C8BD5F00E8F}">
  <dimension ref="A1:AF41"/>
  <sheetViews>
    <sheetView showGridLines="0" tabSelected="1" zoomScale="55" zoomScaleNormal="55" zoomScaleSheetLayoutView="56" zoomScalePageLayoutView="40" workbookViewId="0">
      <pane ySplit="2" topLeftCell="A3" activePane="bottomLeft" state="frozen"/>
      <selection pane="bottomLeft" activeCell="K13" sqref="K13"/>
    </sheetView>
  </sheetViews>
  <sheetFormatPr defaultColWidth="9.21875" defaultRowHeight="20.399999999999999" customHeight="1"/>
  <cols>
    <col min="1" max="1" width="7.77734375" style="5" customWidth="1"/>
    <col min="2" max="2" width="27.33203125" style="5" customWidth="1"/>
    <col min="3" max="3" width="6.44140625" style="5" bestFit="1" customWidth="1"/>
    <col min="4" max="4" width="10.21875" style="5" customWidth="1"/>
    <col min="5" max="6" width="13.109375" style="5" customWidth="1"/>
    <col min="7" max="7" width="12.77734375" style="6" customWidth="1"/>
    <col min="8" max="9" width="13.77734375" style="7" customWidth="1"/>
    <col min="10" max="10" width="12.21875" style="7" customWidth="1"/>
    <col min="11" max="11" width="12.33203125" style="7" customWidth="1"/>
    <col min="12" max="12" width="11.33203125" style="7" customWidth="1"/>
    <col min="13" max="13" width="12.5546875" style="7" customWidth="1"/>
    <col min="14" max="14" width="12.21875" style="7" customWidth="1"/>
    <col min="15" max="15" width="13.109375" style="6" customWidth="1"/>
    <col min="16" max="16" width="10.88671875" style="6" customWidth="1"/>
    <col min="17" max="17" width="7.77734375" style="6" customWidth="1"/>
    <col min="18" max="18" width="10" style="6" customWidth="1"/>
    <col min="19" max="20" width="11.77734375" style="6" customWidth="1"/>
    <col min="21" max="21" width="15.109375" style="6" customWidth="1"/>
    <col min="22" max="22" width="15.77734375" style="5" customWidth="1"/>
    <col min="23" max="23" width="11.5546875" style="5" customWidth="1"/>
    <col min="24" max="26" width="9.21875" style="5" customWidth="1"/>
    <col min="27" max="27" width="10.88671875" style="5" customWidth="1"/>
    <col min="28" max="28" width="9.21875" style="5" customWidth="1"/>
    <col min="29" max="29" width="13.44140625" style="5" customWidth="1"/>
    <col min="30" max="30" width="17.33203125" style="151" customWidth="1"/>
    <col min="31" max="31" width="9.21875" style="5" customWidth="1"/>
    <col min="33" max="16384" width="9.21875" style="5"/>
  </cols>
  <sheetData>
    <row r="1" spans="1:31" ht="21.9" customHeight="1">
      <c r="A1" s="209" t="s">
        <v>240</v>
      </c>
      <c r="B1" s="210"/>
      <c r="D1" s="5" t="s">
        <v>79</v>
      </c>
    </row>
    <row r="2" spans="1:31" ht="21.9" customHeight="1">
      <c r="A2" s="8" t="s">
        <v>0</v>
      </c>
      <c r="B2" s="8" t="s">
        <v>1</v>
      </c>
      <c r="C2" s="9" t="s">
        <v>2</v>
      </c>
      <c r="D2" s="8" t="s">
        <v>3</v>
      </c>
      <c r="E2" s="10" t="s">
        <v>4</v>
      </c>
      <c r="F2" s="8" t="s">
        <v>5</v>
      </c>
      <c r="G2" s="13" t="s">
        <v>6</v>
      </c>
      <c r="H2" s="159" t="s">
        <v>7</v>
      </c>
      <c r="I2" s="10" t="s">
        <v>245</v>
      </c>
      <c r="J2" s="12" t="s">
        <v>8</v>
      </c>
      <c r="K2" s="12" t="s">
        <v>9</v>
      </c>
      <c r="L2" s="10" t="s">
        <v>10</v>
      </c>
      <c r="M2" s="12" t="s">
        <v>11</v>
      </c>
      <c r="N2" s="13" t="s">
        <v>12</v>
      </c>
      <c r="O2" s="11" t="s">
        <v>13</v>
      </c>
      <c r="P2" s="11" t="s">
        <v>14</v>
      </c>
      <c r="Q2" s="13" t="s">
        <v>15</v>
      </c>
      <c r="R2" s="13" t="s">
        <v>16</v>
      </c>
      <c r="S2" s="11" t="s">
        <v>17</v>
      </c>
      <c r="T2" s="11" t="s">
        <v>18</v>
      </c>
      <c r="U2" s="13" t="s">
        <v>19</v>
      </c>
      <c r="V2" s="8" t="s">
        <v>20</v>
      </c>
      <c r="W2" s="22" t="s">
        <v>21</v>
      </c>
      <c r="X2" s="22" t="s">
        <v>22</v>
      </c>
      <c r="Y2" s="22" t="s">
        <v>23</v>
      </c>
      <c r="Z2" s="22" t="s">
        <v>24</v>
      </c>
      <c r="AA2" s="22" t="s">
        <v>25</v>
      </c>
      <c r="AB2" s="22" t="s">
        <v>26</v>
      </c>
      <c r="AC2" s="22" t="s">
        <v>27</v>
      </c>
      <c r="AD2" s="152" t="s">
        <v>244</v>
      </c>
      <c r="AE2" s="8" t="s">
        <v>28</v>
      </c>
    </row>
    <row r="3" spans="1:31" ht="21.9" customHeight="1">
      <c r="A3" s="4">
        <v>1</v>
      </c>
      <c r="B3" s="123" t="s">
        <v>80</v>
      </c>
      <c r="C3" s="123" t="s">
        <v>81</v>
      </c>
      <c r="D3" s="123" t="s">
        <v>31</v>
      </c>
      <c r="E3" s="168">
        <f>15750+473</f>
        <v>16223</v>
      </c>
      <c r="F3" s="169">
        <v>1500</v>
      </c>
      <c r="G3" s="170">
        <f t="shared" ref="G3:G27" si="0">(E3/30)*AB3</f>
        <v>2163.0666666666666</v>
      </c>
      <c r="H3" s="171">
        <f t="shared" ref="H3:H27" si="1">(((E3/30)/8*1.5))*AC3</f>
        <v>304.18124999999998</v>
      </c>
      <c r="I3" s="168">
        <f t="shared" ref="I3:I34" si="2">(((E3/30)/8*3))*AD3</f>
        <v>405.57499999999999</v>
      </c>
      <c r="J3" s="168">
        <v>1000</v>
      </c>
      <c r="K3" s="168">
        <v>3000</v>
      </c>
      <c r="L3" s="172">
        <v>750</v>
      </c>
      <c r="M3" s="173"/>
      <c r="N3" s="174">
        <v>5500</v>
      </c>
      <c r="O3" s="169">
        <v>2000</v>
      </c>
      <c r="P3" s="173"/>
      <c r="Q3" s="168"/>
      <c r="R3" s="175">
        <f t="shared" ref="R3:R27" si="3">(E3/30)*IF(W3=0,0,W3) + (E3/30)*IF(Z3=0,0,Z3)</f>
        <v>0</v>
      </c>
      <c r="S3" s="168"/>
      <c r="T3" s="168"/>
      <c r="U3" s="168">
        <f>ROUND(E3+F3+G3+H3+I3+J3-K3-L3-M3+O3-P3-Q3-R3+S3+T3,0)</f>
        <v>19846</v>
      </c>
      <c r="V3" s="176" t="s">
        <v>202</v>
      </c>
      <c r="W3" s="177"/>
      <c r="X3" s="178"/>
      <c r="Y3" s="178"/>
      <c r="Z3" s="23"/>
      <c r="AA3" s="23"/>
      <c r="AB3" s="149">
        <v>4</v>
      </c>
      <c r="AC3" s="150">
        <v>3</v>
      </c>
      <c r="AD3" s="153">
        <v>2</v>
      </c>
      <c r="AE3" s="4" t="s">
        <v>33</v>
      </c>
    </row>
    <row r="4" spans="1:31" ht="21.9" customHeight="1">
      <c r="A4" s="4">
        <v>2</v>
      </c>
      <c r="B4" s="124" t="s">
        <v>179</v>
      </c>
      <c r="C4" s="125" t="s">
        <v>82</v>
      </c>
      <c r="D4" s="125" t="s">
        <v>48</v>
      </c>
      <c r="E4" s="175">
        <v>22880</v>
      </c>
      <c r="F4" s="168"/>
      <c r="G4" s="170">
        <f t="shared" si="0"/>
        <v>3050.6666666666665</v>
      </c>
      <c r="H4" s="171">
        <f t="shared" si="1"/>
        <v>286</v>
      </c>
      <c r="I4" s="168">
        <f t="shared" si="2"/>
        <v>572</v>
      </c>
      <c r="J4" s="168">
        <v>500</v>
      </c>
      <c r="K4" s="168">
        <v>6000</v>
      </c>
      <c r="L4" s="172">
        <v>750</v>
      </c>
      <c r="M4" s="173"/>
      <c r="N4" s="168"/>
      <c r="O4" s="175"/>
      <c r="P4" s="173"/>
      <c r="Q4" s="168"/>
      <c r="R4" s="175">
        <f t="shared" si="3"/>
        <v>762.66666666666663</v>
      </c>
      <c r="S4" s="168"/>
      <c r="T4" s="168"/>
      <c r="U4" s="168">
        <f t="shared" ref="U4:U34" si="4">ROUND(E4+F4+G4+H4+I4+J4-K4-L4-M4+O4-P4-Q4-R4+S4+T4,0)</f>
        <v>19776</v>
      </c>
      <c r="V4" s="179" t="s">
        <v>83</v>
      </c>
      <c r="W4" s="178">
        <v>1</v>
      </c>
      <c r="X4" s="178">
        <v>103</v>
      </c>
      <c r="Y4" s="178"/>
      <c r="Z4" s="23"/>
      <c r="AA4" s="23"/>
      <c r="AB4" s="23">
        <v>4</v>
      </c>
      <c r="AC4" s="23">
        <v>2</v>
      </c>
      <c r="AD4" s="153">
        <v>2</v>
      </c>
      <c r="AE4" s="4" t="s">
        <v>33</v>
      </c>
    </row>
    <row r="5" spans="1:31" ht="21.9" customHeight="1">
      <c r="A5" s="4">
        <v>3</v>
      </c>
      <c r="B5" s="123" t="s">
        <v>84</v>
      </c>
      <c r="C5" s="123" t="s">
        <v>85</v>
      </c>
      <c r="D5" s="123" t="s">
        <v>86</v>
      </c>
      <c r="E5" s="168">
        <f>15600+312</f>
        <v>15912</v>
      </c>
      <c r="F5" s="169">
        <v>1500</v>
      </c>
      <c r="G5" s="170">
        <f t="shared" si="0"/>
        <v>2121.6</v>
      </c>
      <c r="H5" s="171">
        <f t="shared" si="1"/>
        <v>198.89999999999998</v>
      </c>
      <c r="I5" s="168">
        <f t="shared" si="2"/>
        <v>397.79999999999995</v>
      </c>
      <c r="J5" s="168">
        <v>650</v>
      </c>
      <c r="K5" s="168">
        <v>3000</v>
      </c>
      <c r="L5" s="172">
        <v>750</v>
      </c>
      <c r="M5" s="173">
        <v>3000</v>
      </c>
      <c r="N5" s="174">
        <v>3000</v>
      </c>
      <c r="O5" s="169">
        <v>2000</v>
      </c>
      <c r="P5" s="173">
        <v>466</v>
      </c>
      <c r="Q5" s="168"/>
      <c r="R5" s="175">
        <f t="shared" si="3"/>
        <v>0</v>
      </c>
      <c r="S5" s="168"/>
      <c r="T5" s="168"/>
      <c r="U5" s="168">
        <f t="shared" si="4"/>
        <v>15564</v>
      </c>
      <c r="V5" s="179" t="s">
        <v>87</v>
      </c>
      <c r="W5" s="178"/>
      <c r="X5" s="178">
        <v>51</v>
      </c>
      <c r="Y5" s="178"/>
      <c r="Z5" s="23"/>
      <c r="AA5" s="23"/>
      <c r="AB5" s="23">
        <v>4</v>
      </c>
      <c r="AC5" s="23">
        <v>2</v>
      </c>
      <c r="AD5" s="153">
        <v>2</v>
      </c>
      <c r="AE5" s="4" t="s">
        <v>33</v>
      </c>
    </row>
    <row r="6" spans="1:31" ht="21.9" customHeight="1">
      <c r="A6" s="4">
        <v>4</v>
      </c>
      <c r="B6" s="123" t="s">
        <v>215</v>
      </c>
      <c r="C6" s="123" t="s">
        <v>88</v>
      </c>
      <c r="D6" s="123" t="s">
        <v>48</v>
      </c>
      <c r="E6" s="168">
        <f>13650+410</f>
        <v>14060</v>
      </c>
      <c r="F6" s="168"/>
      <c r="G6" s="170">
        <f t="shared" si="0"/>
        <v>1406</v>
      </c>
      <c r="H6" s="171">
        <f t="shared" si="1"/>
        <v>175.75</v>
      </c>
      <c r="I6" s="168">
        <f t="shared" si="2"/>
        <v>175.75</v>
      </c>
      <c r="J6" s="168">
        <v>500</v>
      </c>
      <c r="K6" s="168"/>
      <c r="L6" s="172">
        <v>703</v>
      </c>
      <c r="M6" s="173"/>
      <c r="N6" s="168"/>
      <c r="O6" s="168"/>
      <c r="P6" s="173"/>
      <c r="Q6" s="168"/>
      <c r="R6" s="175">
        <f t="shared" si="3"/>
        <v>1406</v>
      </c>
      <c r="S6" s="168"/>
      <c r="T6" s="168"/>
      <c r="U6" s="168">
        <f t="shared" si="4"/>
        <v>14209</v>
      </c>
      <c r="V6" s="179" t="s">
        <v>89</v>
      </c>
      <c r="W6" s="178">
        <v>3</v>
      </c>
      <c r="X6" s="178"/>
      <c r="Y6" s="178"/>
      <c r="Z6" s="23"/>
      <c r="AA6" s="23">
        <v>8</v>
      </c>
      <c r="AB6" s="150">
        <v>3</v>
      </c>
      <c r="AC6" s="23">
        <v>2</v>
      </c>
      <c r="AD6" s="156">
        <v>1</v>
      </c>
      <c r="AE6" s="4" t="s">
        <v>33</v>
      </c>
    </row>
    <row r="7" spans="1:31" ht="21.9" customHeight="1">
      <c r="A7" s="4">
        <v>5</v>
      </c>
      <c r="B7" s="123" t="s">
        <v>90</v>
      </c>
      <c r="C7" s="145" t="s">
        <v>91</v>
      </c>
      <c r="D7" s="123" t="s">
        <v>92</v>
      </c>
      <c r="E7" s="168">
        <f>21000+420</f>
        <v>21420</v>
      </c>
      <c r="F7" s="169">
        <v>5000</v>
      </c>
      <c r="G7" s="170">
        <f t="shared" si="0"/>
        <v>6069</v>
      </c>
      <c r="H7" s="171">
        <f t="shared" si="1"/>
        <v>669.375</v>
      </c>
      <c r="I7" s="168">
        <f t="shared" si="2"/>
        <v>535.5</v>
      </c>
      <c r="J7" s="168">
        <v>1000</v>
      </c>
      <c r="K7" s="168">
        <v>2000</v>
      </c>
      <c r="L7" s="172">
        <v>750</v>
      </c>
      <c r="M7" s="168"/>
      <c r="N7" s="168"/>
      <c r="O7" s="168"/>
      <c r="P7" s="173">
        <v>129</v>
      </c>
      <c r="Q7" s="168"/>
      <c r="R7" s="175">
        <f t="shared" si="3"/>
        <v>0</v>
      </c>
      <c r="S7" s="168"/>
      <c r="T7" s="168"/>
      <c r="U7" s="168">
        <f t="shared" si="4"/>
        <v>31815</v>
      </c>
      <c r="V7" s="179" t="s">
        <v>162</v>
      </c>
      <c r="W7" s="178"/>
      <c r="X7" s="178"/>
      <c r="Y7" s="178"/>
      <c r="Z7" s="23"/>
      <c r="AA7" s="23"/>
      <c r="AB7" s="150">
        <v>8.5</v>
      </c>
      <c r="AC7" s="150">
        <v>5</v>
      </c>
      <c r="AD7" s="153">
        <v>2</v>
      </c>
      <c r="AE7" s="4" t="s">
        <v>33</v>
      </c>
    </row>
    <row r="8" spans="1:31" ht="21.9" customHeight="1">
      <c r="A8" s="4">
        <v>6</v>
      </c>
      <c r="B8" s="123" t="s">
        <v>93</v>
      </c>
      <c r="C8" s="123" t="s">
        <v>94</v>
      </c>
      <c r="D8" s="123" t="s">
        <v>95</v>
      </c>
      <c r="E8" s="168">
        <f>15600+468</f>
        <v>16068</v>
      </c>
      <c r="F8" s="169">
        <v>1500</v>
      </c>
      <c r="G8" s="170">
        <f t="shared" si="0"/>
        <v>1606.8000000000002</v>
      </c>
      <c r="H8" s="171">
        <f t="shared" si="1"/>
        <v>301.27500000000003</v>
      </c>
      <c r="I8" s="168">
        <f t="shared" si="2"/>
        <v>0</v>
      </c>
      <c r="J8" s="168">
        <v>500</v>
      </c>
      <c r="K8" s="168">
        <v>7000</v>
      </c>
      <c r="L8" s="172">
        <v>750</v>
      </c>
      <c r="M8" s="168"/>
      <c r="N8" s="168"/>
      <c r="O8" s="168"/>
      <c r="P8" s="180">
        <v>1689</v>
      </c>
      <c r="Q8" s="168"/>
      <c r="R8" s="175">
        <f t="shared" si="3"/>
        <v>0</v>
      </c>
      <c r="S8" s="168"/>
      <c r="T8" s="168"/>
      <c r="U8" s="168">
        <f t="shared" si="4"/>
        <v>10537</v>
      </c>
      <c r="V8" s="179" t="s">
        <v>96</v>
      </c>
      <c r="W8" s="178"/>
      <c r="X8" s="178">
        <v>131</v>
      </c>
      <c r="Y8" s="178"/>
      <c r="Z8" s="23"/>
      <c r="AA8" s="23">
        <v>8</v>
      </c>
      <c r="AB8" s="150">
        <v>3</v>
      </c>
      <c r="AC8" s="150">
        <v>3</v>
      </c>
      <c r="AD8" s="156"/>
      <c r="AE8" s="4" t="s">
        <v>33</v>
      </c>
    </row>
    <row r="9" spans="1:31" ht="21.9" customHeight="1">
      <c r="A9" s="4">
        <v>7</v>
      </c>
      <c r="B9" s="123" t="s">
        <v>210</v>
      </c>
      <c r="C9" s="123" t="s">
        <v>97</v>
      </c>
      <c r="D9" s="123" t="s">
        <v>48</v>
      </c>
      <c r="E9" s="168">
        <f>13650+410</f>
        <v>14060</v>
      </c>
      <c r="F9" s="168"/>
      <c r="G9" s="170">
        <f t="shared" si="0"/>
        <v>1874.6666666666667</v>
      </c>
      <c r="H9" s="171">
        <f t="shared" si="1"/>
        <v>0</v>
      </c>
      <c r="I9" s="168">
        <f t="shared" si="2"/>
        <v>351.5</v>
      </c>
      <c r="J9" s="168">
        <v>500</v>
      </c>
      <c r="K9" s="168"/>
      <c r="L9" s="181"/>
      <c r="M9" s="173"/>
      <c r="N9" s="168"/>
      <c r="O9" s="168"/>
      <c r="P9" s="173"/>
      <c r="Q9" s="168"/>
      <c r="R9" s="168">
        <f t="shared" si="3"/>
        <v>0</v>
      </c>
      <c r="S9" s="168"/>
      <c r="T9" s="168"/>
      <c r="U9" s="168">
        <f t="shared" si="4"/>
        <v>16786</v>
      </c>
      <c r="V9" s="179" t="s">
        <v>98</v>
      </c>
      <c r="W9" s="178"/>
      <c r="X9" s="177"/>
      <c r="Y9" s="178">
        <v>3</v>
      </c>
      <c r="Z9" s="23"/>
      <c r="AA9" s="23"/>
      <c r="AB9" s="23">
        <v>4</v>
      </c>
      <c r="AC9" s="23"/>
      <c r="AD9" s="153">
        <v>2</v>
      </c>
      <c r="AE9" s="4" t="s">
        <v>33</v>
      </c>
    </row>
    <row r="10" spans="1:31" ht="21.9" customHeight="1">
      <c r="A10" s="4">
        <v>8</v>
      </c>
      <c r="B10" s="123" t="s">
        <v>209</v>
      </c>
      <c r="C10" s="123" t="s">
        <v>102</v>
      </c>
      <c r="D10" s="123" t="s">
        <v>61</v>
      </c>
      <c r="E10" s="168">
        <f>14175+426</f>
        <v>14601</v>
      </c>
      <c r="F10" s="169">
        <v>1500</v>
      </c>
      <c r="G10" s="170">
        <f t="shared" si="0"/>
        <v>1946.8</v>
      </c>
      <c r="H10" s="171">
        <f t="shared" si="1"/>
        <v>273.76874999999995</v>
      </c>
      <c r="I10" s="168">
        <f t="shared" si="2"/>
        <v>365.02499999999998</v>
      </c>
      <c r="J10" s="168">
        <v>500</v>
      </c>
      <c r="K10" s="168"/>
      <c r="L10" s="172">
        <v>730.05</v>
      </c>
      <c r="M10" s="168"/>
      <c r="N10" s="168"/>
      <c r="O10" s="168"/>
      <c r="P10" s="173"/>
      <c r="Q10" s="168"/>
      <c r="R10" s="175">
        <f t="shared" si="3"/>
        <v>0</v>
      </c>
      <c r="S10" s="168"/>
      <c r="T10" s="168"/>
      <c r="U10" s="168">
        <f t="shared" si="4"/>
        <v>18457</v>
      </c>
      <c r="V10" s="179" t="s">
        <v>103</v>
      </c>
      <c r="W10" s="178"/>
      <c r="X10" s="178">
        <v>57</v>
      </c>
      <c r="Y10" s="178"/>
      <c r="Z10" s="23"/>
      <c r="AA10" s="23"/>
      <c r="AB10" s="23">
        <v>4</v>
      </c>
      <c r="AC10" s="150">
        <v>3</v>
      </c>
      <c r="AD10" s="153">
        <v>2</v>
      </c>
      <c r="AE10" s="4" t="s">
        <v>33</v>
      </c>
    </row>
    <row r="11" spans="1:31" ht="21.9" customHeight="1">
      <c r="A11" s="4">
        <v>9</v>
      </c>
      <c r="B11" s="123" t="s">
        <v>104</v>
      </c>
      <c r="C11" s="123" t="s">
        <v>105</v>
      </c>
      <c r="D11" s="123" t="s">
        <v>48</v>
      </c>
      <c r="E11" s="168">
        <f>14500+435</f>
        <v>14935</v>
      </c>
      <c r="F11" s="168"/>
      <c r="G11" s="170">
        <f>(E11/30)*AB11</f>
        <v>1991.3333333333333</v>
      </c>
      <c r="H11" s="171">
        <f t="shared" si="1"/>
        <v>186.6875</v>
      </c>
      <c r="I11" s="168">
        <f t="shared" si="2"/>
        <v>373.375</v>
      </c>
      <c r="J11" s="168">
        <v>1000</v>
      </c>
      <c r="K11" s="168"/>
      <c r="L11" s="172">
        <v>746.75</v>
      </c>
      <c r="M11" s="168"/>
      <c r="N11" s="168"/>
      <c r="O11" s="168"/>
      <c r="P11" s="173"/>
      <c r="Q11" s="168"/>
      <c r="R11" s="168">
        <f t="shared" si="3"/>
        <v>0</v>
      </c>
      <c r="S11" s="168"/>
      <c r="T11" s="168"/>
      <c r="U11" s="168">
        <f t="shared" si="4"/>
        <v>17740</v>
      </c>
      <c r="V11" s="182" t="s">
        <v>106</v>
      </c>
      <c r="W11" s="178"/>
      <c r="X11" s="178"/>
      <c r="Y11" s="178"/>
      <c r="Z11" s="23"/>
      <c r="AA11" s="23"/>
      <c r="AB11" s="23">
        <v>4</v>
      </c>
      <c r="AC11" s="23">
        <v>2</v>
      </c>
      <c r="AD11" s="153">
        <v>2</v>
      </c>
      <c r="AE11" s="4" t="s">
        <v>33</v>
      </c>
    </row>
    <row r="12" spans="1:31" ht="21.9" customHeight="1">
      <c r="A12" s="4">
        <v>10</v>
      </c>
      <c r="B12" s="123" t="s">
        <v>107</v>
      </c>
      <c r="C12" s="123" t="s">
        <v>108</v>
      </c>
      <c r="D12" s="123" t="s">
        <v>39</v>
      </c>
      <c r="E12" s="168">
        <f>13520+406</f>
        <v>13926</v>
      </c>
      <c r="F12" s="168"/>
      <c r="G12" s="170">
        <f t="shared" si="0"/>
        <v>1856.8</v>
      </c>
      <c r="H12" s="171">
        <f t="shared" si="1"/>
        <v>174.07499999999999</v>
      </c>
      <c r="I12" s="168">
        <f t="shared" si="2"/>
        <v>348.15</v>
      </c>
      <c r="J12" s="168">
        <v>900</v>
      </c>
      <c r="K12" s="168"/>
      <c r="L12" s="172">
        <v>696.3</v>
      </c>
      <c r="M12" s="168"/>
      <c r="N12" s="168"/>
      <c r="O12" s="183">
        <v>300</v>
      </c>
      <c r="P12" s="173"/>
      <c r="Q12" s="168"/>
      <c r="R12" s="168">
        <f t="shared" si="3"/>
        <v>0</v>
      </c>
      <c r="S12" s="168"/>
      <c r="T12" s="168"/>
      <c r="U12" s="168">
        <f t="shared" si="4"/>
        <v>16809</v>
      </c>
      <c r="V12" s="184" t="s">
        <v>175</v>
      </c>
      <c r="W12" s="178"/>
      <c r="X12" s="178">
        <v>11</v>
      </c>
      <c r="Y12" s="178"/>
      <c r="Z12" s="23"/>
      <c r="AA12" s="23"/>
      <c r="AB12" s="23">
        <v>4</v>
      </c>
      <c r="AC12" s="23">
        <v>2</v>
      </c>
      <c r="AD12" s="153">
        <v>2</v>
      </c>
      <c r="AE12" s="4" t="s">
        <v>33</v>
      </c>
    </row>
    <row r="13" spans="1:31" ht="21.9" customHeight="1">
      <c r="A13" s="4">
        <v>11</v>
      </c>
      <c r="B13" s="123" t="s">
        <v>109</v>
      </c>
      <c r="C13" s="123" t="s">
        <v>110</v>
      </c>
      <c r="D13" s="123" t="s">
        <v>111</v>
      </c>
      <c r="E13" s="168">
        <f>15000+450</f>
        <v>15450</v>
      </c>
      <c r="F13" s="169">
        <v>1500</v>
      </c>
      <c r="G13" s="170">
        <f t="shared" si="0"/>
        <v>1545</v>
      </c>
      <c r="H13" s="171">
        <f t="shared" si="1"/>
        <v>193.125</v>
      </c>
      <c r="I13" s="168">
        <f t="shared" si="2"/>
        <v>193.125</v>
      </c>
      <c r="J13" s="168">
        <v>500</v>
      </c>
      <c r="K13" s="168">
        <v>7000</v>
      </c>
      <c r="L13" s="172">
        <v>750</v>
      </c>
      <c r="M13" s="168"/>
      <c r="N13" s="168"/>
      <c r="O13" s="168"/>
      <c r="P13" s="173"/>
      <c r="Q13" s="168"/>
      <c r="R13" s="175">
        <f t="shared" si="3"/>
        <v>1030</v>
      </c>
      <c r="S13" s="168"/>
      <c r="T13" s="168"/>
      <c r="U13" s="168">
        <f t="shared" si="4"/>
        <v>10601</v>
      </c>
      <c r="V13" s="179" t="s">
        <v>112</v>
      </c>
      <c r="W13" s="178"/>
      <c r="X13" s="178"/>
      <c r="Y13" s="178"/>
      <c r="Z13" s="23">
        <v>2</v>
      </c>
      <c r="AA13" s="23">
        <v>6</v>
      </c>
      <c r="AB13" s="150">
        <v>3</v>
      </c>
      <c r="AC13" s="23">
        <v>2</v>
      </c>
      <c r="AD13" s="156">
        <v>1</v>
      </c>
      <c r="AE13" s="4" t="s">
        <v>33</v>
      </c>
    </row>
    <row r="14" spans="1:31" ht="21.9" customHeight="1">
      <c r="A14" s="4">
        <v>12</v>
      </c>
      <c r="B14" s="123" t="s">
        <v>113</v>
      </c>
      <c r="C14" s="123" t="s">
        <v>114</v>
      </c>
      <c r="D14" s="126" t="s">
        <v>48</v>
      </c>
      <c r="E14" s="185">
        <v>13500</v>
      </c>
      <c r="F14" s="169">
        <v>1500</v>
      </c>
      <c r="G14" s="170">
        <f t="shared" si="0"/>
        <v>1800</v>
      </c>
      <c r="H14" s="171">
        <f t="shared" si="1"/>
        <v>0</v>
      </c>
      <c r="I14" s="168">
        <f t="shared" si="2"/>
        <v>337.5</v>
      </c>
      <c r="J14" s="168">
        <v>650</v>
      </c>
      <c r="K14" s="168"/>
      <c r="L14" s="172">
        <v>675</v>
      </c>
      <c r="M14" s="168"/>
      <c r="N14" s="168"/>
      <c r="O14" s="168"/>
      <c r="P14" s="173"/>
      <c r="Q14" s="168"/>
      <c r="R14" s="168">
        <f t="shared" si="3"/>
        <v>0</v>
      </c>
      <c r="S14" s="168"/>
      <c r="T14" s="168"/>
      <c r="U14" s="168">
        <f t="shared" si="4"/>
        <v>17113</v>
      </c>
      <c r="V14" s="184" t="s">
        <v>203</v>
      </c>
      <c r="W14" s="178"/>
      <c r="X14" s="178"/>
      <c r="Y14" s="178">
        <v>3</v>
      </c>
      <c r="Z14" s="23"/>
      <c r="AA14" s="23"/>
      <c r="AB14" s="23">
        <v>4</v>
      </c>
      <c r="AC14" s="150"/>
      <c r="AD14" s="153">
        <v>2</v>
      </c>
      <c r="AE14" s="4" t="s">
        <v>33</v>
      </c>
    </row>
    <row r="15" spans="1:31" ht="21.9" customHeight="1">
      <c r="A15" s="4">
        <v>14</v>
      </c>
      <c r="B15" s="123" t="s">
        <v>220</v>
      </c>
      <c r="C15" s="123" t="s">
        <v>115</v>
      </c>
      <c r="D15" s="123" t="s">
        <v>39</v>
      </c>
      <c r="E15" s="168">
        <f>12000+240</f>
        <v>12240</v>
      </c>
      <c r="F15" s="186"/>
      <c r="G15" s="170">
        <f t="shared" si="0"/>
        <v>1632</v>
      </c>
      <c r="H15" s="171">
        <f t="shared" si="1"/>
        <v>153</v>
      </c>
      <c r="I15" s="168">
        <f t="shared" si="2"/>
        <v>306</v>
      </c>
      <c r="J15" s="168">
        <v>500</v>
      </c>
      <c r="K15" s="168"/>
      <c r="L15" s="181"/>
      <c r="M15" s="173"/>
      <c r="N15" s="168"/>
      <c r="O15" s="168"/>
      <c r="P15" s="173"/>
      <c r="Q15" s="168"/>
      <c r="R15" s="168">
        <f t="shared" si="3"/>
        <v>0</v>
      </c>
      <c r="S15" s="168"/>
      <c r="T15" s="168"/>
      <c r="U15" s="168">
        <f t="shared" si="4"/>
        <v>14831</v>
      </c>
      <c r="V15" s="182" t="s">
        <v>116</v>
      </c>
      <c r="W15" s="178"/>
      <c r="X15" s="178"/>
      <c r="Y15" s="178"/>
      <c r="Z15" s="23"/>
      <c r="AA15" s="23"/>
      <c r="AB15" s="23">
        <v>4</v>
      </c>
      <c r="AC15" s="23">
        <v>2</v>
      </c>
      <c r="AD15" s="153">
        <v>2</v>
      </c>
      <c r="AE15" s="4" t="s">
        <v>33</v>
      </c>
    </row>
    <row r="16" spans="1:31" ht="21.9" customHeight="1">
      <c r="A16" s="4">
        <v>15</v>
      </c>
      <c r="B16" s="123" t="s">
        <v>117</v>
      </c>
      <c r="C16" s="123" t="s">
        <v>118</v>
      </c>
      <c r="D16" s="123" t="s">
        <v>39</v>
      </c>
      <c r="E16" s="168">
        <v>12500</v>
      </c>
      <c r="F16" s="169">
        <v>1000</v>
      </c>
      <c r="G16" s="170">
        <f t="shared" si="0"/>
        <v>1666.6666666666667</v>
      </c>
      <c r="H16" s="171">
        <f t="shared" si="1"/>
        <v>156.25</v>
      </c>
      <c r="I16" s="168">
        <f t="shared" si="2"/>
        <v>312.5</v>
      </c>
      <c r="J16" s="168">
        <v>900</v>
      </c>
      <c r="K16" s="168">
        <v>6000</v>
      </c>
      <c r="L16" s="172">
        <v>625</v>
      </c>
      <c r="M16" s="173"/>
      <c r="N16" s="168"/>
      <c r="O16" s="168"/>
      <c r="P16" s="173"/>
      <c r="Q16" s="168"/>
      <c r="R16" s="175">
        <f t="shared" si="3"/>
        <v>0</v>
      </c>
      <c r="S16" s="168"/>
      <c r="T16" s="168"/>
      <c r="U16" s="168">
        <f t="shared" si="4"/>
        <v>9910</v>
      </c>
      <c r="V16" s="179" t="s">
        <v>119</v>
      </c>
      <c r="W16" s="178"/>
      <c r="X16" s="178"/>
      <c r="Y16" s="178">
        <v>0.5</v>
      </c>
      <c r="Z16" s="23"/>
      <c r="AA16" s="23"/>
      <c r="AB16" s="23">
        <v>4</v>
      </c>
      <c r="AC16" s="23">
        <v>2</v>
      </c>
      <c r="AD16" s="153">
        <v>2</v>
      </c>
      <c r="AE16" s="4" t="s">
        <v>33</v>
      </c>
    </row>
    <row r="17" spans="1:31" ht="21.9" customHeight="1">
      <c r="A17" s="4">
        <v>16</v>
      </c>
      <c r="B17" s="123" t="s">
        <v>120</v>
      </c>
      <c r="C17" s="123" t="s">
        <v>121</v>
      </c>
      <c r="D17" s="126" t="s">
        <v>48</v>
      </c>
      <c r="E17" s="168">
        <v>13500</v>
      </c>
      <c r="F17" s="186"/>
      <c r="G17" s="170">
        <f t="shared" si="0"/>
        <v>1800</v>
      </c>
      <c r="H17" s="171">
        <f t="shared" si="1"/>
        <v>168.75</v>
      </c>
      <c r="I17" s="168">
        <f t="shared" si="2"/>
        <v>337.5</v>
      </c>
      <c r="J17" s="168">
        <v>1000</v>
      </c>
      <c r="K17" s="168"/>
      <c r="L17" s="172">
        <v>675</v>
      </c>
      <c r="M17" s="168"/>
      <c r="N17" s="168"/>
      <c r="O17" s="168"/>
      <c r="P17" s="173"/>
      <c r="Q17" s="168"/>
      <c r="R17" s="168">
        <f t="shared" si="3"/>
        <v>0</v>
      </c>
      <c r="S17" s="168"/>
      <c r="T17" s="168"/>
      <c r="U17" s="168">
        <f t="shared" si="4"/>
        <v>16131</v>
      </c>
      <c r="V17" s="182" t="s">
        <v>122</v>
      </c>
      <c r="W17" s="178"/>
      <c r="X17" s="177"/>
      <c r="Y17" s="178"/>
      <c r="Z17" s="23"/>
      <c r="AA17" s="23"/>
      <c r="AB17" s="23">
        <v>4</v>
      </c>
      <c r="AC17" s="23">
        <v>2</v>
      </c>
      <c r="AD17" s="153">
        <v>2</v>
      </c>
      <c r="AE17" s="4" t="s">
        <v>33</v>
      </c>
    </row>
    <row r="18" spans="1:31" ht="21.9" customHeight="1">
      <c r="A18" s="4">
        <v>17</v>
      </c>
      <c r="B18" s="123" t="s">
        <v>212</v>
      </c>
      <c r="C18" s="123" t="s">
        <v>163</v>
      </c>
      <c r="D18" s="123" t="s">
        <v>48</v>
      </c>
      <c r="E18" s="168">
        <v>13000</v>
      </c>
      <c r="F18" s="186"/>
      <c r="G18" s="170">
        <f t="shared" si="0"/>
        <v>1733.3333333333333</v>
      </c>
      <c r="H18" s="171">
        <f t="shared" si="1"/>
        <v>162.5</v>
      </c>
      <c r="I18" s="168">
        <f t="shared" si="2"/>
        <v>325</v>
      </c>
      <c r="J18" s="168">
        <v>1000</v>
      </c>
      <c r="K18" s="168"/>
      <c r="L18" s="181"/>
      <c r="M18" s="173"/>
      <c r="N18" s="168"/>
      <c r="O18" s="168"/>
      <c r="P18" s="173"/>
      <c r="Q18" s="168"/>
      <c r="R18" s="168">
        <f t="shared" si="3"/>
        <v>0</v>
      </c>
      <c r="S18" s="168"/>
      <c r="T18" s="168"/>
      <c r="U18" s="168">
        <f t="shared" si="4"/>
        <v>16221</v>
      </c>
      <c r="V18" s="184" t="s">
        <v>123</v>
      </c>
      <c r="W18" s="178"/>
      <c r="X18" s="178"/>
      <c r="Y18" s="178"/>
      <c r="Z18" s="23"/>
      <c r="AA18" s="23"/>
      <c r="AB18" s="23">
        <v>4</v>
      </c>
      <c r="AC18" s="23">
        <v>2</v>
      </c>
      <c r="AD18" s="153">
        <v>2</v>
      </c>
      <c r="AE18" s="4" t="s">
        <v>33</v>
      </c>
    </row>
    <row r="19" spans="1:31" ht="21.9" customHeight="1">
      <c r="A19" s="4">
        <v>18</v>
      </c>
      <c r="B19" s="123" t="s">
        <v>124</v>
      </c>
      <c r="C19" s="123" t="s">
        <v>125</v>
      </c>
      <c r="D19" s="123" t="s">
        <v>48</v>
      </c>
      <c r="E19" s="168">
        <v>13500</v>
      </c>
      <c r="F19" s="168"/>
      <c r="G19" s="170">
        <f t="shared" si="0"/>
        <v>1800</v>
      </c>
      <c r="H19" s="171">
        <f t="shared" si="1"/>
        <v>168.75</v>
      </c>
      <c r="I19" s="168">
        <f t="shared" si="2"/>
        <v>337.5</v>
      </c>
      <c r="J19" s="168">
        <v>1000</v>
      </c>
      <c r="K19" s="168"/>
      <c r="L19" s="181"/>
      <c r="M19" s="168"/>
      <c r="N19" s="168"/>
      <c r="O19" s="168"/>
      <c r="P19" s="173"/>
      <c r="Q19" s="168"/>
      <c r="R19" s="175">
        <f t="shared" si="3"/>
        <v>0</v>
      </c>
      <c r="S19" s="168"/>
      <c r="T19" s="168"/>
      <c r="U19" s="168">
        <f t="shared" si="4"/>
        <v>16806</v>
      </c>
      <c r="V19" s="179" t="s">
        <v>126</v>
      </c>
      <c r="W19" s="178"/>
      <c r="X19" s="178"/>
      <c r="Y19" s="178"/>
      <c r="Z19" s="23"/>
      <c r="AA19" s="23"/>
      <c r="AB19" s="23">
        <v>4</v>
      </c>
      <c r="AC19" s="23">
        <v>2</v>
      </c>
      <c r="AD19" s="153">
        <v>2</v>
      </c>
      <c r="AE19" s="4" t="s">
        <v>33</v>
      </c>
    </row>
    <row r="20" spans="1:31" ht="21.75" customHeight="1">
      <c r="A20" s="4">
        <v>19</v>
      </c>
      <c r="B20" s="123" t="s">
        <v>127</v>
      </c>
      <c r="C20" s="123" t="s">
        <v>128</v>
      </c>
      <c r="D20" s="123" t="s">
        <v>48</v>
      </c>
      <c r="E20" s="168">
        <f>12000+240</f>
        <v>12240</v>
      </c>
      <c r="F20" s="168"/>
      <c r="G20" s="187">
        <f>(E20/30)*AB20</f>
        <v>1632</v>
      </c>
      <c r="H20" s="188">
        <f t="shared" si="1"/>
        <v>153</v>
      </c>
      <c r="I20" s="168">
        <f t="shared" si="2"/>
        <v>306</v>
      </c>
      <c r="J20" s="168">
        <v>500</v>
      </c>
      <c r="K20" s="168"/>
      <c r="L20" s="172">
        <v>612</v>
      </c>
      <c r="M20" s="168"/>
      <c r="N20" s="168"/>
      <c r="O20" s="168"/>
      <c r="P20" s="173"/>
      <c r="Q20" s="168"/>
      <c r="R20" s="168">
        <f t="shared" si="3"/>
        <v>0</v>
      </c>
      <c r="S20" s="168"/>
      <c r="T20" s="168"/>
      <c r="U20" s="168">
        <f t="shared" si="4"/>
        <v>14219</v>
      </c>
      <c r="V20" s="184" t="s">
        <v>129</v>
      </c>
      <c r="W20" s="178"/>
      <c r="X20" s="178">
        <v>17</v>
      </c>
      <c r="Y20" s="178"/>
      <c r="Z20" s="23"/>
      <c r="AA20" s="23"/>
      <c r="AB20" s="23">
        <v>4</v>
      </c>
      <c r="AC20" s="23">
        <v>2</v>
      </c>
      <c r="AD20" s="153">
        <v>2</v>
      </c>
      <c r="AE20" s="4" t="s">
        <v>33</v>
      </c>
    </row>
    <row r="21" spans="1:31" ht="21.75" customHeight="1">
      <c r="A21" s="4">
        <v>20</v>
      </c>
      <c r="B21" s="146" t="s">
        <v>130</v>
      </c>
      <c r="C21" s="146" t="s">
        <v>131</v>
      </c>
      <c r="D21" s="146" t="s">
        <v>48</v>
      </c>
      <c r="E21" s="189">
        <v>13000</v>
      </c>
      <c r="F21" s="190">
        <v>1500</v>
      </c>
      <c r="G21" s="191">
        <f t="shared" si="0"/>
        <v>1733.3333333333333</v>
      </c>
      <c r="H21" s="192">
        <f t="shared" si="1"/>
        <v>0</v>
      </c>
      <c r="I21" s="168">
        <f t="shared" si="2"/>
        <v>325</v>
      </c>
      <c r="J21" s="189">
        <v>500</v>
      </c>
      <c r="K21" s="189">
        <v>5000</v>
      </c>
      <c r="L21" s="193">
        <v>650</v>
      </c>
      <c r="M21" s="189"/>
      <c r="N21" s="189"/>
      <c r="O21" s="194"/>
      <c r="P21" s="194"/>
      <c r="Q21" s="189"/>
      <c r="R21" s="195">
        <f t="shared" si="3"/>
        <v>0</v>
      </c>
      <c r="S21" s="189"/>
      <c r="T21" s="189"/>
      <c r="U21" s="168">
        <f t="shared" si="4"/>
        <v>11408</v>
      </c>
      <c r="V21" s="196" t="s">
        <v>132</v>
      </c>
      <c r="W21" s="197"/>
      <c r="X21" s="197"/>
      <c r="Y21" s="197">
        <v>2</v>
      </c>
      <c r="Z21" s="127"/>
      <c r="AA21" s="127"/>
      <c r="AB21" s="23">
        <v>4</v>
      </c>
      <c r="AC21" s="150"/>
      <c r="AD21" s="153">
        <v>2</v>
      </c>
      <c r="AE21" s="4" t="s">
        <v>33</v>
      </c>
    </row>
    <row r="22" spans="1:31" ht="21.75" customHeight="1">
      <c r="A22" s="4">
        <v>21</v>
      </c>
      <c r="B22" s="123" t="s">
        <v>133</v>
      </c>
      <c r="C22" s="123" t="s">
        <v>134</v>
      </c>
      <c r="D22" s="123" t="s">
        <v>39</v>
      </c>
      <c r="E22" s="168">
        <v>12000</v>
      </c>
      <c r="F22" s="168"/>
      <c r="G22" s="170">
        <f t="shared" si="0"/>
        <v>1600</v>
      </c>
      <c r="H22" s="171">
        <f t="shared" si="1"/>
        <v>150</v>
      </c>
      <c r="I22" s="168">
        <f t="shared" si="2"/>
        <v>300</v>
      </c>
      <c r="J22" s="168">
        <v>900</v>
      </c>
      <c r="K22" s="168"/>
      <c r="L22" s="172">
        <v>600</v>
      </c>
      <c r="M22" s="168"/>
      <c r="N22" s="168"/>
      <c r="O22" s="173"/>
      <c r="P22" s="173"/>
      <c r="Q22" s="168"/>
      <c r="R22" s="175">
        <f t="shared" si="3"/>
        <v>0</v>
      </c>
      <c r="S22" s="168"/>
      <c r="T22" s="168"/>
      <c r="U22" s="168">
        <f t="shared" si="4"/>
        <v>14350</v>
      </c>
      <c r="V22" s="179" t="s">
        <v>135</v>
      </c>
      <c r="W22" s="178"/>
      <c r="X22" s="178">
        <v>11</v>
      </c>
      <c r="Y22" s="178"/>
      <c r="Z22" s="23"/>
      <c r="AA22" s="23"/>
      <c r="AB22" s="23">
        <v>4</v>
      </c>
      <c r="AC22" s="23">
        <v>2</v>
      </c>
      <c r="AD22" s="153">
        <v>2</v>
      </c>
      <c r="AE22" s="4" t="s">
        <v>33</v>
      </c>
    </row>
    <row r="23" spans="1:31" ht="21.75" customHeight="1">
      <c r="A23" s="4">
        <v>22</v>
      </c>
      <c r="B23" s="123" t="s">
        <v>168</v>
      </c>
      <c r="C23" s="123" t="s">
        <v>167</v>
      </c>
      <c r="D23" s="123" t="s">
        <v>48</v>
      </c>
      <c r="E23" s="168">
        <v>12000</v>
      </c>
      <c r="F23" s="168"/>
      <c r="G23" s="170">
        <f t="shared" si="0"/>
        <v>1600</v>
      </c>
      <c r="H23" s="171">
        <f t="shared" si="1"/>
        <v>150</v>
      </c>
      <c r="I23" s="168">
        <f t="shared" si="2"/>
        <v>300</v>
      </c>
      <c r="J23" s="168">
        <v>1000</v>
      </c>
      <c r="K23" s="168"/>
      <c r="L23" s="181"/>
      <c r="M23" s="173"/>
      <c r="N23" s="168"/>
      <c r="O23" s="168"/>
      <c r="P23" s="173"/>
      <c r="Q23" s="168"/>
      <c r="R23" s="168">
        <f t="shared" si="3"/>
        <v>0</v>
      </c>
      <c r="S23" s="168"/>
      <c r="T23" s="168"/>
      <c r="U23" s="168">
        <f t="shared" si="4"/>
        <v>15050</v>
      </c>
      <c r="V23" s="184" t="s">
        <v>254</v>
      </c>
      <c r="W23" s="178"/>
      <c r="X23" s="178"/>
      <c r="Y23" s="178"/>
      <c r="Z23" s="23"/>
      <c r="AA23" s="23"/>
      <c r="AB23" s="23">
        <v>4</v>
      </c>
      <c r="AC23" s="23">
        <v>2</v>
      </c>
      <c r="AD23" s="153">
        <v>2</v>
      </c>
      <c r="AE23" s="4" t="s">
        <v>33</v>
      </c>
    </row>
    <row r="24" spans="1:31" ht="21.75" customHeight="1">
      <c r="A24" s="4">
        <v>23</v>
      </c>
      <c r="B24" s="123" t="s">
        <v>169</v>
      </c>
      <c r="C24" s="123" t="s">
        <v>165</v>
      </c>
      <c r="D24" s="123" t="s">
        <v>39</v>
      </c>
      <c r="E24" s="168">
        <v>12000</v>
      </c>
      <c r="F24" s="168"/>
      <c r="G24" s="170">
        <f t="shared" si="0"/>
        <v>1200</v>
      </c>
      <c r="H24" s="171">
        <f t="shared" si="1"/>
        <v>150</v>
      </c>
      <c r="I24" s="168">
        <f t="shared" si="2"/>
        <v>150</v>
      </c>
      <c r="J24" s="168">
        <v>900</v>
      </c>
      <c r="K24" s="168"/>
      <c r="L24" s="172">
        <v>600</v>
      </c>
      <c r="M24" s="168"/>
      <c r="N24" s="168"/>
      <c r="O24" s="173"/>
      <c r="P24" s="173"/>
      <c r="Q24" s="168"/>
      <c r="R24" s="175">
        <f t="shared" si="3"/>
        <v>0</v>
      </c>
      <c r="S24" s="168"/>
      <c r="T24" s="168"/>
      <c r="U24" s="168">
        <f t="shared" si="4"/>
        <v>13800</v>
      </c>
      <c r="V24" s="176" t="s">
        <v>206</v>
      </c>
      <c r="W24" s="178"/>
      <c r="X24" s="178"/>
      <c r="Y24" s="178">
        <v>1</v>
      </c>
      <c r="Z24" s="23"/>
      <c r="AA24" s="23"/>
      <c r="AB24" s="150">
        <v>3</v>
      </c>
      <c r="AC24" s="23">
        <v>2</v>
      </c>
      <c r="AD24" s="156">
        <v>1</v>
      </c>
      <c r="AE24" s="4" t="s">
        <v>33</v>
      </c>
    </row>
    <row r="25" spans="1:31" ht="21.75" customHeight="1">
      <c r="A25" s="4">
        <v>24</v>
      </c>
      <c r="B25" s="123" t="s">
        <v>170</v>
      </c>
      <c r="C25" s="123" t="s">
        <v>164</v>
      </c>
      <c r="D25" s="123" t="s">
        <v>48</v>
      </c>
      <c r="E25" s="168">
        <v>14000</v>
      </c>
      <c r="F25" s="168"/>
      <c r="G25" s="170">
        <f t="shared" si="0"/>
        <v>1866.6666666666667</v>
      </c>
      <c r="H25" s="171">
        <f t="shared" si="1"/>
        <v>175</v>
      </c>
      <c r="I25" s="168">
        <f t="shared" si="2"/>
        <v>350</v>
      </c>
      <c r="J25" s="168">
        <v>1000</v>
      </c>
      <c r="K25" s="168">
        <v>6000</v>
      </c>
      <c r="L25" s="181"/>
      <c r="M25" s="173"/>
      <c r="N25" s="168"/>
      <c r="O25" s="168"/>
      <c r="P25" s="173"/>
      <c r="Q25" s="168"/>
      <c r="R25" s="168">
        <f t="shared" si="3"/>
        <v>0</v>
      </c>
      <c r="S25" s="168"/>
      <c r="T25" s="168"/>
      <c r="U25" s="168">
        <f t="shared" si="4"/>
        <v>11392</v>
      </c>
      <c r="V25" s="182" t="s">
        <v>195</v>
      </c>
      <c r="W25" s="178"/>
      <c r="X25" s="178"/>
      <c r="Y25" s="178"/>
      <c r="Z25" s="23"/>
      <c r="AA25" s="23"/>
      <c r="AB25" s="23">
        <v>4</v>
      </c>
      <c r="AC25" s="23">
        <v>2</v>
      </c>
      <c r="AD25" s="153">
        <v>2</v>
      </c>
      <c r="AE25" s="4" t="s">
        <v>33</v>
      </c>
    </row>
    <row r="26" spans="1:31" ht="21.75" customHeight="1">
      <c r="A26" s="4">
        <v>25</v>
      </c>
      <c r="B26" s="123" t="s">
        <v>171</v>
      </c>
      <c r="C26" s="123" t="s">
        <v>166</v>
      </c>
      <c r="D26" s="123" t="s">
        <v>48</v>
      </c>
      <c r="E26" s="168">
        <v>12000</v>
      </c>
      <c r="F26" s="168"/>
      <c r="G26" s="170">
        <f t="shared" si="0"/>
        <v>1600</v>
      </c>
      <c r="H26" s="171">
        <f t="shared" si="1"/>
        <v>150</v>
      </c>
      <c r="I26" s="168">
        <f t="shared" si="2"/>
        <v>300</v>
      </c>
      <c r="J26" s="185">
        <v>1000</v>
      </c>
      <c r="K26" s="168">
        <v>6000</v>
      </c>
      <c r="L26" s="181"/>
      <c r="M26" s="168"/>
      <c r="N26" s="168"/>
      <c r="O26" s="168"/>
      <c r="P26" s="173"/>
      <c r="Q26" s="168"/>
      <c r="R26" s="168">
        <f t="shared" si="3"/>
        <v>0</v>
      </c>
      <c r="S26" s="168"/>
      <c r="T26" s="168"/>
      <c r="U26" s="168">
        <f t="shared" si="4"/>
        <v>9050</v>
      </c>
      <c r="V26" s="182" t="s">
        <v>196</v>
      </c>
      <c r="W26" s="178"/>
      <c r="X26" s="178"/>
      <c r="Y26" s="178"/>
      <c r="Z26" s="23"/>
      <c r="AA26" s="23"/>
      <c r="AB26" s="23">
        <v>4</v>
      </c>
      <c r="AC26" s="23">
        <v>2</v>
      </c>
      <c r="AD26" s="153">
        <v>2</v>
      </c>
      <c r="AE26" s="4" t="s">
        <v>33</v>
      </c>
    </row>
    <row r="27" spans="1:31" ht="21.75" customHeight="1">
      <c r="A27" s="4">
        <v>26</v>
      </c>
      <c r="B27" s="123" t="s">
        <v>173</v>
      </c>
      <c r="C27" s="123" t="s">
        <v>172</v>
      </c>
      <c r="D27" s="123" t="s">
        <v>39</v>
      </c>
      <c r="E27" s="168">
        <v>12000</v>
      </c>
      <c r="F27" s="168"/>
      <c r="G27" s="170">
        <f t="shared" si="0"/>
        <v>1600</v>
      </c>
      <c r="H27" s="171">
        <f t="shared" si="1"/>
        <v>150</v>
      </c>
      <c r="I27" s="168">
        <f t="shared" si="2"/>
        <v>300</v>
      </c>
      <c r="J27" s="168"/>
      <c r="K27" s="198">
        <v>5000</v>
      </c>
      <c r="L27" s="172">
        <v>600</v>
      </c>
      <c r="M27" s="168"/>
      <c r="N27" s="168"/>
      <c r="O27" s="168"/>
      <c r="P27" s="173"/>
      <c r="Q27" s="168"/>
      <c r="R27" s="175">
        <f t="shared" si="3"/>
        <v>400</v>
      </c>
      <c r="S27" s="168"/>
      <c r="T27" s="168"/>
      <c r="U27" s="168">
        <f t="shared" si="4"/>
        <v>8050</v>
      </c>
      <c r="V27" s="176" t="s">
        <v>229</v>
      </c>
      <c r="W27" s="178">
        <v>1</v>
      </c>
      <c r="X27" s="178"/>
      <c r="Y27" s="178">
        <v>1</v>
      </c>
      <c r="Z27" s="23"/>
      <c r="AA27" s="23"/>
      <c r="AB27" s="23">
        <v>4</v>
      </c>
      <c r="AC27" s="23">
        <v>2</v>
      </c>
      <c r="AD27" s="153">
        <v>2</v>
      </c>
      <c r="AE27" s="4" t="s">
        <v>33</v>
      </c>
    </row>
    <row r="28" spans="1:31" ht="21.75" customHeight="1">
      <c r="A28" s="134">
        <v>27</v>
      </c>
      <c r="B28" s="133" t="s">
        <v>188</v>
      </c>
      <c r="C28" s="133" t="s">
        <v>187</v>
      </c>
      <c r="D28" s="133" t="s">
        <v>48</v>
      </c>
      <c r="E28" s="199">
        <v>12000</v>
      </c>
      <c r="F28" s="199"/>
      <c r="G28" s="200">
        <f t="shared" ref="G28:G31" si="5">(E28/30)*AB28</f>
        <v>1600</v>
      </c>
      <c r="H28" s="201">
        <f t="shared" ref="H28:H31" si="6">(((E28/30)/8*1.5))*AC28</f>
        <v>150</v>
      </c>
      <c r="I28" s="199">
        <f t="shared" si="2"/>
        <v>300</v>
      </c>
      <c r="J28" s="202">
        <v>1000</v>
      </c>
      <c r="K28" s="199">
        <v>4000</v>
      </c>
      <c r="L28" s="203"/>
      <c r="M28" s="199"/>
      <c r="N28" s="199"/>
      <c r="O28" s="199"/>
      <c r="P28" s="204"/>
      <c r="Q28" s="199"/>
      <c r="R28" s="199">
        <f t="shared" ref="R28:R31" si="7">(E28/30)*IF(W28=0,0,W28) + (E28/30)*IF(Z28=0,0,Z28)</f>
        <v>0</v>
      </c>
      <c r="S28" s="199"/>
      <c r="T28" s="199"/>
      <c r="U28" s="168">
        <f t="shared" si="4"/>
        <v>11050</v>
      </c>
      <c r="V28" s="184" t="s">
        <v>228</v>
      </c>
      <c r="W28" s="178"/>
      <c r="X28" s="178"/>
      <c r="Y28" s="178"/>
      <c r="Z28" s="23"/>
      <c r="AA28" s="23"/>
      <c r="AB28" s="23">
        <v>4</v>
      </c>
      <c r="AC28" s="23">
        <v>2</v>
      </c>
      <c r="AD28" s="153">
        <v>2</v>
      </c>
      <c r="AE28" s="4" t="s">
        <v>33</v>
      </c>
    </row>
    <row r="29" spans="1:31" ht="21.75" customHeight="1">
      <c r="A29" s="4">
        <v>28</v>
      </c>
      <c r="B29" s="123" t="s">
        <v>191</v>
      </c>
      <c r="C29" s="123" t="s">
        <v>186</v>
      </c>
      <c r="D29" s="123" t="s">
        <v>48</v>
      </c>
      <c r="E29" s="168">
        <v>12000</v>
      </c>
      <c r="F29" s="198"/>
      <c r="G29" s="170">
        <f t="shared" si="5"/>
        <v>1600</v>
      </c>
      <c r="H29" s="171">
        <f t="shared" si="6"/>
        <v>150</v>
      </c>
      <c r="I29" s="168">
        <f t="shared" si="2"/>
        <v>300</v>
      </c>
      <c r="J29" s="168">
        <v>650</v>
      </c>
      <c r="K29" s="168"/>
      <c r="L29" s="172">
        <v>600</v>
      </c>
      <c r="M29" s="168"/>
      <c r="N29" s="168"/>
      <c r="O29" s="168"/>
      <c r="P29" s="173"/>
      <c r="Q29" s="168"/>
      <c r="R29" s="168">
        <f t="shared" si="7"/>
        <v>0</v>
      </c>
      <c r="S29" s="168"/>
      <c r="T29" s="168"/>
      <c r="U29" s="168">
        <f t="shared" si="4"/>
        <v>14100</v>
      </c>
      <c r="V29" s="184" t="s">
        <v>190</v>
      </c>
      <c r="W29" s="178"/>
      <c r="X29" s="178">
        <v>47</v>
      </c>
      <c r="Y29" s="178"/>
      <c r="Z29" s="23"/>
      <c r="AA29" s="23"/>
      <c r="AB29" s="23">
        <v>4</v>
      </c>
      <c r="AC29" s="23">
        <v>2</v>
      </c>
      <c r="AD29" s="153">
        <v>2</v>
      </c>
      <c r="AE29" s="4" t="s">
        <v>33</v>
      </c>
    </row>
    <row r="30" spans="1:31" ht="21.75" customHeight="1">
      <c r="A30" s="134">
        <v>29</v>
      </c>
      <c r="B30" s="133" t="s">
        <v>237</v>
      </c>
      <c r="C30" s="133" t="s">
        <v>208</v>
      </c>
      <c r="D30" s="133" t="s">
        <v>48</v>
      </c>
      <c r="E30" s="199">
        <v>12000</v>
      </c>
      <c r="F30" s="199"/>
      <c r="G30" s="200">
        <f t="shared" si="5"/>
        <v>1600</v>
      </c>
      <c r="H30" s="201">
        <f t="shared" si="6"/>
        <v>150</v>
      </c>
      <c r="I30" s="199">
        <f t="shared" si="2"/>
        <v>300</v>
      </c>
      <c r="J30" s="199">
        <v>1000</v>
      </c>
      <c r="K30" s="199">
        <v>3000</v>
      </c>
      <c r="L30" s="203"/>
      <c r="M30" s="199"/>
      <c r="N30" s="199"/>
      <c r="O30" s="183">
        <v>1000</v>
      </c>
      <c r="P30" s="204"/>
      <c r="Q30" s="199"/>
      <c r="R30" s="199">
        <f t="shared" si="7"/>
        <v>0</v>
      </c>
      <c r="S30" s="199"/>
      <c r="T30" s="199"/>
      <c r="U30" s="168">
        <f t="shared" si="4"/>
        <v>13050</v>
      </c>
      <c r="V30" s="182"/>
      <c r="W30" s="178"/>
      <c r="X30" s="178"/>
      <c r="Y30" s="178"/>
      <c r="Z30" s="23"/>
      <c r="AA30" s="23"/>
      <c r="AB30" s="23">
        <v>4</v>
      </c>
      <c r="AC30" s="23">
        <v>2</v>
      </c>
      <c r="AD30" s="153">
        <v>2</v>
      </c>
      <c r="AE30" s="4" t="s">
        <v>33</v>
      </c>
    </row>
    <row r="31" spans="1:31" ht="21.75" customHeight="1">
      <c r="A31" s="4">
        <v>30</v>
      </c>
      <c r="B31" s="123" t="s">
        <v>207</v>
      </c>
      <c r="C31" s="123" t="s">
        <v>199</v>
      </c>
      <c r="D31" s="123" t="s">
        <v>48</v>
      </c>
      <c r="E31" s="168">
        <v>12000</v>
      </c>
      <c r="F31" s="168"/>
      <c r="G31" s="170">
        <f t="shared" si="5"/>
        <v>1600</v>
      </c>
      <c r="H31" s="171">
        <f t="shared" si="6"/>
        <v>150</v>
      </c>
      <c r="I31" s="168">
        <f t="shared" si="2"/>
        <v>300</v>
      </c>
      <c r="J31" s="168">
        <v>1000</v>
      </c>
      <c r="K31" s="168">
        <v>3000</v>
      </c>
      <c r="L31" s="172">
        <v>600</v>
      </c>
      <c r="M31" s="168"/>
      <c r="N31" s="168"/>
      <c r="O31" s="168"/>
      <c r="P31" s="173"/>
      <c r="Q31" s="168"/>
      <c r="R31" s="168">
        <f t="shared" si="7"/>
        <v>0</v>
      </c>
      <c r="S31" s="168"/>
      <c r="T31" s="168"/>
      <c r="U31" s="168">
        <f t="shared" si="4"/>
        <v>11450</v>
      </c>
      <c r="V31" s="184" t="s">
        <v>204</v>
      </c>
      <c r="W31" s="178"/>
      <c r="X31" s="178"/>
      <c r="Y31" s="178"/>
      <c r="Z31" s="23"/>
      <c r="AA31" s="23"/>
      <c r="AB31" s="23">
        <v>4</v>
      </c>
      <c r="AC31" s="23">
        <v>2</v>
      </c>
      <c r="AD31" s="153">
        <v>2</v>
      </c>
      <c r="AE31" s="4" t="s">
        <v>33</v>
      </c>
    </row>
    <row r="32" spans="1:31" ht="21.75" customHeight="1">
      <c r="A32" s="4">
        <v>31</v>
      </c>
      <c r="B32" s="123" t="s">
        <v>234</v>
      </c>
      <c r="C32" s="123" t="s">
        <v>200</v>
      </c>
      <c r="D32" s="123" t="s">
        <v>39</v>
      </c>
      <c r="E32" s="168">
        <v>12000</v>
      </c>
      <c r="F32" s="168"/>
      <c r="G32" s="170">
        <f t="shared" ref="G32" si="8">(E32/30)*AB32</f>
        <v>1600</v>
      </c>
      <c r="H32" s="171">
        <f t="shared" ref="H32" si="9">(((E32/30)/8*1.5))*AC32</f>
        <v>150</v>
      </c>
      <c r="I32" s="168">
        <f t="shared" si="2"/>
        <v>300</v>
      </c>
      <c r="J32" s="168">
        <v>650</v>
      </c>
      <c r="K32" s="168"/>
      <c r="L32" s="181"/>
      <c r="M32" s="168"/>
      <c r="N32" s="168"/>
      <c r="O32" s="183">
        <v>200</v>
      </c>
      <c r="P32" s="173"/>
      <c r="Q32" s="168"/>
      <c r="R32" s="175">
        <f t="shared" ref="R32" si="10">(E32/30)*IF(W32=0,0,W32) + (E32/30)*IF(Z32=0,0,Z32)</f>
        <v>1200</v>
      </c>
      <c r="S32" s="168"/>
      <c r="T32" s="168"/>
      <c r="U32" s="168">
        <f t="shared" si="4"/>
        <v>13700</v>
      </c>
      <c r="V32" s="176" t="s">
        <v>205</v>
      </c>
      <c r="W32" s="178"/>
      <c r="X32" s="178"/>
      <c r="Y32" s="178"/>
      <c r="Z32" s="23">
        <v>3</v>
      </c>
      <c r="AA32" s="23"/>
      <c r="AB32" s="23">
        <v>4</v>
      </c>
      <c r="AC32" s="23">
        <v>2</v>
      </c>
      <c r="AD32" s="153">
        <v>2</v>
      </c>
      <c r="AE32" s="4" t="s">
        <v>33</v>
      </c>
    </row>
    <row r="33" spans="1:31" ht="21.75" customHeight="1">
      <c r="A33" s="4">
        <v>32</v>
      </c>
      <c r="B33" s="128" t="s">
        <v>183</v>
      </c>
      <c r="C33" s="131" t="s">
        <v>182</v>
      </c>
      <c r="D33" s="123" t="s">
        <v>39</v>
      </c>
      <c r="E33" s="168">
        <v>12000</v>
      </c>
      <c r="F33" s="168"/>
      <c r="G33" s="170">
        <f t="shared" ref="G33" si="11">(E33/30)*AB33</f>
        <v>1600</v>
      </c>
      <c r="H33" s="171">
        <f t="shared" ref="H33" si="12">(((E33/30)/8*1.5))*AC33</f>
        <v>150</v>
      </c>
      <c r="I33" s="168">
        <f t="shared" si="2"/>
        <v>300</v>
      </c>
      <c r="J33" s="168"/>
      <c r="K33" s="168">
        <v>1000</v>
      </c>
      <c r="L33" s="172">
        <v>600</v>
      </c>
      <c r="M33" s="168"/>
      <c r="N33" s="168"/>
      <c r="O33" s="173"/>
      <c r="P33" s="173"/>
      <c r="Q33" s="168"/>
      <c r="R33" s="175">
        <f t="shared" ref="R33" si="13">(E33/30)*IF(W33=0,0,W33) + (E33/30)*IF(Z33=0,0,Z33)</f>
        <v>0</v>
      </c>
      <c r="S33" s="168"/>
      <c r="T33" s="168"/>
      <c r="U33" s="168">
        <f t="shared" si="4"/>
        <v>12450</v>
      </c>
      <c r="V33" s="184" t="s">
        <v>250</v>
      </c>
      <c r="W33" s="178"/>
      <c r="X33" s="178">
        <v>26</v>
      </c>
      <c r="Y33" s="178"/>
      <c r="Z33" s="23"/>
      <c r="AA33" s="23"/>
      <c r="AB33" s="23">
        <v>4</v>
      </c>
      <c r="AC33" s="23">
        <v>2</v>
      </c>
      <c r="AD33" s="153">
        <v>2</v>
      </c>
      <c r="AE33" s="4" t="s">
        <v>33</v>
      </c>
    </row>
    <row r="34" spans="1:31" ht="21.75" customHeight="1">
      <c r="A34" s="4">
        <v>33</v>
      </c>
      <c r="B34" s="131" t="s">
        <v>227</v>
      </c>
      <c r="C34" s="131" t="s">
        <v>222</v>
      </c>
      <c r="D34" s="123" t="s">
        <v>39</v>
      </c>
      <c r="E34" s="168">
        <v>12000</v>
      </c>
      <c r="F34" s="168"/>
      <c r="G34" s="170">
        <f t="shared" ref="G34" si="14">(E34/30)*AB34</f>
        <v>1200</v>
      </c>
      <c r="H34" s="171">
        <f t="shared" ref="H34" si="15">(((E34/30)/8*1.5))*AC34</f>
        <v>150</v>
      </c>
      <c r="I34" s="168">
        <f t="shared" si="2"/>
        <v>150</v>
      </c>
      <c r="J34" s="168">
        <v>900</v>
      </c>
      <c r="K34" s="168">
        <v>6000</v>
      </c>
      <c r="L34" s="181"/>
      <c r="M34" s="168"/>
      <c r="N34" s="168"/>
      <c r="O34" s="168"/>
      <c r="P34" s="173"/>
      <c r="Q34" s="168"/>
      <c r="R34" s="175">
        <f t="shared" ref="R34" si="16">(E34/30)*IF(W34=0,0,W34) + (E34/30)*IF(Z34=0,0,Z34)</f>
        <v>0</v>
      </c>
      <c r="S34" s="168"/>
      <c r="T34" s="168"/>
      <c r="U34" s="168">
        <f t="shared" si="4"/>
        <v>8400</v>
      </c>
      <c r="V34" s="184" t="s">
        <v>226</v>
      </c>
      <c r="W34" s="178"/>
      <c r="X34" s="178"/>
      <c r="Y34" s="178">
        <v>2</v>
      </c>
      <c r="Z34" s="23"/>
      <c r="AA34" s="23"/>
      <c r="AB34" s="150">
        <v>3</v>
      </c>
      <c r="AC34" s="23">
        <v>2</v>
      </c>
      <c r="AD34" s="156">
        <v>1</v>
      </c>
      <c r="AE34" s="4" t="s">
        <v>33</v>
      </c>
    </row>
    <row r="35" spans="1:31" ht="21.9" customHeight="1">
      <c r="B35" s="18"/>
      <c r="E35" s="6">
        <f>SUM(E3:E34)</f>
        <v>441015</v>
      </c>
      <c r="G35" s="6">
        <f>SUM(G3:G34)</f>
        <v>59695.733333333337</v>
      </c>
      <c r="H35" s="7">
        <f>SUM(H3:H34)</f>
        <v>5700.3874999999998</v>
      </c>
      <c r="I35" s="6"/>
      <c r="K35" s="49">
        <f>SUM(K3:K34)</f>
        <v>73000</v>
      </c>
      <c r="L35" s="6">
        <f>U33+U31+U29+U27+U24+U22+U21+U20+U17+U16+U14+U13+U12+U11+U10+U8+U7+U6+U5+U4+U3</f>
        <v>318335</v>
      </c>
      <c r="S35" s="50">
        <f>SUM(S3:S34)</f>
        <v>0</v>
      </c>
      <c r="T35" s="50">
        <f>SUM(T3:T34)</f>
        <v>0</v>
      </c>
      <c r="U35" s="14">
        <f>SUM(U3:U34)</f>
        <v>464671</v>
      </c>
      <c r="V35" s="198"/>
    </row>
    <row r="36" spans="1:31" ht="20.399999999999999" customHeight="1">
      <c r="A36" s="35" t="s">
        <v>185</v>
      </c>
      <c r="B36" s="21"/>
      <c r="C36" s="21"/>
      <c r="D36" s="21"/>
      <c r="E36" s="21"/>
      <c r="F36" s="21"/>
      <c r="I36" s="6"/>
    </row>
    <row r="37" spans="1:31" ht="20.399999999999999" customHeight="1">
      <c r="A37" s="35"/>
      <c r="B37" s="35"/>
    </row>
    <row r="38" spans="1:31" ht="29.25" customHeight="1">
      <c r="A38" s="48" t="s">
        <v>223</v>
      </c>
      <c r="B38" s="48"/>
      <c r="C38" s="46"/>
      <c r="D38" s="46"/>
      <c r="E38" s="47"/>
    </row>
    <row r="39" spans="1:31" ht="30" customHeight="1">
      <c r="A39" s="48" t="s">
        <v>189</v>
      </c>
      <c r="B39" s="48"/>
      <c r="C39" s="46"/>
      <c r="D39" s="46"/>
      <c r="E39" s="47"/>
    </row>
    <row r="40" spans="1:31" ht="20.399999999999999" customHeight="1">
      <c r="A40" s="48" t="s">
        <v>246</v>
      </c>
      <c r="B40" s="48"/>
      <c r="C40" s="46"/>
      <c r="D40" s="46"/>
      <c r="E40" s="47"/>
    </row>
    <row r="41" spans="1:31" ht="20.399999999999999" customHeight="1">
      <c r="A41" s="48"/>
      <c r="B41" s="48"/>
      <c r="C41" s="46"/>
      <c r="D41" s="46"/>
      <c r="E41" s="47"/>
    </row>
  </sheetData>
  <mergeCells count="1">
    <mergeCell ref="A1:B1"/>
  </mergeCells>
  <hyperlinks>
    <hyperlink ref="V8" r:id="rId1" xr:uid="{F0E6FB2A-59D1-4D4A-AFF3-DA9CBB02102C}"/>
    <hyperlink ref="V6" r:id="rId2" xr:uid="{9655E17B-FF6F-4764-91CA-82D3F9CA576C}"/>
    <hyperlink ref="V17" r:id="rId3" xr:uid="{09D46BF0-EE0A-42AE-AB98-0DDBBF1646AE}"/>
    <hyperlink ref="V16" r:id="rId4" xr:uid="{41CC9CA5-87BA-4E1F-A7C6-942BAB932A7F}"/>
    <hyperlink ref="V13" r:id="rId5" xr:uid="{D2431E29-A5CB-48BF-8991-5321DDDC3531}"/>
    <hyperlink ref="V14" r:id="rId6" xr:uid="{6D28DEE6-594D-46AE-B7F3-9EF81A68FD53}"/>
    <hyperlink ref="V4" r:id="rId7" xr:uid="{21664665-328B-4B93-8920-8CDDCAB0672A}"/>
    <hyperlink ref="V20" r:id="rId8" xr:uid="{AB571F17-2710-4293-B0D7-B331CDCBF30B}"/>
    <hyperlink ref="V19" r:id="rId9" xr:uid="{A59DDF4D-61F5-483C-975F-0B9614A132BC}"/>
    <hyperlink ref="V15" r:id="rId10" xr:uid="{834C96A5-815C-4811-A777-40E708F72B39}"/>
    <hyperlink ref="V5" r:id="rId11" xr:uid="{D954F182-9BD4-4288-A37A-7C8C4D0232D7}"/>
    <hyperlink ref="V9" r:id="rId12" xr:uid="{2D81A860-086C-4015-95AA-A4AF72E2C978}"/>
    <hyperlink ref="V18" r:id="rId13" xr:uid="{6DA67351-1353-4F15-BA81-DB26E5B9DB9E}"/>
    <hyperlink ref="V21" r:id="rId14" xr:uid="{714DC1B7-89D2-4328-9D85-005CDBFC11B8}"/>
    <hyperlink ref="V22" r:id="rId15" xr:uid="{C4C6FE34-CA83-48A5-ACED-EA240594B878}"/>
    <hyperlink ref="V10" r:id="rId16" xr:uid="{1422EB66-A14E-4E17-81B4-4A68956493C2}"/>
    <hyperlink ref="V11" r:id="rId17" xr:uid="{30003A47-BC62-4619-8CAC-C30C72327CB8}"/>
    <hyperlink ref="V7" r:id="rId18" xr:uid="{1FB327F0-A838-44B7-B18B-FBF7FDCA0C96}"/>
    <hyperlink ref="V12" r:id="rId19" xr:uid="{181CAA91-8EF4-4303-98D6-60AD0EB4E028}"/>
    <hyperlink ref="V29" r:id="rId20" xr:uid="{ABA4322A-1BB8-4343-85AD-271ED3CF1BDF}"/>
    <hyperlink ref="V25" r:id="rId21" xr:uid="{A14D45A1-8DE7-47AE-B53F-554410E664D9}"/>
    <hyperlink ref="V26" r:id="rId22" xr:uid="{FD6CAC93-5D69-4A3E-83E1-EB1A62076FE2}"/>
    <hyperlink ref="V31" r:id="rId23" xr:uid="{974CB2D8-745E-42CF-9453-F5ABE2846079}"/>
    <hyperlink ref="V32" r:id="rId24" xr:uid="{57A3ED7D-5FD1-4108-B4F1-7457176C9760}"/>
    <hyperlink ref="V24" r:id="rId25" xr:uid="{F97C6774-9E7F-4DA0-9BC6-70A7CC87A880}"/>
    <hyperlink ref="V33" r:id="rId26" xr:uid="{5A3B0D13-EA2F-40FD-ABBA-62F1142C32DD}"/>
    <hyperlink ref="V34" r:id="rId27" xr:uid="{FB2E6A4F-F01F-4886-B326-4116E067E982}"/>
    <hyperlink ref="V28" r:id="rId28" xr:uid="{69CEE0B5-EA63-4666-9639-DE34B0635DCF}"/>
    <hyperlink ref="V27" r:id="rId29" xr:uid="{0B0184A5-D537-4F26-A75F-EAB485EF4ACB}"/>
    <hyperlink ref="V23" r:id="rId30" xr:uid="{2686CE95-2A59-402E-B9F6-A91ACEA87CAC}"/>
    <hyperlink ref="V3" r:id="rId31" xr:uid="{29020127-8194-439A-8002-76216425BD72}"/>
  </hyperlinks>
  <pageMargins left="0.12" right="0.11" top="0.56499999999999995" bottom="0.12" header="0.13" footer="0.13"/>
  <pageSetup paperSize="9" scale="70" fitToWidth="0" orientation="landscape" horizontalDpi="4294967293" verticalDpi="360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691C9-CDB2-4271-8E94-2D02EB93E3B1}">
  <dimension ref="A1:N63"/>
  <sheetViews>
    <sheetView showGridLines="0" zoomScaleNormal="100" workbookViewId="0">
      <selection activeCell="G5" sqref="G5"/>
    </sheetView>
  </sheetViews>
  <sheetFormatPr defaultColWidth="9.109375" defaultRowHeight="18.600000000000001"/>
  <cols>
    <col min="1" max="1" width="1" style="2" customWidth="1"/>
    <col min="2" max="2" width="15.77734375" style="2" customWidth="1"/>
    <col min="3" max="3" width="32.77734375" style="2" customWidth="1"/>
    <col min="4" max="5" width="0.88671875" style="2" customWidth="1"/>
    <col min="6" max="6" width="15.77734375" style="2" customWidth="1"/>
    <col min="7" max="7" width="32.77734375" style="2" customWidth="1"/>
    <col min="8" max="8" width="0.77734375" style="2" customWidth="1"/>
    <col min="9" max="9" width="1.5546875" style="2" customWidth="1"/>
    <col min="10" max="10" width="0.88671875" style="2" customWidth="1"/>
    <col min="11" max="11" width="11.77734375" style="2" customWidth="1"/>
    <col min="12" max="12" width="12.88671875" style="2" customWidth="1"/>
    <col min="13" max="13" width="4.5546875" style="2" customWidth="1"/>
    <col min="14" max="14" width="0.88671875" style="2" customWidth="1"/>
    <col min="15" max="16384" width="9.109375" style="2"/>
  </cols>
  <sheetData>
    <row r="1" spans="1:14" ht="24" customHeight="1">
      <c r="B1" s="2" t="s">
        <v>79</v>
      </c>
      <c r="C1" s="78" t="s">
        <v>136</v>
      </c>
      <c r="D1" s="78"/>
      <c r="E1" s="78"/>
      <c r="F1" s="78"/>
      <c r="G1" s="79"/>
      <c r="H1" s="79"/>
      <c r="I1" s="79"/>
      <c r="J1" s="213" t="s">
        <v>137</v>
      </c>
      <c r="K1" s="213"/>
      <c r="L1" s="213"/>
      <c r="M1" s="213"/>
    </row>
    <row r="2" spans="1:14" ht="24" customHeight="1">
      <c r="C2" s="214" t="s">
        <v>138</v>
      </c>
      <c r="D2" s="214"/>
      <c r="E2" s="214"/>
      <c r="F2" s="214"/>
      <c r="G2" s="214"/>
      <c r="H2" s="79"/>
      <c r="I2" s="79"/>
      <c r="J2" s="215"/>
      <c r="K2" s="215"/>
      <c r="L2" s="80"/>
    </row>
    <row r="3" spans="1:14" ht="24" customHeight="1">
      <c r="C3" s="36" t="s">
        <v>139</v>
      </c>
      <c r="D3" s="78"/>
      <c r="E3" s="78"/>
      <c r="F3" s="78"/>
      <c r="G3" s="81"/>
      <c r="H3" s="79"/>
      <c r="I3" s="79"/>
      <c r="J3" s="79"/>
      <c r="K3" s="79"/>
    </row>
    <row r="4" spans="1:14" ht="24" customHeight="1">
      <c r="B4" s="34" t="s">
        <v>140</v>
      </c>
      <c r="C4" s="82" t="s">
        <v>255</v>
      </c>
      <c r="D4" s="3"/>
      <c r="E4" s="3"/>
      <c r="G4" s="36"/>
    </row>
    <row r="5" spans="1:14" ht="24" customHeight="1">
      <c r="B5" s="83" t="s">
        <v>141</v>
      </c>
      <c r="C5" s="82">
        <v>7</v>
      </c>
      <c r="D5" s="3"/>
      <c r="E5" s="3"/>
      <c r="G5" s="36"/>
      <c r="J5" s="84"/>
      <c r="K5" s="84"/>
      <c r="L5" s="80"/>
    </row>
    <row r="6" spans="1:14" ht="24" customHeight="1">
      <c r="B6" s="83" t="s">
        <v>142</v>
      </c>
      <c r="C6" s="82" t="str">
        <f ca="1">IF(VLOOKUP(C5,INDIRECT(C4&amp;"!A3:AZ51"),2)=0,"-",VLOOKUP(C5,INDIRECT(C4&amp;"!A3:AZ51"),2))</f>
        <v>ฟาอิส นิเฮง</v>
      </c>
      <c r="D6" s="3"/>
      <c r="E6" s="3"/>
      <c r="G6" s="36"/>
    </row>
    <row r="7" spans="1:14" ht="24" customHeight="1">
      <c r="B7" s="83" t="s">
        <v>143</v>
      </c>
      <c r="C7" s="82" t="str">
        <f ca="1">IF(VLOOKUP(C5,INDIRECT(C4&amp;"!A3:AZ51"),4)=0,"-",VLOOKUP(C5,INDIRECT(C4&amp;"!A3:AZ51"),4))</f>
        <v>หัวหน้าครัวร้อน</v>
      </c>
      <c r="D7" s="3"/>
      <c r="E7" s="3"/>
      <c r="F7" s="81"/>
      <c r="G7" s="81"/>
      <c r="K7" s="84"/>
      <c r="L7" s="84"/>
    </row>
    <row r="8" spans="1:14" ht="24" customHeight="1">
      <c r="B8" s="3" t="s">
        <v>144</v>
      </c>
      <c r="F8" s="85"/>
      <c r="G8" s="85"/>
    </row>
    <row r="9" spans="1:14" ht="24" customHeight="1">
      <c r="A9" s="86"/>
      <c r="B9" s="216" t="s">
        <v>145</v>
      </c>
      <c r="C9" s="216"/>
      <c r="D9" s="88"/>
      <c r="E9" s="87"/>
      <c r="F9" s="216" t="s">
        <v>146</v>
      </c>
      <c r="G9" s="216"/>
      <c r="H9" s="88"/>
      <c r="I9" s="89"/>
      <c r="J9" s="90"/>
      <c r="K9" s="216" t="s">
        <v>147</v>
      </c>
      <c r="L9" s="216"/>
      <c r="M9" s="216"/>
      <c r="N9" s="91"/>
    </row>
    <row r="10" spans="1:14" ht="5.25" customHeight="1">
      <c r="A10" s="92"/>
      <c r="D10" s="93"/>
      <c r="I10" s="92"/>
      <c r="J10" s="92"/>
      <c r="K10" s="94"/>
      <c r="L10" s="95"/>
      <c r="M10" s="95"/>
      <c r="N10" s="93"/>
    </row>
    <row r="11" spans="1:14" ht="24" customHeight="1">
      <c r="A11" s="92"/>
      <c r="B11" s="96" t="s">
        <v>4</v>
      </c>
      <c r="C11" s="97">
        <f ca="1">VLOOKUP(C5,INDIRECT(C4&amp;"!A3:AZ51"),5)</f>
        <v>15141</v>
      </c>
      <c r="D11" s="98"/>
      <c r="E11" s="99"/>
      <c r="F11" s="96" t="s">
        <v>9</v>
      </c>
      <c r="G11" s="97">
        <f ca="1">IF(VLOOKUP(C5,INDIRECT(C4&amp;"!A3:AZ51"),11)=0,"-",VLOOKUP(C5,INDIRECT(C4&amp;"!A3:AZ51"),11))</f>
        <v>3000</v>
      </c>
      <c r="H11" s="99"/>
      <c r="I11" s="92"/>
      <c r="J11" s="92"/>
      <c r="K11" s="96" t="s">
        <v>148</v>
      </c>
      <c r="L11" s="99" t="str">
        <f ca="1">IF(VLOOKUP(C5,INDIRECT(C4&amp;"!A3:AZ51"),23)=0,"-",VLOOKUP(C5,INDIRECT(C4&amp;"!A3:AZ51"),23))</f>
        <v>-</v>
      </c>
      <c r="M11" s="3" t="s">
        <v>114</v>
      </c>
      <c r="N11" s="93"/>
    </row>
    <row r="12" spans="1:14" ht="24" customHeight="1">
      <c r="A12" s="92"/>
      <c r="B12" s="96" t="s">
        <v>5</v>
      </c>
      <c r="C12" s="97">
        <f ca="1">IF(VLOOKUP(C5,INDIRECT(C4&amp;"!A3:AZ51"),6)=0,"-",VLOOKUP(C5,INDIRECT(C4&amp;"!A3:AZ51"),6))</f>
        <v>1500</v>
      </c>
      <c r="D12" s="93"/>
      <c r="F12" s="96" t="s">
        <v>149</v>
      </c>
      <c r="G12" s="97">
        <f ca="1">IF(VLOOKUP(C5,INDIRECT(C4&amp;"!A3:AZ51"),12)=0,"-",VLOOKUP(C5,INDIRECT(C4&amp;"!A3:AZ51"),12))</f>
        <v>750</v>
      </c>
      <c r="H12" s="99"/>
      <c r="I12" s="92"/>
      <c r="J12" s="92"/>
      <c r="K12" s="96" t="s">
        <v>15</v>
      </c>
      <c r="L12" s="99" t="str">
        <f ca="1">IF(VLOOKUP(C5,INDIRECT(C4&amp;"!A3:AZ51"),24)=0,"-",VLOOKUP(C5,INDIRECT(C4&amp;"!A3:AZ51"),24))</f>
        <v>-</v>
      </c>
      <c r="M12" s="3" t="s">
        <v>150</v>
      </c>
      <c r="N12" s="93"/>
    </row>
    <row r="13" spans="1:14" ht="24" customHeight="1">
      <c r="A13" s="92"/>
      <c r="B13" s="96" t="s">
        <v>26</v>
      </c>
      <c r="C13" s="97">
        <f ca="1">IF(VLOOKUP(C5,INDIRECT(C4&amp;"!A3:AZ51"),7)=0,"-",VLOOKUP(C5,INDIRECT(C4&amp;"!A3:AZ51"),7))</f>
        <v>2018.8</v>
      </c>
      <c r="D13" s="93"/>
      <c r="F13" s="96" t="s">
        <v>11</v>
      </c>
      <c r="G13" s="97" t="str">
        <f ca="1">IF(VLOOKUP(C5,INDIRECT(C4&amp;"!A3:AZ51"),13)=0,"-",VLOOKUP(C5,INDIRECT(C4&amp;"!A3:AZ51"),13))</f>
        <v>-</v>
      </c>
      <c r="H13" s="99"/>
      <c r="I13" s="92"/>
      <c r="J13" s="92"/>
      <c r="K13" s="96" t="s">
        <v>151</v>
      </c>
      <c r="L13" s="99" t="str">
        <f ca="1">IF(VLOOKUP(C5,INDIRECT(C4&amp;"!A3:AZ51"),25)=0,"-",VLOOKUP(C5,INDIRECT(C4&amp;"!A3:AZ51"),25))</f>
        <v>-</v>
      </c>
      <c r="M13" s="3" t="s">
        <v>114</v>
      </c>
      <c r="N13" s="93"/>
    </row>
    <row r="14" spans="1:14" ht="24" customHeight="1">
      <c r="A14" s="92"/>
      <c r="B14" s="96" t="s">
        <v>152</v>
      </c>
      <c r="C14" s="97">
        <f ca="1">IF(VLOOKUP(C5,INDIRECT(C4&amp;"!A3:AZ51"),8)=0,"-",VLOOKUP(C5,INDIRECT(C4&amp;"!A3:AZ51"),8))</f>
        <v>567.78749999999991</v>
      </c>
      <c r="D14" s="93"/>
      <c r="F14" s="96" t="s">
        <v>15</v>
      </c>
      <c r="G14" s="97" t="str">
        <f ca="1">IF(VLOOKUP(C5,INDIRECT(C4&amp;"!A3:AZ51"),17)=0,"-",VLOOKUP(C5,INDIRECT(C4&amp;"!A3:AZ51"),17))</f>
        <v>-</v>
      </c>
      <c r="H14" s="99"/>
      <c r="I14" s="92"/>
      <c r="J14" s="92"/>
      <c r="K14" s="96" t="s">
        <v>153</v>
      </c>
      <c r="L14" s="99" t="str">
        <f ca="1">IF(VLOOKUP(C5,INDIRECT(C4&amp;"!A3:AZ51"),26)=0,"-",VLOOKUP(C5,INDIRECT(C4&amp;"!A3:AZ51"),26))</f>
        <v>-</v>
      </c>
      <c r="M14" s="3" t="s">
        <v>114</v>
      </c>
      <c r="N14" s="93"/>
    </row>
    <row r="15" spans="1:14" ht="24" customHeight="1">
      <c r="A15" s="92"/>
      <c r="B15" s="96" t="s">
        <v>248</v>
      </c>
      <c r="C15" s="97">
        <f ca="1">IF(VLOOKUP(C5,INDIRECT(C4&amp;"!A3:AZ51"),9)=0,"-",VLOOKUP(C5,INDIRECT(C4&amp;"!A3:AZ51"),9))</f>
        <v>567.78749999999991</v>
      </c>
      <c r="D15" s="93"/>
      <c r="F15" s="96" t="s">
        <v>16</v>
      </c>
      <c r="G15" s="97" t="str">
        <f ca="1">IF(VLOOKUP(C5,INDIRECT(C4&amp;"!A3:AZ51"),18)=0,"-",VLOOKUP(C5,INDIRECT(C4&amp;"!A3:AZ51"),18))</f>
        <v>-</v>
      </c>
      <c r="H15" s="99"/>
      <c r="I15" s="92"/>
      <c r="J15" s="92"/>
      <c r="K15" s="96" t="s">
        <v>154</v>
      </c>
      <c r="L15" s="99" t="str">
        <f ca="1">IF(VLOOKUP(C5,INDIRECT(C4&amp;"!A3:AZ51"),27)=0,"-",VLOOKUP(C5,INDIRECT(C4&amp;"!A3:AZ51"),27))</f>
        <v>-</v>
      </c>
      <c r="M15" s="3" t="s">
        <v>114</v>
      </c>
      <c r="N15" s="93"/>
    </row>
    <row r="16" spans="1:14" ht="24" customHeight="1">
      <c r="A16" s="92"/>
      <c r="B16" s="96" t="s">
        <v>8</v>
      </c>
      <c r="C16" s="97">
        <f ca="1">IF(VLOOKUP(C5,INDIRECT(C4&amp;"!A3:AZ51"),10)=0,"-",VLOOKUP(C5,INDIRECT(C4&amp;"!A3:AZ51"),10))</f>
        <v>800</v>
      </c>
      <c r="D16" s="93"/>
      <c r="F16" s="96" t="s">
        <v>14</v>
      </c>
      <c r="G16" s="97" t="str">
        <f ca="1">IF(VLOOKUP(C5,INDIRECT(C4&amp;"!A3:AZ51"),16)=0,"-",VLOOKUP(C5,INDIRECT(C4&amp;"!A3:AZ51"),16))</f>
        <v>-</v>
      </c>
      <c r="H16" s="99"/>
      <c r="I16" s="92"/>
      <c r="J16" s="92"/>
      <c r="K16" s="96" t="s">
        <v>26</v>
      </c>
      <c r="L16" s="99">
        <f ca="1">IF(VLOOKUP(C5,INDIRECT(C4&amp;"!A3:AZ51"),28)=0,"-",VLOOKUP(C5,INDIRECT(C4&amp;"!A3:AZ51"),28))</f>
        <v>4</v>
      </c>
      <c r="M16" s="3" t="s">
        <v>114</v>
      </c>
      <c r="N16" s="93"/>
    </row>
    <row r="17" spans="1:14" ht="24" customHeight="1">
      <c r="A17" s="92"/>
      <c r="B17" s="96" t="s">
        <v>13</v>
      </c>
      <c r="C17" s="97" t="str">
        <f ca="1">IF(VLOOKUP(C5,INDIRECT(C4&amp;"!A3:AZ51"),15)=0,"-",VLOOKUP(C5,INDIRECT(C4&amp;"!A3:AZ51"),15))</f>
        <v>-</v>
      </c>
      <c r="D17" s="93"/>
      <c r="F17" s="96" t="s">
        <v>155</v>
      </c>
      <c r="G17" s="97" t="str">
        <f ca="1">IF(VLOOKUP(C5,INDIRECT(C4&amp;"!A3:AZ51"),14)=0,"-",VLOOKUP(C5,INDIRECT(C4&amp;"!A3:AZ51"),14))</f>
        <v>-</v>
      </c>
      <c r="H17" s="99"/>
      <c r="I17" s="92"/>
      <c r="J17" s="92"/>
      <c r="K17" s="96" t="s">
        <v>152</v>
      </c>
      <c r="L17" s="99">
        <f ca="1">IF(VLOOKUP(C5,INDIRECT(C4&amp;"!A3:AZ51"),29)=0,"-",VLOOKUP(C5,INDIRECT(C4&amp;"!A3:AZ51"),29))</f>
        <v>6</v>
      </c>
      <c r="M17" s="3" t="s">
        <v>156</v>
      </c>
      <c r="N17" s="93"/>
    </row>
    <row r="18" spans="1:14" ht="24" customHeight="1">
      <c r="A18" s="92"/>
      <c r="B18" s="96" t="s">
        <v>17</v>
      </c>
      <c r="C18" s="97" t="str">
        <f ca="1">IF(VLOOKUP(C5,INDIRECT(C4&amp;"!A3:AZ51"),19)=0,"-",VLOOKUP(C5,INDIRECT(C4&amp;"!A3:AZ51"),19))</f>
        <v>-</v>
      </c>
      <c r="D18" s="93"/>
      <c r="H18" s="99"/>
      <c r="I18" s="92"/>
      <c r="J18" s="92"/>
      <c r="K18" s="96" t="s">
        <v>249</v>
      </c>
      <c r="L18" s="99">
        <f ca="1">IF(VLOOKUP(C5,INDIRECT(C4&amp;"!A3:AZ51"),30)=0,"-",VLOOKUP(C5,INDIRECT(C4&amp;"!A3:AZ51"),30))</f>
        <v>3</v>
      </c>
      <c r="M18" s="3" t="s">
        <v>156</v>
      </c>
      <c r="N18" s="93"/>
    </row>
    <row r="19" spans="1:14" ht="24" customHeight="1">
      <c r="A19" s="92"/>
      <c r="B19" s="96" t="s">
        <v>18</v>
      </c>
      <c r="C19" s="97" t="str">
        <f ca="1">IF(VLOOKUP(C5,INDIRECT(C4&amp;"!A3:AZ51"),20)=0,"-",VLOOKUP(C5,INDIRECT(C4&amp;"!A3:AZ51"),20))</f>
        <v>-</v>
      </c>
      <c r="E19" s="92"/>
      <c r="F19" s="100"/>
      <c r="H19" s="99"/>
      <c r="I19" s="92"/>
      <c r="J19" s="92"/>
      <c r="K19" s="100"/>
      <c r="N19" s="93"/>
    </row>
    <row r="20" spans="1:14" ht="10.5" customHeight="1">
      <c r="A20" s="92"/>
      <c r="B20" s="96"/>
      <c r="C20" s="101"/>
      <c r="D20" s="93"/>
      <c r="F20" s="96"/>
      <c r="H20" s="99"/>
      <c r="I20" s="92"/>
      <c r="J20" s="102"/>
      <c r="K20" s="103"/>
      <c r="L20" s="103"/>
      <c r="M20" s="103"/>
      <c r="N20" s="104"/>
    </row>
    <row r="21" spans="1:14" ht="20.25" customHeight="1">
      <c r="A21" s="105"/>
      <c r="B21" s="205" t="s">
        <v>157</v>
      </c>
      <c r="C21" s="107">
        <f ca="1">SUM(C11:C20)</f>
        <v>20595.374999999996</v>
      </c>
      <c r="D21" s="108"/>
      <c r="E21" s="105"/>
      <c r="F21" s="106" t="s">
        <v>158</v>
      </c>
      <c r="G21" s="109">
        <f ca="1">SUM(G11:G16)</f>
        <v>3750</v>
      </c>
      <c r="H21" s="110"/>
      <c r="I21" s="92"/>
      <c r="M21" s="111"/>
    </row>
    <row r="22" spans="1:14" ht="2.25" customHeight="1">
      <c r="A22" s="102"/>
      <c r="B22" s="112"/>
      <c r="C22" s="113">
        <f t="shared" ref="C22" ca="1" si="0">SUM(C12:C21)</f>
        <v>26049.749999999996</v>
      </c>
      <c r="D22" s="104"/>
      <c r="E22" s="102"/>
      <c r="F22" s="114"/>
      <c r="G22" s="103"/>
      <c r="H22" s="115"/>
      <c r="I22" s="92"/>
      <c r="M22" s="111"/>
    </row>
    <row r="23" spans="1:14" s="20" customFormat="1" ht="28.2" customHeight="1">
      <c r="B23" s="96" t="s">
        <v>19</v>
      </c>
      <c r="C23" s="107">
        <f ca="1">IF(VLOOKUP(C5,INDIRECT(C4&amp;"!A3:AZ51"),21)=0,"-",VLOOKUP(C5,INDIRECT(C4&amp;"!A3:AZ51"),21))</f>
        <v>16845</v>
      </c>
    </row>
    <row r="24" spans="1:14" ht="5.4" customHeight="1">
      <c r="A24" s="103"/>
      <c r="B24" s="103"/>
      <c r="C24" s="103"/>
      <c r="D24" s="103"/>
      <c r="E24" s="103"/>
      <c r="F24" s="103"/>
      <c r="G24" s="103"/>
      <c r="H24" s="103"/>
      <c r="I24" s="103"/>
      <c r="J24" s="103"/>
      <c r="K24" s="85"/>
      <c r="L24" s="85"/>
      <c r="M24" s="85"/>
      <c r="N24" s="103"/>
    </row>
    <row r="25" spans="1:14" ht="24" customHeight="1">
      <c r="A25" s="211" t="s">
        <v>159</v>
      </c>
      <c r="B25" s="211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  <c r="N25" s="211"/>
    </row>
    <row r="26" spans="1:14" ht="24" customHeight="1">
      <c r="A26" s="212"/>
      <c r="B26" s="212"/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  <c r="N26" s="212"/>
    </row>
    <row r="27" spans="1:14" ht="24" customHeight="1">
      <c r="A27" s="212"/>
      <c r="B27" s="212"/>
      <c r="C27" s="212"/>
      <c r="D27" s="212"/>
      <c r="E27" s="212"/>
      <c r="F27" s="212"/>
      <c r="G27" s="212"/>
      <c r="H27" s="212"/>
      <c r="I27" s="212"/>
      <c r="J27" s="212"/>
      <c r="K27" s="212"/>
      <c r="L27" s="212"/>
      <c r="M27" s="212"/>
      <c r="N27" s="212"/>
    </row>
    <row r="62" spans="3:3" ht="24" customHeight="1">
      <c r="C62" s="116"/>
    </row>
    <row r="63" spans="3:3" ht="24" customHeight="1">
      <c r="C63" s="117"/>
    </row>
  </sheetData>
  <mergeCells count="7">
    <mergeCell ref="A25:N27"/>
    <mergeCell ref="J1:M1"/>
    <mergeCell ref="C2:G2"/>
    <mergeCell ref="J2:K2"/>
    <mergeCell ref="B9:C9"/>
    <mergeCell ref="F9:G9"/>
    <mergeCell ref="K9:M9"/>
  </mergeCells>
  <dataValidations count="2">
    <dataValidation type="list" allowBlank="1" showInputMessage="1" showErrorMessage="1" sqref="C2" xr:uid="{B2F5ECE1-CBD2-4C00-8586-A31B71EDEE5F}">
      <formula1>"63/34 ซอย1 แขวง คันนายาว เขตคันนายาว กรุงเทพมหานคร 10230, 63/34 ถนนเลี่ยงเมืองปากเกร็ด ตำบลบางตลาด อ.ปากเกร็ด เทศบาลนครนนทบุรี  จ.นนทบุรี 11120 "</formula1>
    </dataValidation>
    <dataValidation type="list" allowBlank="1" showInputMessage="1" showErrorMessage="1" sqref="C4" xr:uid="{43067D09-B37D-4306-9AB5-7BAC67CED91D}">
      <formula1>"Dนนทบุรี,Dรามอินทรา"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3</vt:i4>
      </vt:variant>
      <vt:variant>
        <vt:lpstr>ช่วงที่มีชื่อ</vt:lpstr>
      </vt:variant>
      <vt:variant>
        <vt:i4>5</vt:i4>
      </vt:variant>
    </vt:vector>
  </HeadingPairs>
  <TitlesOfParts>
    <vt:vector size="8" baseType="lpstr">
      <vt:lpstr>Dรามอินทรา</vt:lpstr>
      <vt:lpstr>Dนนทบุรี</vt:lpstr>
      <vt:lpstr>สลิป</vt:lpstr>
      <vt:lpstr>Dนนทบุรี!Print_Area</vt:lpstr>
      <vt:lpstr>Dรามอินทรา!Print_Area</vt:lpstr>
      <vt:lpstr>ชื่อ</vt:lpstr>
      <vt:lpstr>ลำดับ</vt:lpstr>
      <vt:lpstr>อิ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Tunwit Minimal</dc:creator>
  <cp:keywords/>
  <dc:description/>
  <cp:lastModifiedBy>LittLe BirDD</cp:lastModifiedBy>
  <cp:revision/>
  <cp:lastPrinted>2024-05-04T10:58:05Z</cp:lastPrinted>
  <dcterms:created xsi:type="dcterms:W3CDTF">2021-12-27T22:27:25Z</dcterms:created>
  <dcterms:modified xsi:type="dcterms:W3CDTF">2024-06-01T11:34:50Z</dcterms:modified>
  <cp:category/>
  <cp:contentStatus/>
</cp:coreProperties>
</file>