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yedturab\Desktop\Project MMAI 861\"/>
    </mc:Choice>
  </mc:AlternateContent>
  <xr:revisionPtr revIDLastSave="0" documentId="13_ncr:1_{732008CD-033E-4862-93C7-8523B769B176}" xr6:coauthVersionLast="47" xr6:coauthVersionMax="47" xr10:uidLastSave="{00000000-0000-0000-0000-000000000000}"/>
  <bookViews>
    <workbookView xWindow="-98" yWindow="-98" windowWidth="23175" windowHeight="10816" xr2:uid="{E41D8D27-56AE-3940-A346-511F3731AAD1}"/>
  </bookViews>
  <sheets>
    <sheet name="Solver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1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0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olver_adj" localSheetId="0" hidden="1">Solver!$B$2:$B$3,Solver!$B$5:$B$9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Solver!$B$12</definedName>
    <definedName name="solver_lhs10" localSheetId="0" hidden="1">Solver!$B$3</definedName>
    <definedName name="solver_lhs11" localSheetId="0" hidden="1">Solver!$B$3</definedName>
    <definedName name="solver_lhs12" localSheetId="0" hidden="1">Solver!$B$3</definedName>
    <definedName name="solver_lhs13" localSheetId="0" hidden="1">Solver!$B$3</definedName>
    <definedName name="solver_lhs14" localSheetId="0" hidden="1">Solver!$B$3</definedName>
    <definedName name="solver_lhs15" localSheetId="0" hidden="1">Solver!$B$5</definedName>
    <definedName name="solver_lhs16" localSheetId="0" hidden="1">Solver!$B$5</definedName>
    <definedName name="solver_lhs17" localSheetId="0" hidden="1">Solver!$B$5</definedName>
    <definedName name="solver_lhs18" localSheetId="0" hidden="1">Solver!$B$5:$B$9</definedName>
    <definedName name="solver_lhs19" localSheetId="0" hidden="1">Solver!$B$5:$B$9</definedName>
    <definedName name="solver_lhs2" localSheetId="0" hidden="1">Solver!$B$13</definedName>
    <definedName name="solver_lhs20" localSheetId="0" hidden="1">Solver!$B$6</definedName>
    <definedName name="solver_lhs21" localSheetId="0" hidden="1">Solver!$B$6</definedName>
    <definedName name="solver_lhs22" localSheetId="0" hidden="1">Solver!$B$6</definedName>
    <definedName name="solver_lhs23" localSheetId="0" hidden="1">Solver!$B$7</definedName>
    <definedName name="solver_lhs24" localSheetId="0" hidden="1">Solver!$B$7</definedName>
    <definedName name="solver_lhs25" localSheetId="0" hidden="1">Solver!$B$7</definedName>
    <definedName name="solver_lhs26" localSheetId="0" hidden="1">Solver!$B$8</definedName>
    <definedName name="solver_lhs27" localSheetId="0" hidden="1">Solver!$B$8</definedName>
    <definedName name="solver_lhs28" localSheetId="0" hidden="1">Solver!$B$8</definedName>
    <definedName name="solver_lhs29" localSheetId="0" hidden="1">Solver!$B$8</definedName>
    <definedName name="solver_lhs3" localSheetId="0" hidden="1">Solver!$B$14</definedName>
    <definedName name="solver_lhs30" localSheetId="0" hidden="1">Solver!$B$9</definedName>
    <definedName name="solver_lhs31" localSheetId="0" hidden="1">Solver!$B$9</definedName>
    <definedName name="solver_lhs32" localSheetId="0" hidden="1">Solver!$B$9</definedName>
    <definedName name="solver_lhs33" localSheetId="0" hidden="1">Solver!$J$1</definedName>
    <definedName name="solver_lhs34" localSheetId="0" hidden="1">Solver!$J$1</definedName>
    <definedName name="solver_lhs35" localSheetId="0" hidden="1">Solver!$J$4</definedName>
    <definedName name="solver_lhs36" localSheetId="0" hidden="1">Solver!$J$5</definedName>
    <definedName name="solver_lhs4" localSheetId="0" hidden="1">Solver!$B$2</definedName>
    <definedName name="solver_lhs5" localSheetId="0" hidden="1">Solver!$B$2</definedName>
    <definedName name="solver_lhs6" localSheetId="0" hidden="1">Solver!$B$2</definedName>
    <definedName name="solver_lhs7" localSheetId="0" hidden="1">Solver!$B$2</definedName>
    <definedName name="solver_lhs8" localSheetId="0" hidden="1">Solver!$B$2</definedName>
    <definedName name="solver_lhs9" localSheetId="0" hidden="1">Solver!$B$2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36</definedName>
    <definedName name="solver_opt" localSheetId="0" hidden="1">Solver!$B$45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3</definedName>
    <definedName name="solver_rel18" localSheetId="0" hidden="1">4</definedName>
    <definedName name="solver_rel19" localSheetId="0" hidden="1">3</definedName>
    <definedName name="solver_rel2" localSheetId="0" hidden="1">1</definedName>
    <definedName name="solver_rel20" localSheetId="0" hidden="1">1</definedName>
    <definedName name="solver_rel21" localSheetId="0" hidden="1">3</definedName>
    <definedName name="solver_rel22" localSheetId="0" hidden="1">3</definedName>
    <definedName name="solver_rel23" localSheetId="0" hidden="1">1</definedName>
    <definedName name="solver_rel24" localSheetId="0" hidden="1">1</definedName>
    <definedName name="solver_rel25" localSheetId="0" hidden="1">3</definedName>
    <definedName name="solver_rel26" localSheetId="0" hidden="1">1</definedName>
    <definedName name="solver_rel27" localSheetId="0" hidden="1">1</definedName>
    <definedName name="solver_rel28" localSheetId="0" hidden="1">3</definedName>
    <definedName name="solver_rel29" localSheetId="0" hidden="1">3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3</definedName>
    <definedName name="solver_rel33" localSheetId="0" hidden="1">1</definedName>
    <definedName name="solver_rel34" localSheetId="0" hidden="1">3</definedName>
    <definedName name="solver_rel35" localSheetId="0" hidden="1">1</definedName>
    <definedName name="solver_rel36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Solver!$E$12</definedName>
    <definedName name="solver_rhs10" localSheetId="0" hidden="1">1.5</definedName>
    <definedName name="solver_rhs11" localSheetId="0" hidden="1">1.5</definedName>
    <definedName name="solver_rhs12" localSheetId="0" hidden="1">9</definedName>
    <definedName name="solver_rhs13" localSheetId="0" hidden="1">0.5</definedName>
    <definedName name="solver_rhs14" localSheetId="0" hidden="1">0.5</definedName>
    <definedName name="solver_rhs15" localSheetId="0" hidden="1">500</definedName>
    <definedName name="solver_rhs16" localSheetId="0" hidden="1">0</definedName>
    <definedName name="solver_rhs17" localSheetId="0" hidden="1">25</definedName>
    <definedName name="solver_rhs18" localSheetId="0" hidden="1">"integer"</definedName>
    <definedName name="solver_rhs19" localSheetId="0" hidden="1">0</definedName>
    <definedName name="solver_rhs2" localSheetId="0" hidden="1">Solver!$E$13</definedName>
    <definedName name="solver_rhs20" localSheetId="0" hidden="1">500</definedName>
    <definedName name="solver_rhs21" localSheetId="0" hidden="1">0</definedName>
    <definedName name="solver_rhs22" localSheetId="0" hidden="1">25</definedName>
    <definedName name="solver_rhs23" localSheetId="0" hidden="1">200</definedName>
    <definedName name="solver_rhs24" localSheetId="0" hidden="1">50</definedName>
    <definedName name="solver_rhs25" localSheetId="0" hidden="1">0</definedName>
    <definedName name="solver_rhs26" localSheetId="0" hidden="1">200</definedName>
    <definedName name="solver_rhs27" localSheetId="0" hidden="1">50</definedName>
    <definedName name="solver_rhs28" localSheetId="0" hidden="1">0</definedName>
    <definedName name="solver_rhs29" localSheetId="0" hidden="1">10</definedName>
    <definedName name="solver_rhs3" localSheetId="0" hidden="1">Solver!$E$14</definedName>
    <definedName name="solver_rhs30" localSheetId="0" hidden="1">Solver!$E$15</definedName>
    <definedName name="solver_rhs31" localSheetId="0" hidden="1">10</definedName>
    <definedName name="solver_rhs32" localSheetId="0" hidden="1">0</definedName>
    <definedName name="solver_rhs33" localSheetId="0" hidden="1">6</definedName>
    <definedName name="solver_rhs34" localSheetId="0" hidden="1">1</definedName>
    <definedName name="solver_rhs35" localSheetId="0" hidden="1">Solver!$K$4</definedName>
    <definedName name="solver_rhs36" localSheetId="0" hidden="1">Solver!$K$5</definedName>
    <definedName name="solver_rhs4" localSheetId="0" hidden="1">14</definedName>
    <definedName name="solver_rhs5" localSheetId="0" hidden="1">3</definedName>
    <definedName name="solver_rhs6" localSheetId="0" hidden="1">3</definedName>
    <definedName name="solver_rhs7" localSheetId="0" hidden="1">Solver!$B$3</definedName>
    <definedName name="solver_rhs8" localSheetId="0" hidden="1">1.5</definedName>
    <definedName name="solver_rhs9" localSheetId="0" hidden="1">1.5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K4" i="1"/>
  <c r="J4" i="1"/>
  <c r="J1" i="1"/>
  <c r="B35" i="1"/>
  <c r="B12" i="1"/>
  <c r="H4" i="1"/>
  <c r="H3" i="1"/>
  <c r="H2" i="1"/>
  <c r="B43" i="1"/>
  <c r="B40" i="1"/>
  <c r="B24" i="1"/>
  <c r="B26" i="1"/>
  <c r="B30" i="1" s="1"/>
  <c r="B21" i="1"/>
  <c r="B20" i="1"/>
  <c r="B34" i="1"/>
  <c r="B19" i="1"/>
  <c r="B33" i="1" s="1"/>
  <c r="B18" i="1"/>
  <c r="B32" i="1"/>
  <c r="B17" i="1"/>
  <c r="B31" i="1"/>
  <c r="B14" i="1"/>
  <c r="B13" i="1"/>
  <c r="B42" i="1"/>
  <c r="B41" i="1"/>
  <c r="B25" i="1"/>
  <c r="B29" i="1"/>
  <c r="B28" i="1" l="1"/>
  <c r="B37" i="1" s="1"/>
  <c r="B45" i="1" s="1"/>
</calcChain>
</file>

<file path=xl/sharedStrings.xml><?xml version="1.0" encoding="utf-8"?>
<sst xmlns="http://schemas.openxmlformats.org/spreadsheetml/2006/main" count="104" uniqueCount="104">
  <si>
    <t>DECISION VARIABLES</t>
  </si>
  <si>
    <t>Outbound Green Time (Lo)</t>
  </si>
  <si>
    <t>PARAMETERS</t>
  </si>
  <si>
    <t>Inbound Green Time (Li)</t>
  </si>
  <si>
    <t>PEDS_OUT</t>
  </si>
  <si>
    <t>PEDS_IN</t>
  </si>
  <si>
    <t>Bus Outbound</t>
  </si>
  <si>
    <t>CAR_PAX_OUT</t>
  </si>
  <si>
    <t>Bus Inbound</t>
  </si>
  <si>
    <t>CAR_PAX_IN</t>
  </si>
  <si>
    <t>Streetcar Outbound</t>
  </si>
  <si>
    <t>PT_PAX_OUT</t>
  </si>
  <si>
    <t>Streetcar Inbound</t>
  </si>
  <si>
    <t>PT_PAX_IN</t>
  </si>
  <si>
    <t>Trains Used</t>
  </si>
  <si>
    <t>TRAIN_PAX_OUT</t>
  </si>
  <si>
    <t>CONSTRAINTS</t>
  </si>
  <si>
    <t>LIMITS</t>
  </si>
  <si>
    <t>Total Cost</t>
  </si>
  <si>
    <t>BUDGET</t>
  </si>
  <si>
    <t>Total Bus</t>
  </si>
  <si>
    <t>TOTAL_BUS</t>
  </si>
  <si>
    <t>Total STC</t>
  </si>
  <si>
    <t>TOTAL_STC</t>
  </si>
  <si>
    <t>TOTAL_TRN</t>
  </si>
  <si>
    <t>CAPACITY CHECKS</t>
  </si>
  <si>
    <t>Bus Cap Out</t>
  </si>
  <si>
    <t>CAPACITIES</t>
  </si>
  <si>
    <t>Bus Cap In</t>
  </si>
  <si>
    <t>CAP_BUS</t>
  </si>
  <si>
    <t>STC Cap Out</t>
  </si>
  <si>
    <t>CAP_STC</t>
  </si>
  <si>
    <t>FINAL EVACUATION OPTIMIZATION RESULTS</t>
  </si>
  <si>
    <t>STC Cap In</t>
  </si>
  <si>
    <t>CAP_TRN</t>
  </si>
  <si>
    <t>Train Cap</t>
  </si>
  <si>
    <t>Signal Timing Configuration:</t>
  </si>
  <si>
    <t>EVACUATION TIMES</t>
  </si>
  <si>
    <t>Cycle Time</t>
  </si>
  <si>
    <t>Outbound Efficiency</t>
  </si>
  <si>
    <t>Inbound Efficiency</t>
  </si>
  <si>
    <t>Optimal Vehicle Allocation:</t>
  </si>
  <si>
    <t>Pedestrian Time</t>
  </si>
  <si>
    <t>Car Time Out</t>
  </si>
  <si>
    <t>Car Time In</t>
  </si>
  <si>
    <t>STC Time Out</t>
  </si>
  <si>
    <t>Bus Time Out</t>
  </si>
  <si>
    <t>STC Time In</t>
  </si>
  <si>
    <t>Bus Time In</t>
  </si>
  <si>
    <t>Train Time</t>
  </si>
  <si>
    <t>Performance Results:</t>
  </si>
  <si>
    <t>TOTAL EVACUATION TIME</t>
  </si>
  <si>
    <t>OPTIMIZATION FACTORS</t>
  </si>
  <si>
    <t>Signal Efficiency</t>
  </si>
  <si>
    <t>Capacity Utilization</t>
  </si>
  <si>
    <t>Cost Efficiency</t>
  </si>
  <si>
    <t>Vehicle Capacity Analysis:</t>
  </si>
  <si>
    <t>Balance Penalty</t>
  </si>
  <si>
    <t>FINAL OBJECTIVE</t>
  </si>
  <si>
    <t>Evacuation Time Breakdown:</t>
  </si>
  <si>
    <t>Key Insights:</t>
  </si>
  <si>
    <t>Final Results Summary</t>
  </si>
  <si>
    <t>Number of Trains</t>
  </si>
  <si>
    <t xml:space="preserve">Train Capacity </t>
  </si>
  <si>
    <t>Train Cost</t>
  </si>
  <si>
    <t>Train_Board_Time</t>
  </si>
  <si>
    <t>Train_Rt_Time</t>
  </si>
  <si>
    <t>OUT_VEHICLE_RATE_0</t>
  </si>
  <si>
    <t>OUT_PED_RATE</t>
  </si>
  <si>
    <t>IN_VEHICLE_RATE_0</t>
  </si>
  <si>
    <t>IN_PED_RATE</t>
  </si>
  <si>
    <t>DEGRADATION_RATE</t>
  </si>
  <si>
    <t>Outbound Green Time: 3.0 minutes</t>
  </si>
  <si>
    <t>Inbound Green Time: 1.31 minutes</t>
  </si>
  <si>
    <t>Total Signal Cycle: 4.31 minutes</t>
  </si>
  <si>
    <t>Buses Outbound: 25 units</t>
  </si>
  <si>
    <t>Buses Inbound: 25 units</t>
  </si>
  <si>
    <t>Streetcars Outbound: 11 units</t>
  </si>
  <si>
    <t>Streetcars Inbound: 11 units</t>
  </si>
  <si>
    <t>Trains Used: 10 units</t>
  </si>
  <si>
    <t>Total Fleet: 50 buses + 22 streetcars + 10 trains = 82 vehicles</t>
  </si>
  <si>
    <t>Total Evacuation Time: 57.5 minutes</t>
  </si>
  <si>
    <t>Total Cost: $56,000 (well under $200K budget)</t>
  </si>
  <si>
    <t>Final Objective Score: 497.7</t>
  </si>
  <si>
    <t>Bus Capacity Outbound: 1,750 passengers</t>
  </si>
  <si>
    <t>Bus Capacity Inbound: 1,750 passengers</t>
  </si>
  <si>
    <t>Streetcar Capacity Outbound: 2,200 passengers</t>
  </si>
  <si>
    <t>Streetcar Capacity Inbound: 2,200 passengers</t>
  </si>
  <si>
    <t>Train Capacity: 20,000 passengers</t>
  </si>
  <si>
    <t>Total Transit Capacity: 27,900 passengers</t>
  </si>
  <si>
    <t>Pedestrians: 57.5 minutes (Bottleneck)</t>
  </si>
  <si>
    <t>Cars Outbound: 20.1 minutes</t>
  </si>
  <si>
    <t>Cars Inbound: 39.4 minutes</t>
  </si>
  <si>
    <t>Bus Transit Out: 23 minutes</t>
  </si>
  <si>
    <t>Bus Transit In: 23 minutes</t>
  </si>
  <si>
    <t>Streetcar Transit Out: 50 minutes</t>
  </si>
  <si>
    <t>Streetcar Transit In: 50 minutes</t>
  </si>
  <si>
    <t>Train Transit: 33 minutes</t>
  </si>
  <si>
    <t>Pedestrian evacuation is the limiting factor (57.5 min)</t>
  </si>
  <si>
    <t>Balanced multi-modal transit solution (buses, streetcars, and trains)</t>
  </si>
  <si>
    <t>Outbound-heavy signal timing (3.0 vs 1.31 min)</t>
  </si>
  <si>
    <t>All 100,000 people evacuated in under 1 hour</t>
  </si>
  <si>
    <t>Significantly under budget with excellent cost efficiency</t>
  </si>
  <si>
    <t>Bottom Line: 57.5-minute total evacuation time with optimal resource allocation and $144,000 budget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</si>
</sst>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4"/>
      <color rgb="FF000000"/>
      <name val="Arial"/>
      <family val="2"/>
    </font>
    <font>
      <sz val="14"/>
      <color rgb="FF000000"/>
      <name val="Courier New"/>
      <family val="1"/>
    </font>
    <font>
      <b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6" fillId="0" borderId="0" xfId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53AB-CCA1-4849-B2A5-FA77CE1FAE60}">
  <sheetPr codeName="Sheet1">
    <pageSetUpPr fitToPage="1"/>
  </sheetPr>
  <dimension ref="A1:K75"/>
  <sheetViews>
    <sheetView showFormulas="1" tabSelected="1" workbookViewId="0">
      <selection activeCell="B25" sqref="B25"/>
    </sheetView>
  </sheetViews>
  <sheetFormatPr defaultColWidth="11" defaultRowHeight="15.75" x14ac:dyDescent="0.5"/>
  <cols>
    <col min="1" max="1" width="33.8125" bestFit="1" customWidth="1"/>
    <col min="2" max="2" width="35.1875" customWidth="1"/>
    <col min="3" max="3" width="21.8125" bestFit="1" customWidth="1"/>
    <col min="4" max="4" width="22.8125" bestFit="1" customWidth="1"/>
    <col min="6" max="6" width="15" bestFit="1" customWidth="1"/>
    <col min="7" max="7" width="19.5" bestFit="1" customWidth="1"/>
  </cols>
  <sheetData>
    <row r="1" spans="1:11" ht="18" x14ac:dyDescent="0.55000000000000004">
      <c r="A1" s="2" t="s">
        <v>0</v>
      </c>
      <c r="B1" s="2"/>
      <c r="C1" s="2"/>
      <c r="D1" s="2"/>
      <c r="G1" t="s">
        <v>61</v>
      </c>
      <c r="J1">
        <f>B2+B3</f>
        <v>4.3132138156011788</v>
      </c>
    </row>
    <row r="2" spans="1:11" ht="18" x14ac:dyDescent="0.55000000000000004">
      <c r="A2" s="2" t="s">
        <v>1</v>
      </c>
      <c r="B2" s="2">
        <v>3</v>
      </c>
      <c r="D2" s="2" t="s">
        <v>2</v>
      </c>
      <c r="E2" s="2"/>
      <c r="F2" s="1"/>
      <c r="G2" s="1" t="s">
        <v>62</v>
      </c>
      <c r="H2">
        <f>B9</f>
        <v>10</v>
      </c>
    </row>
    <row r="3" spans="1:11" ht="18" x14ac:dyDescent="0.55000000000000004">
      <c r="A3" s="2" t="s">
        <v>3</v>
      </c>
      <c r="B3" s="2">
        <v>1.3132138156011786</v>
      </c>
      <c r="D3" s="2" t="s">
        <v>4</v>
      </c>
      <c r="E3" s="2">
        <v>8000</v>
      </c>
      <c r="F3" s="1"/>
      <c r="G3" s="1" t="s">
        <v>63</v>
      </c>
      <c r="H3">
        <f>B9*2000</f>
        <v>20000</v>
      </c>
    </row>
    <row r="4" spans="1:11" ht="18" x14ac:dyDescent="0.55000000000000004">
      <c r="A4" s="2"/>
      <c r="B4" s="2"/>
      <c r="D4" s="2" t="s">
        <v>5</v>
      </c>
      <c r="E4" s="2">
        <v>2000</v>
      </c>
      <c r="F4" s="1"/>
      <c r="G4" s="1" t="s">
        <v>64</v>
      </c>
      <c r="H4">
        <f>B9*2000</f>
        <v>20000</v>
      </c>
      <c r="J4">
        <f>(B5*2+B7*5)</f>
        <v>105</v>
      </c>
      <c r="K4">
        <f>150*B2*0.8</f>
        <v>360</v>
      </c>
    </row>
    <row r="5" spans="1:11" ht="18" x14ac:dyDescent="0.55000000000000004">
      <c r="A5" s="2" t="s">
        <v>6</v>
      </c>
      <c r="B5" s="2">
        <v>25</v>
      </c>
      <c r="D5" s="2" t="s">
        <v>7</v>
      </c>
      <c r="E5" s="2">
        <v>7000</v>
      </c>
      <c r="F5" s="1"/>
      <c r="G5" s="1"/>
      <c r="J5">
        <f>(B6*2+B8*5)</f>
        <v>105</v>
      </c>
      <c r="K5">
        <f>100*B3*0.8</f>
        <v>105.05710524809429</v>
      </c>
    </row>
    <row r="6" spans="1:11" ht="18" x14ac:dyDescent="0.55000000000000004">
      <c r="A6" s="2" t="s">
        <v>8</v>
      </c>
      <c r="B6" s="2">
        <v>25</v>
      </c>
      <c r="D6" s="2" t="s">
        <v>9</v>
      </c>
      <c r="E6" s="2">
        <v>3000</v>
      </c>
    </row>
    <row r="7" spans="1:11" ht="18" x14ac:dyDescent="0.55000000000000004">
      <c r="A7" s="2" t="s">
        <v>10</v>
      </c>
      <c r="B7" s="2">
        <v>11</v>
      </c>
      <c r="D7" s="2" t="s">
        <v>11</v>
      </c>
      <c r="E7" s="2">
        <v>50000</v>
      </c>
    </row>
    <row r="8" spans="1:11" ht="18" x14ac:dyDescent="0.55000000000000004">
      <c r="A8" s="2" t="s">
        <v>12</v>
      </c>
      <c r="B8" s="2">
        <v>11</v>
      </c>
      <c r="D8" s="2" t="s">
        <v>13</v>
      </c>
      <c r="E8" s="2">
        <v>10000</v>
      </c>
    </row>
    <row r="9" spans="1:11" ht="18" x14ac:dyDescent="0.55000000000000004">
      <c r="A9" s="2" t="s">
        <v>14</v>
      </c>
      <c r="B9" s="2">
        <v>10</v>
      </c>
      <c r="D9" s="2" t="s">
        <v>15</v>
      </c>
      <c r="E9" s="2">
        <v>20000</v>
      </c>
    </row>
    <row r="10" spans="1:11" ht="18" x14ac:dyDescent="0.55000000000000004">
      <c r="A10" s="2"/>
      <c r="B10" s="2"/>
      <c r="D10" s="2"/>
      <c r="E10" s="2"/>
    </row>
    <row r="11" spans="1:11" ht="18" x14ac:dyDescent="0.55000000000000004">
      <c r="A11" s="2" t="s">
        <v>16</v>
      </c>
      <c r="B11" s="2"/>
      <c r="D11" s="2" t="s">
        <v>17</v>
      </c>
      <c r="E11" s="2"/>
    </row>
    <row r="12" spans="1:11" ht="18" x14ac:dyDescent="0.55000000000000004">
      <c r="A12" s="2" t="s">
        <v>18</v>
      </c>
      <c r="B12" s="2">
        <f>(B5+B6)*500+(B7+B8)*500+B9*2000</f>
        <v>56000</v>
      </c>
      <c r="D12" s="2" t="s">
        <v>19</v>
      </c>
      <c r="E12" s="2">
        <v>200000</v>
      </c>
    </row>
    <row r="13" spans="1:11" ht="18" x14ac:dyDescent="0.55000000000000004">
      <c r="A13" s="2" t="s">
        <v>20</v>
      </c>
      <c r="B13" s="2">
        <f>B5+B6</f>
        <v>50</v>
      </c>
      <c r="D13" s="2" t="s">
        <v>21</v>
      </c>
      <c r="E13" s="2">
        <v>500</v>
      </c>
    </row>
    <row r="14" spans="1:11" ht="18" x14ac:dyDescent="0.55000000000000004">
      <c r="A14" s="2" t="s">
        <v>22</v>
      </c>
      <c r="B14" s="2">
        <f>B7+B8</f>
        <v>22</v>
      </c>
      <c r="D14" s="2" t="s">
        <v>23</v>
      </c>
      <c r="E14" s="2">
        <v>200</v>
      </c>
    </row>
    <row r="15" spans="1:11" ht="18" x14ac:dyDescent="0.55000000000000004">
      <c r="A15" s="2"/>
      <c r="B15" s="2"/>
      <c r="D15" s="2" t="s">
        <v>24</v>
      </c>
      <c r="E15" s="2">
        <v>20</v>
      </c>
    </row>
    <row r="16" spans="1:11" ht="18" x14ac:dyDescent="0.55000000000000004">
      <c r="A16" s="2" t="s">
        <v>25</v>
      </c>
      <c r="B16" s="2"/>
      <c r="D16" s="2"/>
      <c r="E16" s="2"/>
    </row>
    <row r="17" spans="1:11" ht="18" x14ac:dyDescent="0.55000000000000004">
      <c r="A17" s="2" t="s">
        <v>26</v>
      </c>
      <c r="B17" s="2">
        <f>B5*70</f>
        <v>1750</v>
      </c>
      <c r="D17" s="2" t="s">
        <v>27</v>
      </c>
      <c r="E17" s="2"/>
    </row>
    <row r="18" spans="1:11" ht="18" x14ac:dyDescent="0.55000000000000004">
      <c r="A18" s="2" t="s">
        <v>28</v>
      </c>
      <c r="B18" s="2">
        <f>B6*70</f>
        <v>1750</v>
      </c>
      <c r="D18" s="2" t="s">
        <v>29</v>
      </c>
      <c r="E18" s="2">
        <v>70</v>
      </c>
    </row>
    <row r="19" spans="1:11" ht="23.25" x14ac:dyDescent="0.7">
      <c r="A19" s="2" t="s">
        <v>30</v>
      </c>
      <c r="B19" s="2">
        <f>B7*200</f>
        <v>2200</v>
      </c>
      <c r="D19" s="2" t="s">
        <v>31</v>
      </c>
      <c r="E19" s="2">
        <v>200</v>
      </c>
      <c r="K19" s="3"/>
    </row>
    <row r="20" spans="1:11" ht="23.25" x14ac:dyDescent="0.7">
      <c r="A20" s="2" t="s">
        <v>33</v>
      </c>
      <c r="B20" s="2">
        <f>B8*200</f>
        <v>2200</v>
      </c>
      <c r="D20" s="2" t="s">
        <v>34</v>
      </c>
      <c r="E20" s="2">
        <v>2000</v>
      </c>
      <c r="J20" s="3" t="s">
        <v>32</v>
      </c>
    </row>
    <row r="21" spans="1:11" ht="18" x14ac:dyDescent="0.55000000000000004">
      <c r="A21" s="2" t="s">
        <v>35</v>
      </c>
      <c r="B21" s="2">
        <f>B9*2000</f>
        <v>20000</v>
      </c>
      <c r="C21" s="2"/>
      <c r="D21" s="2" t="s">
        <v>65</v>
      </c>
      <c r="E21" s="2">
        <v>3</v>
      </c>
      <c r="K21" s="4"/>
    </row>
    <row r="22" spans="1:11" ht="18" x14ac:dyDescent="0.55000000000000004">
      <c r="D22" s="2" t="s">
        <v>66</v>
      </c>
      <c r="E22" s="2">
        <v>30</v>
      </c>
      <c r="J22" s="5" t="s">
        <v>36</v>
      </c>
    </row>
    <row r="23" spans="1:11" ht="18" x14ac:dyDescent="0.55000000000000004">
      <c r="A23" s="2" t="s">
        <v>37</v>
      </c>
      <c r="B23" s="2"/>
      <c r="D23" t="s">
        <v>67</v>
      </c>
      <c r="E23" s="2">
        <v>150</v>
      </c>
      <c r="K23" s="5"/>
    </row>
    <row r="24" spans="1:11" ht="18" x14ac:dyDescent="0.55000000000000004">
      <c r="A24" s="2" t="s">
        <v>38</v>
      </c>
      <c r="B24" s="2">
        <f>B2+B3</f>
        <v>4.3132138156011788</v>
      </c>
      <c r="D24" t="s">
        <v>68</v>
      </c>
      <c r="E24" s="2">
        <v>200</v>
      </c>
      <c r="J24" t="s">
        <v>72</v>
      </c>
      <c r="K24" s="5"/>
    </row>
    <row r="25" spans="1:11" ht="18" x14ac:dyDescent="0.55000000000000004">
      <c r="A25" s="2" t="s">
        <v>39</v>
      </c>
      <c r="B25" s="2">
        <f>B2/B24</f>
        <v>0.69553704691123874</v>
      </c>
      <c r="D25" t="s">
        <v>69</v>
      </c>
      <c r="E25" s="2">
        <v>100</v>
      </c>
      <c r="J25" t="s">
        <v>73</v>
      </c>
      <c r="K25" s="5"/>
    </row>
    <row r="26" spans="1:11" ht="18" x14ac:dyDescent="0.55000000000000004">
      <c r="A26" s="2" t="s">
        <v>40</v>
      </c>
      <c r="B26" s="2">
        <f>B3/B24</f>
        <v>0.30446295308876126</v>
      </c>
      <c r="D26" t="s">
        <v>70</v>
      </c>
      <c r="E26" s="2">
        <v>150</v>
      </c>
      <c r="J26" t="s">
        <v>74</v>
      </c>
    </row>
    <row r="27" spans="1:11" ht="18" x14ac:dyDescent="0.55000000000000004">
      <c r="A27" s="2"/>
      <c r="B27" s="2"/>
      <c r="D27" t="s">
        <v>71</v>
      </c>
      <c r="E27" s="2">
        <v>10</v>
      </c>
      <c r="K27" s="4"/>
    </row>
    <row r="28" spans="1:11" ht="18" x14ac:dyDescent="0.55000000000000004">
      <c r="A28" s="7" t="s">
        <v>42</v>
      </c>
      <c r="B28" s="7">
        <f>MAX(E3/(200*B25), E4/(150*B26))</f>
        <v>57.509517541349055</v>
      </c>
      <c r="J28" s="5" t="s">
        <v>41</v>
      </c>
    </row>
    <row r="29" spans="1:11" ht="18" x14ac:dyDescent="0.55000000000000004">
      <c r="A29" s="7" t="s">
        <v>43</v>
      </c>
      <c r="B29" s="7">
        <f>E5/(500*B25)</f>
        <v>20.12833113947217</v>
      </c>
      <c r="K29" s="5"/>
    </row>
    <row r="30" spans="1:11" ht="18" x14ac:dyDescent="0.55000000000000004">
      <c r="A30" s="7" t="s">
        <v>44</v>
      </c>
      <c r="B30" s="7">
        <f>E6/(250*B26)</f>
        <v>39.413662247773026</v>
      </c>
      <c r="J30" t="s">
        <v>75</v>
      </c>
      <c r="K30" s="5"/>
    </row>
    <row r="31" spans="1:11" ht="18" x14ac:dyDescent="0.55000000000000004">
      <c r="A31" s="7" t="s">
        <v>46</v>
      </c>
      <c r="B31" s="7">
        <f>IF(B17&gt;0, MAX(3+20, E7/(B17*60/25)), 999)</f>
        <v>23</v>
      </c>
      <c r="J31" t="s">
        <v>76</v>
      </c>
      <c r="K31" s="5"/>
    </row>
    <row r="32" spans="1:11" ht="18" x14ac:dyDescent="0.55000000000000004">
      <c r="A32" s="7" t="s">
        <v>48</v>
      </c>
      <c r="B32" s="7">
        <f>IF(B18&gt;0, MAX(3+20, E8/(B18*60/25)), 999)</f>
        <v>23</v>
      </c>
      <c r="J32" t="s">
        <v>77</v>
      </c>
      <c r="K32" s="5"/>
    </row>
    <row r="33" spans="1:11" ht="18" x14ac:dyDescent="0.55000000000000004">
      <c r="A33" s="7" t="s">
        <v>45</v>
      </c>
      <c r="B33" s="7">
        <f>IF(B19&gt;0, MAX(30+20, E7/(B19*60/25)), 999)</f>
        <v>50</v>
      </c>
      <c r="J33" t="s">
        <v>78</v>
      </c>
      <c r="K33" s="5"/>
    </row>
    <row r="34" spans="1:11" ht="18" x14ac:dyDescent="0.55000000000000004">
      <c r="A34" s="7" t="s">
        <v>47</v>
      </c>
      <c r="B34" s="7">
        <f>IF(B20&gt;0, MAX(30+20, E8/(B20*60/25)), 999)</f>
        <v>50</v>
      </c>
      <c r="J34" t="s">
        <v>79</v>
      </c>
      <c r="K34" s="5"/>
    </row>
    <row r="35" spans="1:11" ht="18" x14ac:dyDescent="0.55000000000000004">
      <c r="A35" s="7" t="s">
        <v>49</v>
      </c>
      <c r="B35" s="7">
        <f>IF(B9&gt;0,3+30*CEILING(E9/(B9*2000),1),0)</f>
        <v>33</v>
      </c>
      <c r="J35" t="s">
        <v>80</v>
      </c>
    </row>
    <row r="36" spans="1:11" ht="18" x14ac:dyDescent="0.55000000000000004">
      <c r="A36" s="2"/>
      <c r="B36" s="2"/>
      <c r="K36" s="4"/>
    </row>
    <row r="37" spans="1:11" ht="18" x14ac:dyDescent="0.55000000000000004">
      <c r="A37" s="7" t="s">
        <v>51</v>
      </c>
      <c r="B37" s="7">
        <f>MAX(B28,B29,B30,B31,B32,B33,B34,B35)</f>
        <v>57.509517541349055</v>
      </c>
      <c r="J37" s="5" t="s">
        <v>50</v>
      </c>
    </row>
    <row r="38" spans="1:11" x14ac:dyDescent="0.5">
      <c r="K38" s="5"/>
    </row>
    <row r="39" spans="1:11" ht="18" x14ac:dyDescent="0.55000000000000004">
      <c r="A39" s="2" t="s">
        <v>52</v>
      </c>
      <c r="B39" s="2"/>
      <c r="J39" t="s">
        <v>81</v>
      </c>
      <c r="K39" s="5"/>
    </row>
    <row r="40" spans="1:11" ht="18" x14ac:dyDescent="0.55000000000000004">
      <c r="A40" s="2" t="s">
        <v>53</v>
      </c>
      <c r="B40" s="2">
        <f>SQRT(B2*B3)/(B2+B3)</f>
        <v>0.46017959894505533</v>
      </c>
      <c r="J40" t="s">
        <v>82</v>
      </c>
      <c r="K40" s="5"/>
    </row>
    <row r="41" spans="1:11" ht="18" x14ac:dyDescent="0.55000000000000004">
      <c r="A41" s="2" t="s">
        <v>54</v>
      </c>
      <c r="B41" s="2">
        <f>IF((E7+E8+E9)&gt;0, (B17+B18+B19+B20+B21)/(E7+E8+E9), 0.1)</f>
        <v>0.34875</v>
      </c>
      <c r="J41" t="s">
        <v>83</v>
      </c>
    </row>
    <row r="42" spans="1:11" ht="18" x14ac:dyDescent="0.55000000000000004">
      <c r="A42" s="2" t="s">
        <v>55</v>
      </c>
      <c r="B42" s="2">
        <f>1-B12/E12</f>
        <v>0.72</v>
      </c>
      <c r="K42" s="4"/>
    </row>
    <row r="43" spans="1:11" ht="18" x14ac:dyDescent="0.55000000000000004">
      <c r="A43" s="2" t="s">
        <v>57</v>
      </c>
      <c r="B43" s="2">
        <f>ABS(B5-B6)/MAX(B5,B6,1)+ABS(B7-B8)/MAX(B7,B8,1)</f>
        <v>0</v>
      </c>
      <c r="J43" s="5" t="s">
        <v>56</v>
      </c>
    </row>
    <row r="44" spans="1:11" ht="18" x14ac:dyDescent="0.55000000000000004">
      <c r="A44" s="2"/>
      <c r="B44" s="2"/>
      <c r="K44" s="5"/>
    </row>
    <row r="45" spans="1:11" ht="18" x14ac:dyDescent="0.55000000000000004">
      <c r="A45" s="7" t="s">
        <v>58</v>
      </c>
      <c r="B45" s="7">
        <f>IF(AND(B40&gt;0,B41&gt;0,B37&lt;999), B37*(1+B43)/(B40*B41*MAX(B42,0.1)), 999999)</f>
        <v>497.69771891024772</v>
      </c>
      <c r="J45" t="s">
        <v>84</v>
      </c>
      <c r="K45" s="5"/>
    </row>
    <row r="46" spans="1:11" x14ac:dyDescent="0.5">
      <c r="J46" t="s">
        <v>85</v>
      </c>
      <c r="K46" s="5"/>
    </row>
    <row r="47" spans="1:11" x14ac:dyDescent="0.5">
      <c r="J47" t="s">
        <v>86</v>
      </c>
      <c r="K47" s="5"/>
    </row>
    <row r="48" spans="1:11" x14ac:dyDescent="0.5">
      <c r="J48" t="s">
        <v>87</v>
      </c>
    </row>
    <row r="49" spans="10:11" ht="17.649999999999999" x14ac:dyDescent="0.55000000000000004">
      <c r="J49" t="s">
        <v>88</v>
      </c>
      <c r="K49" s="4"/>
    </row>
    <row r="50" spans="10:11" x14ac:dyDescent="0.5">
      <c r="J50" t="s">
        <v>89</v>
      </c>
    </row>
    <row r="51" spans="10:11" x14ac:dyDescent="0.5">
      <c r="K51" s="5"/>
    </row>
    <row r="52" spans="10:11" x14ac:dyDescent="0.5">
      <c r="J52" s="5" t="s">
        <v>59</v>
      </c>
      <c r="K52" s="5"/>
    </row>
    <row r="53" spans="10:11" x14ac:dyDescent="0.5">
      <c r="K53" s="5"/>
    </row>
    <row r="54" spans="10:11" x14ac:dyDescent="0.5">
      <c r="J54" t="s">
        <v>90</v>
      </c>
      <c r="K54" s="5"/>
    </row>
    <row r="55" spans="10:11" x14ac:dyDescent="0.5">
      <c r="J55" t="s">
        <v>91</v>
      </c>
      <c r="K55" s="5"/>
    </row>
    <row r="56" spans="10:11" x14ac:dyDescent="0.5">
      <c r="J56" t="s">
        <v>92</v>
      </c>
      <c r="K56" s="5"/>
    </row>
    <row r="57" spans="10:11" x14ac:dyDescent="0.5">
      <c r="J57" t="s">
        <v>93</v>
      </c>
    </row>
    <row r="58" spans="10:11" ht="17.649999999999999" x14ac:dyDescent="0.55000000000000004">
      <c r="J58" t="s">
        <v>94</v>
      </c>
      <c r="K58" s="4"/>
    </row>
    <row r="59" spans="10:11" x14ac:dyDescent="0.5">
      <c r="J59" t="s">
        <v>95</v>
      </c>
    </row>
    <row r="60" spans="10:11" x14ac:dyDescent="0.5">
      <c r="J60" t="s">
        <v>96</v>
      </c>
      <c r="K60" s="5"/>
    </row>
    <row r="61" spans="10:11" x14ac:dyDescent="0.5">
      <c r="J61" t="s">
        <v>97</v>
      </c>
      <c r="K61" s="5"/>
    </row>
    <row r="62" spans="10:11" x14ac:dyDescent="0.5">
      <c r="K62" s="5"/>
    </row>
    <row r="63" spans="10:11" x14ac:dyDescent="0.5">
      <c r="J63" s="5" t="s">
        <v>60</v>
      </c>
      <c r="K63" s="5"/>
    </row>
    <row r="64" spans="10:11" x14ac:dyDescent="0.5">
      <c r="K64" s="5"/>
    </row>
    <row r="65" spans="10:11" x14ac:dyDescent="0.5">
      <c r="J65" t="s">
        <v>98</v>
      </c>
    </row>
    <row r="66" spans="10:11" x14ac:dyDescent="0.5">
      <c r="J66" t="s">
        <v>99</v>
      </c>
      <c r="K66" s="5"/>
    </row>
    <row r="67" spans="10:11" x14ac:dyDescent="0.5">
      <c r="J67" t="s">
        <v>100</v>
      </c>
    </row>
    <row r="68" spans="10:11" x14ac:dyDescent="0.5">
      <c r="J68" t="s">
        <v>101</v>
      </c>
    </row>
    <row r="69" spans="10:11" x14ac:dyDescent="0.5">
      <c r="J69" t="s">
        <v>102</v>
      </c>
    </row>
    <row r="71" spans="10:11" x14ac:dyDescent="0.5">
      <c r="J71" s="5" t="s">
        <v>103</v>
      </c>
    </row>
    <row r="74" spans="10:11" x14ac:dyDescent="0.5">
      <c r="J74" s="6"/>
    </row>
    <row r="75" spans="10:11" x14ac:dyDescent="0.5">
      <c r="J75" s="6"/>
    </row>
  </sheetData>
  <pageMargins left="0.7" right="0.7" top="0.75" bottom="0.75" header="0.3" footer="0.3"/>
  <pageSetup scale="2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Turab</dc:creator>
  <cp:keywords/>
  <dc:description/>
  <cp:lastModifiedBy>Syed Turab</cp:lastModifiedBy>
  <cp:revision/>
  <cp:lastPrinted>2025-07-20T17:58:55Z</cp:lastPrinted>
  <dcterms:created xsi:type="dcterms:W3CDTF">2025-07-19T18:45:27Z</dcterms:created>
  <dcterms:modified xsi:type="dcterms:W3CDTF">2025-07-22T04:53:43Z</dcterms:modified>
  <cp:category/>
  <cp:contentStatus/>
</cp:coreProperties>
</file>